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updateLinks="always" defaultThemeVersion="124226"/>
  <bookViews>
    <workbookView xWindow="-105" yWindow="-105" windowWidth="20730" windowHeight="11760" tabRatio="930" activeTab="8"/>
  </bookViews>
  <sheets>
    <sheet name="eff all" sheetId="59" r:id="rId1"/>
    <sheet name="Report1" sheetId="48" r:id="rId2"/>
    <sheet name="GRAFIK" sheetId="50" r:id="rId3"/>
    <sheet name="Listrik" sheetId="45" r:id="rId4"/>
    <sheet name="Trim Rwd" sheetId="47" r:id="rId5"/>
    <sheet name="Efficiency1" sheetId="46" r:id="rId6"/>
    <sheet name="Efficiency2" sheetId="58" r:id="rId7"/>
    <sheet name="BB" sheetId="2" r:id="rId8"/>
    <sheet name="Chem" sheetId="1" r:id="rId9"/>
    <sheet name="RBP" sheetId="55" r:id="rId10"/>
    <sheet name="Sheet1" sheetId="54" r:id="rId11"/>
    <sheet name="summary" sheetId="53" r:id="rId12"/>
    <sheet name="31" sheetId="43" r:id="rId13"/>
    <sheet name="30" sheetId="4" r:id="rId14"/>
    <sheet name="29" sheetId="37" r:id="rId15"/>
    <sheet name="28" sheetId="6" r:id="rId16"/>
    <sheet name="27" sheetId="7" r:id="rId17"/>
    <sheet name="26" sheetId="8" r:id="rId18"/>
    <sheet name="25" sheetId="9" r:id="rId19"/>
    <sheet name="24" sheetId="10" r:id="rId20"/>
    <sheet name="23" sheetId="11" r:id="rId21"/>
    <sheet name="22" sheetId="12" r:id="rId22"/>
    <sheet name="21" sheetId="13" r:id="rId23"/>
    <sheet name="20" sheetId="14" r:id="rId24"/>
    <sheet name="19" sheetId="15" r:id="rId25"/>
    <sheet name="18" sheetId="16" r:id="rId26"/>
    <sheet name="17" sheetId="17" r:id="rId27"/>
    <sheet name="16" sheetId="18" r:id="rId28"/>
    <sheet name="15" sheetId="19" r:id="rId29"/>
    <sheet name="14" sheetId="20" r:id="rId30"/>
    <sheet name="13" sheetId="22" r:id="rId31"/>
    <sheet name="12" sheetId="21" r:id="rId32"/>
    <sheet name="11" sheetId="23" r:id="rId33"/>
    <sheet name="10" sheetId="24" r:id="rId34"/>
    <sheet name="9" sheetId="25" r:id="rId35"/>
    <sheet name="8" sheetId="26" r:id="rId36"/>
    <sheet name="7" sheetId="28" r:id="rId37"/>
    <sheet name="6" sheetId="27" r:id="rId38"/>
    <sheet name="5" sheetId="29" r:id="rId39"/>
    <sheet name="4" sheetId="30" r:id="rId40"/>
    <sheet name="3" sheetId="31" r:id="rId41"/>
    <sheet name="2" sheetId="32" r:id="rId42"/>
    <sheet name="1" sheetId="33" r:id="rId43"/>
  </sheets>
  <externalReferences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_xlnm._FilterDatabase" localSheetId="10" hidden="1">Sheet1!$C$1:$F$118</definedName>
    <definedName name="_xlnm.Print_Area" localSheetId="42">'1'!$A$2:$M$61</definedName>
    <definedName name="_xlnm.Print_Area" localSheetId="33">'10'!$A$2:$M$61</definedName>
    <definedName name="_xlnm.Print_Area" localSheetId="32">'11'!$A$2:$M$61</definedName>
    <definedName name="_xlnm.Print_Area" localSheetId="31">'12'!$A$2:$M$61</definedName>
    <definedName name="_xlnm.Print_Area" localSheetId="30">'13'!$A$1:$M$62</definedName>
    <definedName name="_xlnm.Print_Area" localSheetId="29">'14'!$A$1:$M$61</definedName>
    <definedName name="_xlnm.Print_Area" localSheetId="28">'15'!$A$1:$M$61</definedName>
    <definedName name="_xlnm.Print_Area" localSheetId="26">'17'!$A$1:$M$61</definedName>
    <definedName name="_xlnm.Print_Area" localSheetId="25">'18'!$A$1:$M$61</definedName>
    <definedName name="_xlnm.Print_Area" localSheetId="24">'19'!$A$1:$M$61</definedName>
    <definedName name="_xlnm.Print_Area" localSheetId="41">'2'!$A$2:$M$61</definedName>
    <definedName name="_xlnm.Print_Area" localSheetId="23">'20'!$A$1:$M$62</definedName>
    <definedName name="_xlnm.Print_Area" localSheetId="22">'21'!$A$1:$M$61</definedName>
    <definedName name="_xlnm.Print_Area" localSheetId="21">'22'!$A$1:$M$61</definedName>
    <definedName name="_xlnm.Print_Area" localSheetId="20">'23'!$A$1:$M$61</definedName>
    <definedName name="_xlnm.Print_Area" localSheetId="19">'24'!$A$1:$M$61</definedName>
    <definedName name="_xlnm.Print_Area" localSheetId="18">'25'!$A$1:$M$61</definedName>
    <definedName name="_xlnm.Print_Area" localSheetId="17">'26'!$A$1:$M$61</definedName>
    <definedName name="_xlnm.Print_Area" localSheetId="16">'27'!$A$1:$M$61</definedName>
    <definedName name="_xlnm.Print_Area" localSheetId="15">'28'!$A$1:$M$61</definedName>
    <definedName name="_xlnm.Print_Area" localSheetId="14">'29'!$A$1:$M$61</definedName>
    <definedName name="_xlnm.Print_Area" localSheetId="40">'3'!$A$1:$M$61</definedName>
    <definedName name="_xlnm.Print_Area" localSheetId="13">'30'!$A$1:$M$61</definedName>
    <definedName name="_xlnm.Print_Area" localSheetId="12">'31'!$A$1:$L$63</definedName>
    <definedName name="_xlnm.Print_Area" localSheetId="39">'4'!$A$1:$M$61</definedName>
    <definedName name="_xlnm.Print_Area" localSheetId="38">'5'!$A$1:$M$61</definedName>
    <definedName name="_xlnm.Print_Area" localSheetId="37">'6'!$A$2:$M$61</definedName>
    <definedName name="_xlnm.Print_Area" localSheetId="36">'7'!$A$2:$M$61</definedName>
    <definedName name="_xlnm.Print_Area" localSheetId="35">'8'!$A$2:$M$61</definedName>
    <definedName name="_xlnm.Print_Area" localSheetId="34">'9'!$A$1:$M$62</definedName>
    <definedName name="_xlnm.Print_Area" localSheetId="8">Chem!$CE$7:$CQ$16</definedName>
    <definedName name="_xlnm.Print_Area" localSheetId="0">'eff all'!$A$1:$Q$46</definedName>
    <definedName name="_xlnm.Print_Area" localSheetId="5">Efficiency1!$A$1:$AD$165</definedName>
    <definedName name="_xlnm.Print_Area" localSheetId="6">Efficiency2!$A$1:$AD$213</definedName>
    <definedName name="_xlnm.Print_Area" localSheetId="3">Listrik!$A$2:$AT$40</definedName>
    <definedName name="_xlnm.Print_Area" localSheetId="1">Report1!$A$3:$AE$41</definedName>
  </definedNames>
  <calcPr calcId="144525"/>
</workbook>
</file>

<file path=xl/calcChain.xml><?xml version="1.0" encoding="utf-8"?>
<calcChain xmlns="http://schemas.openxmlformats.org/spreadsheetml/2006/main">
  <c r="Q6" i="58" l="1"/>
  <c r="AW167" i="58"/>
  <c r="AV167" i="58" l="1"/>
  <c r="AW10" i="58"/>
  <c r="AF7" i="55" l="1"/>
  <c r="AF6" i="55"/>
  <c r="AI40" i="2"/>
  <c r="O40" i="2"/>
  <c r="S40" i="2"/>
  <c r="BF163" i="58" l="1"/>
  <c r="BE163" i="58"/>
  <c r="BD163" i="58"/>
  <c r="BC163" i="58"/>
  <c r="BB163" i="58"/>
  <c r="AZ163" i="58"/>
  <c r="AY163" i="58"/>
  <c r="AX163" i="58"/>
  <c r="AW163" i="58"/>
  <c r="AV163" i="58"/>
  <c r="AT163" i="58"/>
  <c r="AS163" i="58"/>
  <c r="AQ163" i="58"/>
  <c r="AP163" i="58"/>
  <c r="AO163" i="58"/>
  <c r="AN163" i="58"/>
  <c r="AL163" i="58"/>
  <c r="AK163" i="58"/>
  <c r="AJ163" i="58"/>
  <c r="AI163" i="58"/>
  <c r="AH163" i="58"/>
  <c r="AG163" i="58"/>
  <c r="AF163" i="58"/>
  <c r="Z155" i="58"/>
  <c r="Z153" i="58"/>
  <c r="Z148" i="58"/>
  <c r="Z147" i="58"/>
  <c r="Z146" i="58"/>
  <c r="Z129" i="58"/>
  <c r="Z128" i="58"/>
  <c r="Z124" i="58"/>
  <c r="Z123" i="58"/>
  <c r="Z118" i="58"/>
  <c r="Z117" i="58"/>
  <c r="Z92" i="58"/>
  <c r="Z91" i="58"/>
  <c r="Z39" i="58"/>
  <c r="Z34" i="58"/>
  <c r="Z33" i="58"/>
  <c r="Z19" i="58"/>
  <c r="W150" i="58"/>
  <c r="W40" i="58"/>
  <c r="W14" i="58"/>
  <c r="W7" i="58"/>
  <c r="M150" i="58"/>
  <c r="J150" i="58"/>
  <c r="M149" i="58"/>
  <c r="J149" i="58"/>
  <c r="N148" i="58"/>
  <c r="J148" i="58"/>
  <c r="M147" i="58"/>
  <c r="J147" i="58"/>
  <c r="M146" i="58"/>
  <c r="J146" i="58"/>
  <c r="M153" i="46"/>
  <c r="N153" i="46" s="1"/>
  <c r="J153" i="46"/>
  <c r="N152" i="46"/>
  <c r="J152" i="46"/>
  <c r="M150" i="46"/>
  <c r="N150" i="46" s="1"/>
  <c r="J150" i="46"/>
  <c r="M149" i="46"/>
  <c r="J149" i="46"/>
  <c r="N148" i="46"/>
  <c r="J148" i="46"/>
  <c r="M147" i="46"/>
  <c r="J147" i="46"/>
  <c r="M146" i="46"/>
  <c r="N146" i="46" s="1"/>
  <c r="J146" i="46"/>
  <c r="F122" i="47"/>
  <c r="E122" i="47"/>
  <c r="G122" i="47" s="1"/>
  <c r="H122" i="47" s="1"/>
  <c r="E121" i="47"/>
  <c r="G121" i="47" s="1"/>
  <c r="H121" i="47" s="1"/>
  <c r="E120" i="47"/>
  <c r="G120" i="47" s="1"/>
  <c r="E119" i="47"/>
  <c r="G119" i="47" s="1"/>
  <c r="F118" i="47"/>
  <c r="E118" i="47"/>
  <c r="Z153" i="46"/>
  <c r="Z155" i="46"/>
  <c r="Z152" i="46"/>
  <c r="D7" i="43"/>
  <c r="Z152" i="58" s="1"/>
  <c r="D9" i="43"/>
  <c r="Z154" i="46" s="1"/>
  <c r="K15" i="43"/>
  <c r="W153" i="58" s="1"/>
  <c r="K13" i="43"/>
  <c r="W154" i="58" s="1"/>
  <c r="K14" i="43"/>
  <c r="W155" i="58" s="1"/>
  <c r="C25" i="43"/>
  <c r="C26" i="43"/>
  <c r="C16" i="43"/>
  <c r="C17" i="43"/>
  <c r="C7" i="43"/>
  <c r="K11" i="43" s="1"/>
  <c r="W152" i="58" s="1"/>
  <c r="N147" i="46" l="1"/>
  <c r="N149" i="46"/>
  <c r="W154" i="46"/>
  <c r="H119" i="47"/>
  <c r="Z154" i="58"/>
  <c r="W155" i="46"/>
  <c r="N150" i="58"/>
  <c r="N146" i="58"/>
  <c r="N147" i="58"/>
  <c r="N149" i="58"/>
  <c r="G118" i="47"/>
  <c r="H118" i="47" s="1"/>
  <c r="AF39" i="48"/>
  <c r="O152" i="58" l="1"/>
  <c r="O152" i="46"/>
  <c r="O153" i="46"/>
  <c r="O153" i="58"/>
  <c r="BA154" i="58"/>
  <c r="AD154" i="58" s="1"/>
  <c r="AR154" i="58"/>
  <c r="AM154" i="58"/>
  <c r="AR153" i="58"/>
  <c r="BA153" i="58" s="1"/>
  <c r="AD153" i="58" s="1"/>
  <c r="AM153" i="58"/>
  <c r="M153" i="58"/>
  <c r="N153" i="58" s="1"/>
  <c r="K153" i="58" s="1"/>
  <c r="J153" i="58"/>
  <c r="BA152" i="58"/>
  <c r="AR152" i="58"/>
  <c r="AM152" i="58"/>
  <c r="N152" i="58"/>
  <c r="V152" i="58" s="1"/>
  <c r="J152" i="58"/>
  <c r="W153" i="46"/>
  <c r="W152" i="46"/>
  <c r="P16" i="43"/>
  <c r="P17" i="43"/>
  <c r="P152" i="46"/>
  <c r="AR154" i="46"/>
  <c r="BA154" i="46" s="1"/>
  <c r="AM154" i="46"/>
  <c r="AD154" i="46" s="1"/>
  <c r="AR153" i="46"/>
  <c r="BA153" i="46" s="1"/>
  <c r="AM153" i="46"/>
  <c r="AD153" i="46" s="1"/>
  <c r="AR152" i="46"/>
  <c r="BA152" i="46" s="1"/>
  <c r="AM152" i="46"/>
  <c r="L38" i="43"/>
  <c r="I119" i="47" s="1"/>
  <c r="I38" i="43"/>
  <c r="L37" i="43" s="1"/>
  <c r="I118" i="47" s="1"/>
  <c r="F42" i="43"/>
  <c r="P26" i="43"/>
  <c r="O27" i="43"/>
  <c r="O26" i="43"/>
  <c r="O17" i="43"/>
  <c r="O16" i="43"/>
  <c r="O8" i="43"/>
  <c r="N6" i="43"/>
  <c r="K153" i="46" l="1"/>
  <c r="C153" i="46"/>
  <c r="R26" i="43"/>
  <c r="AD152" i="58"/>
  <c r="C152" i="46"/>
  <c r="K152" i="46"/>
  <c r="P27" i="43"/>
  <c r="U153" i="46"/>
  <c r="P153" i="46"/>
  <c r="C153" i="58"/>
  <c r="T152" i="46"/>
  <c r="N39" i="48"/>
  <c r="U152" i="46"/>
  <c r="K152" i="58"/>
  <c r="P153" i="58"/>
  <c r="T153" i="58"/>
  <c r="AC153" i="58" s="1"/>
  <c r="U153" i="58"/>
  <c r="P152" i="58"/>
  <c r="V153" i="58"/>
  <c r="T152" i="58"/>
  <c r="U152" i="58"/>
  <c r="V152" i="46"/>
  <c r="C152" i="58"/>
  <c r="AD152" i="46"/>
  <c r="Q17" i="43"/>
  <c r="P18" i="43"/>
  <c r="R17" i="43"/>
  <c r="Q16" i="43"/>
  <c r="R16" i="43"/>
  <c r="T153" i="46"/>
  <c r="Q26" i="43"/>
  <c r="AG4" i="55"/>
  <c r="AG3" i="55"/>
  <c r="AE7" i="55"/>
  <c r="AE6" i="55"/>
  <c r="AD6" i="55"/>
  <c r="AC152" i="58" l="1"/>
  <c r="X152" i="58"/>
  <c r="AC152" i="46"/>
  <c r="Y152" i="58"/>
  <c r="Y163" i="58" s="1"/>
  <c r="Y152" i="46"/>
  <c r="AA152" i="46" s="1"/>
  <c r="AH39" i="48"/>
  <c r="Q18" i="43"/>
  <c r="Q19" i="43"/>
  <c r="R18" i="43"/>
  <c r="R19" i="43" s="1"/>
  <c r="V153" i="46"/>
  <c r="AC153" i="46"/>
  <c r="P28" i="43"/>
  <c r="R27" i="43"/>
  <c r="R28" i="43" s="1"/>
  <c r="Q27" i="43"/>
  <c r="Q28" i="43" s="1"/>
  <c r="CE34" i="59"/>
  <c r="CD34" i="59"/>
  <c r="CE33" i="59"/>
  <c r="CD33" i="59"/>
  <c r="CE32" i="59"/>
  <c r="CD32" i="59"/>
  <c r="CE31" i="59"/>
  <c r="CD31" i="59"/>
  <c r="CE30" i="59"/>
  <c r="CD30" i="59"/>
  <c r="CE29" i="59"/>
  <c r="CD29" i="59"/>
  <c r="CE28" i="59"/>
  <c r="CD28" i="59"/>
  <c r="CE27" i="59"/>
  <c r="CD27" i="59"/>
  <c r="CE26" i="59"/>
  <c r="CD26" i="59"/>
  <c r="CE25" i="59"/>
  <c r="CD25" i="59"/>
  <c r="CE24" i="59"/>
  <c r="CD24" i="59"/>
  <c r="CE23" i="59"/>
  <c r="CD23" i="59"/>
  <c r="CE22" i="59"/>
  <c r="CD22" i="59"/>
  <c r="CE21" i="59"/>
  <c r="CD21" i="59"/>
  <c r="CE20" i="59"/>
  <c r="CD20" i="59"/>
  <c r="CE19" i="59"/>
  <c r="CD19" i="59"/>
  <c r="CE18" i="59"/>
  <c r="CD18" i="59"/>
  <c r="CE17" i="59"/>
  <c r="CD17" i="59"/>
  <c r="CE16" i="59"/>
  <c r="CD16" i="59"/>
  <c r="CE15" i="59"/>
  <c r="CD15" i="59"/>
  <c r="CE14" i="59"/>
  <c r="CD14" i="59"/>
  <c r="CE13" i="59"/>
  <c r="CD13" i="59"/>
  <c r="CE12" i="59"/>
  <c r="CD12" i="59"/>
  <c r="CE11" i="59"/>
  <c r="CD11" i="59"/>
  <c r="CE10" i="59"/>
  <c r="CD10" i="59"/>
  <c r="CE9" i="59"/>
  <c r="CD9" i="59"/>
  <c r="CE8" i="59"/>
  <c r="CD8" i="59"/>
  <c r="CE7" i="59"/>
  <c r="CD7" i="59"/>
  <c r="CE6" i="59"/>
  <c r="CD6" i="59"/>
  <c r="CE5" i="59"/>
  <c r="CD5" i="59"/>
  <c r="CD4" i="59"/>
  <c r="CE4" i="59"/>
  <c r="Y165" i="58" l="1"/>
  <c r="AA152" i="58"/>
  <c r="L39" i="48"/>
  <c r="AB152" i="46"/>
  <c r="X152" i="46"/>
  <c r="Q29" i="43"/>
  <c r="R29" i="43"/>
  <c r="E115" i="47"/>
  <c r="AB152" i="58" l="1"/>
  <c r="AI39" i="2"/>
  <c r="AQ39" i="2"/>
  <c r="AA39" i="2"/>
  <c r="S39" i="2"/>
  <c r="Z148" i="46" l="1"/>
  <c r="Z147" i="46"/>
  <c r="Z146" i="46"/>
  <c r="K14" i="4"/>
  <c r="W149" i="58" s="1"/>
  <c r="K13" i="4"/>
  <c r="W148" i="58" s="1"/>
  <c r="H115" i="47"/>
  <c r="O149" i="58" s="1"/>
  <c r="I115" i="47"/>
  <c r="E116" i="47"/>
  <c r="G116" i="47" s="1"/>
  <c r="G115" i="47"/>
  <c r="E114" i="47"/>
  <c r="E113" i="47"/>
  <c r="E112" i="47"/>
  <c r="G112" i="47" s="1"/>
  <c r="H112" i="47" s="1"/>
  <c r="E111" i="47"/>
  <c r="G111" i="47" s="1"/>
  <c r="H111" i="47" s="1"/>
  <c r="I112" i="47"/>
  <c r="F113" i="47"/>
  <c r="F114" i="47"/>
  <c r="F112" i="47"/>
  <c r="C8" i="4"/>
  <c r="K10" i="4" s="1"/>
  <c r="W147" i="58" s="1"/>
  <c r="C7" i="4"/>
  <c r="K7" i="4" s="1"/>
  <c r="W146" i="58" s="1"/>
  <c r="O146" i="46" l="1"/>
  <c r="O146" i="58"/>
  <c r="O147" i="46"/>
  <c r="O147" i="58"/>
  <c r="H113" i="47"/>
  <c r="O148" i="58" s="1"/>
  <c r="P149" i="58"/>
  <c r="U149" i="58"/>
  <c r="C149" i="58"/>
  <c r="T149" i="58"/>
  <c r="V149" i="58"/>
  <c r="K149" i="58"/>
  <c r="AC149" i="58" s="1"/>
  <c r="G113" i="47"/>
  <c r="O148" i="46"/>
  <c r="H116" i="47"/>
  <c r="O150" i="58" s="1"/>
  <c r="O149" i="46"/>
  <c r="G114" i="47"/>
  <c r="C150" i="58" l="1"/>
  <c r="U150" i="58"/>
  <c r="P150" i="58"/>
  <c r="T150" i="58"/>
  <c r="K150" i="58"/>
  <c r="V150" i="58"/>
  <c r="C148" i="46"/>
  <c r="K148" i="46"/>
  <c r="T147" i="58"/>
  <c r="P147" i="58"/>
  <c r="U147" i="58"/>
  <c r="C147" i="58"/>
  <c r="K147" i="58"/>
  <c r="AC147" i="58" s="1"/>
  <c r="V147" i="58"/>
  <c r="C149" i="46"/>
  <c r="K149" i="46"/>
  <c r="C147" i="46"/>
  <c r="K147" i="46"/>
  <c r="K148" i="58"/>
  <c r="P148" i="58"/>
  <c r="C148" i="58"/>
  <c r="T148" i="58"/>
  <c r="V148" i="58"/>
  <c r="U148" i="58"/>
  <c r="P146" i="58"/>
  <c r="U146" i="58"/>
  <c r="T146" i="58"/>
  <c r="C146" i="58"/>
  <c r="K146" i="58"/>
  <c r="V146" i="58"/>
  <c r="C146" i="46"/>
  <c r="K146" i="46"/>
  <c r="O150" i="46"/>
  <c r="AF38" i="48"/>
  <c r="AR149" i="58"/>
  <c r="BA149" i="58" s="1"/>
  <c r="AM149" i="58"/>
  <c r="AR148" i="58"/>
  <c r="BA148" i="58" s="1"/>
  <c r="AM148" i="58"/>
  <c r="AR147" i="58"/>
  <c r="BA147" i="58" s="1"/>
  <c r="AM147" i="58"/>
  <c r="AR146" i="58"/>
  <c r="BA146" i="58" s="1"/>
  <c r="AM146" i="58"/>
  <c r="AM149" i="46"/>
  <c r="AR149" i="46"/>
  <c r="BA149" i="46"/>
  <c r="W150" i="46"/>
  <c r="W149" i="46"/>
  <c r="W148" i="46"/>
  <c r="W147" i="46"/>
  <c r="W146" i="46"/>
  <c r="V20" i="4"/>
  <c r="W20" i="4" s="1"/>
  <c r="U20" i="4"/>
  <c r="V19" i="4"/>
  <c r="W19" i="4" s="1"/>
  <c r="U19" i="4"/>
  <c r="X19" i="4" s="1"/>
  <c r="V18" i="4"/>
  <c r="W18" i="4" s="1"/>
  <c r="U18" i="4"/>
  <c r="X18" i="4" s="1"/>
  <c r="Q20" i="4"/>
  <c r="P18" i="4"/>
  <c r="O20" i="4"/>
  <c r="R20" i="4" s="1"/>
  <c r="AD149" i="58" l="1"/>
  <c r="AC150" i="58"/>
  <c r="AC148" i="58"/>
  <c r="AC146" i="58"/>
  <c r="X146" i="58"/>
  <c r="AA146" i="58"/>
  <c r="AB146" i="58" s="1"/>
  <c r="AD146" i="58"/>
  <c r="K150" i="46"/>
  <c r="C150" i="46"/>
  <c r="V21" i="4"/>
  <c r="AD149" i="46"/>
  <c r="AD147" i="58"/>
  <c r="AD148" i="58"/>
  <c r="W21" i="4"/>
  <c r="W22" i="4" s="1"/>
  <c r="X20" i="4"/>
  <c r="X21" i="4" s="1"/>
  <c r="X22" i="4" l="1"/>
  <c r="AH38" i="48" l="1"/>
  <c r="U149" i="46"/>
  <c r="V149" i="46"/>
  <c r="P147" i="46"/>
  <c r="AR148" i="46"/>
  <c r="BA148" i="46" s="1"/>
  <c r="AM148" i="46"/>
  <c r="AR147" i="46"/>
  <c r="BA147" i="46" s="1"/>
  <c r="AM147" i="46"/>
  <c r="AR146" i="46"/>
  <c r="BA146" i="46" s="1"/>
  <c r="AM146" i="46"/>
  <c r="U146" i="46"/>
  <c r="V146" i="46"/>
  <c r="L41" i="4"/>
  <c r="I116" i="47" s="1"/>
  <c r="L37" i="4"/>
  <c r="I111" i="47" s="1"/>
  <c r="I38" i="4"/>
  <c r="L39" i="4" s="1"/>
  <c r="I113" i="47" s="1"/>
  <c r="Q27" i="4"/>
  <c r="O27" i="4"/>
  <c r="R27" i="4" s="1"/>
  <c r="Q26" i="4"/>
  <c r="O26" i="4"/>
  <c r="R26" i="4" s="1"/>
  <c r="P28" i="4"/>
  <c r="O25" i="4"/>
  <c r="R25" i="4" s="1"/>
  <c r="P19" i="4"/>
  <c r="Q19" i="4" s="1"/>
  <c r="P17" i="4"/>
  <c r="P21" i="4" s="1"/>
  <c r="O18" i="4"/>
  <c r="O17" i="4"/>
  <c r="O19" i="4"/>
  <c r="Q9" i="4"/>
  <c r="R8" i="4"/>
  <c r="Q8" i="4"/>
  <c r="P10" i="4"/>
  <c r="O9" i="4"/>
  <c r="R9" i="4" s="1"/>
  <c r="O8" i="4"/>
  <c r="N6" i="4"/>
  <c r="R17" i="4" l="1"/>
  <c r="AD146" i="46"/>
  <c r="Q17" i="4"/>
  <c r="R19" i="4"/>
  <c r="AD148" i="46"/>
  <c r="V148" i="46"/>
  <c r="X146" i="46"/>
  <c r="V150" i="46"/>
  <c r="P150" i="46"/>
  <c r="T150" i="46"/>
  <c r="AC150" i="46" s="1"/>
  <c r="U150" i="46"/>
  <c r="U147" i="46"/>
  <c r="P148" i="46"/>
  <c r="T148" i="46"/>
  <c r="T147" i="46"/>
  <c r="AC147" i="46" s="1"/>
  <c r="P149" i="46"/>
  <c r="U148" i="46"/>
  <c r="T149" i="46"/>
  <c r="V147" i="46"/>
  <c r="AD147" i="46"/>
  <c r="P146" i="46"/>
  <c r="T146" i="46"/>
  <c r="R28" i="4"/>
  <c r="R29" i="4" s="1"/>
  <c r="Q25" i="4"/>
  <c r="Q28" i="4" s="1"/>
  <c r="Q29" i="4" s="1"/>
  <c r="R18" i="4"/>
  <c r="Q18" i="4"/>
  <c r="Q10" i="4"/>
  <c r="Q11" i="4" s="1"/>
  <c r="R10" i="4"/>
  <c r="R11" i="4" s="1"/>
  <c r="AQ38" i="2"/>
  <c r="S38" i="2"/>
  <c r="F108" i="47"/>
  <c r="C7" i="37"/>
  <c r="E109" i="47"/>
  <c r="E108" i="47"/>
  <c r="K7" i="37"/>
  <c r="R21" i="4" l="1"/>
  <c r="AA146" i="46"/>
  <c r="N38" i="48"/>
  <c r="AC148" i="46"/>
  <c r="Q21" i="4"/>
  <c r="Q22" i="4" s="1"/>
  <c r="AC149" i="46"/>
  <c r="L38" i="48"/>
  <c r="R22" i="4"/>
  <c r="AC146" i="46"/>
  <c r="G108" i="47"/>
  <c r="H108" i="47"/>
  <c r="G109" i="47"/>
  <c r="AB146" i="46" l="1"/>
  <c r="O142" i="46"/>
  <c r="O142" i="58"/>
  <c r="AF37" i="48" l="1"/>
  <c r="AR144" i="58"/>
  <c r="BA144" i="58" s="1"/>
  <c r="AM144" i="58"/>
  <c r="AD144" i="58" s="1"/>
  <c r="AR143" i="58"/>
  <c r="BA143" i="58" s="1"/>
  <c r="AM143" i="58"/>
  <c r="AR142" i="58"/>
  <c r="BA142" i="58" s="1"/>
  <c r="AM142" i="58"/>
  <c r="V142" i="58"/>
  <c r="U142" i="58"/>
  <c r="N142" i="58"/>
  <c r="J142" i="58"/>
  <c r="U142" i="46"/>
  <c r="N142" i="46"/>
  <c r="V142" i="46" s="1"/>
  <c r="K142" i="46"/>
  <c r="L37" i="48" s="1"/>
  <c r="J142" i="46"/>
  <c r="AR144" i="46"/>
  <c r="BA144" i="46" s="1"/>
  <c r="AM144" i="46"/>
  <c r="AR143" i="46"/>
  <c r="BA143" i="46" s="1"/>
  <c r="AM143" i="46"/>
  <c r="AR142" i="46"/>
  <c r="BA142" i="46" s="1"/>
  <c r="AM142" i="46"/>
  <c r="C142" i="46"/>
  <c r="N37" i="48" s="1"/>
  <c r="I38" i="37"/>
  <c r="I108" i="47" s="1"/>
  <c r="G40" i="37"/>
  <c r="G39" i="37"/>
  <c r="G38" i="37"/>
  <c r="O8" i="37"/>
  <c r="N6" i="37"/>
  <c r="AD144" i="46" l="1"/>
  <c r="AD142" i="58"/>
  <c r="AD143" i="58"/>
  <c r="AD143" i="46"/>
  <c r="C142" i="58"/>
  <c r="K142" i="58"/>
  <c r="AH37" i="48" s="1"/>
  <c r="P142" i="58"/>
  <c r="T142" i="58"/>
  <c r="P142" i="46"/>
  <c r="T142" i="46"/>
  <c r="AC142" i="46" s="1"/>
  <c r="AD142" i="46"/>
  <c r="AC142" i="58" l="1"/>
  <c r="AC6" i="55"/>
  <c r="AB7" i="55"/>
  <c r="AB13" i="55"/>
  <c r="AB6" i="55"/>
  <c r="Z6" i="55"/>
  <c r="AA6" i="55"/>
  <c r="AA7" i="55"/>
  <c r="Z7" i="55"/>
  <c r="Y6" i="55"/>
  <c r="X7" i="55"/>
  <c r="X6" i="55"/>
  <c r="W7" i="55"/>
  <c r="W6" i="55"/>
  <c r="C25" i="6" l="1"/>
  <c r="E106" i="47" l="1"/>
  <c r="G106" i="47" s="1"/>
  <c r="F105" i="47"/>
  <c r="E104" i="47"/>
  <c r="E105" i="47"/>
  <c r="L37" i="6"/>
  <c r="I104" i="47"/>
  <c r="G104" i="47"/>
  <c r="H104" i="47" s="1"/>
  <c r="K20" i="6"/>
  <c r="W137" i="58" s="1"/>
  <c r="C8" i="6"/>
  <c r="K7" i="6" s="1"/>
  <c r="W138" i="58" s="1"/>
  <c r="AQ37" i="2"/>
  <c r="S37" i="2"/>
  <c r="G105" i="47" l="1"/>
  <c r="O137" i="58"/>
  <c r="O137" i="46"/>
  <c r="H105" i="47"/>
  <c r="O138" i="58" l="1"/>
  <c r="O138" i="46"/>
  <c r="AF36" i="48"/>
  <c r="AR140" i="58"/>
  <c r="BA140" i="58" s="1"/>
  <c r="AM140" i="58"/>
  <c r="AR139" i="58"/>
  <c r="BA139" i="58" s="1"/>
  <c r="AM139" i="58"/>
  <c r="AR138" i="58"/>
  <c r="BA138" i="58" s="1"/>
  <c r="AD138" i="58" s="1"/>
  <c r="AM138" i="58"/>
  <c r="T138" i="58"/>
  <c r="N138" i="58"/>
  <c r="J138" i="58"/>
  <c r="AR137" i="58"/>
  <c r="BA137" i="58" s="1"/>
  <c r="AM137" i="58"/>
  <c r="C137" i="58"/>
  <c r="N137" i="58"/>
  <c r="K137" i="58" s="1"/>
  <c r="J137" i="58"/>
  <c r="AM140" i="46"/>
  <c r="AR140" i="46"/>
  <c r="BA140" i="46"/>
  <c r="W138" i="46"/>
  <c r="W137" i="46"/>
  <c r="C138" i="46"/>
  <c r="N138" i="46"/>
  <c r="J138" i="46"/>
  <c r="F42" i="6"/>
  <c r="G40" i="6"/>
  <c r="G39" i="6"/>
  <c r="J137" i="46"/>
  <c r="N137" i="46"/>
  <c r="K137" i="46" s="1"/>
  <c r="AM137" i="46"/>
  <c r="AR137" i="46"/>
  <c r="BA137" i="46" s="1"/>
  <c r="AM138" i="46"/>
  <c r="AR138" i="46"/>
  <c r="BA138" i="46" s="1"/>
  <c r="AM139" i="46"/>
  <c r="AR139" i="46"/>
  <c r="BA139" i="46" s="1"/>
  <c r="F29" i="6"/>
  <c r="I38" i="6"/>
  <c r="L38" i="6" s="1"/>
  <c r="I105" i="47" s="1"/>
  <c r="P18" i="6"/>
  <c r="Q18" i="6" s="1"/>
  <c r="O18" i="6"/>
  <c r="P26" i="6"/>
  <c r="O26" i="6"/>
  <c r="Q17" i="6"/>
  <c r="P16" i="6"/>
  <c r="Q16" i="6" s="1"/>
  <c r="O16" i="6"/>
  <c r="O17" i="6"/>
  <c r="R17" i="6" s="1"/>
  <c r="P9" i="6"/>
  <c r="P8" i="6"/>
  <c r="Q8" i="6" s="1"/>
  <c r="O9" i="6"/>
  <c r="O8" i="6"/>
  <c r="R8" i="6" s="1"/>
  <c r="N6" i="6"/>
  <c r="G42" i="6" l="1"/>
  <c r="P10" i="6"/>
  <c r="V137" i="46"/>
  <c r="AD137" i="58"/>
  <c r="AD140" i="46"/>
  <c r="AD137" i="46"/>
  <c r="AD139" i="58"/>
  <c r="R18" i="6"/>
  <c r="Q19" i="6"/>
  <c r="AD139" i="46"/>
  <c r="AD138" i="46"/>
  <c r="P19" i="6"/>
  <c r="AD140" i="58"/>
  <c r="R16" i="6"/>
  <c r="C138" i="58"/>
  <c r="K138" i="58"/>
  <c r="AC138" i="58" s="1"/>
  <c r="K138" i="46"/>
  <c r="U138" i="58"/>
  <c r="V138" i="46"/>
  <c r="V138" i="58"/>
  <c r="U137" i="46"/>
  <c r="T137" i="46"/>
  <c r="AC137" i="46" s="1"/>
  <c r="P137" i="46"/>
  <c r="C137" i="46"/>
  <c r="N36" i="48" s="1"/>
  <c r="V137" i="58"/>
  <c r="T137" i="58"/>
  <c r="AC137" i="58" s="1"/>
  <c r="U137" i="58"/>
  <c r="P137" i="58"/>
  <c r="P138" i="58"/>
  <c r="P138" i="46"/>
  <c r="T138" i="46"/>
  <c r="U138" i="46"/>
  <c r="Q9" i="6"/>
  <c r="Q10" i="6" s="1"/>
  <c r="Q11" i="6" s="1"/>
  <c r="R9" i="6"/>
  <c r="R10" i="6"/>
  <c r="R11" i="6" s="1"/>
  <c r="V7" i="55"/>
  <c r="V6" i="55"/>
  <c r="U6" i="55"/>
  <c r="T6" i="55"/>
  <c r="S7" i="55"/>
  <c r="S6" i="55"/>
  <c r="R7" i="55"/>
  <c r="R6" i="55"/>
  <c r="Q6" i="55"/>
  <c r="Q7" i="55"/>
  <c r="P6" i="55"/>
  <c r="X137" i="58" l="1"/>
  <c r="R19" i="6"/>
  <c r="R20" i="6" s="1"/>
  <c r="AC138" i="46"/>
  <c r="Q20" i="6"/>
  <c r="X137" i="46"/>
  <c r="AH36" i="48"/>
  <c r="L36" i="48"/>
  <c r="F102" i="47"/>
  <c r="E102" i="47"/>
  <c r="H102" i="47" l="1"/>
  <c r="O133" i="46" s="1"/>
  <c r="O133" i="58"/>
  <c r="G102" i="47"/>
  <c r="AQ36" i="2" l="1"/>
  <c r="S36" i="2"/>
  <c r="AF35" i="48" l="1"/>
  <c r="AR135" i="58" l="1"/>
  <c r="BA135" i="58" s="1"/>
  <c r="AM135" i="58"/>
  <c r="AR134" i="58"/>
  <c r="BA134" i="58" s="1"/>
  <c r="AM134" i="58"/>
  <c r="AR133" i="58"/>
  <c r="BA133" i="58" s="1"/>
  <c r="AM133" i="58"/>
  <c r="C133" i="58"/>
  <c r="N133" i="58"/>
  <c r="K133" i="58" s="1"/>
  <c r="AH35" i="48" s="1"/>
  <c r="J133" i="58"/>
  <c r="U133" i="46"/>
  <c r="T133" i="46"/>
  <c r="P133" i="46"/>
  <c r="N133" i="46"/>
  <c r="V133" i="46" s="1"/>
  <c r="K133" i="46"/>
  <c r="L35" i="48" s="1"/>
  <c r="J133" i="46"/>
  <c r="C133" i="46"/>
  <c r="AR135" i="46"/>
  <c r="BA135" i="46" s="1"/>
  <c r="AM135" i="46"/>
  <c r="AR134" i="46"/>
  <c r="BA134" i="46" s="1"/>
  <c r="AM134" i="46"/>
  <c r="AR133" i="46"/>
  <c r="BA133" i="46" s="1"/>
  <c r="AM133" i="46"/>
  <c r="I38" i="7"/>
  <c r="I102" i="47" s="1"/>
  <c r="F42" i="7"/>
  <c r="G40" i="7"/>
  <c r="G39" i="7"/>
  <c r="G38" i="7"/>
  <c r="O8" i="7"/>
  <c r="N6" i="7"/>
  <c r="G42" i="7" l="1"/>
  <c r="I37" i="7" s="1"/>
  <c r="AD135" i="58"/>
  <c r="AD133" i="58"/>
  <c r="AD134" i="58"/>
  <c r="N35" i="48"/>
  <c r="P133" i="58"/>
  <c r="T133" i="58"/>
  <c r="AC133" i="58" s="1"/>
  <c r="U133" i="58"/>
  <c r="V133" i="58"/>
  <c r="AD133" i="46"/>
  <c r="AD134" i="46"/>
  <c r="AC133" i="46"/>
  <c r="AD135" i="46"/>
  <c r="K20" i="8"/>
  <c r="W129" i="58" s="1"/>
  <c r="C16" i="8"/>
  <c r="C26" i="28"/>
  <c r="Z129" i="46" l="1"/>
  <c r="Z128" i="46"/>
  <c r="Z124" i="46"/>
  <c r="Z123" i="46"/>
  <c r="Q129" i="58"/>
  <c r="M129" i="58"/>
  <c r="N129" i="58" s="1"/>
  <c r="J129" i="58"/>
  <c r="Q128" i="58"/>
  <c r="M128" i="58"/>
  <c r="J128" i="58"/>
  <c r="N125" i="58"/>
  <c r="J125" i="58"/>
  <c r="N124" i="58"/>
  <c r="J124" i="58"/>
  <c r="N123" i="58"/>
  <c r="J123" i="58"/>
  <c r="K7" i="8"/>
  <c r="K19" i="8"/>
  <c r="W131" i="58" s="1"/>
  <c r="C7" i="8"/>
  <c r="K16" i="8" s="1"/>
  <c r="W128" i="58" s="1"/>
  <c r="I96" i="47"/>
  <c r="E97" i="47"/>
  <c r="G97" i="47" s="1"/>
  <c r="E98" i="47"/>
  <c r="G98" i="47" s="1"/>
  <c r="E99" i="47"/>
  <c r="F99" i="47"/>
  <c r="E100" i="47"/>
  <c r="G100" i="47" s="1"/>
  <c r="H100" i="47"/>
  <c r="F96" i="47"/>
  <c r="E96" i="47"/>
  <c r="I90" i="47"/>
  <c r="E94" i="47"/>
  <c r="F93" i="47"/>
  <c r="E93" i="47"/>
  <c r="E92" i="47"/>
  <c r="G92" i="47" s="1"/>
  <c r="F91" i="47"/>
  <c r="E91" i="47"/>
  <c r="H91" i="47" s="1"/>
  <c r="E90" i="47"/>
  <c r="K16" i="9"/>
  <c r="W123" i="58" s="1"/>
  <c r="C26" i="9"/>
  <c r="K19" i="9" s="1"/>
  <c r="W125" i="58" s="1"/>
  <c r="C16" i="9"/>
  <c r="C8" i="9"/>
  <c r="W130" i="46" l="1"/>
  <c r="W130" i="58"/>
  <c r="K7" i="9"/>
  <c r="W124" i="58" s="1"/>
  <c r="W131" i="46"/>
  <c r="G91" i="47"/>
  <c r="H93" i="47"/>
  <c r="O125" i="58" s="1"/>
  <c r="V125" i="58" s="1"/>
  <c r="G96" i="47"/>
  <c r="H96" i="47" s="1"/>
  <c r="O128" i="46" s="1"/>
  <c r="W123" i="46"/>
  <c r="O124" i="46"/>
  <c r="O124" i="58"/>
  <c r="K124" i="58" s="1"/>
  <c r="W125" i="46"/>
  <c r="W124" i="46"/>
  <c r="O128" i="58"/>
  <c r="P128" i="58" s="1"/>
  <c r="G99" i="47"/>
  <c r="G93" i="47"/>
  <c r="N128" i="58"/>
  <c r="H98" i="47"/>
  <c r="H97" i="47"/>
  <c r="G94" i="47"/>
  <c r="G90" i="47"/>
  <c r="H90" i="47" s="1"/>
  <c r="O125" i="46" l="1"/>
  <c r="T128" i="58"/>
  <c r="C128" i="58"/>
  <c r="U128" i="58"/>
  <c r="V124" i="58"/>
  <c r="K125" i="58"/>
  <c r="C125" i="58"/>
  <c r="U125" i="58"/>
  <c r="T125" i="58"/>
  <c r="P125" i="58"/>
  <c r="P124" i="58"/>
  <c r="C124" i="58"/>
  <c r="U124" i="58"/>
  <c r="T124" i="58"/>
  <c r="O129" i="58"/>
  <c r="O129" i="46"/>
  <c r="O123" i="46"/>
  <c r="O123" i="58"/>
  <c r="V128" i="58"/>
  <c r="K128" i="58"/>
  <c r="U123" i="58" l="1"/>
  <c r="AA123" i="58" s="1"/>
  <c r="T123" i="58"/>
  <c r="K123" i="58"/>
  <c r="X123" i="58" s="1"/>
  <c r="C123" i="58"/>
  <c r="V123" i="58"/>
  <c r="P123" i="58"/>
  <c r="U129" i="58"/>
  <c r="AA128" i="58" s="1"/>
  <c r="V129" i="58"/>
  <c r="C129" i="58"/>
  <c r="T129" i="58"/>
  <c r="P129" i="58"/>
  <c r="K129" i="58"/>
  <c r="X128" i="58" s="1"/>
  <c r="AQ35" i="2"/>
  <c r="AQ34" i="2"/>
  <c r="S35" i="2"/>
  <c r="S34" i="2"/>
  <c r="AF34" i="48" l="1"/>
  <c r="AF33" i="48"/>
  <c r="AR131" i="58"/>
  <c r="BA131" i="58" s="1"/>
  <c r="AM131" i="58"/>
  <c r="AR130" i="58"/>
  <c r="BA130" i="58" s="1"/>
  <c r="AM130" i="58"/>
  <c r="AD130" i="58" s="1"/>
  <c r="AR129" i="58"/>
  <c r="BA129" i="58" s="1"/>
  <c r="AM129" i="58"/>
  <c r="AR128" i="58"/>
  <c r="BA128" i="58" s="1"/>
  <c r="AM128" i="58"/>
  <c r="AR126" i="58"/>
  <c r="BA126" i="58" s="1"/>
  <c r="AM126" i="58"/>
  <c r="AR125" i="58"/>
  <c r="BA125" i="58" s="1"/>
  <c r="AM125" i="58"/>
  <c r="AR124" i="58"/>
  <c r="BA124" i="58" s="1"/>
  <c r="AM124" i="58"/>
  <c r="AR123" i="58"/>
  <c r="BA123" i="58" s="1"/>
  <c r="AM123" i="58"/>
  <c r="AM131" i="46"/>
  <c r="AR131" i="46"/>
  <c r="BA131" i="46" s="1"/>
  <c r="W129" i="46"/>
  <c r="W128" i="46"/>
  <c r="Q128" i="46"/>
  <c r="Q129" i="46"/>
  <c r="M129" i="46"/>
  <c r="M128" i="46"/>
  <c r="AR130" i="46"/>
  <c r="BA130" i="46" s="1"/>
  <c r="AM130" i="46"/>
  <c r="AR129" i="46"/>
  <c r="BA129" i="46" s="1"/>
  <c r="AM129" i="46"/>
  <c r="N129" i="46"/>
  <c r="J129" i="46"/>
  <c r="AR128" i="46"/>
  <c r="BA128" i="46" s="1"/>
  <c r="AM128" i="46"/>
  <c r="N128" i="46"/>
  <c r="J128" i="46"/>
  <c r="J19" i="8"/>
  <c r="I38" i="8"/>
  <c r="L38" i="8" s="1"/>
  <c r="I97" i="47" s="1"/>
  <c r="F42" i="8"/>
  <c r="G42" i="8"/>
  <c r="I37" i="8" s="1"/>
  <c r="Q10" i="8"/>
  <c r="P9" i="8"/>
  <c r="Q9" i="8" s="1"/>
  <c r="O10" i="8"/>
  <c r="R10" i="8" s="1"/>
  <c r="O9" i="8"/>
  <c r="R9" i="8" s="1"/>
  <c r="N6" i="8"/>
  <c r="AM126" i="46"/>
  <c r="AR126" i="46"/>
  <c r="BA126" i="46" s="1"/>
  <c r="P125" i="46"/>
  <c r="N125" i="46"/>
  <c r="J125" i="46"/>
  <c r="P124" i="46"/>
  <c r="N124" i="46"/>
  <c r="J124" i="46"/>
  <c r="AR125" i="46"/>
  <c r="BA125" i="46" s="1"/>
  <c r="AM125" i="46"/>
  <c r="AR124" i="46"/>
  <c r="BA124" i="46" s="1"/>
  <c r="AM124" i="46"/>
  <c r="AR123" i="46"/>
  <c r="BA123" i="46" s="1"/>
  <c r="AM123" i="46"/>
  <c r="P123" i="46"/>
  <c r="N123" i="46"/>
  <c r="V123" i="46" s="1"/>
  <c r="J123" i="46"/>
  <c r="V27" i="9"/>
  <c r="W26" i="9"/>
  <c r="X25" i="9"/>
  <c r="W25" i="9"/>
  <c r="V20" i="9"/>
  <c r="X19" i="9"/>
  <c r="W19" i="9"/>
  <c r="X18" i="9"/>
  <c r="X20" i="9" s="1"/>
  <c r="X21" i="9" s="1"/>
  <c r="W18" i="9"/>
  <c r="W13" i="9"/>
  <c r="X13" i="9"/>
  <c r="V14" i="9"/>
  <c r="X12" i="9"/>
  <c r="W12" i="9"/>
  <c r="X11" i="9"/>
  <c r="W11" i="9"/>
  <c r="L38" i="9"/>
  <c r="I91" i="47" s="1"/>
  <c r="I38" i="9"/>
  <c r="U26" i="9"/>
  <c r="X26" i="9" s="1"/>
  <c r="O25" i="9"/>
  <c r="Q27" i="9"/>
  <c r="P25" i="9"/>
  <c r="P28" i="9" s="1"/>
  <c r="O27" i="9"/>
  <c r="R27" i="9" s="1"/>
  <c r="O26" i="9"/>
  <c r="R26" i="9" s="1"/>
  <c r="Q26" i="9"/>
  <c r="P17" i="9"/>
  <c r="Q17" i="9" s="1"/>
  <c r="P16" i="9"/>
  <c r="O17" i="9"/>
  <c r="O16" i="9"/>
  <c r="P9" i="9"/>
  <c r="Q9" i="9" s="1"/>
  <c r="P8" i="9"/>
  <c r="Q8" i="9" s="1"/>
  <c r="O8" i="9"/>
  <c r="O9" i="9"/>
  <c r="N6" i="9"/>
  <c r="Q11" i="8" l="1"/>
  <c r="AD128" i="58"/>
  <c r="K129" i="46"/>
  <c r="AD124" i="58"/>
  <c r="AD130" i="46"/>
  <c r="AD131" i="58"/>
  <c r="R11" i="8"/>
  <c r="L39" i="9"/>
  <c r="I93" i="47" s="1"/>
  <c r="W20" i="9"/>
  <c r="U129" i="46"/>
  <c r="AD123" i="58"/>
  <c r="AD124" i="46"/>
  <c r="AD129" i="58"/>
  <c r="P10" i="9"/>
  <c r="P11" i="8"/>
  <c r="Q12" i="8" s="1"/>
  <c r="AD125" i="58"/>
  <c r="R8" i="9"/>
  <c r="R9" i="9"/>
  <c r="X14" i="9"/>
  <c r="X15" i="9" s="1"/>
  <c r="W27" i="9"/>
  <c r="W28" i="9" s="1"/>
  <c r="AD123" i="46"/>
  <c r="AD126" i="46"/>
  <c r="W14" i="9"/>
  <c r="W15" i="9" s="1"/>
  <c r="X27" i="9"/>
  <c r="X28" i="9" s="1"/>
  <c r="P129" i="46"/>
  <c r="V129" i="46"/>
  <c r="T129" i="46"/>
  <c r="AC129" i="46" s="1"/>
  <c r="C129" i="46"/>
  <c r="C128" i="46"/>
  <c r="K128" i="46"/>
  <c r="L34" i="48" s="1"/>
  <c r="K125" i="46"/>
  <c r="U124" i="46"/>
  <c r="C124" i="46"/>
  <c r="V124" i="46"/>
  <c r="AD126" i="58"/>
  <c r="AC124" i="58"/>
  <c r="AC123" i="58"/>
  <c r="AD131" i="46"/>
  <c r="AD129" i="46"/>
  <c r="U128" i="46"/>
  <c r="V128" i="46"/>
  <c r="AD128" i="46"/>
  <c r="P128" i="46"/>
  <c r="T128" i="46"/>
  <c r="U125" i="46"/>
  <c r="T124" i="46"/>
  <c r="K124" i="46"/>
  <c r="T125" i="46"/>
  <c r="C125" i="46"/>
  <c r="V125" i="46"/>
  <c r="AD125" i="46"/>
  <c r="T123" i="46"/>
  <c r="U123" i="46"/>
  <c r="C123" i="46"/>
  <c r="K123" i="46"/>
  <c r="W21" i="9"/>
  <c r="Q25" i="9"/>
  <c r="Q28" i="9" s="1"/>
  <c r="Q29" i="9" s="1"/>
  <c r="R25" i="9"/>
  <c r="R28" i="9" s="1"/>
  <c r="R29" i="9" s="1"/>
  <c r="R17" i="9"/>
  <c r="P18" i="9"/>
  <c r="Q16" i="9"/>
  <c r="Q18" i="9" s="1"/>
  <c r="R16" i="9"/>
  <c r="Q10" i="9"/>
  <c r="F23" i="9"/>
  <c r="F14" i="9"/>
  <c r="AA128" i="46" l="1"/>
  <c r="AC124" i="46"/>
  <c r="R12" i="8"/>
  <c r="Q11" i="9"/>
  <c r="R10" i="9"/>
  <c r="R11" i="9" s="1"/>
  <c r="N34" i="48"/>
  <c r="AC125" i="46"/>
  <c r="X128" i="46"/>
  <c r="AC128" i="46"/>
  <c r="AC128" i="58"/>
  <c r="N33" i="48"/>
  <c r="AC125" i="58"/>
  <c r="AH33" i="48"/>
  <c r="AC123" i="46"/>
  <c r="L33" i="48"/>
  <c r="AC129" i="58"/>
  <c r="AB128" i="46"/>
  <c r="AA123" i="46"/>
  <c r="X123" i="46"/>
  <c r="R18" i="9"/>
  <c r="R19" i="9" s="1"/>
  <c r="Q19" i="9"/>
  <c r="AQ33" i="2"/>
  <c r="S33" i="2"/>
  <c r="AB123" i="46" l="1"/>
  <c r="AB123" i="58"/>
  <c r="AH34" i="48"/>
  <c r="AB128" i="58"/>
  <c r="Q117" i="58"/>
  <c r="R117" i="58"/>
  <c r="AU120" i="58"/>
  <c r="F88" i="47"/>
  <c r="E88" i="47"/>
  <c r="E87" i="47"/>
  <c r="N117" i="58"/>
  <c r="J117" i="58"/>
  <c r="R117" i="46"/>
  <c r="J117" i="46"/>
  <c r="Z118" i="46"/>
  <c r="Z117" i="46"/>
  <c r="K16" i="10"/>
  <c r="C17" i="10"/>
  <c r="K9" i="10" s="1"/>
  <c r="W118" i="46" l="1"/>
  <c r="W118" i="58"/>
  <c r="W117" i="46"/>
  <c r="W117" i="58"/>
  <c r="G88" i="47"/>
  <c r="H88" i="47" s="1"/>
  <c r="G87" i="47"/>
  <c r="H87" i="47" s="1"/>
  <c r="O117" i="58" l="1"/>
  <c r="O117" i="46"/>
  <c r="U117" i="58" l="1"/>
  <c r="AA117" i="58" s="1"/>
  <c r="V117" i="58"/>
  <c r="T117" i="58"/>
  <c r="C117" i="58"/>
  <c r="K117" i="58"/>
  <c r="X117" i="58" s="1"/>
  <c r="P117" i="58"/>
  <c r="AF32" i="48"/>
  <c r="AC117" i="58" l="1"/>
  <c r="AB117" i="58" s="1"/>
  <c r="AH32" i="48"/>
  <c r="AR121" i="58"/>
  <c r="BA121" i="58" s="1"/>
  <c r="AM121" i="58"/>
  <c r="AR120" i="58"/>
  <c r="BA120" i="58" s="1"/>
  <c r="AM120" i="58"/>
  <c r="AR119" i="58"/>
  <c r="BA119" i="58" s="1"/>
  <c r="AM119" i="58"/>
  <c r="AR118" i="58"/>
  <c r="BA118" i="58" s="1"/>
  <c r="AM118" i="58"/>
  <c r="AR117" i="58"/>
  <c r="BA117" i="58" s="1"/>
  <c r="AM117" i="58"/>
  <c r="AM120" i="46"/>
  <c r="AR120" i="46"/>
  <c r="BA120" i="46"/>
  <c r="AD120" i="46" s="1"/>
  <c r="AM121" i="46"/>
  <c r="AR121" i="46"/>
  <c r="BA121" i="46" s="1"/>
  <c r="AR119" i="46"/>
  <c r="BA119" i="46" s="1"/>
  <c r="AM119" i="46"/>
  <c r="AR118" i="46"/>
  <c r="BA118" i="46" s="1"/>
  <c r="AM118" i="46"/>
  <c r="AR117" i="46"/>
  <c r="BA117" i="46" s="1"/>
  <c r="AM117" i="46"/>
  <c r="C117" i="46"/>
  <c r="N32" i="48" s="1"/>
  <c r="N117" i="46"/>
  <c r="K117" i="46" s="1"/>
  <c r="L32" i="48" s="1"/>
  <c r="I38" i="10"/>
  <c r="I87" i="47" s="1"/>
  <c r="F42" i="10"/>
  <c r="G40" i="10"/>
  <c r="G39" i="10"/>
  <c r="G38" i="10"/>
  <c r="G42" i="10" s="1"/>
  <c r="I37" i="10" s="1"/>
  <c r="P13" i="10"/>
  <c r="P16" i="10" s="1"/>
  <c r="O13" i="10"/>
  <c r="O15" i="10"/>
  <c r="O14" i="10"/>
  <c r="N6" i="10"/>
  <c r="AD120" i="58" l="1"/>
  <c r="AD119" i="46"/>
  <c r="AD118" i="58"/>
  <c r="AD117" i="46"/>
  <c r="AD118" i="46"/>
  <c r="T117" i="46"/>
  <c r="P117" i="46"/>
  <c r="AC117" i="46"/>
  <c r="AD119" i="58"/>
  <c r="AD117" i="58"/>
  <c r="AD121" i="58"/>
  <c r="AD121" i="46"/>
  <c r="U117" i="46"/>
  <c r="V117" i="46"/>
  <c r="AQ32" i="2"/>
  <c r="AA32" i="2"/>
  <c r="E85" i="47"/>
  <c r="G85" i="47" l="1"/>
  <c r="H85" i="47" s="1"/>
  <c r="O113" i="46" l="1"/>
  <c r="O113" i="58"/>
  <c r="AF31" i="48"/>
  <c r="AR115" i="58" l="1"/>
  <c r="BA115" i="58" s="1"/>
  <c r="AM115" i="58"/>
  <c r="AR114" i="58"/>
  <c r="BA114" i="58" s="1"/>
  <c r="AM114" i="58"/>
  <c r="AD114" i="58" s="1"/>
  <c r="AR113" i="58"/>
  <c r="BA113" i="58" s="1"/>
  <c r="AM113" i="58"/>
  <c r="V113" i="58"/>
  <c r="U113" i="58"/>
  <c r="N113" i="58"/>
  <c r="G113" i="58"/>
  <c r="G113" i="46"/>
  <c r="J113" i="46" s="1"/>
  <c r="N113" i="46"/>
  <c r="V113" i="46" s="1"/>
  <c r="C113" i="46"/>
  <c r="N31" i="48" s="1"/>
  <c r="AM113" i="46"/>
  <c r="AR113" i="46"/>
  <c r="BA113" i="46" s="1"/>
  <c r="AM114" i="46"/>
  <c r="AR114" i="46"/>
  <c r="BA114" i="46" s="1"/>
  <c r="AM115" i="46"/>
  <c r="AR115" i="46"/>
  <c r="BA115" i="46"/>
  <c r="I38" i="11"/>
  <c r="I85" i="47" s="1"/>
  <c r="G40" i="11"/>
  <c r="G39" i="11"/>
  <c r="G38" i="11"/>
  <c r="O16" i="11"/>
  <c r="O8" i="11"/>
  <c r="N6" i="11"/>
  <c r="K113" i="58" l="1"/>
  <c r="AH31" i="48" s="1"/>
  <c r="AD115" i="58"/>
  <c r="AD115" i="46"/>
  <c r="AD113" i="58"/>
  <c r="J113" i="58"/>
  <c r="T113" i="58"/>
  <c r="P113" i="58"/>
  <c r="C113" i="58"/>
  <c r="AD113" i="46"/>
  <c r="AD114" i="46"/>
  <c r="T113" i="46"/>
  <c r="P113" i="46"/>
  <c r="K113" i="46"/>
  <c r="U113" i="46"/>
  <c r="AC113" i="58" l="1"/>
  <c r="AC113" i="46"/>
  <c r="L31" i="48"/>
  <c r="AQ31" i="2"/>
  <c r="AA31" i="2" l="1"/>
  <c r="E83" i="47" l="1"/>
  <c r="G83" i="47" l="1"/>
  <c r="H83" i="47" s="1"/>
  <c r="O109" i="58" l="1"/>
  <c r="O109" i="46"/>
  <c r="AF30" i="48"/>
  <c r="AR111" i="58" l="1"/>
  <c r="BA111" i="58" s="1"/>
  <c r="AM111" i="58"/>
  <c r="AR110" i="58"/>
  <c r="BA110" i="58" s="1"/>
  <c r="AM110" i="58"/>
  <c r="AR109" i="58"/>
  <c r="BA109" i="58" s="1"/>
  <c r="AM109" i="58"/>
  <c r="AD109" i="58" s="1"/>
  <c r="P109" i="58"/>
  <c r="N109" i="58"/>
  <c r="G109" i="58"/>
  <c r="T109" i="46"/>
  <c r="G40" i="12"/>
  <c r="G39" i="12"/>
  <c r="G38" i="12"/>
  <c r="O10" i="12"/>
  <c r="O9" i="12"/>
  <c r="O8" i="12"/>
  <c r="U109" i="46"/>
  <c r="P109" i="46"/>
  <c r="N109" i="46"/>
  <c r="G109" i="46"/>
  <c r="J109" i="46" s="1"/>
  <c r="C109" i="46"/>
  <c r="N30" i="48" s="1"/>
  <c r="AR111" i="46"/>
  <c r="BA111" i="46" s="1"/>
  <c r="AM111" i="46"/>
  <c r="AR110" i="46"/>
  <c r="BA110" i="46" s="1"/>
  <c r="AM110" i="46"/>
  <c r="AR109" i="46"/>
  <c r="BA109" i="46" s="1"/>
  <c r="AM109" i="46"/>
  <c r="I38" i="12"/>
  <c r="I83" i="47" s="1"/>
  <c r="N6" i="12"/>
  <c r="AD110" i="46" l="1"/>
  <c r="AD109" i="46"/>
  <c r="K109" i="58"/>
  <c r="AH30" i="48" s="1"/>
  <c r="AD110" i="58"/>
  <c r="AD111" i="58"/>
  <c r="T109" i="58"/>
  <c r="C109" i="58"/>
  <c r="U109" i="58"/>
  <c r="V109" i="58"/>
  <c r="J109" i="58"/>
  <c r="AD111" i="46"/>
  <c r="K109" i="46"/>
  <c r="V109" i="46"/>
  <c r="G105" i="58"/>
  <c r="G105" i="46"/>
  <c r="AC109" i="58" l="1"/>
  <c r="AC109" i="46"/>
  <c r="L30" i="48"/>
  <c r="AQ30" i="2"/>
  <c r="AA30" i="2"/>
  <c r="Q105" i="58" l="1"/>
  <c r="R105" i="58"/>
  <c r="R163" i="58" s="1"/>
  <c r="M105" i="58"/>
  <c r="N105" i="58" s="1"/>
  <c r="J105" i="58"/>
  <c r="M104" i="58"/>
  <c r="N104" i="58" s="1"/>
  <c r="J104" i="58"/>
  <c r="E81" i="47"/>
  <c r="G81" i="47" s="1"/>
  <c r="H81" i="47" s="1"/>
  <c r="O105" i="46" s="1"/>
  <c r="E80" i="47"/>
  <c r="H79" i="47" s="1"/>
  <c r="O104" i="46" s="1"/>
  <c r="E79" i="47"/>
  <c r="F81" i="47"/>
  <c r="G79" i="47"/>
  <c r="C8" i="13"/>
  <c r="K9" i="13" s="1"/>
  <c r="W105" i="58" s="1"/>
  <c r="C7" i="13"/>
  <c r="K16" i="13" s="1"/>
  <c r="W104" i="58" s="1"/>
  <c r="G80" i="47" l="1"/>
  <c r="O104" i="58"/>
  <c r="V104" i="58" s="1"/>
  <c r="O105" i="58"/>
  <c r="V105" i="58" s="1"/>
  <c r="K104" i="58" l="1"/>
  <c r="P105" i="58"/>
  <c r="U105" i="58"/>
  <c r="T105" i="58"/>
  <c r="C105" i="58"/>
  <c r="P104" i="58"/>
  <c r="U104" i="58"/>
  <c r="C104" i="58"/>
  <c r="T104" i="58"/>
  <c r="K105" i="58"/>
  <c r="AF29" i="48"/>
  <c r="X104" i="58" l="1"/>
  <c r="AU107" i="58"/>
  <c r="AU163" i="58" s="1"/>
  <c r="AR107" i="58"/>
  <c r="BA107" i="58" s="1"/>
  <c r="AM107" i="58"/>
  <c r="AR106" i="58"/>
  <c r="BA106" i="58" s="1"/>
  <c r="AM106" i="58"/>
  <c r="AR105" i="58"/>
  <c r="BA105" i="58" s="1"/>
  <c r="AM105" i="58"/>
  <c r="AR104" i="58"/>
  <c r="BA104" i="58" s="1"/>
  <c r="AM104" i="58"/>
  <c r="AR102" i="58"/>
  <c r="BA102" i="58" s="1"/>
  <c r="AD102" i="58" s="1"/>
  <c r="AM102" i="58"/>
  <c r="AR101" i="58"/>
  <c r="BA101" i="58" s="1"/>
  <c r="AM101" i="58"/>
  <c r="AR100" i="58"/>
  <c r="BA100" i="58" s="1"/>
  <c r="AM100" i="58"/>
  <c r="N100" i="58"/>
  <c r="J100" i="58"/>
  <c r="AR98" i="58"/>
  <c r="BA98" i="58" s="1"/>
  <c r="AM98" i="58"/>
  <c r="AR97" i="58"/>
  <c r="BA97" i="58" s="1"/>
  <c r="AD97" i="58" s="1"/>
  <c r="AM97" i="58"/>
  <c r="AR96" i="58"/>
  <c r="BA96" i="58" s="1"/>
  <c r="AM96" i="58"/>
  <c r="N96" i="58"/>
  <c r="J96" i="58"/>
  <c r="AR94" i="58"/>
  <c r="BA94" i="58" s="1"/>
  <c r="AM94" i="58"/>
  <c r="AR93" i="58"/>
  <c r="BA93" i="58" s="1"/>
  <c r="AM93" i="58"/>
  <c r="AR92" i="58"/>
  <c r="BA92" i="58" s="1"/>
  <c r="AM92" i="58"/>
  <c r="M92" i="58"/>
  <c r="J92" i="58"/>
  <c r="AR91" i="58"/>
  <c r="BA91" i="58" s="1"/>
  <c r="AM91" i="58"/>
  <c r="M91" i="58"/>
  <c r="N91" i="58" s="1"/>
  <c r="J91" i="58"/>
  <c r="AR89" i="58"/>
  <c r="BA89" i="58" s="1"/>
  <c r="AM89" i="58"/>
  <c r="AR88" i="58"/>
  <c r="BA88" i="58" s="1"/>
  <c r="AM88" i="58"/>
  <c r="AR87" i="58"/>
  <c r="BA87" i="58" s="1"/>
  <c r="AM87" i="58"/>
  <c r="AR86" i="58"/>
  <c r="BA86" i="58" s="1"/>
  <c r="AM86" i="58"/>
  <c r="N86" i="58"/>
  <c r="J86" i="58"/>
  <c r="AR85" i="58"/>
  <c r="BA85" i="58" s="1"/>
  <c r="AM85" i="58"/>
  <c r="N85" i="58"/>
  <c r="J85" i="58"/>
  <c r="AR83" i="58"/>
  <c r="BA83" i="58" s="1"/>
  <c r="AM83" i="58"/>
  <c r="AR82" i="58"/>
  <c r="BA82" i="58" s="1"/>
  <c r="AM82" i="58"/>
  <c r="AR81" i="58"/>
  <c r="BA81" i="58" s="1"/>
  <c r="AM81" i="58"/>
  <c r="AR80" i="58"/>
  <c r="BA80" i="58" s="1"/>
  <c r="AM80" i="58"/>
  <c r="AR79" i="58"/>
  <c r="BA79" i="58" s="1"/>
  <c r="AM79" i="58"/>
  <c r="N79" i="58"/>
  <c r="J79" i="58"/>
  <c r="AR78" i="58"/>
  <c r="BA78" i="58" s="1"/>
  <c r="AM78" i="58"/>
  <c r="N78" i="58"/>
  <c r="J78" i="58"/>
  <c r="AR76" i="58"/>
  <c r="BA76" i="58" s="1"/>
  <c r="AM76" i="58"/>
  <c r="AR75" i="58"/>
  <c r="BA75" i="58" s="1"/>
  <c r="AM75" i="58"/>
  <c r="AR74" i="58"/>
  <c r="BA74" i="58" s="1"/>
  <c r="AM74" i="58"/>
  <c r="N74" i="58"/>
  <c r="J74" i="58"/>
  <c r="AR72" i="58"/>
  <c r="BA72" i="58" s="1"/>
  <c r="AM72" i="58"/>
  <c r="AR71" i="58"/>
  <c r="BA71" i="58" s="1"/>
  <c r="AM71" i="58"/>
  <c r="AR70" i="58"/>
  <c r="BA70" i="58" s="1"/>
  <c r="AD70" i="58" s="1"/>
  <c r="AM70" i="58"/>
  <c r="AR69" i="58"/>
  <c r="BA69" i="58" s="1"/>
  <c r="AM69" i="58"/>
  <c r="N69" i="58"/>
  <c r="J69" i="58"/>
  <c r="AR67" i="58"/>
  <c r="BA67" i="58" s="1"/>
  <c r="AM67" i="58"/>
  <c r="AR66" i="58"/>
  <c r="BA66" i="58" s="1"/>
  <c r="AM66" i="58"/>
  <c r="AR65" i="58"/>
  <c r="BA65" i="58" s="1"/>
  <c r="AM65" i="58"/>
  <c r="N65" i="58"/>
  <c r="J65" i="58"/>
  <c r="AR63" i="58"/>
  <c r="BA63" i="58" s="1"/>
  <c r="AM63" i="58"/>
  <c r="AR62" i="58"/>
  <c r="BA62" i="58" s="1"/>
  <c r="AM62" i="58"/>
  <c r="AR61" i="58"/>
  <c r="BA61" i="58" s="1"/>
  <c r="AM61" i="58"/>
  <c r="N61" i="58"/>
  <c r="AR59" i="58"/>
  <c r="BA59" i="58" s="1"/>
  <c r="AM59" i="58"/>
  <c r="AR58" i="58"/>
  <c r="BA58" i="58" s="1"/>
  <c r="AM58" i="58"/>
  <c r="M58" i="58"/>
  <c r="J58" i="58"/>
  <c r="AR57" i="58"/>
  <c r="BA57" i="58" s="1"/>
  <c r="AM57" i="58"/>
  <c r="M57" i="58"/>
  <c r="J57" i="58"/>
  <c r="AR56" i="58"/>
  <c r="BA56" i="58" s="1"/>
  <c r="AM56" i="58"/>
  <c r="S56" i="58"/>
  <c r="S163" i="58" s="1"/>
  <c r="N56" i="58"/>
  <c r="J56" i="58"/>
  <c r="AR54" i="58"/>
  <c r="BA54" i="58" s="1"/>
  <c r="AM54" i="58"/>
  <c r="AR53" i="58"/>
  <c r="BA53" i="58" s="1"/>
  <c r="AM53" i="58"/>
  <c r="N53" i="58"/>
  <c r="J53" i="58"/>
  <c r="AR52" i="58"/>
  <c r="BA52" i="58" s="1"/>
  <c r="AM52" i="58"/>
  <c r="N52" i="58"/>
  <c r="J52" i="58"/>
  <c r="AR50" i="58"/>
  <c r="BA50" i="58" s="1"/>
  <c r="AM50" i="58"/>
  <c r="AR49" i="58"/>
  <c r="BA49" i="58" s="1"/>
  <c r="AM49" i="58"/>
  <c r="AR48" i="58"/>
  <c r="BA48" i="58" s="1"/>
  <c r="AM48" i="58"/>
  <c r="M48" i="58"/>
  <c r="N48" i="58" s="1"/>
  <c r="J48" i="58"/>
  <c r="AR47" i="58"/>
  <c r="BA47" i="58" s="1"/>
  <c r="AM47" i="58"/>
  <c r="N47" i="58"/>
  <c r="J47" i="58"/>
  <c r="AR45" i="58"/>
  <c r="BA45" i="58" s="1"/>
  <c r="AM45" i="58"/>
  <c r="AR44" i="58"/>
  <c r="BA44" i="58" s="1"/>
  <c r="AM44" i="58"/>
  <c r="AR43" i="58"/>
  <c r="BA43" i="58" s="1"/>
  <c r="AD43" i="58" s="1"/>
  <c r="AM43" i="58"/>
  <c r="N43" i="58"/>
  <c r="J43" i="58"/>
  <c r="AR41" i="58"/>
  <c r="BA41" i="58" s="1"/>
  <c r="AM41" i="58"/>
  <c r="M41" i="58"/>
  <c r="N41" i="58" s="1"/>
  <c r="J41" i="58"/>
  <c r="AR40" i="58"/>
  <c r="BA40" i="58" s="1"/>
  <c r="AM40" i="58"/>
  <c r="M40" i="58"/>
  <c r="N40" i="58" s="1"/>
  <c r="J40" i="58"/>
  <c r="AR39" i="58"/>
  <c r="BA39" i="58" s="1"/>
  <c r="AM39" i="58"/>
  <c r="Q39" i="58"/>
  <c r="M39" i="58"/>
  <c r="J39" i="58"/>
  <c r="AR38" i="58"/>
  <c r="BA38" i="58" s="1"/>
  <c r="AM38" i="58"/>
  <c r="Q38" i="58"/>
  <c r="M38" i="58"/>
  <c r="J38" i="58"/>
  <c r="AR36" i="58"/>
  <c r="BA36" i="58" s="1"/>
  <c r="AM36" i="58"/>
  <c r="M36" i="58"/>
  <c r="J36" i="58"/>
  <c r="AR35" i="58"/>
  <c r="BA35" i="58" s="1"/>
  <c r="AM35" i="58"/>
  <c r="Q35" i="58"/>
  <c r="M35" i="58"/>
  <c r="J35" i="58"/>
  <c r="AR34" i="58"/>
  <c r="BA34" i="58" s="1"/>
  <c r="AM34" i="58"/>
  <c r="M34" i="58"/>
  <c r="N34" i="58" s="1"/>
  <c r="J34" i="58"/>
  <c r="AR33" i="58"/>
  <c r="BA33" i="58" s="1"/>
  <c r="AM33" i="58"/>
  <c r="M33" i="58"/>
  <c r="J33" i="58"/>
  <c r="AR31" i="58"/>
  <c r="BA31" i="58" s="1"/>
  <c r="AM31" i="58"/>
  <c r="AR30" i="58"/>
  <c r="BA30" i="58" s="1"/>
  <c r="AM30" i="58"/>
  <c r="AR29" i="58"/>
  <c r="BA29" i="58" s="1"/>
  <c r="AM29" i="58"/>
  <c r="N29" i="58"/>
  <c r="J29" i="58"/>
  <c r="AR27" i="58"/>
  <c r="BA27" i="58" s="1"/>
  <c r="AM27" i="58"/>
  <c r="AR26" i="58"/>
  <c r="BA26" i="58" s="1"/>
  <c r="AM26" i="58"/>
  <c r="AR25" i="58"/>
  <c r="BA25" i="58" s="1"/>
  <c r="AM25" i="58"/>
  <c r="AR24" i="58"/>
  <c r="BA24" i="58" s="1"/>
  <c r="AM24" i="58"/>
  <c r="N24" i="58"/>
  <c r="J24" i="58"/>
  <c r="AR22" i="58"/>
  <c r="BA22" i="58" s="1"/>
  <c r="AM22" i="58"/>
  <c r="AR21" i="58"/>
  <c r="BA21" i="58" s="1"/>
  <c r="AM21" i="58"/>
  <c r="AR20" i="58"/>
  <c r="BA20" i="58" s="1"/>
  <c r="AM20" i="58"/>
  <c r="AR19" i="58"/>
  <c r="BA19" i="58" s="1"/>
  <c r="AM19" i="58"/>
  <c r="N19" i="58"/>
  <c r="J19" i="58"/>
  <c r="AR18" i="58"/>
  <c r="BA18" i="58" s="1"/>
  <c r="AM18" i="58"/>
  <c r="N18" i="58"/>
  <c r="J18" i="58"/>
  <c r="AR16" i="58"/>
  <c r="BA16" i="58" s="1"/>
  <c r="AM16" i="58"/>
  <c r="AR15" i="58"/>
  <c r="BA15" i="58" s="1"/>
  <c r="AM15" i="58"/>
  <c r="Q15" i="58"/>
  <c r="M15" i="58"/>
  <c r="J15" i="58"/>
  <c r="AR14" i="58"/>
  <c r="BA14" i="58" s="1"/>
  <c r="AM14" i="58"/>
  <c r="Q14" i="58"/>
  <c r="M14" i="58"/>
  <c r="J14" i="58"/>
  <c r="AR13" i="58"/>
  <c r="BA13" i="58" s="1"/>
  <c r="AM13" i="58"/>
  <c r="Q13" i="58"/>
  <c r="M13" i="58"/>
  <c r="J13" i="58"/>
  <c r="AR11" i="58"/>
  <c r="BA11" i="58" s="1"/>
  <c r="AM11" i="58"/>
  <c r="AR10" i="58"/>
  <c r="AM10" i="58"/>
  <c r="AR9" i="58"/>
  <c r="BA9" i="58" s="1"/>
  <c r="AM9" i="58"/>
  <c r="AR8" i="58"/>
  <c r="BA8" i="58" s="1"/>
  <c r="AM8" i="58"/>
  <c r="AR7" i="58"/>
  <c r="AM7" i="58"/>
  <c r="M7" i="58"/>
  <c r="J7" i="58"/>
  <c r="AR6" i="58"/>
  <c r="BA6" i="58" s="1"/>
  <c r="AM6" i="58"/>
  <c r="N6" i="58"/>
  <c r="H6" i="58" s="1"/>
  <c r="A6" i="58"/>
  <c r="AM107" i="46"/>
  <c r="AR107" i="46"/>
  <c r="BA107" i="46" s="1"/>
  <c r="W105" i="46"/>
  <c r="W104" i="46"/>
  <c r="M105" i="46"/>
  <c r="N105" i="46" s="1"/>
  <c r="M104" i="46"/>
  <c r="J105" i="46"/>
  <c r="AM163" i="58" l="1"/>
  <c r="S165" i="58" s="1"/>
  <c r="Q163" i="58"/>
  <c r="S164" i="58" s="1"/>
  <c r="AD39" i="58"/>
  <c r="BA10" i="58"/>
  <c r="BA163" i="58" s="1"/>
  <c r="R165" i="58" s="1"/>
  <c r="AR163" i="58"/>
  <c r="AD82" i="58"/>
  <c r="AD45" i="58"/>
  <c r="AD48" i="58"/>
  <c r="AD13" i="58"/>
  <c r="AD94" i="58"/>
  <c r="AD72" i="58"/>
  <c r="AD22" i="58"/>
  <c r="AD30" i="58"/>
  <c r="AD96" i="58"/>
  <c r="T105" i="46"/>
  <c r="AD29" i="58"/>
  <c r="AD47" i="58"/>
  <c r="AD87" i="58"/>
  <c r="AD78" i="58"/>
  <c r="AD80" i="58"/>
  <c r="AD59" i="58"/>
  <c r="AD6" i="58"/>
  <c r="AD8" i="58"/>
  <c r="AD16" i="58"/>
  <c r="AD54" i="58"/>
  <c r="AD98" i="58"/>
  <c r="AD79" i="58"/>
  <c r="AD61" i="58"/>
  <c r="AD35" i="58"/>
  <c r="AD49" i="58"/>
  <c r="AD88" i="58"/>
  <c r="AD101" i="58"/>
  <c r="AD58" i="58"/>
  <c r="AD67" i="58"/>
  <c r="AD74" i="58"/>
  <c r="AD106" i="58"/>
  <c r="AD50" i="58"/>
  <c r="AD63" i="58"/>
  <c r="AD33" i="58"/>
  <c r="AD86" i="58"/>
  <c r="AD92" i="58"/>
  <c r="AD15" i="58"/>
  <c r="AD38" i="58"/>
  <c r="AD65" i="58"/>
  <c r="AD19" i="58"/>
  <c r="AD27" i="58"/>
  <c r="AD34" i="58"/>
  <c r="AD85" i="58"/>
  <c r="N35" i="58"/>
  <c r="AD36" i="58"/>
  <c r="N58" i="58"/>
  <c r="AD89" i="58"/>
  <c r="AD93" i="58"/>
  <c r="AD21" i="58"/>
  <c r="BA7" i="58"/>
  <c r="AD7" i="58" s="1"/>
  <c r="N7" i="58"/>
  <c r="AD24" i="58"/>
  <c r="N13" i="58"/>
  <c r="N15" i="58"/>
  <c r="AD44" i="58"/>
  <c r="N57" i="58"/>
  <c r="AD100" i="58"/>
  <c r="AD14" i="58"/>
  <c r="AD20" i="58"/>
  <c r="AD53" i="58"/>
  <c r="N39" i="58"/>
  <c r="AD40" i="58"/>
  <c r="AD75" i="58"/>
  <c r="AD52" i="58"/>
  <c r="AD56" i="58"/>
  <c r="AD62" i="58"/>
  <c r="AD76" i="58"/>
  <c r="AD91" i="58"/>
  <c r="AD18" i="58"/>
  <c r="AD25" i="58"/>
  <c r="AD66" i="58"/>
  <c r="AD26" i="58"/>
  <c r="N14" i="58"/>
  <c r="AD41" i="58"/>
  <c r="AD57" i="58"/>
  <c r="AD71" i="58"/>
  <c r="AD83" i="58"/>
  <c r="C105" i="46"/>
  <c r="P105" i="46"/>
  <c r="V105" i="46"/>
  <c r="AD107" i="58"/>
  <c r="AD31" i="58"/>
  <c r="AD11" i="58"/>
  <c r="AD104" i="58"/>
  <c r="AD105" i="58"/>
  <c r="AD9" i="58"/>
  <c r="AD69" i="58"/>
  <c r="AD81" i="58"/>
  <c r="N36" i="58"/>
  <c r="N38" i="58"/>
  <c r="N33" i="58"/>
  <c r="N92" i="58"/>
  <c r="J6" i="58"/>
  <c r="H61" i="58"/>
  <c r="AD107" i="46"/>
  <c r="K105" i="46"/>
  <c r="AC105" i="46" s="1"/>
  <c r="U105" i="46"/>
  <c r="AR106" i="46"/>
  <c r="BA106" i="46" s="1"/>
  <c r="AM106" i="46"/>
  <c r="AR105" i="46"/>
  <c r="BA105" i="46" s="1"/>
  <c r="AM105" i="46"/>
  <c r="AR104" i="46"/>
  <c r="BA104" i="46" s="1"/>
  <c r="AM104" i="46"/>
  <c r="C104" i="46"/>
  <c r="N104" i="46"/>
  <c r="K104" i="46" s="1"/>
  <c r="J104" i="46"/>
  <c r="L37" i="13"/>
  <c r="I79" i="47" s="1"/>
  <c r="I38" i="13"/>
  <c r="F42" i="13"/>
  <c r="G40" i="13"/>
  <c r="G39" i="13"/>
  <c r="G42" i="13" s="1"/>
  <c r="I37" i="13" s="1"/>
  <c r="Q8" i="13"/>
  <c r="P9" i="13"/>
  <c r="Q9" i="13" s="1"/>
  <c r="O9" i="13"/>
  <c r="F13" i="13"/>
  <c r="O8" i="13"/>
  <c r="R8" i="13" s="1"/>
  <c r="N6" i="13"/>
  <c r="R9" i="13" l="1"/>
  <c r="R10" i="13" s="1"/>
  <c r="AD10" i="58"/>
  <c r="AD163" i="58" s="1"/>
  <c r="Q164" i="58"/>
  <c r="BB165" i="58"/>
  <c r="BF165" i="58"/>
  <c r="BC165" i="58"/>
  <c r="BD165" i="58"/>
  <c r="BE165" i="58"/>
  <c r="R164" i="58"/>
  <c r="L38" i="13"/>
  <c r="I81" i="47" s="1"/>
  <c r="Q10" i="13"/>
  <c r="T9" i="54"/>
  <c r="P10" i="13"/>
  <c r="Q11" i="13" s="1"/>
  <c r="N29" i="48"/>
  <c r="AD106" i="46"/>
  <c r="AD104" i="46"/>
  <c r="L29" i="48"/>
  <c r="AC104" i="58"/>
  <c r="AH29" i="48"/>
  <c r="AC105" i="58"/>
  <c r="J61" i="58"/>
  <c r="AD105" i="46"/>
  <c r="X104" i="46"/>
  <c r="T104" i="46"/>
  <c r="AC104" i="46" s="1"/>
  <c r="U104" i="46"/>
  <c r="P104" i="46"/>
  <c r="V104" i="46"/>
  <c r="AQ29" i="2"/>
  <c r="S29" i="2"/>
  <c r="R11" i="13" l="1"/>
  <c r="E77" i="47"/>
  <c r="G77" i="47" s="1"/>
  <c r="H77" i="47" s="1"/>
  <c r="O100" i="58" l="1"/>
  <c r="O100" i="46"/>
  <c r="AF28" i="48"/>
  <c r="J100" i="46"/>
  <c r="N100" i="46"/>
  <c r="V100" i="46" s="1"/>
  <c r="C100" i="46"/>
  <c r="N28" i="48" s="1"/>
  <c r="U100" i="46"/>
  <c r="AM100" i="46"/>
  <c r="AR100" i="46"/>
  <c r="BA100" i="46" s="1"/>
  <c r="AM101" i="46"/>
  <c r="AR101" i="46"/>
  <c r="BA101" i="46" s="1"/>
  <c r="AM102" i="46"/>
  <c r="AR102" i="46"/>
  <c r="BA102" i="46"/>
  <c r="I38" i="14"/>
  <c r="I77" i="47" s="1"/>
  <c r="G40" i="14"/>
  <c r="G39" i="14"/>
  <c r="G38" i="14"/>
  <c r="O9" i="14"/>
  <c r="O8" i="14"/>
  <c r="N6" i="14"/>
  <c r="AD100" i="46" l="1"/>
  <c r="AD102" i="46"/>
  <c r="T100" i="58"/>
  <c r="C100" i="58"/>
  <c r="U100" i="58"/>
  <c r="P100" i="58"/>
  <c r="V100" i="58"/>
  <c r="K100" i="58"/>
  <c r="AD101" i="46"/>
  <c r="T100" i="46"/>
  <c r="P100" i="46"/>
  <c r="K100" i="46"/>
  <c r="AC100" i="58" l="1"/>
  <c r="AH28" i="48"/>
  <c r="AC100" i="46"/>
  <c r="L28" i="48"/>
  <c r="AQ28" i="2"/>
  <c r="AQ27" i="2"/>
  <c r="S28" i="2"/>
  <c r="S27" i="2"/>
  <c r="Z92" i="46"/>
  <c r="Z91" i="46"/>
  <c r="E75" i="47"/>
  <c r="G75" i="47" s="1"/>
  <c r="H75" i="47" s="1"/>
  <c r="O96" i="58" s="1"/>
  <c r="F73" i="47"/>
  <c r="E73" i="47"/>
  <c r="F72" i="47"/>
  <c r="E72" i="47"/>
  <c r="E71" i="47"/>
  <c r="G71" i="47" s="1"/>
  <c r="C17" i="16"/>
  <c r="K16" i="16" s="1"/>
  <c r="W92" i="58" s="1"/>
  <c r="C16" i="16"/>
  <c r="K7" i="16" s="1"/>
  <c r="W91" i="58" s="1"/>
  <c r="G72" i="47" l="1"/>
  <c r="G73" i="47"/>
  <c r="H73" i="47" s="1"/>
  <c r="O92" i="58" s="1"/>
  <c r="H71" i="47"/>
  <c r="U96" i="58"/>
  <c r="C96" i="58"/>
  <c r="P96" i="58"/>
  <c r="T96" i="58"/>
  <c r="V96" i="58"/>
  <c r="K96" i="58"/>
  <c r="AH27" i="48" s="1"/>
  <c r="O96" i="46"/>
  <c r="U96" i="46" s="1"/>
  <c r="O92" i="46"/>
  <c r="W91" i="46"/>
  <c r="AF27" i="48"/>
  <c r="AF26" i="48"/>
  <c r="P96" i="46"/>
  <c r="N96" i="46"/>
  <c r="J96" i="46"/>
  <c r="AR98" i="46"/>
  <c r="BA98" i="46" s="1"/>
  <c r="AM98" i="46"/>
  <c r="AR97" i="46"/>
  <c r="BA97" i="46" s="1"/>
  <c r="AM97" i="46"/>
  <c r="AD97" i="46" s="1"/>
  <c r="AR96" i="46"/>
  <c r="BA96" i="46" s="1"/>
  <c r="AM96" i="46"/>
  <c r="W92" i="46"/>
  <c r="M92" i="46"/>
  <c r="N92" i="46" s="1"/>
  <c r="M91" i="46"/>
  <c r="N91" i="46" s="1"/>
  <c r="J92" i="46"/>
  <c r="J91" i="46"/>
  <c r="AC96" i="58" l="1"/>
  <c r="T96" i="46"/>
  <c r="V92" i="46"/>
  <c r="C96" i="46"/>
  <c r="N27" i="48" s="1"/>
  <c r="K96" i="46"/>
  <c r="L27" i="48" s="1"/>
  <c r="V96" i="46"/>
  <c r="O91" i="46"/>
  <c r="T91" i="46" s="1"/>
  <c r="O91" i="58"/>
  <c r="P92" i="58"/>
  <c r="T92" i="58"/>
  <c r="U92" i="58"/>
  <c r="C92" i="58"/>
  <c r="K92" i="58"/>
  <c r="AC92" i="58" s="1"/>
  <c r="V92" i="58"/>
  <c r="AD96" i="46"/>
  <c r="AD98" i="46"/>
  <c r="C92" i="46"/>
  <c r="P92" i="46"/>
  <c r="T92" i="46"/>
  <c r="K92" i="46"/>
  <c r="U92" i="46"/>
  <c r="AM91" i="46"/>
  <c r="AR91" i="46"/>
  <c r="BA91" i="46" s="1"/>
  <c r="AM92" i="46"/>
  <c r="AR92" i="46"/>
  <c r="BA92" i="46" s="1"/>
  <c r="AM93" i="46"/>
  <c r="AR93" i="46"/>
  <c r="BA93" i="46" s="1"/>
  <c r="AM94" i="46"/>
  <c r="AR94" i="46"/>
  <c r="BA94" i="46" s="1"/>
  <c r="I38" i="15"/>
  <c r="I75" i="47" s="1"/>
  <c r="G40" i="15"/>
  <c r="G39" i="15"/>
  <c r="G38" i="15"/>
  <c r="O10" i="15"/>
  <c r="O9" i="15"/>
  <c r="O8" i="15"/>
  <c r="N6" i="15"/>
  <c r="AC96" i="46" l="1"/>
  <c r="V91" i="46"/>
  <c r="P91" i="46"/>
  <c r="K91" i="46"/>
  <c r="L26" i="48" s="1"/>
  <c r="U91" i="46"/>
  <c r="AA91" i="46" s="1"/>
  <c r="C91" i="46"/>
  <c r="N26" i="48" s="1"/>
  <c r="P91" i="58"/>
  <c r="K91" i="58"/>
  <c r="X91" i="58" s="1"/>
  <c r="U91" i="58"/>
  <c r="AA91" i="58" s="1"/>
  <c r="C91" i="58"/>
  <c r="T91" i="58"/>
  <c r="V91" i="58"/>
  <c r="AD94" i="46"/>
  <c r="AD92" i="46"/>
  <c r="AD91" i="46"/>
  <c r="AC92" i="46"/>
  <c r="AD93" i="46"/>
  <c r="L38" i="16"/>
  <c r="I73" i="47" s="1"/>
  <c r="I38" i="16"/>
  <c r="L37" i="16" s="1"/>
  <c r="I71" i="47" s="1"/>
  <c r="Q8" i="16"/>
  <c r="P9" i="16"/>
  <c r="Q9" i="16" s="1"/>
  <c r="O9" i="16"/>
  <c r="R9" i="16" s="1"/>
  <c r="O8" i="16"/>
  <c r="R8" i="16" s="1"/>
  <c r="N6" i="16"/>
  <c r="AH26" i="48" l="1"/>
  <c r="AC91" i="58"/>
  <c r="AB91" i="58"/>
  <c r="AC91" i="46"/>
  <c r="P10" i="16"/>
  <c r="AB91" i="46"/>
  <c r="X91" i="46"/>
  <c r="Q10" i="16"/>
  <c r="Q11" i="16" s="1"/>
  <c r="R10" i="16"/>
  <c r="R11" i="16" l="1"/>
  <c r="AQ26" i="2"/>
  <c r="S26" i="2"/>
  <c r="C8" i="17"/>
  <c r="K7" i="17" s="1"/>
  <c r="W86" i="58" s="1"/>
  <c r="C7" i="17"/>
  <c r="E69" i="47"/>
  <c r="G69" i="47" s="1"/>
  <c r="I67" i="47"/>
  <c r="F68" i="47"/>
  <c r="E68" i="47"/>
  <c r="E67" i="47"/>
  <c r="G67" i="47" s="1"/>
  <c r="H67" i="47" s="1"/>
  <c r="O85" i="58" s="1"/>
  <c r="G68" i="47" l="1"/>
  <c r="U85" i="58"/>
  <c r="P85" i="58"/>
  <c r="T85" i="58"/>
  <c r="C85" i="58"/>
  <c r="K85" i="58"/>
  <c r="AC85" i="58" s="1"/>
  <c r="V85" i="58"/>
  <c r="W86" i="46"/>
  <c r="H68" i="47"/>
  <c r="O86" i="58" s="1"/>
  <c r="O85" i="46"/>
  <c r="AF25" i="48"/>
  <c r="C86" i="58" l="1"/>
  <c r="T86" i="58"/>
  <c r="K86" i="58"/>
  <c r="AC86" i="58" s="1"/>
  <c r="P86" i="58"/>
  <c r="V86" i="58"/>
  <c r="U86" i="58"/>
  <c r="O86" i="46"/>
  <c r="P85" i="46"/>
  <c r="U85" i="46"/>
  <c r="N85" i="46"/>
  <c r="V85" i="46" s="1"/>
  <c r="J85" i="46"/>
  <c r="C85" i="46"/>
  <c r="AH25" i="48" l="1"/>
  <c r="K85" i="46"/>
  <c r="T85" i="46"/>
  <c r="AR89" i="46" l="1"/>
  <c r="BA89" i="46" s="1"/>
  <c r="AM89" i="46"/>
  <c r="AR88" i="46"/>
  <c r="BA88" i="46" s="1"/>
  <c r="AM88" i="46"/>
  <c r="AR87" i="46"/>
  <c r="BA87" i="46" s="1"/>
  <c r="AM87" i="46"/>
  <c r="AR86" i="46"/>
  <c r="BA86" i="46" s="1"/>
  <c r="AM86" i="46"/>
  <c r="U86" i="46"/>
  <c r="T86" i="46"/>
  <c r="P86" i="46"/>
  <c r="N86" i="46"/>
  <c r="K86" i="46" s="1"/>
  <c r="J86" i="46"/>
  <c r="C86" i="46"/>
  <c r="N25" i="48" s="1"/>
  <c r="AR85" i="46"/>
  <c r="BA85" i="46" s="1"/>
  <c r="AM85" i="46"/>
  <c r="AC85" i="46"/>
  <c r="K18" i="17"/>
  <c r="W85" i="58" s="1"/>
  <c r="X85" i="58" s="1"/>
  <c r="I38" i="17"/>
  <c r="L38" i="17" s="1"/>
  <c r="I68" i="47" s="1"/>
  <c r="G42" i="17"/>
  <c r="I37" i="17" s="1"/>
  <c r="F42" i="17"/>
  <c r="O17" i="17"/>
  <c r="O16" i="17"/>
  <c r="P9" i="17"/>
  <c r="Q9" i="17" s="1"/>
  <c r="P8" i="17"/>
  <c r="O9" i="17"/>
  <c r="O8" i="17"/>
  <c r="N6" i="17"/>
  <c r="P10" i="17" l="1"/>
  <c r="R8" i="17"/>
  <c r="R9" i="17"/>
  <c r="V86" i="46"/>
  <c r="Q8" i="17"/>
  <c r="AD88" i="46"/>
  <c r="AD86" i="46"/>
  <c r="AD89" i="46"/>
  <c r="AD85" i="46"/>
  <c r="AD87" i="46"/>
  <c r="W85" i="46"/>
  <c r="X85" i="46" s="1"/>
  <c r="L25" i="48"/>
  <c r="AC86" i="46"/>
  <c r="Q10" i="17"/>
  <c r="Q11" i="17" l="1"/>
  <c r="R10" i="17"/>
  <c r="R11" i="17" s="1"/>
  <c r="K16" i="18"/>
  <c r="W78" i="58" s="1"/>
  <c r="D26" i="18"/>
  <c r="C26" i="18"/>
  <c r="K18" i="18" s="1"/>
  <c r="W79" i="58" s="1"/>
  <c r="L38" i="18"/>
  <c r="I65" i="47" s="1"/>
  <c r="N79" i="46"/>
  <c r="J79" i="46"/>
  <c r="W78" i="46" l="1"/>
  <c r="W79" i="46"/>
  <c r="AQ25" i="2" l="1"/>
  <c r="S25" i="2"/>
  <c r="I38" i="18"/>
  <c r="L37" i="18" s="1"/>
  <c r="I63" i="47" s="1"/>
  <c r="E65" i="47"/>
  <c r="G65" i="47" s="1"/>
  <c r="H65" i="47" s="1"/>
  <c r="O79" i="58" s="1"/>
  <c r="F64" i="47"/>
  <c r="E64" i="47"/>
  <c r="E63" i="47"/>
  <c r="C79" i="58" l="1"/>
  <c r="U79" i="58"/>
  <c r="V79" i="58"/>
  <c r="K79" i="58"/>
  <c r="P79" i="58"/>
  <c r="T79" i="58"/>
  <c r="O79" i="46"/>
  <c r="G63" i="47"/>
  <c r="H63" i="47"/>
  <c r="O78" i="58" s="1"/>
  <c r="G64" i="47"/>
  <c r="AC79" i="58" l="1"/>
  <c r="T78" i="58"/>
  <c r="U78" i="58"/>
  <c r="P78" i="58"/>
  <c r="K78" i="58"/>
  <c r="X78" i="58" s="1"/>
  <c r="V78" i="58"/>
  <c r="C78" i="58"/>
  <c r="O78" i="46"/>
  <c r="V79" i="46"/>
  <c r="C79" i="46"/>
  <c r="P79" i="46"/>
  <c r="K79" i="46"/>
  <c r="U79" i="46"/>
  <c r="T79" i="46"/>
  <c r="AF24" i="48"/>
  <c r="AC79" i="46" l="1"/>
  <c r="AC78" i="58"/>
  <c r="AH24" i="48"/>
  <c r="AM81" i="46"/>
  <c r="AR81" i="46"/>
  <c r="BA81" i="46" s="1"/>
  <c r="AM82" i="46"/>
  <c r="AR82" i="46"/>
  <c r="BA82" i="46" s="1"/>
  <c r="AM83" i="46"/>
  <c r="AR83" i="46"/>
  <c r="BA83" i="46" s="1"/>
  <c r="J78" i="46"/>
  <c r="N78" i="46"/>
  <c r="C78" i="46"/>
  <c r="N24" i="48" s="1"/>
  <c r="T78" i="46"/>
  <c r="U78" i="46"/>
  <c r="AM78" i="46"/>
  <c r="AR78" i="46"/>
  <c r="BA78" i="46" s="1"/>
  <c r="AM79" i="46"/>
  <c r="AR79" i="46"/>
  <c r="BA79" i="46" s="1"/>
  <c r="AM80" i="46"/>
  <c r="AR80" i="46"/>
  <c r="BA80" i="46" s="1"/>
  <c r="AD81" i="46" l="1"/>
  <c r="AD83" i="46"/>
  <c r="AD82" i="46"/>
  <c r="AD79" i="46"/>
  <c r="V78" i="46"/>
  <c r="P78" i="46"/>
  <c r="K78" i="46"/>
  <c r="L24" i="48" s="1"/>
  <c r="AD80" i="46"/>
  <c r="AD78" i="46"/>
  <c r="AC78" i="46" l="1"/>
  <c r="O8" i="18" l="1"/>
  <c r="N6" i="18"/>
  <c r="F61" i="47" l="1"/>
  <c r="E61" i="47"/>
  <c r="F60" i="47"/>
  <c r="E60" i="47"/>
  <c r="G60" i="47" s="1"/>
  <c r="G61" i="47" l="1"/>
  <c r="H60" i="47"/>
  <c r="O74" i="58" s="1"/>
  <c r="AQ24" i="2"/>
  <c r="S24" i="2"/>
  <c r="T74" i="58" l="1"/>
  <c r="U74" i="58"/>
  <c r="K74" i="58"/>
  <c r="V74" i="58"/>
  <c r="C74" i="58"/>
  <c r="P74" i="58"/>
  <c r="O74" i="46"/>
  <c r="AF23" i="48"/>
  <c r="AC74" i="58" l="1"/>
  <c r="C74" i="46"/>
  <c r="N23" i="48" s="1"/>
  <c r="J74" i="46"/>
  <c r="N74" i="46"/>
  <c r="K74" i="46" s="1"/>
  <c r="L23" i="48" s="1"/>
  <c r="P74" i="46"/>
  <c r="T74" i="46"/>
  <c r="U74" i="46"/>
  <c r="AM74" i="46"/>
  <c r="AR74" i="46"/>
  <c r="BA74" i="46" s="1"/>
  <c r="AM75" i="46"/>
  <c r="AR75" i="46"/>
  <c r="BA75" i="46" s="1"/>
  <c r="AM76" i="46"/>
  <c r="AR76" i="46"/>
  <c r="BA76" i="46" s="1"/>
  <c r="I38" i="19"/>
  <c r="I60" i="47" s="1"/>
  <c r="F42" i="19"/>
  <c r="G40" i="19"/>
  <c r="G39" i="19"/>
  <c r="G38" i="19"/>
  <c r="O8" i="19"/>
  <c r="N6" i="19"/>
  <c r="G42" i="19" l="1"/>
  <c r="I37" i="19" s="1"/>
  <c r="AD74" i="46"/>
  <c r="AD76" i="46"/>
  <c r="AH23" i="48"/>
  <c r="V74" i="46"/>
  <c r="AD75" i="46"/>
  <c r="AC74" i="46"/>
  <c r="O6" i="55" l="1"/>
  <c r="N6" i="55"/>
  <c r="AA137" i="58" l="1"/>
  <c r="AB137" i="58" s="1"/>
  <c r="AA137" i="46"/>
  <c r="AB137" i="46" s="1"/>
  <c r="AQ23" i="2"/>
  <c r="S23" i="2"/>
  <c r="F57" i="47" l="1"/>
  <c r="F56" i="47"/>
  <c r="F58" i="47"/>
  <c r="E57" i="47"/>
  <c r="E58" i="47"/>
  <c r="E56" i="47"/>
  <c r="AT47" i="59"/>
  <c r="G57" i="47" l="1"/>
  <c r="H56" i="47"/>
  <c r="O69" i="58" s="1"/>
  <c r="G56" i="47"/>
  <c r="G58" i="47"/>
  <c r="T69" i="58" l="1"/>
  <c r="P69" i="58"/>
  <c r="U69" i="58"/>
  <c r="K69" i="58"/>
  <c r="C69" i="58"/>
  <c r="V69" i="58"/>
  <c r="O69" i="46"/>
  <c r="AF22" i="48"/>
  <c r="AC69" i="58" l="1"/>
  <c r="AM72" i="46"/>
  <c r="AR72" i="46"/>
  <c r="BA72" i="46" s="1"/>
  <c r="AD72" i="46" l="1"/>
  <c r="AR71" i="46"/>
  <c r="BA71" i="46" s="1"/>
  <c r="AM71" i="46"/>
  <c r="AR70" i="46"/>
  <c r="BA70" i="46" s="1"/>
  <c r="AM70" i="46"/>
  <c r="AR69" i="46"/>
  <c r="BA69" i="46" s="1"/>
  <c r="AM69" i="46"/>
  <c r="T69" i="46"/>
  <c r="C69" i="46"/>
  <c r="N22" i="48" s="1"/>
  <c r="N69" i="46"/>
  <c r="K69" i="46" s="1"/>
  <c r="J69" i="46"/>
  <c r="I38" i="20"/>
  <c r="I56" i="47" s="1"/>
  <c r="AD71" i="46" l="1"/>
  <c r="AD69" i="46"/>
  <c r="AD70" i="46"/>
  <c r="AH22" i="48"/>
  <c r="V69" i="46"/>
  <c r="AC69" i="46"/>
  <c r="L22" i="48"/>
  <c r="P69" i="46"/>
  <c r="U69" i="46"/>
  <c r="G42" i="20"/>
  <c r="I37" i="20" s="1"/>
  <c r="F42" i="20"/>
  <c r="R17" i="20"/>
  <c r="P26" i="20"/>
  <c r="P27" i="20" s="1"/>
  <c r="O26" i="20"/>
  <c r="Q25" i="20"/>
  <c r="O25" i="20"/>
  <c r="R25" i="20" s="1"/>
  <c r="P9" i="20"/>
  <c r="Q9" i="20" s="1"/>
  <c r="P8" i="20"/>
  <c r="Q8" i="20" s="1"/>
  <c r="Q10" i="20" l="1"/>
  <c r="P10" i="20"/>
  <c r="Q11" i="20" s="1"/>
  <c r="R26" i="20"/>
  <c r="Q26" i="20"/>
  <c r="Q27" i="20" s="1"/>
  <c r="Q28" i="20" s="1"/>
  <c r="R27" i="20"/>
  <c r="R28" i="20" s="1"/>
  <c r="O9" i="20"/>
  <c r="R9" i="20" s="1"/>
  <c r="O8" i="20"/>
  <c r="R8" i="20" s="1"/>
  <c r="N6" i="20"/>
  <c r="R10" i="20" l="1"/>
  <c r="R11" i="20" s="1"/>
  <c r="E54" i="47"/>
  <c r="G54" i="47"/>
  <c r="F53" i="47"/>
  <c r="J17" i="23"/>
  <c r="I47" i="47"/>
  <c r="I46" i="47"/>
  <c r="E53" i="47"/>
  <c r="E52" i="47"/>
  <c r="G52" i="47" s="1"/>
  <c r="AQ22" i="2"/>
  <c r="S22" i="2"/>
  <c r="H52" i="47" l="1"/>
  <c r="O65" i="58" s="1"/>
  <c r="G53" i="47"/>
  <c r="AF21" i="48"/>
  <c r="T65" i="58" l="1"/>
  <c r="K65" i="58"/>
  <c r="AC65" i="58" s="1"/>
  <c r="U65" i="58"/>
  <c r="C65" i="58"/>
  <c r="P65" i="58"/>
  <c r="V65" i="58"/>
  <c r="O65" i="46"/>
  <c r="C65" i="46" s="1"/>
  <c r="N21" i="48" s="1"/>
  <c r="N65" i="46"/>
  <c r="J65" i="46" s="1"/>
  <c r="AM65" i="46"/>
  <c r="AR65" i="46"/>
  <c r="BA65" i="46" s="1"/>
  <c r="AM66" i="46"/>
  <c r="AR66" i="46"/>
  <c r="BA66" i="46" s="1"/>
  <c r="AM67" i="46"/>
  <c r="AR67" i="46"/>
  <c r="BA67" i="46" s="1"/>
  <c r="I38" i="22"/>
  <c r="I52" i="47" s="1"/>
  <c r="G40" i="22"/>
  <c r="G39" i="22"/>
  <c r="G38" i="22"/>
  <c r="O9" i="22"/>
  <c r="O10" i="22"/>
  <c r="O8" i="22"/>
  <c r="N6" i="22"/>
  <c r="AD66" i="46" l="1"/>
  <c r="AD65" i="46"/>
  <c r="AD67" i="46"/>
  <c r="U65" i="46"/>
  <c r="T65" i="46"/>
  <c r="P65" i="46"/>
  <c r="K65" i="46"/>
  <c r="V65" i="46"/>
  <c r="AH21" i="48" l="1"/>
  <c r="AC65" i="46"/>
  <c r="L21" i="48"/>
  <c r="M6" i="55" l="1"/>
  <c r="M7" i="55"/>
  <c r="L6" i="55"/>
  <c r="K7" i="55"/>
  <c r="K6" i="55"/>
  <c r="J6" i="55"/>
  <c r="I6" i="55"/>
  <c r="H7" i="55"/>
  <c r="H6" i="55"/>
  <c r="G6" i="55"/>
  <c r="F6" i="55"/>
  <c r="E7" i="55"/>
  <c r="E6" i="55"/>
  <c r="AQ21" i="2" l="1"/>
  <c r="AQ20" i="2"/>
  <c r="AI21" i="2"/>
  <c r="AI20" i="2"/>
  <c r="S21" i="2"/>
  <c r="S20" i="2"/>
  <c r="W57" i="46"/>
  <c r="C32" i="21"/>
  <c r="C23" i="21"/>
  <c r="C14" i="21"/>
  <c r="F32" i="23"/>
  <c r="E32" i="23"/>
  <c r="D32" i="23"/>
  <c r="C32" i="23"/>
  <c r="F23" i="23"/>
  <c r="E23" i="23"/>
  <c r="D23" i="23"/>
  <c r="C23" i="23"/>
  <c r="K17" i="23"/>
  <c r="W56" i="58" s="1"/>
  <c r="K16" i="23"/>
  <c r="W58" i="58" s="1"/>
  <c r="F14" i="23"/>
  <c r="E14" i="23"/>
  <c r="D14" i="23"/>
  <c r="C14" i="23"/>
  <c r="K8" i="23"/>
  <c r="W57" i="58" s="1"/>
  <c r="F50" i="47"/>
  <c r="E50" i="47"/>
  <c r="G50" i="47" s="1"/>
  <c r="E49" i="47"/>
  <c r="H49" i="47" s="1"/>
  <c r="O61" i="58" s="1"/>
  <c r="E47" i="47"/>
  <c r="G47" i="47" s="1"/>
  <c r="H47" i="47" s="1"/>
  <c r="O58" i="58" s="1"/>
  <c r="F46" i="47"/>
  <c r="E46" i="47"/>
  <c r="E45" i="47"/>
  <c r="G45" i="47" s="1"/>
  <c r="H45" i="47" s="1"/>
  <c r="O56" i="58" s="1"/>
  <c r="P58" i="58" l="1"/>
  <c r="C58" i="58"/>
  <c r="U58" i="58"/>
  <c r="T58" i="58"/>
  <c r="K58" i="58"/>
  <c r="V58" i="58"/>
  <c r="U56" i="58"/>
  <c r="V56" i="58"/>
  <c r="K56" i="58"/>
  <c r="P56" i="58"/>
  <c r="T56" i="58"/>
  <c r="C56" i="58"/>
  <c r="U61" i="58"/>
  <c r="P61" i="58"/>
  <c r="C61" i="58"/>
  <c r="V61" i="58"/>
  <c r="T61" i="58"/>
  <c r="K61" i="58"/>
  <c r="W58" i="46"/>
  <c r="W56" i="46"/>
  <c r="O58" i="46"/>
  <c r="G46" i="47"/>
  <c r="H46" i="47" s="1"/>
  <c r="O57" i="58" s="1"/>
  <c r="O61" i="46"/>
  <c r="O56" i="46"/>
  <c r="G49" i="47"/>
  <c r="AF20" i="48"/>
  <c r="AF19" i="48"/>
  <c r="AC56" i="58" l="1"/>
  <c r="AC61" i="58"/>
  <c r="P57" i="58"/>
  <c r="C57" i="58"/>
  <c r="T57" i="58"/>
  <c r="U57" i="58"/>
  <c r="AA56" i="58" s="1"/>
  <c r="K57" i="58"/>
  <c r="X56" i="58" s="1"/>
  <c r="V57" i="58"/>
  <c r="O57" i="46"/>
  <c r="AC57" i="58" l="1"/>
  <c r="AB56" i="58" s="1"/>
  <c r="N61" i="46"/>
  <c r="H61" i="46" s="1"/>
  <c r="J61" i="46" s="1"/>
  <c r="T61" i="46"/>
  <c r="AM61" i="46"/>
  <c r="AR61" i="46"/>
  <c r="BA61" i="46" s="1"/>
  <c r="AM62" i="46"/>
  <c r="AR62" i="46"/>
  <c r="BA62" i="46" s="1"/>
  <c r="AM63" i="46"/>
  <c r="AR63" i="46"/>
  <c r="BA63" i="46" s="1"/>
  <c r="I38" i="21"/>
  <c r="I49" i="47" s="1"/>
  <c r="F42" i="21"/>
  <c r="G40" i="21"/>
  <c r="G38" i="21"/>
  <c r="P9" i="21"/>
  <c r="Q9" i="21" s="1"/>
  <c r="O9" i="21"/>
  <c r="O10" i="21"/>
  <c r="N6" i="21"/>
  <c r="R9" i="21" l="1"/>
  <c r="G42" i="21"/>
  <c r="I37" i="21" s="1"/>
  <c r="P61" i="46"/>
  <c r="V61" i="46"/>
  <c r="K61" i="46"/>
  <c r="L20" i="48" s="1"/>
  <c r="P10" i="21"/>
  <c r="P11" i="21" s="1"/>
  <c r="C61" i="46"/>
  <c r="N20" i="48" s="1"/>
  <c r="AD62" i="46"/>
  <c r="U61" i="46"/>
  <c r="AH19" i="48"/>
  <c r="AD63" i="46"/>
  <c r="AD61" i="46"/>
  <c r="AM59" i="46"/>
  <c r="AR59" i="46"/>
  <c r="BA59" i="46" s="1"/>
  <c r="S56" i="46"/>
  <c r="J58" i="46"/>
  <c r="P58" i="46"/>
  <c r="M58" i="46"/>
  <c r="C58" i="46" s="1"/>
  <c r="M57" i="46"/>
  <c r="T57" i="46" s="1"/>
  <c r="P9" i="23"/>
  <c r="Q9" i="23" s="1"/>
  <c r="C56" i="46"/>
  <c r="N56" i="46"/>
  <c r="K56" i="46" s="1"/>
  <c r="J56" i="46"/>
  <c r="AR58" i="46"/>
  <c r="BA58" i="46" s="1"/>
  <c r="AM58" i="46"/>
  <c r="AR57" i="46"/>
  <c r="BA57" i="46" s="1"/>
  <c r="AM57" i="46"/>
  <c r="J57" i="46"/>
  <c r="AR56" i="46"/>
  <c r="BA56" i="46" s="1"/>
  <c r="AM56" i="46"/>
  <c r="N37" i="23"/>
  <c r="I45" i="47" s="1"/>
  <c r="I38" i="23"/>
  <c r="O27" i="23"/>
  <c r="R27" i="23" s="1"/>
  <c r="O26" i="23"/>
  <c r="R26" i="23" s="1"/>
  <c r="P28" i="23"/>
  <c r="Q27" i="23"/>
  <c r="Q26" i="23"/>
  <c r="O18" i="23"/>
  <c r="R18" i="23" s="1"/>
  <c r="P19" i="23"/>
  <c r="Q18" i="23"/>
  <c r="Q17" i="23"/>
  <c r="O17" i="23"/>
  <c r="R17" i="23" s="1"/>
  <c r="Q8" i="23"/>
  <c r="P10" i="23"/>
  <c r="O9" i="23"/>
  <c r="R9" i="23" s="1"/>
  <c r="O8" i="23"/>
  <c r="R8" i="23" s="1"/>
  <c r="N6" i="23"/>
  <c r="Q10" i="23" l="1"/>
  <c r="Q11" i="23" s="1"/>
  <c r="AH20" i="48"/>
  <c r="R10" i="21"/>
  <c r="R11" i="21" s="1"/>
  <c r="R12" i="21" s="1"/>
  <c r="AD58" i="46"/>
  <c r="Q28" i="23"/>
  <c r="Q29" i="23" s="1"/>
  <c r="R19" i="23"/>
  <c r="R20" i="23" s="1"/>
  <c r="N57" i="46"/>
  <c r="K57" i="46" s="1"/>
  <c r="AC57" i="46" s="1"/>
  <c r="Q19" i="23"/>
  <c r="Q20" i="23" s="1"/>
  <c r="Q10" i="21"/>
  <c r="Q11" i="21" s="1"/>
  <c r="Q12" i="21" s="1"/>
  <c r="AC61" i="46"/>
  <c r="AD57" i="46"/>
  <c r="P57" i="46"/>
  <c r="U57" i="46"/>
  <c r="T56" i="46"/>
  <c r="AC56" i="46" s="1"/>
  <c r="N58" i="46"/>
  <c r="P56" i="46"/>
  <c r="C57" i="46"/>
  <c r="N19" i="48" s="1"/>
  <c r="U56" i="46"/>
  <c r="R10" i="23"/>
  <c r="R11" i="23" s="1"/>
  <c r="U58" i="46"/>
  <c r="AD56" i="46"/>
  <c r="T58" i="46"/>
  <c r="AD59" i="46"/>
  <c r="V56" i="46"/>
  <c r="R28" i="23"/>
  <c r="R29" i="23" s="1"/>
  <c r="AQ19" i="2"/>
  <c r="AI19" i="2"/>
  <c r="S19" i="2"/>
  <c r="F42" i="47"/>
  <c r="E43" i="47"/>
  <c r="G43" i="47" s="1"/>
  <c r="H43" i="47" s="1"/>
  <c r="O53" i="58" s="1"/>
  <c r="E42" i="47"/>
  <c r="K17" i="24"/>
  <c r="W53" i="58" s="1"/>
  <c r="K16" i="24"/>
  <c r="W52" i="58" s="1"/>
  <c r="C53" i="58" l="1"/>
  <c r="T53" i="58"/>
  <c r="U53" i="58"/>
  <c r="K53" i="58"/>
  <c r="AC53" i="58" s="1"/>
  <c r="P53" i="58"/>
  <c r="V53" i="58"/>
  <c r="V57" i="46"/>
  <c r="O53" i="46"/>
  <c r="K58" i="46"/>
  <c r="V58" i="46"/>
  <c r="G42" i="47"/>
  <c r="H42" i="47" s="1"/>
  <c r="O52" i="58" s="1"/>
  <c r="AF18" i="48"/>
  <c r="T52" i="58" l="1"/>
  <c r="P52" i="58"/>
  <c r="C52" i="58"/>
  <c r="V52" i="58"/>
  <c r="U52" i="58"/>
  <c r="K52" i="58"/>
  <c r="X52" i="58" s="1"/>
  <c r="L19" i="48"/>
  <c r="X56" i="46"/>
  <c r="O52" i="46"/>
  <c r="W53" i="46"/>
  <c r="W52" i="46"/>
  <c r="AR54" i="46"/>
  <c r="BA54" i="46" s="1"/>
  <c r="AM54" i="46"/>
  <c r="AR53" i="46"/>
  <c r="BA53" i="46" s="1"/>
  <c r="AM53" i="46"/>
  <c r="N53" i="46"/>
  <c r="V53" i="46" s="1"/>
  <c r="J53" i="46"/>
  <c r="AR52" i="46"/>
  <c r="BA52" i="46" s="1"/>
  <c r="AM52" i="46"/>
  <c r="N52" i="46"/>
  <c r="J52" i="46"/>
  <c r="N38" i="24"/>
  <c r="I43" i="47" s="1"/>
  <c r="I38" i="24"/>
  <c r="N37" i="24" s="1"/>
  <c r="I42" i="47" s="1"/>
  <c r="AC52" i="58" l="1"/>
  <c r="K52" i="46"/>
  <c r="AD53" i="46"/>
  <c r="AD52" i="46"/>
  <c r="AD54" i="46"/>
  <c r="K53" i="46"/>
  <c r="L18" i="48" s="1"/>
  <c r="U53" i="46"/>
  <c r="P53" i="46"/>
  <c r="C52" i="46"/>
  <c r="P52" i="46"/>
  <c r="T52" i="46"/>
  <c r="U52" i="46"/>
  <c r="V52" i="46"/>
  <c r="T53" i="46"/>
  <c r="C53" i="46"/>
  <c r="P11" i="24"/>
  <c r="Q10" i="24"/>
  <c r="Q9" i="24"/>
  <c r="Q8" i="24"/>
  <c r="O10" i="24"/>
  <c r="R10" i="24" s="1"/>
  <c r="G39" i="24"/>
  <c r="G38" i="24"/>
  <c r="Q26" i="24"/>
  <c r="Q25" i="24"/>
  <c r="P27" i="24"/>
  <c r="P28" i="24" s="1"/>
  <c r="O27" i="24"/>
  <c r="R27" i="24" s="1"/>
  <c r="O25" i="24"/>
  <c r="R25" i="24" s="1"/>
  <c r="O26" i="24"/>
  <c r="R26" i="24" s="1"/>
  <c r="O9" i="24"/>
  <c r="R9" i="24" s="1"/>
  <c r="O8" i="24"/>
  <c r="R8" i="24" s="1"/>
  <c r="N6" i="24"/>
  <c r="P36" i="25"/>
  <c r="Q36" i="25" s="1"/>
  <c r="O36" i="25"/>
  <c r="Q35" i="25"/>
  <c r="O35" i="25"/>
  <c r="R35" i="25" s="1"/>
  <c r="P26" i="25"/>
  <c r="P25" i="25"/>
  <c r="Q25" i="25" s="1"/>
  <c r="O25" i="25"/>
  <c r="O26" i="25"/>
  <c r="AC52" i="46" l="1"/>
  <c r="Q11" i="24"/>
  <c r="Q12" i="24" s="1"/>
  <c r="Q37" i="25"/>
  <c r="R36" i="25"/>
  <c r="R37" i="25" s="1"/>
  <c r="P27" i="25"/>
  <c r="Q27" i="24"/>
  <c r="Q28" i="24" s="1"/>
  <c r="Q29" i="24" s="1"/>
  <c r="R11" i="24"/>
  <c r="R12" i="24" s="1"/>
  <c r="P37" i="25"/>
  <c r="X52" i="46"/>
  <c r="AH18" i="48"/>
  <c r="AC53" i="46"/>
  <c r="N18" i="48"/>
  <c r="R28" i="24"/>
  <c r="R29" i="24" s="1"/>
  <c r="Q26" i="25"/>
  <c r="Q27" i="25" s="1"/>
  <c r="R26" i="25"/>
  <c r="R25" i="25"/>
  <c r="R27" i="25" s="1"/>
  <c r="R38" i="25" l="1"/>
  <c r="R28" i="25"/>
  <c r="Q28" i="25"/>
  <c r="Q38" i="25"/>
  <c r="F40" i="47"/>
  <c r="F39" i="47"/>
  <c r="E40" i="47"/>
  <c r="G40" i="47" s="1"/>
  <c r="E39" i="47"/>
  <c r="H39" i="47" s="1"/>
  <c r="O48" i="58" s="1"/>
  <c r="E38" i="47"/>
  <c r="K16" i="25"/>
  <c r="W47" i="58" s="1"/>
  <c r="C26" i="25"/>
  <c r="C17" i="25"/>
  <c r="P48" i="58" l="1"/>
  <c r="T48" i="58"/>
  <c r="C48" i="58"/>
  <c r="U48" i="58"/>
  <c r="K48" i="58"/>
  <c r="AC48" i="58" s="1"/>
  <c r="V48" i="58"/>
  <c r="K8" i="25"/>
  <c r="W48" i="58" s="1"/>
  <c r="O48" i="46"/>
  <c r="G38" i="47"/>
  <c r="H38" i="47" s="1"/>
  <c r="O47" i="58" s="1"/>
  <c r="G39" i="47"/>
  <c r="C47" i="58" l="1"/>
  <c r="K47" i="58"/>
  <c r="X47" i="58" s="1"/>
  <c r="P47" i="58"/>
  <c r="T47" i="58"/>
  <c r="U47" i="58"/>
  <c r="V47" i="58"/>
  <c r="O47" i="46"/>
  <c r="AC47" i="58" l="1"/>
  <c r="AI18" i="2"/>
  <c r="S18" i="2"/>
  <c r="AF17" i="48" l="1"/>
  <c r="AM50" i="46" l="1"/>
  <c r="AR50" i="46"/>
  <c r="BA50" i="46" s="1"/>
  <c r="W48" i="46"/>
  <c r="W47" i="46"/>
  <c r="M48" i="46"/>
  <c r="T48" i="46" s="1"/>
  <c r="J48" i="46"/>
  <c r="U48" i="46" l="1"/>
  <c r="N48" i="46"/>
  <c r="V48" i="46" s="1"/>
  <c r="AD50" i="46"/>
  <c r="C48" i="46"/>
  <c r="P48" i="46"/>
  <c r="AH17" i="48"/>
  <c r="AR49" i="46"/>
  <c r="BA49" i="46" s="1"/>
  <c r="AM49" i="46"/>
  <c r="AR48" i="46"/>
  <c r="BA48" i="46" s="1"/>
  <c r="AM48" i="46"/>
  <c r="AR47" i="46"/>
  <c r="BA47" i="46" s="1"/>
  <c r="AM47" i="46"/>
  <c r="U47" i="46"/>
  <c r="N47" i="46"/>
  <c r="J47" i="46"/>
  <c r="K48" i="46" l="1"/>
  <c r="AC48" i="46" s="1"/>
  <c r="AD49" i="46"/>
  <c r="AD47" i="46"/>
  <c r="C47" i="46"/>
  <c r="N17" i="48" s="1"/>
  <c r="K47" i="46"/>
  <c r="L17" i="48" s="1"/>
  <c r="V47" i="46"/>
  <c r="AD48" i="46"/>
  <c r="P47" i="46"/>
  <c r="T47" i="46"/>
  <c r="L37" i="25"/>
  <c r="I38" i="47" s="1"/>
  <c r="I38" i="25"/>
  <c r="G39" i="25"/>
  <c r="Q8" i="25"/>
  <c r="P9" i="25"/>
  <c r="Q9" i="25" s="1"/>
  <c r="O9" i="25"/>
  <c r="R9" i="25" s="1"/>
  <c r="O8" i="25"/>
  <c r="R8" i="25" s="1"/>
  <c r="N6" i="25"/>
  <c r="R10" i="25" l="1"/>
  <c r="L38" i="25"/>
  <c r="I39" i="47" s="1"/>
  <c r="P10" i="25"/>
  <c r="R11" i="25" s="1"/>
  <c r="X47" i="46"/>
  <c r="AC47" i="46"/>
  <c r="Q10" i="25"/>
  <c r="Q11" i="25" s="1"/>
  <c r="E36" i="47" l="1"/>
  <c r="G36" i="47" s="1"/>
  <c r="H36" i="47" s="1"/>
  <c r="O43" i="58" s="1"/>
  <c r="AI17" i="2"/>
  <c r="S17" i="2"/>
  <c r="T43" i="58" l="1"/>
  <c r="P43" i="58"/>
  <c r="K43" i="58"/>
  <c r="U43" i="58"/>
  <c r="C43" i="58"/>
  <c r="V43" i="58"/>
  <c r="AF16" i="48"/>
  <c r="O43" i="46"/>
  <c r="N43" i="46"/>
  <c r="J43" i="46"/>
  <c r="AM43" i="46"/>
  <c r="AR43" i="46"/>
  <c r="BA43" i="46"/>
  <c r="AM44" i="46"/>
  <c r="AR44" i="46"/>
  <c r="BA44" i="46"/>
  <c r="AM45" i="46"/>
  <c r="AR45" i="46"/>
  <c r="BA45" i="46" s="1"/>
  <c r="AC43" i="58" l="1"/>
  <c r="AD43" i="46"/>
  <c r="AD45" i="46"/>
  <c r="AD44" i="46"/>
  <c r="K43" i="46"/>
  <c r="L16" i="48" s="1"/>
  <c r="T43" i="46"/>
  <c r="C43" i="46"/>
  <c r="N16" i="48" s="1"/>
  <c r="U43" i="46"/>
  <c r="P43" i="46"/>
  <c r="V43" i="46"/>
  <c r="I38" i="26"/>
  <c r="I36" i="47" s="1"/>
  <c r="G40" i="26"/>
  <c r="G39" i="26"/>
  <c r="G38" i="26"/>
  <c r="O10" i="26"/>
  <c r="O9" i="26"/>
  <c r="O8" i="26"/>
  <c r="N6" i="26"/>
  <c r="AH16" i="48" l="1"/>
  <c r="AC43" i="46"/>
  <c r="AI16" i="2"/>
  <c r="S16" i="2"/>
  <c r="E33" i="47"/>
  <c r="G33" i="47" s="1"/>
  <c r="Z39" i="46"/>
  <c r="K16" i="28"/>
  <c r="W41" i="58" s="1"/>
  <c r="K14" i="28"/>
  <c r="W39" i="58" s="1"/>
  <c r="C25" i="28"/>
  <c r="K15" i="28" s="1"/>
  <c r="W38" i="58" s="1"/>
  <c r="F34" i="47"/>
  <c r="F32" i="47"/>
  <c r="F31" i="47"/>
  <c r="E34" i="47"/>
  <c r="E32" i="47"/>
  <c r="E31" i="47"/>
  <c r="G34" i="47" l="1"/>
  <c r="H34" i="47" s="1"/>
  <c r="H33" i="47"/>
  <c r="O40" i="58" s="1"/>
  <c r="G32" i="47"/>
  <c r="H32" i="47" s="1"/>
  <c r="O39" i="58" s="1"/>
  <c r="G31" i="47"/>
  <c r="H31" i="47" s="1"/>
  <c r="O38" i="58" s="1"/>
  <c r="T38" i="58" l="1"/>
  <c r="C38" i="58"/>
  <c r="P38" i="58"/>
  <c r="U38" i="58"/>
  <c r="V38" i="58"/>
  <c r="K38" i="58"/>
  <c r="V40" i="58"/>
  <c r="T40" i="58"/>
  <c r="K40" i="58"/>
  <c r="C40" i="58"/>
  <c r="U40" i="58"/>
  <c r="P40" i="58"/>
  <c r="U39" i="58"/>
  <c r="P39" i="58"/>
  <c r="T39" i="58"/>
  <c r="K39" i="58"/>
  <c r="AC39" i="58" s="1"/>
  <c r="C39" i="58"/>
  <c r="V39" i="58"/>
  <c r="O41" i="46"/>
  <c r="O41" i="58"/>
  <c r="O40" i="46"/>
  <c r="O39" i="46"/>
  <c r="O38" i="46"/>
  <c r="AC38" i="58" l="1"/>
  <c r="U41" i="58"/>
  <c r="AA38" i="58" s="1"/>
  <c r="T41" i="58"/>
  <c r="V41" i="58"/>
  <c r="K41" i="58"/>
  <c r="AC41" i="58" s="1"/>
  <c r="C41" i="58"/>
  <c r="P41" i="58"/>
  <c r="AC40" i="58"/>
  <c r="AF15" i="48"/>
  <c r="W40" i="46"/>
  <c r="Q38" i="46"/>
  <c r="P38" i="46" s="1"/>
  <c r="Q39" i="46"/>
  <c r="M41" i="46"/>
  <c r="T41" i="46" s="1"/>
  <c r="M40" i="46"/>
  <c r="T40" i="46" s="1"/>
  <c r="O28" i="28"/>
  <c r="O27" i="28"/>
  <c r="M39" i="46"/>
  <c r="N39" i="46" s="1"/>
  <c r="M38" i="46"/>
  <c r="J41" i="46"/>
  <c r="P41" i="46"/>
  <c r="J40" i="46"/>
  <c r="J38" i="46"/>
  <c r="AR41" i="46"/>
  <c r="BA41" i="46" s="1"/>
  <c r="AM41" i="46"/>
  <c r="AR40" i="46"/>
  <c r="BA40" i="46" s="1"/>
  <c r="AM40" i="46"/>
  <c r="AR39" i="46"/>
  <c r="BA39" i="46" s="1"/>
  <c r="AM39" i="46"/>
  <c r="J39" i="46"/>
  <c r="AR38" i="46"/>
  <c r="BA38" i="46" s="1"/>
  <c r="AM38" i="46"/>
  <c r="N39" i="28"/>
  <c r="I34" i="47" s="1"/>
  <c r="N38" i="28"/>
  <c r="I32" i="47" s="1"/>
  <c r="N37" i="28"/>
  <c r="I31" i="47" s="1"/>
  <c r="I38" i="28"/>
  <c r="P28" i="28"/>
  <c r="Q28" i="28" s="1"/>
  <c r="P27" i="28"/>
  <c r="P26" i="28"/>
  <c r="Q26" i="28" s="1"/>
  <c r="O26" i="28"/>
  <c r="P18" i="28"/>
  <c r="Q18" i="28" s="1"/>
  <c r="P17" i="28"/>
  <c r="O18" i="28"/>
  <c r="O17" i="28"/>
  <c r="O8" i="28"/>
  <c r="N6" i="28"/>
  <c r="X38" i="58" l="1"/>
  <c r="R18" i="28"/>
  <c r="P19" i="28"/>
  <c r="AB38" i="58"/>
  <c r="N40" i="46"/>
  <c r="V40" i="46" s="1"/>
  <c r="R26" i="28"/>
  <c r="U40" i="46"/>
  <c r="C40" i="46"/>
  <c r="R27" i="28"/>
  <c r="N41" i="46"/>
  <c r="V41" i="46" s="1"/>
  <c r="R28" i="28"/>
  <c r="R17" i="28"/>
  <c r="R19" i="28" s="1"/>
  <c r="R20" i="28" s="1"/>
  <c r="K40" i="46"/>
  <c r="P29" i="28"/>
  <c r="Q17" i="28"/>
  <c r="Q19" i="28" s="1"/>
  <c r="Q20" i="28" s="1"/>
  <c r="N40" i="28"/>
  <c r="I33" i="47" s="1"/>
  <c r="W41" i="46"/>
  <c r="W39" i="46"/>
  <c r="W38" i="46"/>
  <c r="U39" i="46"/>
  <c r="V39" i="46"/>
  <c r="U38" i="46"/>
  <c r="AD41" i="46"/>
  <c r="AD40" i="46"/>
  <c r="AD39" i="46"/>
  <c r="AD38" i="46"/>
  <c r="T39" i="46"/>
  <c r="C41" i="46"/>
  <c r="U41" i="46"/>
  <c r="P40" i="46"/>
  <c r="N38" i="46"/>
  <c r="T38" i="46"/>
  <c r="C38" i="46"/>
  <c r="K39" i="46"/>
  <c r="P39" i="46"/>
  <c r="C39" i="46"/>
  <c r="Q27" i="28"/>
  <c r="AC39" i="46" l="1"/>
  <c r="R29" i="28"/>
  <c r="R30" i="28" s="1"/>
  <c r="K41" i="46"/>
  <c r="AC41" i="46" s="1"/>
  <c r="Q29" i="28"/>
  <c r="Q30" i="28" s="1"/>
  <c r="N15" i="48"/>
  <c r="AH15" i="48"/>
  <c r="V38" i="46"/>
  <c r="K38" i="46"/>
  <c r="AC40" i="46"/>
  <c r="AA38" i="46"/>
  <c r="AC38" i="46" l="1"/>
  <c r="AB38" i="46" s="1"/>
  <c r="L15" i="48"/>
  <c r="X38" i="46"/>
  <c r="Z34" i="46" l="1"/>
  <c r="Z33" i="46"/>
  <c r="F28" i="47"/>
  <c r="C26" i="27"/>
  <c r="K15" i="27" s="1"/>
  <c r="W36" i="58" s="1"/>
  <c r="C25" i="27"/>
  <c r="C18" i="27"/>
  <c r="K11" i="27" s="1"/>
  <c r="W35" i="58" s="1"/>
  <c r="C17" i="27"/>
  <c r="K13" i="27" s="1"/>
  <c r="W34" i="58" s="1"/>
  <c r="C16" i="27"/>
  <c r="K12" i="27" s="1"/>
  <c r="W33" i="58" s="1"/>
  <c r="W36" i="46" l="1"/>
  <c r="E28" i="47"/>
  <c r="E29" i="47" l="1"/>
  <c r="G29" i="47" s="1"/>
  <c r="H29" i="47" s="1"/>
  <c r="O36" i="58" s="1"/>
  <c r="G28" i="47"/>
  <c r="H28" i="47" s="1"/>
  <c r="O35" i="58" s="1"/>
  <c r="F26" i="47"/>
  <c r="F27" i="47"/>
  <c r="E27" i="47"/>
  <c r="G27" i="47" s="1"/>
  <c r="H27" i="47" s="1"/>
  <c r="O34" i="58" s="1"/>
  <c r="F25" i="47"/>
  <c r="F24" i="47"/>
  <c r="E25" i="47"/>
  <c r="G25" i="47" s="1"/>
  <c r="E26" i="47"/>
  <c r="E24" i="47"/>
  <c r="U34" i="58" l="1"/>
  <c r="P34" i="58"/>
  <c r="V34" i="58"/>
  <c r="C34" i="58"/>
  <c r="K34" i="58"/>
  <c r="T34" i="58"/>
  <c r="P35" i="58"/>
  <c r="C35" i="58"/>
  <c r="T35" i="58"/>
  <c r="U35" i="58"/>
  <c r="V35" i="58"/>
  <c r="K35" i="58"/>
  <c r="AC35" i="58" s="1"/>
  <c r="U36" i="58"/>
  <c r="P36" i="58"/>
  <c r="C36" i="58"/>
  <c r="T36" i="58"/>
  <c r="V36" i="58"/>
  <c r="K36" i="58"/>
  <c r="O34" i="46"/>
  <c r="H24" i="47"/>
  <c r="O33" i="58" s="1"/>
  <c r="G24" i="47"/>
  <c r="O36" i="46"/>
  <c r="O35" i="46"/>
  <c r="G26" i="47"/>
  <c r="AC34" i="58" l="1"/>
  <c r="AC36" i="58"/>
  <c r="P33" i="58"/>
  <c r="T33" i="58"/>
  <c r="U33" i="58"/>
  <c r="AA33" i="58" s="1"/>
  <c r="C33" i="58"/>
  <c r="K33" i="58"/>
  <c r="X33" i="58" s="1"/>
  <c r="V33" i="58"/>
  <c r="O33" i="46"/>
  <c r="BK15" i="2"/>
  <c r="AQ15" i="2"/>
  <c r="AI15" i="2"/>
  <c r="S15" i="2"/>
  <c r="AC33" i="58" l="1"/>
  <c r="AB33" i="58"/>
  <c r="AF14" i="48"/>
  <c r="AM36" i="46" l="1"/>
  <c r="AR36" i="46"/>
  <c r="BA36" i="46"/>
  <c r="W35" i="46"/>
  <c r="W34" i="46"/>
  <c r="W33" i="46"/>
  <c r="Q35" i="46"/>
  <c r="P8" i="27"/>
  <c r="M36" i="46"/>
  <c r="U36" i="46" s="1"/>
  <c r="M35" i="46"/>
  <c r="N35" i="46" s="1"/>
  <c r="M34" i="46"/>
  <c r="C34" i="46" s="1"/>
  <c r="M33" i="46"/>
  <c r="U33" i="46" s="1"/>
  <c r="J36" i="46"/>
  <c r="J35" i="46"/>
  <c r="J34" i="46"/>
  <c r="AR35" i="46"/>
  <c r="BA35" i="46" s="1"/>
  <c r="AM35" i="46"/>
  <c r="AR34" i="46"/>
  <c r="BA34" i="46" s="1"/>
  <c r="AM34" i="46"/>
  <c r="AR33" i="46"/>
  <c r="BA33" i="46" s="1"/>
  <c r="AM33" i="46"/>
  <c r="J33" i="46"/>
  <c r="N40" i="27"/>
  <c r="I29" i="47" s="1"/>
  <c r="N38" i="27"/>
  <c r="I27" i="47" s="1"/>
  <c r="N37" i="27"/>
  <c r="I24" i="47" s="1"/>
  <c r="I38" i="27"/>
  <c r="G38" i="27"/>
  <c r="P27" i="27"/>
  <c r="Q27" i="27" s="1"/>
  <c r="P26" i="27"/>
  <c r="O27" i="27"/>
  <c r="O26" i="27"/>
  <c r="Q16" i="27"/>
  <c r="P18" i="27"/>
  <c r="Q18" i="27" s="1"/>
  <c r="P17" i="27"/>
  <c r="O18" i="27"/>
  <c r="O17" i="27"/>
  <c r="O16" i="27"/>
  <c r="R16" i="27" s="1"/>
  <c r="O8" i="27"/>
  <c r="N6" i="27"/>
  <c r="N39" i="27" l="1"/>
  <c r="I28" i="47" s="1"/>
  <c r="AD34" i="46"/>
  <c r="P28" i="27"/>
  <c r="R18" i="27"/>
  <c r="R27" i="27"/>
  <c r="Q26" i="27"/>
  <c r="Q28" i="27" s="1"/>
  <c r="Q29" i="27" s="1"/>
  <c r="R26" i="27"/>
  <c r="R28" i="27" s="1"/>
  <c r="R29" i="27" s="1"/>
  <c r="N33" i="46"/>
  <c r="V33" i="46" s="1"/>
  <c r="C35" i="46"/>
  <c r="N34" i="46"/>
  <c r="K34" i="46" s="1"/>
  <c r="AD36" i="46"/>
  <c r="R17" i="27"/>
  <c r="N36" i="46"/>
  <c r="K36" i="46" s="1"/>
  <c r="T36" i="46"/>
  <c r="P19" i="27"/>
  <c r="Q17" i="27"/>
  <c r="Q19" i="27" s="1"/>
  <c r="P35" i="46"/>
  <c r="C33" i="46"/>
  <c r="T35" i="46"/>
  <c r="U35" i="46"/>
  <c r="C36" i="46"/>
  <c r="P33" i="46"/>
  <c r="T33" i="46"/>
  <c r="V35" i="46"/>
  <c r="AD35" i="46"/>
  <c r="AD33" i="46"/>
  <c r="K35" i="46"/>
  <c r="P34" i="46"/>
  <c r="T34" i="46"/>
  <c r="U34" i="46"/>
  <c r="V34" i="46"/>
  <c r="P36" i="46"/>
  <c r="R19" i="27" l="1"/>
  <c r="Q20" i="27"/>
  <c r="AC34" i="46"/>
  <c r="V36" i="46"/>
  <c r="K33" i="46"/>
  <c r="X33" i="46" s="1"/>
  <c r="R20" i="27"/>
  <c r="AC36" i="46"/>
  <c r="N14" i="48"/>
  <c r="AH14" i="48"/>
  <c r="AC35" i="46"/>
  <c r="AC33" i="46" l="1"/>
  <c r="L14" i="48"/>
  <c r="AY34" i="59"/>
  <c r="AX34" i="59"/>
  <c r="AY33" i="59"/>
  <c r="AX33" i="59"/>
  <c r="AY32" i="59"/>
  <c r="AX32" i="59"/>
  <c r="AY31" i="59"/>
  <c r="AX31" i="59"/>
  <c r="AY30" i="59"/>
  <c r="AX30" i="59"/>
  <c r="AY29" i="59"/>
  <c r="AX29" i="59"/>
  <c r="AY28" i="59"/>
  <c r="AX28" i="59"/>
  <c r="AY27" i="59"/>
  <c r="AX27" i="59"/>
  <c r="AY26" i="59"/>
  <c r="AX26" i="59"/>
  <c r="AY25" i="59"/>
  <c r="AX25" i="59"/>
  <c r="AY24" i="59"/>
  <c r="AX24" i="59"/>
  <c r="AY23" i="59"/>
  <c r="AX23" i="59"/>
  <c r="AY22" i="59"/>
  <c r="AX22" i="59"/>
  <c r="AY21" i="59"/>
  <c r="AX21" i="59"/>
  <c r="AY20" i="59"/>
  <c r="AX20" i="59"/>
  <c r="AY19" i="59"/>
  <c r="AX19" i="59"/>
  <c r="AY18" i="59"/>
  <c r="AX18" i="59"/>
  <c r="AY17" i="59"/>
  <c r="AX17" i="59"/>
  <c r="AY16" i="59"/>
  <c r="AX16" i="59"/>
  <c r="AY15" i="59"/>
  <c r="AX15" i="59"/>
  <c r="AY14" i="59"/>
  <c r="AX14" i="59"/>
  <c r="AY13" i="59"/>
  <c r="AX13" i="59"/>
  <c r="AY12" i="59"/>
  <c r="AX12" i="59"/>
  <c r="AY11" i="59"/>
  <c r="AX11" i="59"/>
  <c r="AY10" i="59"/>
  <c r="AX10" i="59"/>
  <c r="AY9" i="59"/>
  <c r="AX9" i="59"/>
  <c r="AY8" i="59"/>
  <c r="AX8" i="59"/>
  <c r="AY7" i="59"/>
  <c r="AX7" i="59"/>
  <c r="AY6" i="59"/>
  <c r="AX6" i="59"/>
  <c r="AY5" i="59"/>
  <c r="AX5" i="59"/>
  <c r="AX4" i="59"/>
  <c r="AY4" i="59"/>
  <c r="BK14" i="2" l="1"/>
  <c r="BK13" i="2"/>
  <c r="S14" i="2"/>
  <c r="S13" i="2"/>
  <c r="F22" i="47" l="1"/>
  <c r="E22" i="47"/>
  <c r="F20" i="47"/>
  <c r="E20" i="47"/>
  <c r="G20" i="47" s="1"/>
  <c r="F19" i="47"/>
  <c r="G19" i="47" s="1"/>
  <c r="G22" i="47" l="1"/>
  <c r="H22" i="47" s="1"/>
  <c r="O29" i="58" s="1"/>
  <c r="H19" i="47"/>
  <c r="O24" i="58" s="1"/>
  <c r="AQ34" i="59"/>
  <c r="AQ33" i="59"/>
  <c r="AQ32" i="59"/>
  <c r="AQ31" i="59"/>
  <c r="AQ30" i="59"/>
  <c r="AQ29" i="59"/>
  <c r="AQ28" i="59"/>
  <c r="AQ27" i="59"/>
  <c r="AQ26" i="59"/>
  <c r="AQ25" i="59"/>
  <c r="AQ24" i="59"/>
  <c r="AQ23" i="59"/>
  <c r="AQ22" i="59"/>
  <c r="AQ21" i="59"/>
  <c r="AQ20" i="59"/>
  <c r="AQ19" i="59"/>
  <c r="AQ18" i="59"/>
  <c r="AQ17" i="59"/>
  <c r="AQ16" i="59"/>
  <c r="AQ15" i="59"/>
  <c r="AQ14" i="59"/>
  <c r="AQ13" i="59"/>
  <c r="AQ12" i="59"/>
  <c r="AQ11" i="59"/>
  <c r="AQ10" i="59"/>
  <c r="AQ9" i="59"/>
  <c r="AQ8" i="59"/>
  <c r="AQ7" i="59"/>
  <c r="AQ6" i="59"/>
  <c r="AQ5" i="59"/>
  <c r="AQ4" i="59"/>
  <c r="AP34" i="59"/>
  <c r="AP33" i="59"/>
  <c r="AP32" i="59"/>
  <c r="AP31" i="59"/>
  <c r="AP30" i="59"/>
  <c r="AP29" i="59"/>
  <c r="AP28" i="59"/>
  <c r="AP27" i="59"/>
  <c r="AP26" i="59"/>
  <c r="AP25" i="59"/>
  <c r="AP24" i="59"/>
  <c r="AP23" i="59"/>
  <c r="AP22" i="59"/>
  <c r="AP21" i="59"/>
  <c r="AP20" i="59"/>
  <c r="AP19" i="59"/>
  <c r="AP18" i="59"/>
  <c r="AP17" i="59"/>
  <c r="AP16" i="59"/>
  <c r="AP15" i="59"/>
  <c r="AP14" i="59"/>
  <c r="AP13" i="59"/>
  <c r="AP12" i="59"/>
  <c r="AP11" i="59"/>
  <c r="AP10" i="59"/>
  <c r="AP9" i="59"/>
  <c r="AP8" i="59"/>
  <c r="AP7" i="59"/>
  <c r="AP6" i="59"/>
  <c r="AP5" i="59"/>
  <c r="AP4" i="59"/>
  <c r="C24" i="58" l="1"/>
  <c r="U24" i="58"/>
  <c r="T24" i="58"/>
  <c r="P24" i="58"/>
  <c r="K24" i="58"/>
  <c r="AC24" i="58" s="1"/>
  <c r="V24" i="58"/>
  <c r="C29" i="58"/>
  <c r="T29" i="58"/>
  <c r="K29" i="58"/>
  <c r="P29" i="58"/>
  <c r="V29" i="58"/>
  <c r="U29" i="58"/>
  <c r="O29" i="46"/>
  <c r="O24" i="46"/>
  <c r="AF13" i="48"/>
  <c r="AF12" i="48"/>
  <c r="AC29" i="58" l="1"/>
  <c r="AR31" i="46"/>
  <c r="BA31" i="46" s="1"/>
  <c r="AM31" i="46"/>
  <c r="AR30" i="46"/>
  <c r="BA30" i="46" s="1"/>
  <c r="AM30" i="46"/>
  <c r="AR29" i="46"/>
  <c r="BA29" i="46" s="1"/>
  <c r="AM29" i="46"/>
  <c r="U29" i="46"/>
  <c r="T29" i="46"/>
  <c r="P29" i="46"/>
  <c r="N29" i="46"/>
  <c r="V29" i="46" s="1"/>
  <c r="J29" i="46"/>
  <c r="C29" i="46"/>
  <c r="N13" i="48" s="1"/>
  <c r="C24" i="46"/>
  <c r="N12" i="48" s="1"/>
  <c r="N24" i="46"/>
  <c r="J24" i="46"/>
  <c r="AR27" i="46"/>
  <c r="BA27" i="46" s="1"/>
  <c r="AM27" i="46"/>
  <c r="AR26" i="46"/>
  <c r="BA26" i="46" s="1"/>
  <c r="AM26" i="46"/>
  <c r="AR25" i="46"/>
  <c r="BA25" i="46" s="1"/>
  <c r="AM25" i="46"/>
  <c r="AR24" i="46"/>
  <c r="BA24" i="46" s="1"/>
  <c r="AM24" i="46"/>
  <c r="I38" i="29"/>
  <c r="I22" i="47" s="1"/>
  <c r="G42" i="29"/>
  <c r="I37" i="29" s="1"/>
  <c r="F42" i="29"/>
  <c r="P18" i="29"/>
  <c r="Q17" i="29"/>
  <c r="Q16" i="29"/>
  <c r="O17" i="29"/>
  <c r="R17" i="29" s="1"/>
  <c r="O16" i="29"/>
  <c r="R16" i="29" s="1"/>
  <c r="O8" i="29"/>
  <c r="N6" i="29"/>
  <c r="I38" i="30"/>
  <c r="I19" i="47" s="1"/>
  <c r="Q18" i="29" l="1"/>
  <c r="AD24" i="46"/>
  <c r="AD27" i="46"/>
  <c r="AD30" i="46"/>
  <c r="AD25" i="46"/>
  <c r="K29" i="46"/>
  <c r="AC29" i="46" s="1"/>
  <c r="R18" i="29"/>
  <c r="R19" i="29" s="1"/>
  <c r="Q19" i="29"/>
  <c r="V24" i="46"/>
  <c r="AD29" i="46"/>
  <c r="P24" i="46"/>
  <c r="T24" i="46"/>
  <c r="U24" i="46"/>
  <c r="K24" i="46"/>
  <c r="L12" i="48" s="1"/>
  <c r="AD31" i="46"/>
  <c r="AD26" i="46"/>
  <c r="G40" i="30"/>
  <c r="G39" i="30"/>
  <c r="O15" i="30"/>
  <c r="P9" i="30"/>
  <c r="Q9" i="30" s="1"/>
  <c r="P8" i="30"/>
  <c r="O9" i="30"/>
  <c r="O8" i="30"/>
  <c r="N6" i="30"/>
  <c r="L13" i="48" l="1"/>
  <c r="R8" i="30"/>
  <c r="AH13" i="48"/>
  <c r="P10" i="30"/>
  <c r="Q8" i="30"/>
  <c r="Q10" i="30" s="1"/>
  <c r="Q11" i="30" s="1"/>
  <c r="AC24" i="46"/>
  <c r="AH12" i="48"/>
  <c r="R9" i="30"/>
  <c r="D6" i="55"/>
  <c r="C6" i="55"/>
  <c r="B6" i="55"/>
  <c r="R10" i="30" l="1"/>
  <c r="R11" i="30"/>
  <c r="KV39" i="1"/>
  <c r="KV38" i="1"/>
  <c r="KV37" i="1"/>
  <c r="KV35" i="1"/>
  <c r="KV34" i="1"/>
  <c r="KV33" i="1"/>
  <c r="KV32" i="1"/>
  <c r="KV31" i="1"/>
  <c r="KV30" i="1"/>
  <c r="KV29" i="1"/>
  <c r="KV28" i="1"/>
  <c r="KV27" i="1"/>
  <c r="KV26" i="1"/>
  <c r="KV25" i="1"/>
  <c r="KV24" i="1"/>
  <c r="KV23" i="1"/>
  <c r="KV22" i="1"/>
  <c r="KV21" i="1"/>
  <c r="KV20" i="1"/>
  <c r="KV19" i="1"/>
  <c r="KV18" i="1"/>
  <c r="KV17" i="1"/>
  <c r="KV15" i="1"/>
  <c r="KV14" i="1"/>
  <c r="KV13" i="1"/>
  <c r="KV12" i="1"/>
  <c r="KV10" i="1"/>
  <c r="KV9" i="1"/>
  <c r="KV11" i="1"/>
  <c r="Z19" i="46" l="1"/>
  <c r="K12" i="31"/>
  <c r="W19" i="58" s="1"/>
  <c r="C8" i="31"/>
  <c r="K11" i="31" s="1"/>
  <c r="W18" i="58" s="1"/>
  <c r="C7" i="31"/>
  <c r="K10" i="31" s="1"/>
  <c r="W20" i="58" s="1"/>
  <c r="BK12" i="2"/>
  <c r="AI12" i="2"/>
  <c r="S12" i="2"/>
  <c r="W20" i="46" l="1"/>
  <c r="F17" i="47"/>
  <c r="G17" i="47" s="1"/>
  <c r="H17" i="47" s="1"/>
  <c r="O19" i="58" s="1"/>
  <c r="F16" i="47"/>
  <c r="E16" i="47"/>
  <c r="F15" i="47"/>
  <c r="F14" i="47"/>
  <c r="E15" i="47"/>
  <c r="E14" i="47"/>
  <c r="AF11" i="48"/>
  <c r="AM22" i="46"/>
  <c r="AR22" i="46"/>
  <c r="BA22" i="46" s="1"/>
  <c r="W19" i="46"/>
  <c r="W18" i="46"/>
  <c r="N18" i="46"/>
  <c r="J18" i="46"/>
  <c r="AR21" i="46"/>
  <c r="BA21" i="46" s="1"/>
  <c r="AM21" i="46"/>
  <c r="AR20" i="46"/>
  <c r="BA20" i="46" s="1"/>
  <c r="AM20" i="46"/>
  <c r="AR19" i="46"/>
  <c r="BA19" i="46" s="1"/>
  <c r="AM19" i="46"/>
  <c r="N19" i="46"/>
  <c r="J19" i="46"/>
  <c r="AR18" i="46"/>
  <c r="BA18" i="46" s="1"/>
  <c r="AM18" i="46"/>
  <c r="G16" i="47" l="1"/>
  <c r="U19" i="58"/>
  <c r="C19" i="58"/>
  <c r="P19" i="58"/>
  <c r="K19" i="58"/>
  <c r="V19" i="58"/>
  <c r="T19" i="58"/>
  <c r="H15" i="47"/>
  <c r="O18" i="58" s="1"/>
  <c r="O19" i="46"/>
  <c r="U19" i="46" s="1"/>
  <c r="AD18" i="46"/>
  <c r="AD22" i="46"/>
  <c r="AD21" i="46"/>
  <c r="AD19" i="46"/>
  <c r="G14" i="47"/>
  <c r="H14" i="47" s="1"/>
  <c r="G15" i="47"/>
  <c r="AD20" i="46"/>
  <c r="AC19" i="58" l="1"/>
  <c r="C19" i="46"/>
  <c r="V19" i="46"/>
  <c r="V18" i="58"/>
  <c r="C18" i="58"/>
  <c r="P18" i="58"/>
  <c r="K18" i="58"/>
  <c r="X18" i="58" s="1"/>
  <c r="U18" i="58"/>
  <c r="AA18" i="58" s="1"/>
  <c r="T18" i="58"/>
  <c r="P19" i="46"/>
  <c r="T19" i="46"/>
  <c r="O18" i="46"/>
  <c r="C18" i="46" s="1"/>
  <c r="N11" i="48" s="1"/>
  <c r="K19" i="46"/>
  <c r="AC19" i="46" s="1"/>
  <c r="AC18" i="58" l="1"/>
  <c r="AB18" i="58"/>
  <c r="T18" i="46"/>
  <c r="U18" i="46"/>
  <c r="AA18" i="46" s="1"/>
  <c r="P18" i="46"/>
  <c r="V18" i="46"/>
  <c r="K18" i="46"/>
  <c r="AH11" i="48"/>
  <c r="L11" i="48" l="1"/>
  <c r="X18" i="46"/>
  <c r="AC18" i="46"/>
  <c r="AB18" i="46" s="1"/>
  <c r="L37" i="31"/>
  <c r="I15" i="47" s="1"/>
  <c r="I38" i="31"/>
  <c r="L38" i="31" s="1"/>
  <c r="I17" i="47" s="1"/>
  <c r="G40" i="31"/>
  <c r="G39" i="31"/>
  <c r="Q9" i="31"/>
  <c r="P8" i="31"/>
  <c r="Q8" i="31" s="1"/>
  <c r="O9" i="31"/>
  <c r="R9" i="31" s="1"/>
  <c r="O8" i="31"/>
  <c r="N6" i="31"/>
  <c r="R8" i="31" l="1"/>
  <c r="R10" i="31" s="1"/>
  <c r="P10" i="31"/>
  <c r="Q10" i="31"/>
  <c r="Q11" i="31" s="1"/>
  <c r="R11" i="31" l="1"/>
  <c r="AI11" i="2"/>
  <c r="S11" i="2"/>
  <c r="C16" i="32"/>
  <c r="I38" i="32"/>
  <c r="L39" i="32"/>
  <c r="I12" i="47" s="1"/>
  <c r="L37" i="32"/>
  <c r="I8" i="47" s="1"/>
  <c r="E12" i="47"/>
  <c r="G12" i="47" s="1"/>
  <c r="F11" i="47"/>
  <c r="F8" i="47"/>
  <c r="G8" i="47" s="1"/>
  <c r="H8" i="47" s="1"/>
  <c r="O13" i="58" s="1"/>
  <c r="E11" i="47"/>
  <c r="E10" i="47"/>
  <c r="G10" i="47" s="1"/>
  <c r="E9" i="47"/>
  <c r="K8" i="32"/>
  <c r="W13" i="58" s="1"/>
  <c r="C25" i="32"/>
  <c r="C9" i="32"/>
  <c r="C8" i="32"/>
  <c r="K7" i="32" s="1"/>
  <c r="W16" i="58" s="1"/>
  <c r="P13" i="58" l="1"/>
  <c r="C13" i="58"/>
  <c r="T13" i="58"/>
  <c r="U13" i="58"/>
  <c r="K13" i="58"/>
  <c r="AC13" i="58" s="1"/>
  <c r="V13" i="58"/>
  <c r="K10" i="32"/>
  <c r="W15" i="58" s="1"/>
  <c r="W16" i="46"/>
  <c r="G9" i="47"/>
  <c r="H9" i="47"/>
  <c r="O13" i="46"/>
  <c r="L38" i="32"/>
  <c r="I11" i="47" s="1"/>
  <c r="G11" i="47"/>
  <c r="H11" i="47" s="1"/>
  <c r="O14" i="58" s="1"/>
  <c r="H12" i="47"/>
  <c r="O15" i="58" s="1"/>
  <c r="P14" i="58" l="1"/>
  <c r="U14" i="58"/>
  <c r="T14" i="58"/>
  <c r="C14" i="58"/>
  <c r="V14" i="58"/>
  <c r="K14" i="58"/>
  <c r="AC14" i="58" s="1"/>
  <c r="P15" i="58"/>
  <c r="U15" i="58"/>
  <c r="C15" i="58"/>
  <c r="T15" i="58"/>
  <c r="V15" i="58"/>
  <c r="K15" i="58"/>
  <c r="O14" i="46"/>
  <c r="O15" i="46"/>
  <c r="X13" i="58" l="1"/>
  <c r="AC15" i="58"/>
  <c r="AF10" i="48"/>
  <c r="AR16" i="46"/>
  <c r="BA16" i="46" s="1"/>
  <c r="AM16" i="46"/>
  <c r="AD16" i="46" s="1"/>
  <c r="W15" i="46"/>
  <c r="W14" i="46"/>
  <c r="W13" i="46"/>
  <c r="Q15" i="46"/>
  <c r="P15" i="46" s="1"/>
  <c r="Q14" i="46"/>
  <c r="Q13" i="46"/>
  <c r="M15" i="46"/>
  <c r="M14" i="46"/>
  <c r="N14" i="46" s="1"/>
  <c r="M13" i="46"/>
  <c r="N13" i="46" s="1"/>
  <c r="K13" i="46" s="1"/>
  <c r="J15" i="46"/>
  <c r="J13" i="46"/>
  <c r="AR15" i="46"/>
  <c r="BA15" i="46" s="1"/>
  <c r="AM15" i="46"/>
  <c r="AR14" i="46"/>
  <c r="BA14" i="46" s="1"/>
  <c r="AM14" i="46"/>
  <c r="J14" i="46"/>
  <c r="AR13" i="46"/>
  <c r="BA13" i="46" s="1"/>
  <c r="AM13" i="46"/>
  <c r="P20" i="32"/>
  <c r="P23" i="32" s="1"/>
  <c r="O20" i="32"/>
  <c r="P22" i="32"/>
  <c r="P21" i="32"/>
  <c r="O22" i="32"/>
  <c r="O21" i="32"/>
  <c r="F42" i="32"/>
  <c r="G40" i="32"/>
  <c r="G39" i="32"/>
  <c r="P9" i="32"/>
  <c r="Q9" i="32" s="1"/>
  <c r="P8" i="32"/>
  <c r="O9" i="32"/>
  <c r="O8" i="32"/>
  <c r="N6" i="32"/>
  <c r="G42" i="32" l="1"/>
  <c r="R9" i="32"/>
  <c r="R8" i="32"/>
  <c r="R10" i="32" s="1"/>
  <c r="P10" i="32"/>
  <c r="Q8" i="32"/>
  <c r="T13" i="46"/>
  <c r="U15" i="46"/>
  <c r="V13" i="46"/>
  <c r="C13" i="46"/>
  <c r="P13" i="46"/>
  <c r="U13" i="46"/>
  <c r="U14" i="46"/>
  <c r="N15" i="46"/>
  <c r="T15" i="46"/>
  <c r="C15" i="46"/>
  <c r="K14" i="46"/>
  <c r="V14" i="46"/>
  <c r="AD13" i="46"/>
  <c r="AD14" i="46"/>
  <c r="AD15" i="46"/>
  <c r="P14" i="46"/>
  <c r="T14" i="46"/>
  <c r="C14" i="46"/>
  <c r="Q10" i="32"/>
  <c r="Q11" i="32" s="1"/>
  <c r="AI10" i="2"/>
  <c r="S10" i="2"/>
  <c r="T34" i="59"/>
  <c r="R34" i="59"/>
  <c r="P34" i="59"/>
  <c r="N34" i="59"/>
  <c r="L34" i="59"/>
  <c r="T33" i="59"/>
  <c r="R33" i="59"/>
  <c r="P33" i="59"/>
  <c r="N33" i="59"/>
  <c r="L33" i="59"/>
  <c r="T32" i="59"/>
  <c r="R32" i="59"/>
  <c r="P32" i="59"/>
  <c r="N32" i="59"/>
  <c r="L32" i="59"/>
  <c r="T31" i="59"/>
  <c r="R31" i="59"/>
  <c r="P31" i="59"/>
  <c r="N31" i="59"/>
  <c r="L31" i="59"/>
  <c r="T30" i="59"/>
  <c r="R30" i="59"/>
  <c r="P30" i="59"/>
  <c r="N30" i="59"/>
  <c r="L30" i="59"/>
  <c r="T29" i="59"/>
  <c r="R29" i="59"/>
  <c r="P29" i="59"/>
  <c r="N29" i="59"/>
  <c r="L29" i="59"/>
  <c r="T28" i="59"/>
  <c r="R28" i="59"/>
  <c r="P28" i="59"/>
  <c r="N28" i="59"/>
  <c r="L28" i="59"/>
  <c r="T27" i="59"/>
  <c r="R27" i="59"/>
  <c r="P27" i="59"/>
  <c r="N27" i="59"/>
  <c r="L27" i="59"/>
  <c r="T26" i="59"/>
  <c r="R26" i="59"/>
  <c r="P26" i="59"/>
  <c r="N26" i="59"/>
  <c r="L26" i="59"/>
  <c r="T25" i="59"/>
  <c r="R25" i="59"/>
  <c r="P25" i="59"/>
  <c r="N25" i="59"/>
  <c r="L25" i="59"/>
  <c r="T24" i="59"/>
  <c r="R24" i="59"/>
  <c r="P24" i="59"/>
  <c r="T23" i="59"/>
  <c r="R23" i="59"/>
  <c r="P23" i="59"/>
  <c r="N23" i="59"/>
  <c r="L23" i="59"/>
  <c r="T22" i="59"/>
  <c r="R22" i="59"/>
  <c r="P22" i="59"/>
  <c r="N22" i="59"/>
  <c r="L22" i="59"/>
  <c r="T21" i="59"/>
  <c r="R21" i="59"/>
  <c r="P21" i="59"/>
  <c r="N21" i="59"/>
  <c r="L21" i="59"/>
  <c r="T20" i="59"/>
  <c r="R20" i="59"/>
  <c r="P20" i="59"/>
  <c r="N20" i="59"/>
  <c r="L20" i="59"/>
  <c r="T19" i="59"/>
  <c r="R19" i="59"/>
  <c r="P19" i="59"/>
  <c r="N19" i="59"/>
  <c r="L19" i="59"/>
  <c r="T18" i="59"/>
  <c r="R18" i="59"/>
  <c r="P18" i="59"/>
  <c r="N18" i="59"/>
  <c r="L18" i="59"/>
  <c r="T17" i="59"/>
  <c r="R17" i="59"/>
  <c r="P17" i="59"/>
  <c r="N17" i="59"/>
  <c r="L17" i="59"/>
  <c r="T16" i="59"/>
  <c r="R16" i="59"/>
  <c r="P16" i="59"/>
  <c r="N16" i="59"/>
  <c r="L16" i="59"/>
  <c r="T13" i="59"/>
  <c r="R13" i="59"/>
  <c r="P13" i="59"/>
  <c r="N13" i="59"/>
  <c r="L13" i="59"/>
  <c r="T12" i="59"/>
  <c r="R12" i="59"/>
  <c r="P12" i="59"/>
  <c r="N12" i="59"/>
  <c r="L12" i="59"/>
  <c r="T11" i="59"/>
  <c r="R11" i="59"/>
  <c r="P11" i="59"/>
  <c r="N11" i="59"/>
  <c r="L11" i="59"/>
  <c r="T10" i="59"/>
  <c r="R10" i="59"/>
  <c r="P10" i="59"/>
  <c r="N10" i="59"/>
  <c r="L10" i="59"/>
  <c r="T9" i="59"/>
  <c r="R9" i="59"/>
  <c r="P9" i="59"/>
  <c r="N9" i="59"/>
  <c r="L9" i="59"/>
  <c r="U6" i="59"/>
  <c r="T6" i="59"/>
  <c r="S6" i="59"/>
  <c r="R6" i="59"/>
  <c r="Q6" i="59"/>
  <c r="P6" i="59"/>
  <c r="M6" i="59"/>
  <c r="L6" i="59"/>
  <c r="U5" i="59"/>
  <c r="T5" i="59"/>
  <c r="S5" i="59"/>
  <c r="R5" i="59"/>
  <c r="Q5" i="59"/>
  <c r="P5" i="59"/>
  <c r="M5" i="59"/>
  <c r="L5" i="59"/>
  <c r="U4" i="59"/>
  <c r="T4" i="59"/>
  <c r="S4" i="59"/>
  <c r="R4" i="59"/>
  <c r="Q4" i="59"/>
  <c r="P4" i="59"/>
  <c r="M4" i="59"/>
  <c r="L4" i="59"/>
  <c r="R11" i="32" l="1"/>
  <c r="AC14" i="46"/>
  <c r="N10" i="48"/>
  <c r="AH10" i="48"/>
  <c r="V15" i="46"/>
  <c r="K15" i="46"/>
  <c r="AC13" i="46"/>
  <c r="BL34" i="59"/>
  <c r="BJ34" i="59"/>
  <c r="BH34" i="59"/>
  <c r="BF34" i="59"/>
  <c r="BL8" i="59"/>
  <c r="BK8" i="59"/>
  <c r="BJ8" i="59"/>
  <c r="BL7" i="59"/>
  <c r="BK7" i="59"/>
  <c r="BJ7" i="59"/>
  <c r="BK6" i="59"/>
  <c r="BJ6" i="59"/>
  <c r="BM5" i="59"/>
  <c r="BL5" i="59"/>
  <c r="BK5" i="59"/>
  <c r="BJ5" i="59"/>
  <c r="BM4" i="59"/>
  <c r="BL4" i="59"/>
  <c r="BK4" i="59"/>
  <c r="BJ4" i="59"/>
  <c r="X13" i="46" l="1"/>
  <c r="AC15" i="46"/>
  <c r="L10" i="48"/>
  <c r="AM34" i="59"/>
  <c r="AL34" i="59"/>
  <c r="AI34" i="59"/>
  <c r="AH34" i="59"/>
  <c r="AE34" i="59"/>
  <c r="AD34" i="59"/>
  <c r="AB34" i="59"/>
  <c r="AA34" i="59"/>
  <c r="Z34" i="59"/>
  <c r="AM33" i="59"/>
  <c r="AL33" i="59"/>
  <c r="AI33" i="59"/>
  <c r="AH33" i="59"/>
  <c r="AE33" i="59"/>
  <c r="AD33" i="59"/>
  <c r="AB33" i="59"/>
  <c r="AA33" i="59"/>
  <c r="Z33" i="59"/>
  <c r="AM32" i="59"/>
  <c r="AL32" i="59"/>
  <c r="AI32" i="59"/>
  <c r="AH32" i="59"/>
  <c r="AE32" i="59"/>
  <c r="AD32" i="59"/>
  <c r="AB32" i="59"/>
  <c r="AA32" i="59"/>
  <c r="Z32" i="59"/>
  <c r="AM31" i="59"/>
  <c r="AL31" i="59"/>
  <c r="AI31" i="59"/>
  <c r="AH31" i="59"/>
  <c r="AE31" i="59"/>
  <c r="AD31" i="59"/>
  <c r="AB31" i="59"/>
  <c r="AA31" i="59"/>
  <c r="Z31" i="59"/>
  <c r="AM30" i="59"/>
  <c r="AL30" i="59"/>
  <c r="AI30" i="59"/>
  <c r="AH30" i="59"/>
  <c r="AE30" i="59"/>
  <c r="AD30" i="59"/>
  <c r="AB30" i="59"/>
  <c r="AA30" i="59"/>
  <c r="Z30" i="59"/>
  <c r="AM29" i="59"/>
  <c r="AL29" i="59"/>
  <c r="AI29" i="59"/>
  <c r="AH29" i="59"/>
  <c r="AE29" i="59"/>
  <c r="AD29" i="59"/>
  <c r="AB29" i="59"/>
  <c r="AA29" i="59"/>
  <c r="Z29" i="59"/>
  <c r="AM28" i="59"/>
  <c r="AL28" i="59"/>
  <c r="AI28" i="59"/>
  <c r="AH28" i="59"/>
  <c r="AE28" i="59"/>
  <c r="AD28" i="59"/>
  <c r="AB28" i="59"/>
  <c r="AA28" i="59"/>
  <c r="Z28" i="59"/>
  <c r="AM27" i="59"/>
  <c r="AL27" i="59"/>
  <c r="AI27" i="59"/>
  <c r="AH27" i="59"/>
  <c r="AE27" i="59"/>
  <c r="AD27" i="59"/>
  <c r="AB27" i="59"/>
  <c r="AA27" i="59"/>
  <c r="Z27" i="59"/>
  <c r="AM26" i="59"/>
  <c r="AL26" i="59"/>
  <c r="AI26" i="59"/>
  <c r="AH26" i="59"/>
  <c r="AE26" i="59"/>
  <c r="AD26" i="59"/>
  <c r="AB26" i="59"/>
  <c r="AA26" i="59"/>
  <c r="Z26" i="59"/>
  <c r="AM25" i="59"/>
  <c r="AL25" i="59"/>
  <c r="AI25" i="59"/>
  <c r="AH25" i="59"/>
  <c r="AE25" i="59"/>
  <c r="AD25" i="59"/>
  <c r="AB25" i="59"/>
  <c r="AA25" i="59"/>
  <c r="Z25" i="59"/>
  <c r="AM24" i="59"/>
  <c r="AL24" i="59"/>
  <c r="AI24" i="59"/>
  <c r="AH24" i="59"/>
  <c r="AE24" i="59"/>
  <c r="AD24" i="59"/>
  <c r="AB24" i="59"/>
  <c r="AA24" i="59"/>
  <c r="Z24" i="59"/>
  <c r="AM23" i="59"/>
  <c r="AL23" i="59"/>
  <c r="AI23" i="59"/>
  <c r="AH23" i="59"/>
  <c r="AE23" i="59"/>
  <c r="AD23" i="59"/>
  <c r="AB23" i="59"/>
  <c r="AA23" i="59"/>
  <c r="Z23" i="59"/>
  <c r="AM22" i="59"/>
  <c r="AL22" i="59"/>
  <c r="AI22" i="59"/>
  <c r="AH22" i="59"/>
  <c r="AE22" i="59"/>
  <c r="AD22" i="59"/>
  <c r="AA22" i="59"/>
  <c r="Z22" i="59"/>
  <c r="AM21" i="59"/>
  <c r="AL21" i="59"/>
  <c r="AI21" i="59"/>
  <c r="AH21" i="59"/>
  <c r="AE21" i="59"/>
  <c r="AD21" i="59"/>
  <c r="AA21" i="59"/>
  <c r="Z21" i="59"/>
  <c r="AM20" i="59"/>
  <c r="AL20" i="59"/>
  <c r="AI20" i="59"/>
  <c r="AH20" i="59"/>
  <c r="AE20" i="59"/>
  <c r="AD20" i="59"/>
  <c r="AC20" i="59"/>
  <c r="AB20" i="59"/>
  <c r="AA20" i="59"/>
  <c r="Z20" i="59"/>
  <c r="AM19" i="59"/>
  <c r="AL19" i="59"/>
  <c r="AI19" i="59"/>
  <c r="AH19" i="59"/>
  <c r="AE19" i="59"/>
  <c r="AD19" i="59"/>
  <c r="AC19" i="59"/>
  <c r="AB19" i="59"/>
  <c r="AA19" i="59"/>
  <c r="Z19" i="59"/>
  <c r="AM18" i="59"/>
  <c r="AL18" i="59"/>
  <c r="AI18" i="59"/>
  <c r="AH18" i="59"/>
  <c r="AE18" i="59"/>
  <c r="AD18" i="59"/>
  <c r="AC18" i="59"/>
  <c r="AB18" i="59"/>
  <c r="AA18" i="59"/>
  <c r="Z18" i="59"/>
  <c r="AM17" i="59"/>
  <c r="AL17" i="59"/>
  <c r="AI17" i="59"/>
  <c r="AH17" i="59"/>
  <c r="AE17" i="59"/>
  <c r="AD17" i="59"/>
  <c r="AC17" i="59"/>
  <c r="AB17" i="59"/>
  <c r="AA17" i="59"/>
  <c r="Z17" i="59"/>
  <c r="AM16" i="59"/>
  <c r="AL16" i="59"/>
  <c r="AI16" i="59"/>
  <c r="AH16" i="59"/>
  <c r="AE16" i="59"/>
  <c r="AD16" i="59"/>
  <c r="AC16" i="59"/>
  <c r="AB16" i="59"/>
  <c r="AA16" i="59"/>
  <c r="Z16" i="59"/>
  <c r="AM15" i="59"/>
  <c r="AL15" i="59"/>
  <c r="AI15" i="59"/>
  <c r="AH15" i="59"/>
  <c r="AE15" i="59"/>
  <c r="AD15" i="59"/>
  <c r="AC15" i="59"/>
  <c r="AB15" i="59"/>
  <c r="AA15" i="59"/>
  <c r="Z15" i="59"/>
  <c r="AM14" i="59"/>
  <c r="AL14" i="59"/>
  <c r="AI14" i="59"/>
  <c r="AH14" i="59"/>
  <c r="AE14" i="59"/>
  <c r="AD14" i="59"/>
  <c r="AC14" i="59"/>
  <c r="AB14" i="59"/>
  <c r="AA14" i="59"/>
  <c r="Z14" i="59"/>
  <c r="AM13" i="59"/>
  <c r="AL13" i="59"/>
  <c r="AI13" i="59"/>
  <c r="AH13" i="59"/>
  <c r="AE13" i="59"/>
  <c r="AD13" i="59"/>
  <c r="AC13" i="59"/>
  <c r="AB13" i="59"/>
  <c r="AA13" i="59"/>
  <c r="Z13" i="59"/>
  <c r="AM12" i="59"/>
  <c r="AL12" i="59"/>
  <c r="AI12" i="59"/>
  <c r="AH12" i="59"/>
  <c r="AE12" i="59"/>
  <c r="AD12" i="59"/>
  <c r="AC12" i="59"/>
  <c r="AB12" i="59"/>
  <c r="AA12" i="59"/>
  <c r="Z12" i="59"/>
  <c r="AM11" i="59"/>
  <c r="AL11" i="59"/>
  <c r="AI11" i="59"/>
  <c r="AH11" i="59"/>
  <c r="AE11" i="59"/>
  <c r="AD11" i="59"/>
  <c r="AC11" i="59"/>
  <c r="AB11" i="59"/>
  <c r="AA11" i="59"/>
  <c r="Z11" i="59"/>
  <c r="AM10" i="59"/>
  <c r="AL10" i="59"/>
  <c r="AI10" i="59"/>
  <c r="AH10" i="59"/>
  <c r="AE10" i="59"/>
  <c r="AD10" i="59"/>
  <c r="AC10" i="59"/>
  <c r="AB10" i="59"/>
  <c r="AA10" i="59"/>
  <c r="Z10" i="59"/>
  <c r="AM9" i="59"/>
  <c r="AL9" i="59"/>
  <c r="AI9" i="59"/>
  <c r="AH9" i="59"/>
  <c r="AE9" i="59"/>
  <c r="AD9" i="59"/>
  <c r="AC9" i="59"/>
  <c r="AB9" i="59"/>
  <c r="AA9" i="59"/>
  <c r="Z9" i="59"/>
  <c r="AM8" i="59"/>
  <c r="AL8" i="59"/>
  <c r="AI8" i="59"/>
  <c r="AH8" i="59"/>
  <c r="AE8" i="59"/>
  <c r="AD8" i="59"/>
  <c r="AC8" i="59"/>
  <c r="AB8" i="59"/>
  <c r="AA8" i="59"/>
  <c r="Z8" i="59"/>
  <c r="AM7" i="59"/>
  <c r="AL7" i="59"/>
  <c r="AI7" i="59"/>
  <c r="AH7" i="59"/>
  <c r="AE7" i="59"/>
  <c r="AD7" i="59"/>
  <c r="AC7" i="59"/>
  <c r="AB7" i="59"/>
  <c r="AA7" i="59"/>
  <c r="Z7" i="59"/>
  <c r="AM6" i="59"/>
  <c r="AL6" i="59"/>
  <c r="AI6" i="59"/>
  <c r="AH6" i="59"/>
  <c r="AE6" i="59"/>
  <c r="AD6" i="59"/>
  <c r="AC6" i="59"/>
  <c r="AB6" i="59"/>
  <c r="AA6" i="59"/>
  <c r="Z6" i="59"/>
  <c r="AM5" i="59"/>
  <c r="AL5" i="59"/>
  <c r="AI5" i="59"/>
  <c r="AH5" i="59"/>
  <c r="AE5" i="59"/>
  <c r="AD5" i="59"/>
  <c r="AC5" i="59"/>
  <c r="AB5" i="59"/>
  <c r="AA5" i="59"/>
  <c r="Z5" i="59"/>
  <c r="AW34" i="59"/>
  <c r="AV34" i="59"/>
  <c r="AS34" i="59"/>
  <c r="AR34" i="59"/>
  <c r="AN34" i="59"/>
  <c r="AW33" i="59"/>
  <c r="AV33" i="59"/>
  <c r="AS33" i="59"/>
  <c r="AR33" i="59"/>
  <c r="AN33" i="59"/>
  <c r="AW32" i="59"/>
  <c r="AV32" i="59"/>
  <c r="AS32" i="59"/>
  <c r="AR32" i="59"/>
  <c r="AN32" i="59"/>
  <c r="AW31" i="59"/>
  <c r="AV31" i="59"/>
  <c r="AS31" i="59"/>
  <c r="AR31" i="59"/>
  <c r="AN31" i="59"/>
  <c r="AW30" i="59"/>
  <c r="AV30" i="59"/>
  <c r="AS30" i="59"/>
  <c r="AR30" i="59"/>
  <c r="AN30" i="59"/>
  <c r="AW29" i="59"/>
  <c r="AV29" i="59"/>
  <c r="AS29" i="59"/>
  <c r="AR29" i="59"/>
  <c r="AN29" i="59"/>
  <c r="AW28" i="59"/>
  <c r="AV28" i="59"/>
  <c r="AS28" i="59"/>
  <c r="AR28" i="59"/>
  <c r="AN28" i="59"/>
  <c r="AW27" i="59"/>
  <c r="AV27" i="59"/>
  <c r="AS27" i="59"/>
  <c r="AR27" i="59"/>
  <c r="AN27" i="59"/>
  <c r="AW26" i="59"/>
  <c r="AV26" i="59"/>
  <c r="AS26" i="59"/>
  <c r="AR26" i="59"/>
  <c r="AN26" i="59"/>
  <c r="AW25" i="59"/>
  <c r="AV25" i="59"/>
  <c r="AS25" i="59"/>
  <c r="AR25" i="59"/>
  <c r="AN25" i="59"/>
  <c r="AW24" i="59"/>
  <c r="AV24" i="59"/>
  <c r="AS24" i="59"/>
  <c r="AR24" i="59"/>
  <c r="AN24" i="59"/>
  <c r="AW23" i="59"/>
  <c r="AV23" i="59"/>
  <c r="AS23" i="59"/>
  <c r="AR23" i="59"/>
  <c r="AN23" i="59"/>
  <c r="AW22" i="59"/>
  <c r="AV22" i="59"/>
  <c r="AS22" i="59"/>
  <c r="AR22" i="59"/>
  <c r="AN22" i="59"/>
  <c r="AW21" i="59"/>
  <c r="AV21" i="59"/>
  <c r="AS21" i="59"/>
  <c r="AR21" i="59"/>
  <c r="AN21" i="59"/>
  <c r="AW20" i="59"/>
  <c r="AV20" i="59"/>
  <c r="AS20" i="59"/>
  <c r="AR20" i="59"/>
  <c r="AN20" i="59"/>
  <c r="AW19" i="59"/>
  <c r="AV19" i="59"/>
  <c r="AS19" i="59"/>
  <c r="AR19" i="59"/>
  <c r="AN19" i="59"/>
  <c r="AW18" i="59"/>
  <c r="AV18" i="59"/>
  <c r="AS18" i="59"/>
  <c r="AR18" i="59"/>
  <c r="AN18" i="59"/>
  <c r="AW17" i="59"/>
  <c r="AV17" i="59"/>
  <c r="AS17" i="59"/>
  <c r="AR17" i="59"/>
  <c r="AN17" i="59"/>
  <c r="AW16" i="59"/>
  <c r="AV16" i="59"/>
  <c r="AS16" i="59"/>
  <c r="AR16" i="59"/>
  <c r="AN16" i="59"/>
  <c r="AW15" i="59"/>
  <c r="AV15" i="59"/>
  <c r="AS15" i="59"/>
  <c r="AR15" i="59"/>
  <c r="AN15" i="59"/>
  <c r="AW14" i="59"/>
  <c r="AV14" i="59"/>
  <c r="AS14" i="59"/>
  <c r="AR14" i="59"/>
  <c r="AN14" i="59"/>
  <c r="AW13" i="59"/>
  <c r="AV13" i="59"/>
  <c r="AS13" i="59"/>
  <c r="AR13" i="59"/>
  <c r="AN13" i="59"/>
  <c r="AW12" i="59"/>
  <c r="AV12" i="59"/>
  <c r="AS12" i="59"/>
  <c r="AR12" i="59"/>
  <c r="AN12" i="59"/>
  <c r="AW11" i="59"/>
  <c r="AV11" i="59"/>
  <c r="AS11" i="59"/>
  <c r="AR11" i="59"/>
  <c r="AN11" i="59"/>
  <c r="AW10" i="59"/>
  <c r="AV10" i="59"/>
  <c r="AS10" i="59"/>
  <c r="AR10" i="59"/>
  <c r="AN10" i="59"/>
  <c r="AW9" i="59"/>
  <c r="AV9" i="59"/>
  <c r="AS9" i="59"/>
  <c r="AR9" i="59"/>
  <c r="AN9" i="59"/>
  <c r="AW8" i="59"/>
  <c r="AV8" i="59"/>
  <c r="AS8" i="59"/>
  <c r="AR8" i="59"/>
  <c r="AN8" i="59"/>
  <c r="AW7" i="59"/>
  <c r="AV7" i="59"/>
  <c r="AS7" i="59"/>
  <c r="AR7" i="59"/>
  <c r="AN7" i="59"/>
  <c r="AW6" i="59"/>
  <c r="AV6" i="59"/>
  <c r="AS6" i="59"/>
  <c r="AR6" i="59"/>
  <c r="AN6" i="59"/>
  <c r="AW5" i="59"/>
  <c r="AV5" i="59"/>
  <c r="AS5" i="59"/>
  <c r="AR5" i="59"/>
  <c r="AN5" i="59"/>
  <c r="CC34" i="59"/>
  <c r="CB34" i="59"/>
  <c r="BY34" i="59"/>
  <c r="BX34" i="59"/>
  <c r="BW34" i="59"/>
  <c r="BV34" i="59"/>
  <c r="BU34" i="59"/>
  <c r="BT34" i="59"/>
  <c r="CC33" i="59"/>
  <c r="CB33" i="59"/>
  <c r="BY33" i="59"/>
  <c r="BX33" i="59"/>
  <c r="BW33" i="59"/>
  <c r="BV33" i="59"/>
  <c r="BU33" i="59"/>
  <c r="BT33" i="59"/>
  <c r="CC32" i="59"/>
  <c r="CB32" i="59"/>
  <c r="BY32" i="59"/>
  <c r="BX32" i="59"/>
  <c r="BW32" i="59"/>
  <c r="BV32" i="59"/>
  <c r="BU32" i="59"/>
  <c r="BT32" i="59"/>
  <c r="CC31" i="59"/>
  <c r="CB31" i="59"/>
  <c r="BY31" i="59"/>
  <c r="BX31" i="59"/>
  <c r="BW31" i="59"/>
  <c r="BV31" i="59"/>
  <c r="BU31" i="59"/>
  <c r="BT31" i="59"/>
  <c r="CC30" i="59"/>
  <c r="CB30" i="59"/>
  <c r="BY30" i="59"/>
  <c r="BX30" i="59"/>
  <c r="BW30" i="59"/>
  <c r="BV30" i="59"/>
  <c r="BU30" i="59"/>
  <c r="BT30" i="59"/>
  <c r="CC29" i="59"/>
  <c r="CB29" i="59"/>
  <c r="BY29" i="59"/>
  <c r="BX29" i="59"/>
  <c r="BW29" i="59"/>
  <c r="BV29" i="59"/>
  <c r="BU29" i="59"/>
  <c r="BT29" i="59"/>
  <c r="CC28" i="59"/>
  <c r="CB28" i="59"/>
  <c r="BY28" i="59"/>
  <c r="BX28" i="59"/>
  <c r="BW28" i="59"/>
  <c r="BV28" i="59"/>
  <c r="BU28" i="59"/>
  <c r="BT28" i="59"/>
  <c r="CC27" i="59"/>
  <c r="CB27" i="59"/>
  <c r="BY27" i="59"/>
  <c r="BX27" i="59"/>
  <c r="BW27" i="59"/>
  <c r="BV27" i="59"/>
  <c r="BU27" i="59"/>
  <c r="BT27" i="59"/>
  <c r="CC26" i="59"/>
  <c r="CB26" i="59"/>
  <c r="BY26" i="59"/>
  <c r="BX26" i="59"/>
  <c r="BW26" i="59"/>
  <c r="BV26" i="59"/>
  <c r="BU26" i="59"/>
  <c r="BT26" i="59"/>
  <c r="CC25" i="59"/>
  <c r="CB25" i="59"/>
  <c r="BY25" i="59"/>
  <c r="BX25" i="59"/>
  <c r="BW25" i="59"/>
  <c r="BV25" i="59"/>
  <c r="BU25" i="59"/>
  <c r="BT25" i="59"/>
  <c r="CC24" i="59"/>
  <c r="CB24" i="59"/>
  <c r="BY24" i="59"/>
  <c r="BX24" i="59"/>
  <c r="BW24" i="59"/>
  <c r="BV24" i="59"/>
  <c r="BU24" i="59"/>
  <c r="BT24" i="59"/>
  <c r="CC23" i="59"/>
  <c r="CB23" i="59"/>
  <c r="BY23" i="59"/>
  <c r="BX23" i="59"/>
  <c r="BW23" i="59"/>
  <c r="BV23" i="59"/>
  <c r="BU23" i="59"/>
  <c r="BT23" i="59"/>
  <c r="CC22" i="59"/>
  <c r="CB22" i="59"/>
  <c r="BY22" i="59"/>
  <c r="BX22" i="59"/>
  <c r="BW22" i="59"/>
  <c r="BV22" i="59"/>
  <c r="BU22" i="59"/>
  <c r="BT22" i="59"/>
  <c r="CC21" i="59"/>
  <c r="CB21" i="59"/>
  <c r="BY21" i="59"/>
  <c r="BX21" i="59"/>
  <c r="BW21" i="59"/>
  <c r="BV21" i="59"/>
  <c r="BU21" i="59"/>
  <c r="BT21" i="59"/>
  <c r="CC20" i="59"/>
  <c r="CB20" i="59"/>
  <c r="BY20" i="59"/>
  <c r="BX20" i="59"/>
  <c r="BW20" i="59"/>
  <c r="BV20" i="59"/>
  <c r="BU20" i="59"/>
  <c r="BT20" i="59"/>
  <c r="CC19" i="59"/>
  <c r="CB19" i="59"/>
  <c r="BY19" i="59"/>
  <c r="BX19" i="59"/>
  <c r="BW19" i="59"/>
  <c r="BV19" i="59"/>
  <c r="BU19" i="59"/>
  <c r="BT19" i="59"/>
  <c r="CC18" i="59"/>
  <c r="CB18" i="59"/>
  <c r="BY18" i="59"/>
  <c r="BX18" i="59"/>
  <c r="BW18" i="59"/>
  <c r="BV18" i="59"/>
  <c r="BU18" i="59"/>
  <c r="BT18" i="59"/>
  <c r="CC17" i="59"/>
  <c r="CB17" i="59"/>
  <c r="BY17" i="59"/>
  <c r="BX17" i="59"/>
  <c r="BW17" i="59"/>
  <c r="BV17" i="59"/>
  <c r="BU17" i="59"/>
  <c r="BT17" i="59"/>
  <c r="CC16" i="59"/>
  <c r="CB16" i="59"/>
  <c r="BY16" i="59"/>
  <c r="BX16" i="59"/>
  <c r="BW16" i="59"/>
  <c r="BV16" i="59"/>
  <c r="BU16" i="59"/>
  <c r="BT16" i="59"/>
  <c r="CC15" i="59"/>
  <c r="CB15" i="59"/>
  <c r="BY15" i="59"/>
  <c r="BX15" i="59"/>
  <c r="BW15" i="59"/>
  <c r="BV15" i="59"/>
  <c r="BU15" i="59"/>
  <c r="BT15" i="59"/>
  <c r="CC14" i="59"/>
  <c r="CB14" i="59"/>
  <c r="BY14" i="59"/>
  <c r="BX14" i="59"/>
  <c r="BW14" i="59"/>
  <c r="BV14" i="59"/>
  <c r="BU14" i="59"/>
  <c r="BT14" i="59"/>
  <c r="CC13" i="59"/>
  <c r="CB13" i="59"/>
  <c r="BY13" i="59"/>
  <c r="BX13" i="59"/>
  <c r="BW13" i="59"/>
  <c r="BV13" i="59"/>
  <c r="BU13" i="59"/>
  <c r="BT13" i="59"/>
  <c r="CC12" i="59"/>
  <c r="CB12" i="59"/>
  <c r="BY12" i="59"/>
  <c r="BX12" i="59"/>
  <c r="BW12" i="59"/>
  <c r="BV12" i="59"/>
  <c r="BU12" i="59"/>
  <c r="BT12" i="59"/>
  <c r="CC11" i="59"/>
  <c r="CB11" i="59"/>
  <c r="BY11" i="59"/>
  <c r="BX11" i="59"/>
  <c r="BW11" i="59"/>
  <c r="BV11" i="59"/>
  <c r="BU11" i="59"/>
  <c r="BT11" i="59"/>
  <c r="CC10" i="59"/>
  <c r="CB10" i="59"/>
  <c r="BY10" i="59"/>
  <c r="BX10" i="59"/>
  <c r="BW10" i="59"/>
  <c r="BV10" i="59"/>
  <c r="BU10" i="59"/>
  <c r="BT10" i="59"/>
  <c r="CC9" i="59"/>
  <c r="CB9" i="59"/>
  <c r="BY9" i="59"/>
  <c r="BX9" i="59"/>
  <c r="BW9" i="59"/>
  <c r="BV9" i="59"/>
  <c r="BU9" i="59"/>
  <c r="BT9" i="59"/>
  <c r="CC8" i="59"/>
  <c r="CB8" i="59"/>
  <c r="BY8" i="59"/>
  <c r="BX8" i="59"/>
  <c r="BW8" i="59"/>
  <c r="BV8" i="59"/>
  <c r="BU8" i="59"/>
  <c r="BT8" i="59"/>
  <c r="CC7" i="59"/>
  <c r="CB7" i="59"/>
  <c r="BY7" i="59"/>
  <c r="BX7" i="59"/>
  <c r="BW7" i="59"/>
  <c r="BV7" i="59"/>
  <c r="BU7" i="59"/>
  <c r="BT7" i="59"/>
  <c r="CC6" i="59"/>
  <c r="CB6" i="59"/>
  <c r="BY6" i="59"/>
  <c r="BX6" i="59"/>
  <c r="BW6" i="59"/>
  <c r="BV6" i="59"/>
  <c r="BU6" i="59"/>
  <c r="BT6" i="59"/>
  <c r="CC5" i="59"/>
  <c r="CB5" i="59"/>
  <c r="BY5" i="59"/>
  <c r="BX5" i="59"/>
  <c r="BW5" i="59"/>
  <c r="BV5" i="59"/>
  <c r="BU5" i="59"/>
  <c r="BT5" i="59"/>
  <c r="CC4" i="59"/>
  <c r="CB4" i="59"/>
  <c r="BY4" i="59"/>
  <c r="BX4" i="59"/>
  <c r="BW4" i="59"/>
  <c r="BV4" i="59"/>
  <c r="BU4" i="59"/>
  <c r="BT4" i="59"/>
  <c r="AW4" i="59"/>
  <c r="AV4" i="59"/>
  <c r="AS4" i="59"/>
  <c r="AR4" i="59"/>
  <c r="AI4" i="59"/>
  <c r="AH4" i="59"/>
  <c r="AE4" i="59"/>
  <c r="AD4" i="59"/>
  <c r="AC4" i="59"/>
  <c r="AB4" i="59"/>
  <c r="AA4" i="59"/>
  <c r="Z4" i="59"/>
  <c r="I5" i="47" l="1"/>
  <c r="H5" i="47"/>
  <c r="O7" i="58" s="1"/>
  <c r="F4" i="47"/>
  <c r="E4" i="47"/>
  <c r="C16" i="33"/>
  <c r="K7" i="33" s="1"/>
  <c r="W6" i="58" s="1"/>
  <c r="AO38" i="45"/>
  <c r="AO36" i="45"/>
  <c r="AO35" i="45"/>
  <c r="AO34" i="45"/>
  <c r="AO33" i="45"/>
  <c r="AO32" i="45"/>
  <c r="AO31" i="45"/>
  <c r="AO30" i="45"/>
  <c r="AO29" i="45"/>
  <c r="AO28" i="45"/>
  <c r="AO27" i="45"/>
  <c r="AO26" i="45"/>
  <c r="AO25" i="45"/>
  <c r="AO24" i="45"/>
  <c r="AO23" i="45"/>
  <c r="AO22" i="45"/>
  <c r="AO21" i="45"/>
  <c r="AO20" i="45"/>
  <c r="AO19" i="45"/>
  <c r="AO18" i="45"/>
  <c r="AO17" i="45"/>
  <c r="AO16" i="45"/>
  <c r="AO15" i="45"/>
  <c r="AO14" i="45"/>
  <c r="AO13" i="45"/>
  <c r="AO12" i="45"/>
  <c r="AO11" i="45"/>
  <c r="AO10" i="45"/>
  <c r="AO9" i="45"/>
  <c r="AO8" i="45"/>
  <c r="AK38" i="45"/>
  <c r="AK36" i="45"/>
  <c r="AK35" i="45"/>
  <c r="AK34" i="45"/>
  <c r="AK33" i="45"/>
  <c r="AK32" i="45"/>
  <c r="AK31" i="45"/>
  <c r="AK30" i="45"/>
  <c r="AK29" i="45"/>
  <c r="AK28" i="45"/>
  <c r="AK27" i="45"/>
  <c r="AK26" i="45"/>
  <c r="AK25" i="45"/>
  <c r="AK24" i="45"/>
  <c r="AK23" i="45"/>
  <c r="AK22" i="45"/>
  <c r="AK21" i="45"/>
  <c r="AK20" i="45"/>
  <c r="AK19" i="45"/>
  <c r="AK18" i="45"/>
  <c r="AK17" i="45"/>
  <c r="AK16" i="45"/>
  <c r="AK15" i="45"/>
  <c r="AK14" i="45"/>
  <c r="AK13" i="45"/>
  <c r="AK12" i="45"/>
  <c r="AK11" i="45"/>
  <c r="AK10" i="45"/>
  <c r="AK9" i="45"/>
  <c r="AK8" i="45"/>
  <c r="AG38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C38" i="45"/>
  <c r="AC36" i="45"/>
  <c r="AC35" i="45"/>
  <c r="AC34" i="45"/>
  <c r="AC33" i="45"/>
  <c r="AC32" i="45"/>
  <c r="AC31" i="45"/>
  <c r="AC30" i="45"/>
  <c r="AC29" i="45"/>
  <c r="AC28" i="45"/>
  <c r="AC27" i="45"/>
  <c r="AC26" i="45"/>
  <c r="AC25" i="45"/>
  <c r="AC24" i="45"/>
  <c r="AC23" i="45"/>
  <c r="AC22" i="45"/>
  <c r="AC21" i="45"/>
  <c r="AC20" i="45"/>
  <c r="AC19" i="45"/>
  <c r="AC18" i="45"/>
  <c r="AC17" i="45"/>
  <c r="AC16" i="45"/>
  <c r="AC15" i="45"/>
  <c r="AC14" i="45"/>
  <c r="AC13" i="45"/>
  <c r="AC12" i="45"/>
  <c r="AC11" i="45"/>
  <c r="AC10" i="45"/>
  <c r="AC9" i="45"/>
  <c r="Y38" i="45"/>
  <c r="Y36" i="45"/>
  <c r="Y35" i="45"/>
  <c r="Y34" i="45"/>
  <c r="Y33" i="45"/>
  <c r="Y32" i="45"/>
  <c r="Y31" i="45"/>
  <c r="Y30" i="45"/>
  <c r="Y29" i="45"/>
  <c r="Y28" i="45"/>
  <c r="Y27" i="45"/>
  <c r="Y26" i="45"/>
  <c r="Y25" i="45"/>
  <c r="Y24" i="45"/>
  <c r="Y23" i="45"/>
  <c r="Y22" i="45"/>
  <c r="Y21" i="45"/>
  <c r="Y20" i="45"/>
  <c r="Y19" i="45"/>
  <c r="Y18" i="45"/>
  <c r="Y17" i="45"/>
  <c r="Y16" i="45"/>
  <c r="Y15" i="45"/>
  <c r="Y14" i="45"/>
  <c r="Y13" i="45"/>
  <c r="Y12" i="45"/>
  <c r="Y11" i="45"/>
  <c r="Y10" i="45"/>
  <c r="Y9" i="45"/>
  <c r="U38" i="45"/>
  <c r="U37" i="45"/>
  <c r="U36" i="45"/>
  <c r="U35" i="45"/>
  <c r="U34" i="45"/>
  <c r="U33" i="45"/>
  <c r="U32" i="45"/>
  <c r="U31" i="45"/>
  <c r="U30" i="45"/>
  <c r="U29" i="45"/>
  <c r="U28" i="45"/>
  <c r="U27" i="45"/>
  <c r="U26" i="45"/>
  <c r="U25" i="45"/>
  <c r="U24" i="45"/>
  <c r="U23" i="45"/>
  <c r="U22" i="45"/>
  <c r="U21" i="45"/>
  <c r="U20" i="45"/>
  <c r="U19" i="45"/>
  <c r="U18" i="45"/>
  <c r="U17" i="45"/>
  <c r="U16" i="45"/>
  <c r="U15" i="45"/>
  <c r="U14" i="45"/>
  <c r="U13" i="45"/>
  <c r="U12" i="45"/>
  <c r="U11" i="45"/>
  <c r="U10" i="45"/>
  <c r="U9" i="45"/>
  <c r="U8" i="45"/>
  <c r="Q38" i="45"/>
  <c r="Q37" i="45"/>
  <c r="Q36" i="45"/>
  <c r="Q35" i="45"/>
  <c r="Q34" i="45"/>
  <c r="Q33" i="45"/>
  <c r="Q32" i="45"/>
  <c r="Q31" i="45"/>
  <c r="Q30" i="45"/>
  <c r="Q29" i="45"/>
  <c r="Q28" i="45"/>
  <c r="Q27" i="45"/>
  <c r="Q26" i="45"/>
  <c r="Q25" i="45"/>
  <c r="Q24" i="45"/>
  <c r="Q23" i="45"/>
  <c r="Q22" i="45"/>
  <c r="Q21" i="45"/>
  <c r="Q20" i="45"/>
  <c r="Q19" i="45"/>
  <c r="Q18" i="45"/>
  <c r="Q17" i="45"/>
  <c r="Q16" i="45"/>
  <c r="Q15" i="45"/>
  <c r="Q14" i="45"/>
  <c r="Q13" i="45"/>
  <c r="Q12" i="45"/>
  <c r="Q11" i="45"/>
  <c r="Q10" i="45"/>
  <c r="Q9" i="45"/>
  <c r="Q8" i="45"/>
  <c r="M38" i="45"/>
  <c r="M37" i="45"/>
  <c r="M36" i="45"/>
  <c r="M35" i="45"/>
  <c r="M34" i="45"/>
  <c r="M33" i="45"/>
  <c r="M32" i="45"/>
  <c r="M31" i="45"/>
  <c r="M30" i="45"/>
  <c r="M29" i="45"/>
  <c r="M28" i="45"/>
  <c r="M27" i="45"/>
  <c r="M26" i="45"/>
  <c r="M25" i="45"/>
  <c r="M24" i="45"/>
  <c r="M23" i="45"/>
  <c r="M22" i="45"/>
  <c r="M21" i="45"/>
  <c r="M20" i="45"/>
  <c r="M19" i="45"/>
  <c r="M18" i="45"/>
  <c r="M17" i="45"/>
  <c r="M16" i="45"/>
  <c r="M15" i="45"/>
  <c r="M14" i="45"/>
  <c r="M13" i="45"/>
  <c r="M12" i="45"/>
  <c r="M11" i="45"/>
  <c r="M10" i="45"/>
  <c r="M9" i="45"/>
  <c r="M8" i="45"/>
  <c r="I38" i="45"/>
  <c r="I37" i="45"/>
  <c r="I36" i="45"/>
  <c r="I35" i="45"/>
  <c r="I34" i="45"/>
  <c r="I33" i="45"/>
  <c r="I32" i="45"/>
  <c r="I31" i="45"/>
  <c r="I30" i="45"/>
  <c r="I29" i="45"/>
  <c r="I28" i="45"/>
  <c r="I27" i="45"/>
  <c r="I26" i="45"/>
  <c r="I25" i="45"/>
  <c r="I24" i="45"/>
  <c r="I23" i="45"/>
  <c r="I22" i="45"/>
  <c r="I21" i="45"/>
  <c r="I20" i="45"/>
  <c r="I19" i="45"/>
  <c r="I18" i="45"/>
  <c r="I17" i="45"/>
  <c r="I16" i="45"/>
  <c r="I15" i="45"/>
  <c r="I14" i="45"/>
  <c r="I13" i="45"/>
  <c r="I12" i="45"/>
  <c r="I11" i="45"/>
  <c r="I10" i="45"/>
  <c r="I9" i="45"/>
  <c r="I8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P7" i="58" l="1"/>
  <c r="U7" i="58"/>
  <c r="T7" i="58"/>
  <c r="C7" i="58"/>
  <c r="K7" i="58"/>
  <c r="AC7" i="58" s="1"/>
  <c r="V7" i="58"/>
  <c r="C17" i="33"/>
  <c r="K9" i="33" s="1"/>
  <c r="W8" i="58" s="1"/>
  <c r="W8" i="46" l="1"/>
  <c r="AF9" i="48"/>
  <c r="AM10" i="46"/>
  <c r="AR10" i="46"/>
  <c r="BA10" i="46" s="1"/>
  <c r="AM11" i="46"/>
  <c r="AR11" i="46"/>
  <c r="BA11" i="46" s="1"/>
  <c r="AD11" i="46" s="1"/>
  <c r="AM9" i="46"/>
  <c r="AR9" i="46"/>
  <c r="BA9" i="46" s="1"/>
  <c r="W7" i="46"/>
  <c r="W6" i="46"/>
  <c r="R6" i="46"/>
  <c r="Q6" i="46"/>
  <c r="F10" i="33"/>
  <c r="M7" i="46"/>
  <c r="I38" i="33"/>
  <c r="N37" i="33" s="1"/>
  <c r="I4" i="47" s="1"/>
  <c r="F42" i="33"/>
  <c r="G39" i="33"/>
  <c r="G38" i="33"/>
  <c r="P11" i="33"/>
  <c r="P26" i="33"/>
  <c r="P27" i="33" s="1"/>
  <c r="O26" i="33"/>
  <c r="R26" i="33" s="1"/>
  <c r="Q25" i="33"/>
  <c r="O25" i="33"/>
  <c r="R25" i="33" s="1"/>
  <c r="Q9" i="33"/>
  <c r="Q8" i="33"/>
  <c r="Q10" i="33"/>
  <c r="O10" i="33"/>
  <c r="R10" i="33" s="1"/>
  <c r="O9" i="33"/>
  <c r="R9" i="33" s="1"/>
  <c r="O8" i="33"/>
  <c r="R8" i="33" s="1"/>
  <c r="N6" i="33"/>
  <c r="G42" i="33" l="1"/>
  <c r="I37" i="33" s="1"/>
  <c r="R27" i="33"/>
  <c r="R28" i="33" s="1"/>
  <c r="Q11" i="33"/>
  <c r="Q12" i="33" s="1"/>
  <c r="AD10" i="46"/>
  <c r="R11" i="33"/>
  <c r="R12" i="33" s="1"/>
  <c r="AD9" i="46"/>
  <c r="N7" i="46"/>
  <c r="Q26" i="33"/>
  <c r="Q27" i="33" s="1"/>
  <c r="Q28" i="33" s="1"/>
  <c r="J7" i="46" l="1"/>
  <c r="CJ38" i="59" l="1"/>
  <c r="CD38" i="59"/>
  <c r="BR38" i="59"/>
  <c r="BN38" i="59"/>
  <c r="CJ39" i="59"/>
  <c r="CH39" i="59"/>
  <c r="CF39" i="59"/>
  <c r="CD39" i="59"/>
  <c r="CB39" i="59"/>
  <c r="BZ39" i="59"/>
  <c r="BX39" i="59"/>
  <c r="BV39" i="59"/>
  <c r="BT39" i="59"/>
  <c r="BR39" i="59"/>
  <c r="BP39" i="59"/>
  <c r="BN39" i="59"/>
  <c r="BL39" i="59"/>
  <c r="BJ39" i="59"/>
  <c r="BH39" i="59"/>
  <c r="BF39" i="59"/>
  <c r="BD39" i="59"/>
  <c r="BB39" i="59"/>
  <c r="AZ39" i="59"/>
  <c r="AX39" i="59"/>
  <c r="AV39" i="59"/>
  <c r="AT39" i="59"/>
  <c r="AR39" i="59"/>
  <c r="AP39" i="59"/>
  <c r="AN39" i="59"/>
  <c r="AL39" i="59"/>
  <c r="AJ39" i="59"/>
  <c r="AH39" i="59"/>
  <c r="AF39" i="59"/>
  <c r="AD39" i="59"/>
  <c r="AB39" i="59"/>
  <c r="Z39" i="59"/>
  <c r="X39" i="59"/>
  <c r="V39" i="59"/>
  <c r="H39" i="59" l="1"/>
  <c r="F39" i="59"/>
  <c r="D39" i="59"/>
  <c r="B39" i="59"/>
  <c r="CJ47" i="59"/>
  <c r="CH47" i="59"/>
  <c r="CF47" i="59"/>
  <c r="CD47" i="59"/>
  <c r="CB47" i="59"/>
  <c r="BZ47" i="59"/>
  <c r="BX47" i="59"/>
  <c r="BV47" i="59"/>
  <c r="BT47" i="59"/>
  <c r="BR47" i="59"/>
  <c r="BP47" i="59"/>
  <c r="BN47" i="59"/>
  <c r="BL47" i="59"/>
  <c r="BJ47" i="59"/>
  <c r="BH47" i="59"/>
  <c r="BF47" i="59"/>
  <c r="BD47" i="59"/>
  <c r="BB47" i="59"/>
  <c r="AZ47" i="59"/>
  <c r="AX47" i="59"/>
  <c r="AV47" i="59"/>
  <c r="AR47" i="59"/>
  <c r="AP47" i="59"/>
  <c r="AN47" i="59"/>
  <c r="AL47" i="59"/>
  <c r="AJ47" i="59"/>
  <c r="AH47" i="59"/>
  <c r="AF47" i="59"/>
  <c r="AD47" i="59"/>
  <c r="AB47" i="59"/>
  <c r="Z47" i="59"/>
  <c r="X47" i="59"/>
  <c r="V47" i="59"/>
  <c r="T47" i="59"/>
  <c r="R47" i="59"/>
  <c r="P47" i="59"/>
  <c r="N47" i="59"/>
  <c r="L47" i="59"/>
  <c r="J47" i="59"/>
  <c r="H47" i="59"/>
  <c r="F47" i="59"/>
  <c r="D47" i="59"/>
  <c r="B47" i="59"/>
  <c r="CJ46" i="59"/>
  <c r="CH46" i="59"/>
  <c r="CF46" i="59"/>
  <c r="CD46" i="59"/>
  <c r="CB46" i="59"/>
  <c r="BZ46" i="59"/>
  <c r="BX46" i="59"/>
  <c r="BV46" i="59"/>
  <c r="BT46" i="59"/>
  <c r="BR46" i="59"/>
  <c r="BP46" i="59"/>
  <c r="BN46" i="59"/>
  <c r="BL46" i="59"/>
  <c r="BJ46" i="59"/>
  <c r="BH46" i="59"/>
  <c r="BF46" i="59"/>
  <c r="BD46" i="59"/>
  <c r="BB46" i="59"/>
  <c r="AZ46" i="59"/>
  <c r="AX46" i="59"/>
  <c r="AV46" i="59"/>
  <c r="AT46" i="59"/>
  <c r="AR46" i="59"/>
  <c r="AP46" i="59"/>
  <c r="AN46" i="59"/>
  <c r="AL46" i="59"/>
  <c r="AJ46" i="59"/>
  <c r="AH46" i="59"/>
  <c r="AF46" i="59"/>
  <c r="AD46" i="59"/>
  <c r="AB46" i="59"/>
  <c r="Z46" i="59"/>
  <c r="X46" i="59"/>
  <c r="V46" i="59"/>
  <c r="T46" i="59"/>
  <c r="R46" i="59"/>
  <c r="P46" i="59"/>
  <c r="N46" i="59"/>
  <c r="L46" i="59"/>
  <c r="J46" i="59"/>
  <c r="H46" i="59"/>
  <c r="F46" i="59"/>
  <c r="D46" i="59"/>
  <c r="B46" i="59"/>
  <c r="CJ45" i="59"/>
  <c r="CH45" i="59"/>
  <c r="CF45" i="59"/>
  <c r="CD45" i="59"/>
  <c r="CB45" i="59"/>
  <c r="BZ45" i="59"/>
  <c r="BX45" i="59"/>
  <c r="BV45" i="59"/>
  <c r="BT45" i="59"/>
  <c r="BR45" i="59"/>
  <c r="BP45" i="59"/>
  <c r="BN45" i="59"/>
  <c r="BL45" i="59"/>
  <c r="BJ45" i="59"/>
  <c r="BH45" i="59"/>
  <c r="BF45" i="59"/>
  <c r="BD45" i="59"/>
  <c r="BB45" i="59"/>
  <c r="AZ45" i="59"/>
  <c r="AX45" i="59"/>
  <c r="AV45" i="59"/>
  <c r="AT45" i="59"/>
  <c r="AR45" i="59"/>
  <c r="AP45" i="59"/>
  <c r="AN45" i="59"/>
  <c r="AL45" i="59"/>
  <c r="AJ45" i="59"/>
  <c r="AH45" i="59"/>
  <c r="AF45" i="59"/>
  <c r="AD45" i="59"/>
  <c r="AB45" i="59"/>
  <c r="Z45" i="59"/>
  <c r="X45" i="59"/>
  <c r="V45" i="59"/>
  <c r="T45" i="59"/>
  <c r="R45" i="59"/>
  <c r="P45" i="59"/>
  <c r="N45" i="59"/>
  <c r="L45" i="59"/>
  <c r="J45" i="59"/>
  <c r="H45" i="59"/>
  <c r="F45" i="59"/>
  <c r="D45" i="59"/>
  <c r="B45" i="59"/>
  <c r="CJ44" i="59"/>
  <c r="CH44" i="59"/>
  <c r="CF44" i="59"/>
  <c r="CD44" i="59"/>
  <c r="CB44" i="59"/>
  <c r="BZ44" i="59"/>
  <c r="BX44" i="59"/>
  <c r="BV44" i="59"/>
  <c r="BT44" i="59"/>
  <c r="BR44" i="59"/>
  <c r="BP44" i="59"/>
  <c r="BN44" i="59"/>
  <c r="BL44" i="59"/>
  <c r="BJ44" i="59"/>
  <c r="BH44" i="59"/>
  <c r="BF44" i="59"/>
  <c r="BD44" i="59"/>
  <c r="BB44" i="59"/>
  <c r="AZ44" i="59"/>
  <c r="AX44" i="59"/>
  <c r="AV44" i="59"/>
  <c r="AT44" i="59"/>
  <c r="AR44" i="59"/>
  <c r="AP44" i="59"/>
  <c r="AN44" i="59"/>
  <c r="AL44" i="59"/>
  <c r="AJ44" i="59"/>
  <c r="AH44" i="59"/>
  <c r="AF44" i="59"/>
  <c r="AD44" i="59"/>
  <c r="AB44" i="59"/>
  <c r="Z44" i="59"/>
  <c r="X44" i="59"/>
  <c r="V44" i="59"/>
  <c r="T44" i="59"/>
  <c r="R44" i="59"/>
  <c r="P44" i="59"/>
  <c r="N44" i="59"/>
  <c r="L44" i="59"/>
  <c r="J44" i="59"/>
  <c r="H44" i="59"/>
  <c r="F44" i="59"/>
  <c r="D44" i="59"/>
  <c r="B44" i="59"/>
  <c r="CJ43" i="59"/>
  <c r="CH43" i="59"/>
  <c r="CF43" i="59"/>
  <c r="CD43" i="59"/>
  <c r="CB43" i="59"/>
  <c r="BZ43" i="59"/>
  <c r="BX43" i="59"/>
  <c r="BV43" i="59"/>
  <c r="BT43" i="59"/>
  <c r="BR43" i="59"/>
  <c r="BP43" i="59"/>
  <c r="BN43" i="59"/>
  <c r="BL43" i="59"/>
  <c r="BJ43" i="59"/>
  <c r="BH43" i="59"/>
  <c r="BF43" i="59"/>
  <c r="BD43" i="59"/>
  <c r="BB43" i="59"/>
  <c r="AZ43" i="59"/>
  <c r="AX43" i="59"/>
  <c r="AV43" i="59"/>
  <c r="AT43" i="59"/>
  <c r="AR43" i="59"/>
  <c r="AP43" i="59"/>
  <c r="AN43" i="59"/>
  <c r="AL43" i="59"/>
  <c r="AJ43" i="59"/>
  <c r="AH43" i="59"/>
  <c r="AF43" i="59"/>
  <c r="AD43" i="59"/>
  <c r="AB43" i="59"/>
  <c r="Z43" i="59"/>
  <c r="X43" i="59"/>
  <c r="V43" i="59"/>
  <c r="T43" i="59"/>
  <c r="R43" i="59"/>
  <c r="P43" i="59"/>
  <c r="N43" i="59"/>
  <c r="L43" i="59"/>
  <c r="J43" i="59"/>
  <c r="H43" i="59"/>
  <c r="F43" i="59"/>
  <c r="D43" i="59"/>
  <c r="B43" i="59"/>
  <c r="CH42" i="59"/>
  <c r="CF42" i="59"/>
  <c r="CD42" i="59"/>
  <c r="CB42" i="59"/>
  <c r="BZ42" i="59"/>
  <c r="BX42" i="59"/>
  <c r="BV42" i="59"/>
  <c r="BT42" i="59"/>
  <c r="BR42" i="59"/>
  <c r="BP42" i="59"/>
  <c r="BN42" i="59"/>
  <c r="BL42" i="59"/>
  <c r="BJ42" i="59"/>
  <c r="BH42" i="59"/>
  <c r="BF42" i="59"/>
  <c r="BD42" i="59"/>
  <c r="BB42" i="59"/>
  <c r="AZ42" i="59"/>
  <c r="AX42" i="59"/>
  <c r="AV42" i="59"/>
  <c r="AT42" i="59"/>
  <c r="AR42" i="59"/>
  <c r="AP42" i="59"/>
  <c r="AN42" i="59"/>
  <c r="AL42" i="59"/>
  <c r="AJ42" i="59"/>
  <c r="AH42" i="59"/>
  <c r="AF42" i="59"/>
  <c r="AD42" i="59"/>
  <c r="AB42" i="59"/>
  <c r="Z42" i="59"/>
  <c r="X42" i="59"/>
  <c r="V42" i="59"/>
  <c r="T42" i="59"/>
  <c r="R42" i="59"/>
  <c r="P42" i="59"/>
  <c r="N42" i="59"/>
  <c r="L42" i="59"/>
  <c r="J42" i="59"/>
  <c r="H42" i="59"/>
  <c r="F42" i="59"/>
  <c r="D42" i="59"/>
  <c r="B42" i="59"/>
  <c r="CJ41" i="59"/>
  <c r="CH41" i="59"/>
  <c r="CF41" i="59"/>
  <c r="CD41" i="59"/>
  <c r="CB41" i="59"/>
  <c r="BZ41" i="59"/>
  <c r="BX41" i="59"/>
  <c r="BV41" i="59"/>
  <c r="BT41" i="59"/>
  <c r="BR41" i="59"/>
  <c r="BP41" i="59"/>
  <c r="BN41" i="59"/>
  <c r="BL41" i="59"/>
  <c r="BJ41" i="59"/>
  <c r="BH41" i="59"/>
  <c r="BF41" i="59"/>
  <c r="BD41" i="59"/>
  <c r="BB41" i="59"/>
  <c r="AZ41" i="59"/>
  <c r="AX41" i="59"/>
  <c r="AV41" i="59"/>
  <c r="AT41" i="59"/>
  <c r="AR41" i="59"/>
  <c r="AP41" i="59"/>
  <c r="AN41" i="59"/>
  <c r="AL41" i="59"/>
  <c r="AJ41" i="59"/>
  <c r="AH41" i="59"/>
  <c r="AF41" i="59"/>
  <c r="AD41" i="59"/>
  <c r="AB41" i="59"/>
  <c r="Z41" i="59"/>
  <c r="X41" i="59"/>
  <c r="V41" i="59"/>
  <c r="T41" i="59"/>
  <c r="R41" i="59"/>
  <c r="P41" i="59"/>
  <c r="N41" i="59"/>
  <c r="L41" i="59"/>
  <c r="J41" i="59"/>
  <c r="H41" i="59"/>
  <c r="F41" i="59"/>
  <c r="D41" i="59"/>
  <c r="B41" i="59"/>
  <c r="CJ40" i="59"/>
  <c r="CH40" i="59"/>
  <c r="CF40" i="59"/>
  <c r="CD40" i="59"/>
  <c r="CB40" i="59"/>
  <c r="BZ40" i="59"/>
  <c r="BX40" i="59"/>
  <c r="BV40" i="59"/>
  <c r="BT40" i="59"/>
  <c r="BR40" i="59"/>
  <c r="BP40" i="59"/>
  <c r="BN40" i="59"/>
  <c r="BL40" i="59"/>
  <c r="BJ40" i="59"/>
  <c r="BH40" i="59"/>
  <c r="BF40" i="59"/>
  <c r="BD40" i="59"/>
  <c r="BB40" i="59"/>
  <c r="AZ40" i="59"/>
  <c r="AX40" i="59"/>
  <c r="AV40" i="59"/>
  <c r="AT40" i="59"/>
  <c r="AR40" i="59"/>
  <c r="AP40" i="59"/>
  <c r="AN40" i="59"/>
  <c r="AL40" i="59"/>
  <c r="AJ40" i="59"/>
  <c r="AH40" i="59"/>
  <c r="AF40" i="59"/>
  <c r="AD40" i="59"/>
  <c r="AB40" i="59"/>
  <c r="Z40" i="59"/>
  <c r="X40" i="59"/>
  <c r="V40" i="59"/>
  <c r="T40" i="59"/>
  <c r="R40" i="59"/>
  <c r="P40" i="59"/>
  <c r="N40" i="59"/>
  <c r="L40" i="59"/>
  <c r="J40" i="59"/>
  <c r="H40" i="59"/>
  <c r="F40" i="59"/>
  <c r="D40" i="59"/>
  <c r="B40" i="59"/>
  <c r="J39" i="59" l="1"/>
  <c r="P39" i="59" l="1"/>
  <c r="R39" i="59" l="1"/>
  <c r="N39" i="59"/>
  <c r="T39" i="59"/>
  <c r="L39" i="59" l="1"/>
  <c r="A6" i="46" l="1"/>
  <c r="AR8" i="46"/>
  <c r="BA8" i="46" s="1"/>
  <c r="AM8" i="46"/>
  <c r="AR7" i="46"/>
  <c r="BA7" i="46" s="1"/>
  <c r="AM7" i="46"/>
  <c r="AR6" i="46"/>
  <c r="BA6" i="46" s="1"/>
  <c r="AM6" i="46"/>
  <c r="N6" i="46"/>
  <c r="AD7" i="46" l="1"/>
  <c r="AD6" i="46"/>
  <c r="AD8" i="46"/>
  <c r="H6" i="46"/>
  <c r="BF163" i="46"/>
  <c r="BE163" i="46"/>
  <c r="BD163" i="46"/>
  <c r="BC163" i="46"/>
  <c r="BB163" i="46"/>
  <c r="J6" i="46" l="1"/>
  <c r="AL38" i="59"/>
  <c r="AM4" i="59"/>
  <c r="AL4" i="59"/>
  <c r="A4" i="59" l="1"/>
  <c r="B1" i="47" l="1"/>
  <c r="A8" i="45"/>
  <c r="CB38" i="59" l="1"/>
  <c r="BX38" i="59"/>
  <c r="BV38" i="59"/>
  <c r="BT38" i="59"/>
  <c r="AX38" i="59"/>
  <c r="AV38" i="59"/>
  <c r="AR38" i="59"/>
  <c r="AH38" i="59"/>
  <c r="AD38" i="59"/>
  <c r="Z38" i="59"/>
  <c r="P20" i="48" l="1"/>
  <c r="F32" i="27" l="1"/>
  <c r="E32" i="27"/>
  <c r="D32" i="27"/>
  <c r="C32" i="27"/>
  <c r="C33" i="27" s="1"/>
  <c r="F23" i="27"/>
  <c r="E23" i="27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D14" i="29"/>
  <c r="C14" i="29"/>
  <c r="F32" i="30"/>
  <c r="E32" i="30"/>
  <c r="D32" i="30"/>
  <c r="C32" i="30"/>
  <c r="D33" i="30" s="1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F14" i="31"/>
  <c r="E14" i="31"/>
  <c r="D14" i="31"/>
  <c r="C14" i="31"/>
  <c r="J8" i="32"/>
  <c r="J9" i="32"/>
  <c r="E34" i="27" l="1"/>
  <c r="D33" i="29"/>
  <c r="E33" i="30"/>
  <c r="C34" i="27"/>
  <c r="C33" i="30"/>
  <c r="D33" i="27"/>
  <c r="D33" i="31"/>
  <c r="E33" i="27"/>
  <c r="D34" i="27"/>
  <c r="E33" i="31"/>
  <c r="C33" i="29"/>
  <c r="E33" i="29"/>
  <c r="C34" i="30"/>
  <c r="K12" i="30" s="1"/>
  <c r="D34" i="29"/>
  <c r="Z29" i="58" s="1"/>
  <c r="D34" i="30"/>
  <c r="Z24" i="58" s="1"/>
  <c r="E34" i="29"/>
  <c r="F34" i="27"/>
  <c r="E34" i="30"/>
  <c r="F34" i="29"/>
  <c r="C33" i="31"/>
  <c r="F34" i="30"/>
  <c r="C34" i="29"/>
  <c r="K12" i="29" s="1"/>
  <c r="Z29" i="46" l="1"/>
  <c r="Z24" i="46"/>
  <c r="C35" i="27"/>
  <c r="E35" i="27"/>
  <c r="D35" i="27"/>
  <c r="F42" i="30" l="1"/>
  <c r="G42" i="30" l="1"/>
  <c r="I37" i="30" s="1"/>
  <c r="BC40" i="2" l="1"/>
  <c r="BC39" i="2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BC11" i="2" l="1"/>
  <c r="AA33" i="46" l="1"/>
  <c r="AB33" i="46" s="1"/>
  <c r="I37" i="32"/>
  <c r="BC10" i="2" l="1"/>
  <c r="AE10" i="2" l="1"/>
  <c r="F6" i="47" l="1"/>
  <c r="E6" i="47"/>
  <c r="H6" i="47" s="1"/>
  <c r="O7" i="46" l="1"/>
  <c r="T39" i="48"/>
  <c r="T38" i="48"/>
  <c r="P7" i="46" l="1"/>
  <c r="C7" i="46"/>
  <c r="U7" i="46"/>
  <c r="T7" i="46"/>
  <c r="V7" i="46"/>
  <c r="K7" i="46"/>
  <c r="AC7" i="46" s="1"/>
  <c r="A5" i="59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F32" i="37" l="1"/>
  <c r="E32" i="37"/>
  <c r="D32" i="37"/>
  <c r="C32" i="37"/>
  <c r="F23" i="37"/>
  <c r="E23" i="37"/>
  <c r="D23" i="37"/>
  <c r="C23" i="37"/>
  <c r="F14" i="37"/>
  <c r="E14" i="37"/>
  <c r="D14" i="37"/>
  <c r="C14" i="37"/>
  <c r="F32" i="43"/>
  <c r="E32" i="43"/>
  <c r="D32" i="43"/>
  <c r="C32" i="43"/>
  <c r="F23" i="43"/>
  <c r="E23" i="43"/>
  <c r="D23" i="43"/>
  <c r="C23" i="43"/>
  <c r="F14" i="43"/>
  <c r="E14" i="43"/>
  <c r="D14" i="43"/>
  <c r="C14" i="43"/>
  <c r="F32" i="6"/>
  <c r="E32" i="6"/>
  <c r="D32" i="6"/>
  <c r="C32" i="6"/>
  <c r="F23" i="6"/>
  <c r="E23" i="6"/>
  <c r="D23" i="6"/>
  <c r="C23" i="6"/>
  <c r="F14" i="6"/>
  <c r="E14" i="6"/>
  <c r="D14" i="6"/>
  <c r="C14" i="6"/>
  <c r="F32" i="7"/>
  <c r="E32" i="7"/>
  <c r="D32" i="7"/>
  <c r="C32" i="7"/>
  <c r="F23" i="7"/>
  <c r="E23" i="7"/>
  <c r="D23" i="7"/>
  <c r="C23" i="7"/>
  <c r="F14" i="7"/>
  <c r="E14" i="7"/>
  <c r="D14" i="7"/>
  <c r="C14" i="7"/>
  <c r="F32" i="8"/>
  <c r="E32" i="8"/>
  <c r="D32" i="8"/>
  <c r="C32" i="8"/>
  <c r="F23" i="8"/>
  <c r="E23" i="8"/>
  <c r="D23" i="8"/>
  <c r="C23" i="8"/>
  <c r="F14" i="8"/>
  <c r="E14" i="8"/>
  <c r="D14" i="8"/>
  <c r="C14" i="8"/>
  <c r="F32" i="9"/>
  <c r="F34" i="9" s="1"/>
  <c r="E32" i="9"/>
  <c r="D32" i="9"/>
  <c r="C32" i="9"/>
  <c r="E23" i="9"/>
  <c r="D23" i="9"/>
  <c r="C23" i="9"/>
  <c r="E14" i="9"/>
  <c r="D14" i="9"/>
  <c r="C14" i="9"/>
  <c r="F32" i="10"/>
  <c r="E32" i="10"/>
  <c r="D32" i="10"/>
  <c r="C32" i="10"/>
  <c r="F23" i="10"/>
  <c r="E23" i="10"/>
  <c r="D23" i="10"/>
  <c r="C23" i="10"/>
  <c r="F14" i="10"/>
  <c r="E14" i="10"/>
  <c r="D14" i="10"/>
  <c r="C14" i="10"/>
  <c r="F32" i="11"/>
  <c r="E32" i="11"/>
  <c r="D32" i="11"/>
  <c r="C32" i="11"/>
  <c r="F23" i="11"/>
  <c r="E23" i="11"/>
  <c r="D23" i="11"/>
  <c r="C23" i="11"/>
  <c r="F14" i="11"/>
  <c r="E14" i="11"/>
  <c r="D14" i="11"/>
  <c r="C14" i="11"/>
  <c r="F32" i="12"/>
  <c r="E32" i="12"/>
  <c r="D32" i="12"/>
  <c r="C32" i="12"/>
  <c r="F23" i="12"/>
  <c r="E23" i="12"/>
  <c r="D23" i="12"/>
  <c r="C23" i="12"/>
  <c r="F14" i="12"/>
  <c r="E14" i="12"/>
  <c r="D14" i="12"/>
  <c r="C14" i="12"/>
  <c r="F32" i="13"/>
  <c r="E32" i="13"/>
  <c r="D32" i="13"/>
  <c r="C32" i="13"/>
  <c r="F23" i="13"/>
  <c r="E23" i="13"/>
  <c r="D23" i="13"/>
  <c r="C23" i="13"/>
  <c r="F14" i="13"/>
  <c r="E14" i="13"/>
  <c r="D14" i="13"/>
  <c r="C14" i="13"/>
  <c r="F32" i="14"/>
  <c r="E32" i="14"/>
  <c r="D32" i="14"/>
  <c r="C32" i="14"/>
  <c r="F23" i="14"/>
  <c r="E23" i="14"/>
  <c r="D23" i="14"/>
  <c r="C23" i="14"/>
  <c r="F14" i="14"/>
  <c r="E14" i="14"/>
  <c r="D14" i="14"/>
  <c r="C14" i="14"/>
  <c r="F32" i="15"/>
  <c r="E32" i="15"/>
  <c r="D32" i="15"/>
  <c r="C32" i="15"/>
  <c r="F23" i="15"/>
  <c r="E23" i="15"/>
  <c r="D23" i="15"/>
  <c r="C23" i="15"/>
  <c r="F14" i="15"/>
  <c r="E14" i="15"/>
  <c r="D14" i="15"/>
  <c r="D34" i="15" s="1"/>
  <c r="Z96" i="58" s="1"/>
  <c r="C14" i="15"/>
  <c r="F32" i="16"/>
  <c r="E32" i="16"/>
  <c r="D32" i="16"/>
  <c r="C32" i="16"/>
  <c r="F23" i="16"/>
  <c r="E23" i="16"/>
  <c r="D23" i="16"/>
  <c r="C23" i="16"/>
  <c r="F14" i="16"/>
  <c r="E14" i="16"/>
  <c r="D14" i="16"/>
  <c r="C14" i="16"/>
  <c r="F32" i="17"/>
  <c r="E32" i="17"/>
  <c r="D32" i="17"/>
  <c r="C32" i="17"/>
  <c r="F23" i="17"/>
  <c r="E23" i="17"/>
  <c r="D23" i="17"/>
  <c r="C23" i="17"/>
  <c r="F14" i="17"/>
  <c r="E14" i="17"/>
  <c r="D14" i="17"/>
  <c r="C14" i="17"/>
  <c r="F32" i="18"/>
  <c r="E32" i="18"/>
  <c r="D32" i="18"/>
  <c r="C32" i="18"/>
  <c r="F23" i="18"/>
  <c r="E23" i="18"/>
  <c r="D23" i="18"/>
  <c r="C23" i="18"/>
  <c r="F14" i="18"/>
  <c r="E14" i="18"/>
  <c r="D14" i="18"/>
  <c r="C14" i="18"/>
  <c r="F32" i="19"/>
  <c r="E32" i="19"/>
  <c r="D32" i="19"/>
  <c r="C32" i="19"/>
  <c r="F23" i="19"/>
  <c r="E23" i="19"/>
  <c r="D23" i="19"/>
  <c r="C23" i="19"/>
  <c r="F14" i="19"/>
  <c r="E14" i="19"/>
  <c r="D14" i="19"/>
  <c r="C14" i="19"/>
  <c r="F32" i="20"/>
  <c r="E32" i="20"/>
  <c r="D32" i="20"/>
  <c r="C32" i="20"/>
  <c r="F23" i="20"/>
  <c r="E23" i="20"/>
  <c r="D23" i="20"/>
  <c r="C23" i="20"/>
  <c r="F14" i="20"/>
  <c r="E14" i="20"/>
  <c r="D14" i="20"/>
  <c r="C14" i="20"/>
  <c r="F32" i="22"/>
  <c r="E32" i="22"/>
  <c r="D32" i="22"/>
  <c r="C32" i="22"/>
  <c r="F23" i="22"/>
  <c r="E23" i="22"/>
  <c r="D23" i="22"/>
  <c r="C23" i="22"/>
  <c r="F14" i="22"/>
  <c r="E14" i="22"/>
  <c r="D14" i="22"/>
  <c r="C14" i="22"/>
  <c r="F32" i="21"/>
  <c r="E32" i="21"/>
  <c r="D32" i="21"/>
  <c r="F23" i="21"/>
  <c r="E23" i="21"/>
  <c r="D23" i="21"/>
  <c r="F14" i="21"/>
  <c r="E14" i="21"/>
  <c r="D14" i="21"/>
  <c r="D34" i="23"/>
  <c r="C34" i="23"/>
  <c r="F32" i="24"/>
  <c r="E32" i="24"/>
  <c r="D32" i="24"/>
  <c r="C32" i="24"/>
  <c r="F23" i="24"/>
  <c r="E23" i="24"/>
  <c r="D23" i="24"/>
  <c r="C23" i="24"/>
  <c r="F14" i="24"/>
  <c r="E14" i="24"/>
  <c r="D14" i="24"/>
  <c r="C14" i="24"/>
  <c r="F32" i="25"/>
  <c r="E32" i="25"/>
  <c r="D32" i="25"/>
  <c r="C32" i="25"/>
  <c r="F23" i="25"/>
  <c r="E23" i="25"/>
  <c r="D23" i="25"/>
  <c r="C23" i="25"/>
  <c r="F14" i="25"/>
  <c r="E14" i="25"/>
  <c r="D14" i="25"/>
  <c r="C14" i="25"/>
  <c r="F32" i="26"/>
  <c r="E32" i="26"/>
  <c r="D32" i="26"/>
  <c r="C32" i="26"/>
  <c r="F23" i="26"/>
  <c r="E23" i="26"/>
  <c r="D23" i="26"/>
  <c r="C23" i="26"/>
  <c r="F14" i="26"/>
  <c r="E14" i="26"/>
  <c r="D14" i="26"/>
  <c r="C14" i="26"/>
  <c r="F32" i="28"/>
  <c r="E32" i="28"/>
  <c r="D32" i="28"/>
  <c r="C32" i="28"/>
  <c r="F23" i="28"/>
  <c r="E23" i="28"/>
  <c r="D23" i="28"/>
  <c r="C23" i="28"/>
  <c r="F14" i="28"/>
  <c r="E14" i="28"/>
  <c r="D14" i="28"/>
  <c r="C14" i="28"/>
  <c r="F34" i="31"/>
  <c r="J9" i="31"/>
  <c r="J9" i="30" s="1"/>
  <c r="J9" i="29" s="1"/>
  <c r="J9" i="27" s="1"/>
  <c r="J9" i="28" s="1"/>
  <c r="J9" i="26" s="1"/>
  <c r="F32" i="32"/>
  <c r="E32" i="32"/>
  <c r="D32" i="32"/>
  <c r="C32" i="32"/>
  <c r="F23" i="32"/>
  <c r="E23" i="32"/>
  <c r="D23" i="32"/>
  <c r="C23" i="32"/>
  <c r="F14" i="32"/>
  <c r="E14" i="32"/>
  <c r="D14" i="32"/>
  <c r="C14" i="32"/>
  <c r="F14" i="33"/>
  <c r="F23" i="33"/>
  <c r="P39" i="48"/>
  <c r="P38" i="48"/>
  <c r="P37" i="48"/>
  <c r="P36" i="48"/>
  <c r="P35" i="48"/>
  <c r="P34" i="48"/>
  <c r="P33" i="48"/>
  <c r="P32" i="48"/>
  <c r="P31" i="48"/>
  <c r="P30" i="48"/>
  <c r="P29" i="48"/>
  <c r="P28" i="48"/>
  <c r="P27" i="48"/>
  <c r="P26" i="48"/>
  <c r="P25" i="48"/>
  <c r="P24" i="48"/>
  <c r="P23" i="48"/>
  <c r="P22" i="48"/>
  <c r="P21" i="48"/>
  <c r="P19" i="48"/>
  <c r="P18" i="48"/>
  <c r="P17" i="48"/>
  <c r="P16" i="48"/>
  <c r="P15" i="48"/>
  <c r="P14" i="48"/>
  <c r="P13" i="48"/>
  <c r="P12" i="48"/>
  <c r="P11" i="48"/>
  <c r="P10" i="48"/>
  <c r="P9" i="48"/>
  <c r="D34" i="43" l="1"/>
  <c r="D34" i="22"/>
  <c r="D34" i="19"/>
  <c r="D34" i="17"/>
  <c r="E34" i="11"/>
  <c r="F34" i="7"/>
  <c r="C33" i="37"/>
  <c r="F34" i="13"/>
  <c r="Z96" i="46"/>
  <c r="F34" i="15"/>
  <c r="C34" i="22"/>
  <c r="K16" i="22" s="1"/>
  <c r="C34" i="11"/>
  <c r="K9" i="11" s="1"/>
  <c r="D33" i="16"/>
  <c r="D34" i="28"/>
  <c r="C34" i="43"/>
  <c r="C34" i="25"/>
  <c r="C34" i="28"/>
  <c r="F34" i="28"/>
  <c r="E34" i="7"/>
  <c r="C34" i="15"/>
  <c r="K16" i="15" s="1"/>
  <c r="C34" i="19"/>
  <c r="K16" i="19" s="1"/>
  <c r="E34" i="26"/>
  <c r="E34" i="24"/>
  <c r="E34" i="21"/>
  <c r="E34" i="20"/>
  <c r="E34" i="16"/>
  <c r="E34" i="14"/>
  <c r="E34" i="12"/>
  <c r="E34" i="8"/>
  <c r="F34" i="17"/>
  <c r="D33" i="25"/>
  <c r="E33" i="23"/>
  <c r="D33" i="22"/>
  <c r="E34" i="31"/>
  <c r="E35" i="29"/>
  <c r="E34" i="28"/>
  <c r="E34" i="25"/>
  <c r="E34" i="23"/>
  <c r="D35" i="23" s="1"/>
  <c r="E34" i="17"/>
  <c r="D33" i="26"/>
  <c r="D33" i="20"/>
  <c r="E33" i="25"/>
  <c r="E33" i="13"/>
  <c r="C34" i="26"/>
  <c r="K16" i="26" s="1"/>
  <c r="C34" i="20"/>
  <c r="K16" i="20" s="1"/>
  <c r="C34" i="16"/>
  <c r="C33" i="16"/>
  <c r="C34" i="14"/>
  <c r="K16" i="14" s="1"/>
  <c r="C34" i="12"/>
  <c r="K9" i="12" s="1"/>
  <c r="C34" i="10"/>
  <c r="C34" i="8"/>
  <c r="D34" i="26"/>
  <c r="Z43" i="58" s="1"/>
  <c r="D34" i="24"/>
  <c r="D34" i="12"/>
  <c r="Z109" i="58" s="1"/>
  <c r="D34" i="10"/>
  <c r="D34" i="8"/>
  <c r="E33" i="26"/>
  <c r="E33" i="24"/>
  <c r="C33" i="18"/>
  <c r="E33" i="16"/>
  <c r="D33" i="6"/>
  <c r="F34" i="19"/>
  <c r="F34" i="18"/>
  <c r="F34" i="12"/>
  <c r="F34" i="11"/>
  <c r="F34" i="10"/>
  <c r="E34" i="6"/>
  <c r="D34" i="25"/>
  <c r="C33" i="28"/>
  <c r="C33" i="25"/>
  <c r="C33" i="15"/>
  <c r="C33" i="11"/>
  <c r="C33" i="9"/>
  <c r="D34" i="31"/>
  <c r="D34" i="32"/>
  <c r="Z14" i="58" s="1"/>
  <c r="E34" i="15"/>
  <c r="C33" i="12"/>
  <c r="C33" i="43"/>
  <c r="C34" i="32"/>
  <c r="D33" i="19"/>
  <c r="D34" i="18"/>
  <c r="D33" i="17"/>
  <c r="D33" i="14"/>
  <c r="C33" i="10"/>
  <c r="C33" i="8"/>
  <c r="D33" i="15"/>
  <c r="C33" i="6"/>
  <c r="F34" i="8"/>
  <c r="C34" i="37"/>
  <c r="C34" i="9"/>
  <c r="D34" i="37"/>
  <c r="Z142" i="58" s="1"/>
  <c r="F34" i="24"/>
  <c r="F34" i="21"/>
  <c r="E34" i="18"/>
  <c r="E34" i="13"/>
  <c r="D34" i="11"/>
  <c r="Z113" i="58" s="1"/>
  <c r="D34" i="9"/>
  <c r="C33" i="7"/>
  <c r="F34" i="6"/>
  <c r="E34" i="37"/>
  <c r="E33" i="37"/>
  <c r="E34" i="19"/>
  <c r="F34" i="14"/>
  <c r="E34" i="10"/>
  <c r="C34" i="6"/>
  <c r="F34" i="43"/>
  <c r="F34" i="37"/>
  <c r="F34" i="16"/>
  <c r="D33" i="28"/>
  <c r="C33" i="23"/>
  <c r="C33" i="22"/>
  <c r="C33" i="19"/>
  <c r="E33" i="17"/>
  <c r="D33" i="12"/>
  <c r="D33" i="37"/>
  <c r="C33" i="20"/>
  <c r="C33" i="14"/>
  <c r="D33" i="11"/>
  <c r="D33" i="10"/>
  <c r="D33" i="8"/>
  <c r="E33" i="32"/>
  <c r="F34" i="25"/>
  <c r="F34" i="23"/>
  <c r="F34" i="22"/>
  <c r="D34" i="20"/>
  <c r="D34" i="14"/>
  <c r="Z100" i="58" s="1"/>
  <c r="E33" i="8"/>
  <c r="C34" i="7"/>
  <c r="K20" i="7" s="1"/>
  <c r="D33" i="43"/>
  <c r="E33" i="15"/>
  <c r="D34" i="7"/>
  <c r="Z133" i="58" s="1"/>
  <c r="D33" i="7"/>
  <c r="E34" i="43"/>
  <c r="E33" i="43"/>
  <c r="C34" i="31"/>
  <c r="F34" i="26"/>
  <c r="C34" i="24"/>
  <c r="C34" i="21"/>
  <c r="K16" i="21" s="1"/>
  <c r="C33" i="21"/>
  <c r="F34" i="20"/>
  <c r="C34" i="18"/>
  <c r="E33" i="18"/>
  <c r="D34" i="16"/>
  <c r="C34" i="13"/>
  <c r="C33" i="13"/>
  <c r="D33" i="9"/>
  <c r="E33" i="7"/>
  <c r="D34" i="6"/>
  <c r="C33" i="26"/>
  <c r="D34" i="21"/>
  <c r="Z61" i="58" s="1"/>
  <c r="D33" i="21"/>
  <c r="E34" i="22"/>
  <c r="C34" i="17"/>
  <c r="C33" i="17"/>
  <c r="D34" i="13"/>
  <c r="Z105" i="58" s="1"/>
  <c r="D33" i="13"/>
  <c r="E34" i="9"/>
  <c r="E33" i="9"/>
  <c r="E34" i="32"/>
  <c r="C33" i="32"/>
  <c r="D33" i="32"/>
  <c r="E33" i="6"/>
  <c r="E33" i="10"/>
  <c r="E33" i="11"/>
  <c r="E33" i="12"/>
  <c r="E33" i="14"/>
  <c r="D33" i="18"/>
  <c r="E33" i="19"/>
  <c r="E33" i="20"/>
  <c r="E33" i="22"/>
  <c r="E33" i="21"/>
  <c r="D33" i="23"/>
  <c r="C33" i="24"/>
  <c r="D33" i="24"/>
  <c r="E33" i="28"/>
  <c r="F34" i="32"/>
  <c r="Z52" i="58" l="1"/>
  <c r="AA52" i="58" s="1"/>
  <c r="AB52" i="58" s="1"/>
  <c r="Z47" i="58"/>
  <c r="AA47" i="58" s="1"/>
  <c r="AB47" i="58" s="1"/>
  <c r="Z86" i="58"/>
  <c r="Z163" i="58" s="1"/>
  <c r="Z86" i="46"/>
  <c r="AA85" i="46" s="1"/>
  <c r="AB85" i="46" s="1"/>
  <c r="Z78" i="58"/>
  <c r="AA78" i="58" s="1"/>
  <c r="AB78" i="58" s="1"/>
  <c r="D35" i="43"/>
  <c r="Z142" i="46"/>
  <c r="Z113" i="46"/>
  <c r="Z133" i="46"/>
  <c r="AA104" i="58"/>
  <c r="AB104" i="58" s="1"/>
  <c r="Z105" i="46"/>
  <c r="AA104" i="46" s="1"/>
  <c r="AB104" i="46" s="1"/>
  <c r="AA13" i="58"/>
  <c r="AB13" i="58" s="1"/>
  <c r="C35" i="11"/>
  <c r="C35" i="22"/>
  <c r="Z100" i="46"/>
  <c r="C35" i="19"/>
  <c r="Z109" i="46"/>
  <c r="D35" i="11"/>
  <c r="Z78" i="46"/>
  <c r="Z61" i="46"/>
  <c r="D35" i="28"/>
  <c r="Z52" i="46"/>
  <c r="AA52" i="46" s="1"/>
  <c r="AB52" i="46" s="1"/>
  <c r="Z43" i="46"/>
  <c r="E35" i="19"/>
  <c r="D35" i="25"/>
  <c r="Z47" i="46"/>
  <c r="AA47" i="46" s="1"/>
  <c r="AB47" i="46" s="1"/>
  <c r="D35" i="19"/>
  <c r="C35" i="23"/>
  <c r="E35" i="23"/>
  <c r="E35" i="26"/>
  <c r="C35" i="10"/>
  <c r="E35" i="11"/>
  <c r="Z14" i="46"/>
  <c r="AA13" i="46" s="1"/>
  <c r="AB13" i="46" s="1"/>
  <c r="E35" i="37"/>
  <c r="E35" i="10"/>
  <c r="D35" i="26"/>
  <c r="E35" i="8"/>
  <c r="C35" i="8"/>
  <c r="D35" i="9"/>
  <c r="D35" i="10"/>
  <c r="D35" i="8"/>
  <c r="D35" i="37"/>
  <c r="C35" i="25"/>
  <c r="D35" i="6"/>
  <c r="D35" i="14"/>
  <c r="E35" i="12"/>
  <c r="E35" i="14"/>
  <c r="D35" i="29"/>
  <c r="C35" i="28"/>
  <c r="C35" i="20"/>
  <c r="E35" i="28"/>
  <c r="D35" i="16"/>
  <c r="C35" i="29"/>
  <c r="C35" i="14"/>
  <c r="D35" i="21"/>
  <c r="C35" i="31"/>
  <c r="E35" i="25"/>
  <c r="E35" i="22"/>
  <c r="C35" i="12"/>
  <c r="D35" i="20"/>
  <c r="C35" i="26"/>
  <c r="D35" i="12"/>
  <c r="E35" i="6"/>
  <c r="D35" i="30"/>
  <c r="E35" i="30"/>
  <c r="E35" i="31"/>
  <c r="D35" i="31"/>
  <c r="D35" i="22"/>
  <c r="C35" i="21"/>
  <c r="C35" i="43"/>
  <c r="C35" i="6"/>
  <c r="C35" i="13"/>
  <c r="C35" i="37"/>
  <c r="E35" i="13"/>
  <c r="D35" i="13"/>
  <c r="E35" i="20"/>
  <c r="E35" i="43"/>
  <c r="C35" i="16"/>
  <c r="E35" i="9"/>
  <c r="C35" i="9"/>
  <c r="E35" i="21"/>
  <c r="E35" i="16"/>
  <c r="C35" i="30"/>
  <c r="AA85" i="58" l="1"/>
  <c r="AB85" i="58" s="1"/>
  <c r="T2" i="54"/>
  <c r="T37" i="48"/>
  <c r="D39" i="53"/>
  <c r="D38" i="53"/>
  <c r="D37" i="53"/>
  <c r="D36" i="53"/>
  <c r="D35" i="53"/>
  <c r="D34" i="53"/>
  <c r="D33" i="53"/>
  <c r="D32" i="53"/>
  <c r="D31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D17" i="53"/>
  <c r="D16" i="53"/>
  <c r="D11" i="53"/>
  <c r="D10" i="53"/>
  <c r="D9" i="53"/>
  <c r="D8" i="53"/>
  <c r="D7" i="53"/>
  <c r="D6" i="53"/>
  <c r="D5" i="53"/>
  <c r="D4" i="53"/>
  <c r="G42" i="37"/>
  <c r="I37" i="37" s="1"/>
  <c r="F42" i="37"/>
  <c r="T36" i="48" l="1"/>
  <c r="T35" i="48" l="1"/>
  <c r="Q8" i="7"/>
  <c r="R9" i="7"/>
  <c r="R8" i="7"/>
  <c r="Q9" i="7" l="1"/>
  <c r="Q10" i="7" s="1"/>
  <c r="Q11" i="7" s="1"/>
  <c r="R10" i="7"/>
  <c r="R11" i="7" l="1"/>
  <c r="T34" i="48" l="1"/>
  <c r="T33" i="48"/>
  <c r="T32" i="48" l="1"/>
  <c r="T31" i="48" l="1"/>
  <c r="T30" i="48" l="1"/>
  <c r="T29" i="48" l="1"/>
  <c r="T28" i="48" l="1"/>
  <c r="F42" i="14" l="1"/>
  <c r="G42" i="14"/>
  <c r="I37" i="14" s="1"/>
  <c r="T27" i="48" l="1"/>
  <c r="T26" i="48"/>
  <c r="F42" i="15" l="1"/>
  <c r="G42" i="15"/>
  <c r="I37" i="15" s="1"/>
  <c r="T25" i="48" l="1"/>
  <c r="T24" i="48" l="1"/>
  <c r="AR22" i="45" l="1"/>
  <c r="T23" i="48" l="1"/>
  <c r="T22" i="48" l="1"/>
  <c r="T21" i="48" l="1"/>
  <c r="F42" i="22"/>
  <c r="G42" i="22" l="1"/>
  <c r="I37" i="22" s="1"/>
  <c r="M39" i="53" l="1"/>
  <c r="T20" i="48" l="1"/>
  <c r="T19" i="48"/>
  <c r="F42" i="23" l="1"/>
  <c r="G42" i="23" l="1"/>
  <c r="I37" i="23" s="1"/>
  <c r="T18" i="48" l="1"/>
  <c r="B22" i="45" l="1"/>
  <c r="R22" i="45" l="1"/>
  <c r="J22" i="45"/>
  <c r="AP22" i="45"/>
  <c r="AH22" i="45"/>
  <c r="Z22" i="45"/>
  <c r="F22" i="45"/>
  <c r="AD22" i="45"/>
  <c r="V22" i="45"/>
  <c r="N22" i="45"/>
  <c r="AL22" i="45"/>
  <c r="AS22" i="45"/>
  <c r="F42" i="25" l="1"/>
  <c r="G42" i="25" l="1"/>
  <c r="I37" i="25" s="1"/>
  <c r="T17" i="48"/>
  <c r="T16" i="48" l="1"/>
  <c r="T15" i="48" l="1"/>
  <c r="T14" i="48" l="1"/>
  <c r="T13" i="48" l="1"/>
  <c r="T12" i="48"/>
  <c r="T11" i="48" l="1"/>
  <c r="V23" i="31" l="1"/>
  <c r="W22" i="31"/>
  <c r="U22" i="31"/>
  <c r="X22" i="31" s="1"/>
  <c r="W21" i="31"/>
  <c r="U21" i="31"/>
  <c r="X21" i="31" s="1"/>
  <c r="U15" i="31"/>
  <c r="X15" i="31" s="1"/>
  <c r="W15" i="31"/>
  <c r="W16" i="31"/>
  <c r="U16" i="31"/>
  <c r="X16" i="31" s="1"/>
  <c r="V14" i="31"/>
  <c r="V17" i="31" s="1"/>
  <c r="U14" i="31"/>
  <c r="G42" i="31"/>
  <c r="I37" i="31" s="1"/>
  <c r="F42" i="31"/>
  <c r="X23" i="31" l="1"/>
  <c r="X24" i="31" s="1"/>
  <c r="W23" i="31"/>
  <c r="W24" i="31" s="1"/>
  <c r="X14" i="31"/>
  <c r="X17" i="31" s="1"/>
  <c r="X18" i="31" s="1"/>
  <c r="W14" i="31"/>
  <c r="W17" i="31" s="1"/>
  <c r="W18" i="31" s="1"/>
  <c r="T10" i="48" l="1"/>
  <c r="G4" i="47" l="1"/>
  <c r="H4" i="47" s="1"/>
  <c r="O6" i="58" s="1"/>
  <c r="G5" i="47"/>
  <c r="G6" i="47"/>
  <c r="U6" i="58" l="1"/>
  <c r="U163" i="58" s="1"/>
  <c r="P6" i="58"/>
  <c r="P163" i="58" s="1"/>
  <c r="O163" i="58" s="1"/>
  <c r="T6" i="58"/>
  <c r="T163" i="58" s="1"/>
  <c r="K6" i="58"/>
  <c r="V6" i="58"/>
  <c r="C6" i="58"/>
  <c r="C163" i="58" s="1"/>
  <c r="O6" i="46"/>
  <c r="M38" i="53"/>
  <c r="M37" i="53"/>
  <c r="M36" i="53"/>
  <c r="M35" i="53"/>
  <c r="M34" i="53"/>
  <c r="M33" i="53"/>
  <c r="M32" i="53"/>
  <c r="M31" i="53"/>
  <c r="M30" i="53"/>
  <c r="M29" i="53"/>
  <c r="M28" i="53"/>
  <c r="M27" i="53"/>
  <c r="M26" i="53"/>
  <c r="M25" i="53"/>
  <c r="M24" i="53"/>
  <c r="M23" i="53"/>
  <c r="M22" i="53"/>
  <c r="M21" i="53"/>
  <c r="M20" i="53"/>
  <c r="M19" i="53"/>
  <c r="M18" i="53"/>
  <c r="M17" i="53"/>
  <c r="M16" i="53"/>
  <c r="M11" i="53"/>
  <c r="M10" i="53"/>
  <c r="M9" i="53"/>
  <c r="M8" i="53"/>
  <c r="M7" i="53"/>
  <c r="M6" i="53"/>
  <c r="M5" i="53"/>
  <c r="M4" i="53"/>
  <c r="E3" i="53"/>
  <c r="F3" i="53" s="1"/>
  <c r="G3" i="53" s="1"/>
  <c r="H3" i="53" s="1"/>
  <c r="M3" i="53" s="1"/>
  <c r="N3" i="53" s="1"/>
  <c r="O3" i="53" s="1"/>
  <c r="P3" i="53" s="1"/>
  <c r="Q3" i="53" s="1"/>
  <c r="K163" i="58" l="1"/>
  <c r="X6" i="58"/>
  <c r="V163" i="58"/>
  <c r="AC6" i="58"/>
  <c r="AC163" i="58" s="1"/>
  <c r="AC164" i="58" s="1"/>
  <c r="X173" i="58" s="1"/>
  <c r="AA6" i="58"/>
  <c r="C6" i="46"/>
  <c r="V6" i="46"/>
  <c r="T6" i="46"/>
  <c r="U6" i="46"/>
  <c r="AA6" i="46" s="1"/>
  <c r="P6" i="46"/>
  <c r="K6" i="46"/>
  <c r="M40" i="53"/>
  <c r="D40" i="53"/>
  <c r="KQ41" i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U41" i="1"/>
  <c r="IR41" i="1"/>
  <c r="IO41" i="1"/>
  <c r="IL41" i="1"/>
  <c r="II41" i="1"/>
  <c r="IF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F41" i="1"/>
  <c r="BZ41" i="1"/>
  <c r="BT41" i="1"/>
  <c r="BQ41" i="1"/>
  <c r="BN41" i="1"/>
  <c r="BK41" i="1"/>
  <c r="BH41" i="1"/>
  <c r="BE41" i="1"/>
  <c r="AY41" i="1"/>
  <c r="AV41" i="1"/>
  <c r="AS41" i="1"/>
  <c r="AP41" i="1"/>
  <c r="AM41" i="1"/>
  <c r="AJ41" i="1"/>
  <c r="AG41" i="1"/>
  <c r="AD41" i="1"/>
  <c r="AA41" i="1"/>
  <c r="X41" i="1"/>
  <c r="U41" i="1"/>
  <c r="R41" i="1"/>
  <c r="O41" i="1"/>
  <c r="L41" i="1"/>
  <c r="F41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JZ11" i="1"/>
  <c r="JW11" i="1"/>
  <c r="JT11" i="1"/>
  <c r="JQ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C10" i="1"/>
  <c r="JZ10" i="1"/>
  <c r="JW10" i="1"/>
  <c r="JT10" i="1"/>
  <c r="JQ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R9" i="1"/>
  <c r="KO9" i="1"/>
  <c r="KL9" i="1"/>
  <c r="KI9" i="1"/>
  <c r="KF9" i="1"/>
  <c r="KC9" i="1"/>
  <c r="JZ9" i="1"/>
  <c r="JW9" i="1"/>
  <c r="JT9" i="1"/>
  <c r="JQ9" i="1"/>
  <c r="JN9" i="1"/>
  <c r="JK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S9" i="1"/>
  <c r="KP9" i="1"/>
  <c r="KJ11" i="1"/>
  <c r="KA11" i="1"/>
  <c r="JU10" i="1"/>
  <c r="JO11" i="1"/>
  <c r="JL9" i="1"/>
  <c r="V164" i="58" l="1"/>
  <c r="AO164" i="58" s="1"/>
  <c r="X184" i="58" s="1"/>
  <c r="Z164" i="58"/>
  <c r="X172" i="58" s="1"/>
  <c r="Y164" i="58"/>
  <c r="X171" i="58" s="1"/>
  <c r="AQ164" i="58"/>
  <c r="X186" i="58" s="1"/>
  <c r="AV164" i="58"/>
  <c r="X190" i="58" s="1"/>
  <c r="AU164" i="58"/>
  <c r="X189" i="58" s="1"/>
  <c r="AR164" i="58"/>
  <c r="AS164" i="58"/>
  <c r="X187" i="58" s="1"/>
  <c r="AX164" i="58"/>
  <c r="BA164" i="58"/>
  <c r="AZ164" i="58"/>
  <c r="X193" i="58" s="1"/>
  <c r="AG164" i="58"/>
  <c r="X177" i="58" s="1"/>
  <c r="T10" i="54"/>
  <c r="AB6" i="58"/>
  <c r="T8" i="54"/>
  <c r="T5" i="54"/>
  <c r="AC6" i="46"/>
  <c r="AB6" i="46" s="1"/>
  <c r="X6" i="46"/>
  <c r="AH9" i="48"/>
  <c r="KG11" i="1"/>
  <c r="KG28" i="1"/>
  <c r="KF41" i="1"/>
  <c r="KS10" i="1"/>
  <c r="JU9" i="1"/>
  <c r="KT29" i="1"/>
  <c r="KT30" i="1"/>
  <c r="KT38" i="1"/>
  <c r="Y41" i="1"/>
  <c r="KT19" i="1"/>
  <c r="KT35" i="1"/>
  <c r="KT23" i="1"/>
  <c r="KT39" i="1"/>
  <c r="Q41" i="1"/>
  <c r="KT25" i="1"/>
  <c r="KT24" i="1"/>
  <c r="KS11" i="1"/>
  <c r="JL12" i="1"/>
  <c r="JL11" i="1"/>
  <c r="KJ12" i="1"/>
  <c r="KT12" i="1"/>
  <c r="KG9" i="1"/>
  <c r="JL39" i="1"/>
  <c r="JL15" i="1"/>
  <c r="JL13" i="1"/>
  <c r="KJ39" i="1"/>
  <c r="KJ15" i="1"/>
  <c r="KJ13" i="1"/>
  <c r="KJ9" i="1"/>
  <c r="JU11" i="1"/>
  <c r="KT13" i="1"/>
  <c r="KT17" i="1"/>
  <c r="KT14" i="1"/>
  <c r="KT15" i="1"/>
  <c r="KT21" i="1"/>
  <c r="KT22" i="1"/>
  <c r="KT26" i="1"/>
  <c r="KT31" i="1"/>
  <c r="KT20" i="1"/>
  <c r="KT28" i="1"/>
  <c r="KT33" i="1"/>
  <c r="KT32" i="1"/>
  <c r="W41" i="1"/>
  <c r="AR41" i="1"/>
  <c r="BP41" i="1"/>
  <c r="CN41" i="1"/>
  <c r="DL41" i="1"/>
  <c r="EJ41" i="1"/>
  <c r="FH41" i="1"/>
  <c r="GF41" i="1"/>
  <c r="HC41" i="1"/>
  <c r="IA41" i="1"/>
  <c r="IY41" i="1"/>
  <c r="KT34" i="1"/>
  <c r="AU41" i="1"/>
  <c r="BS41" i="1"/>
  <c r="CQ41" i="1"/>
  <c r="DO41" i="1"/>
  <c r="EM41" i="1"/>
  <c r="FK41" i="1"/>
  <c r="GI41" i="1"/>
  <c r="HG41" i="1"/>
  <c r="IE41" i="1"/>
  <c r="JC41" i="1"/>
  <c r="AC41" i="1"/>
  <c r="AZ41" i="1"/>
  <c r="CW41" i="1"/>
  <c r="DU41" i="1"/>
  <c r="ES41" i="1"/>
  <c r="FQ41" i="1"/>
  <c r="GO41" i="1"/>
  <c r="HM41" i="1"/>
  <c r="IK41" i="1"/>
  <c r="JI41" i="1"/>
  <c r="AE41" i="1"/>
  <c r="AI41" i="1"/>
  <c r="BG41" i="1"/>
  <c r="DC41" i="1"/>
  <c r="EA41" i="1"/>
  <c r="EY41" i="1"/>
  <c r="FW41" i="1"/>
  <c r="GU41" i="1"/>
  <c r="HS41" i="1"/>
  <c r="IQ41" i="1"/>
  <c r="KT37" i="1"/>
  <c r="AL41" i="1"/>
  <c r="BJ41" i="1"/>
  <c r="CH41" i="1"/>
  <c r="DF41" i="1"/>
  <c r="ED41" i="1"/>
  <c r="FB41" i="1"/>
  <c r="FZ41" i="1"/>
  <c r="GX41" i="1"/>
  <c r="HV41" i="1"/>
  <c r="IT41" i="1"/>
  <c r="T41" i="1"/>
  <c r="JX41" i="1"/>
  <c r="JX39" i="1"/>
  <c r="JX31" i="1"/>
  <c r="JX23" i="1"/>
  <c r="JX36" i="1"/>
  <c r="JX28" i="1"/>
  <c r="JX20" i="1"/>
  <c r="JX12" i="1"/>
  <c r="JX33" i="1"/>
  <c r="JX25" i="1"/>
  <c r="JX17" i="1"/>
  <c r="JX38" i="1"/>
  <c r="JX30" i="1"/>
  <c r="JX22" i="1"/>
  <c r="JX14" i="1"/>
  <c r="JX35" i="1"/>
  <c r="JX27" i="1"/>
  <c r="JX19" i="1"/>
  <c r="JX11" i="1"/>
  <c r="JX32" i="1"/>
  <c r="JX24" i="1"/>
  <c r="JX16" i="1"/>
  <c r="JX37" i="1"/>
  <c r="JX29" i="1"/>
  <c r="JX21" i="1"/>
  <c r="JX34" i="1"/>
  <c r="JX26" i="1"/>
  <c r="JX18" i="1"/>
  <c r="JX10" i="1"/>
  <c r="JX15" i="1"/>
  <c r="JX9" i="1"/>
  <c r="KG10" i="1"/>
  <c r="KT11" i="1"/>
  <c r="KA33" i="1"/>
  <c r="KA25" i="1"/>
  <c r="KA17" i="1"/>
  <c r="KA9" i="1"/>
  <c r="KA38" i="1"/>
  <c r="KA30" i="1"/>
  <c r="KA22" i="1"/>
  <c r="KA14" i="1"/>
  <c r="KA35" i="1"/>
  <c r="KA27" i="1"/>
  <c r="KA19" i="1"/>
  <c r="KA32" i="1"/>
  <c r="KA24" i="1"/>
  <c r="KA16" i="1"/>
  <c r="KA37" i="1"/>
  <c r="KA29" i="1"/>
  <c r="KA21" i="1"/>
  <c r="KA13" i="1"/>
  <c r="KA34" i="1"/>
  <c r="KA26" i="1"/>
  <c r="KA18" i="1"/>
  <c r="KA10" i="1"/>
  <c r="KA39" i="1"/>
  <c r="KA31" i="1"/>
  <c r="KA23" i="1"/>
  <c r="KA15" i="1"/>
  <c r="KA36" i="1"/>
  <c r="KA28" i="1"/>
  <c r="KA20" i="1"/>
  <c r="KA12" i="1"/>
  <c r="KA41" i="1"/>
  <c r="KT9" i="1"/>
  <c r="JX13" i="1"/>
  <c r="JO33" i="1"/>
  <c r="JO25" i="1"/>
  <c r="JO17" i="1"/>
  <c r="JO38" i="1"/>
  <c r="JO30" i="1"/>
  <c r="JO22" i="1"/>
  <c r="JO14" i="1"/>
  <c r="JO35" i="1"/>
  <c r="JO27" i="1"/>
  <c r="JO19" i="1"/>
  <c r="JO32" i="1"/>
  <c r="JO24" i="1"/>
  <c r="JO16" i="1"/>
  <c r="JO37" i="1"/>
  <c r="JO29" i="1"/>
  <c r="JO21" i="1"/>
  <c r="JO13" i="1"/>
  <c r="JO34" i="1"/>
  <c r="JO26" i="1"/>
  <c r="JO18" i="1"/>
  <c r="JO10" i="1"/>
  <c r="JO39" i="1"/>
  <c r="JO31" i="1"/>
  <c r="JO23" i="1"/>
  <c r="JO15" i="1"/>
  <c r="JO36" i="1"/>
  <c r="JO28" i="1"/>
  <c r="JO20" i="1"/>
  <c r="JO12" i="1"/>
  <c r="JO9" i="1"/>
  <c r="JR35" i="1"/>
  <c r="JR27" i="1"/>
  <c r="JR19" i="1"/>
  <c r="JR32" i="1"/>
  <c r="JR24" i="1"/>
  <c r="JR16" i="1"/>
  <c r="JR37" i="1"/>
  <c r="JR29" i="1"/>
  <c r="JR21" i="1"/>
  <c r="JR13" i="1"/>
  <c r="JR34" i="1"/>
  <c r="JR26" i="1"/>
  <c r="JR18" i="1"/>
  <c r="JR10" i="1"/>
  <c r="JR39" i="1"/>
  <c r="JR31" i="1"/>
  <c r="JR23" i="1"/>
  <c r="JR15" i="1"/>
  <c r="JR36" i="1"/>
  <c r="JR28" i="1"/>
  <c r="JR20" i="1"/>
  <c r="JR12" i="1"/>
  <c r="JR33" i="1"/>
  <c r="JR25" i="1"/>
  <c r="JR17" i="1"/>
  <c r="JR38" i="1"/>
  <c r="JR30" i="1"/>
  <c r="JR22" i="1"/>
  <c r="JR14" i="1"/>
  <c r="JR11" i="1"/>
  <c r="KT10" i="1"/>
  <c r="KG41" i="1"/>
  <c r="KD35" i="1"/>
  <c r="KD27" i="1"/>
  <c r="KD19" i="1"/>
  <c r="KD32" i="1"/>
  <c r="KD24" i="1"/>
  <c r="KD16" i="1"/>
  <c r="KD41" i="1"/>
  <c r="KD37" i="1"/>
  <c r="KD29" i="1"/>
  <c r="KD21" i="1"/>
  <c r="KD13" i="1"/>
  <c r="KD34" i="1"/>
  <c r="KD26" i="1"/>
  <c r="KD18" i="1"/>
  <c r="KD10" i="1"/>
  <c r="KD39" i="1"/>
  <c r="KD31" i="1"/>
  <c r="KD23" i="1"/>
  <c r="KD15" i="1"/>
  <c r="KD36" i="1"/>
  <c r="KD28" i="1"/>
  <c r="KD20" i="1"/>
  <c r="KD12" i="1"/>
  <c r="KD33" i="1"/>
  <c r="KD25" i="1"/>
  <c r="KD17" i="1"/>
  <c r="KD38" i="1"/>
  <c r="KD30" i="1"/>
  <c r="KD22" i="1"/>
  <c r="KD14" i="1"/>
  <c r="KD11" i="1"/>
  <c r="KG37" i="1"/>
  <c r="KG29" i="1"/>
  <c r="KG21" i="1"/>
  <c r="KG34" i="1"/>
  <c r="KG26" i="1"/>
  <c r="KG18" i="1"/>
  <c r="KG39" i="1"/>
  <c r="KG31" i="1"/>
  <c r="KG23" i="1"/>
  <c r="KG15" i="1"/>
  <c r="KG36" i="1"/>
  <c r="KG20" i="1"/>
  <c r="KG12" i="1"/>
  <c r="KG33" i="1"/>
  <c r="KG25" i="1"/>
  <c r="KG17" i="1"/>
  <c r="KG38" i="1"/>
  <c r="KG30" i="1"/>
  <c r="KG22" i="1"/>
  <c r="KG14" i="1"/>
  <c r="KG35" i="1"/>
  <c r="KG27" i="1"/>
  <c r="KG19" i="1"/>
  <c r="KG32" i="1"/>
  <c r="KG24" i="1"/>
  <c r="KG16" i="1"/>
  <c r="KG13" i="1"/>
  <c r="KD9" i="1"/>
  <c r="JR9" i="1"/>
  <c r="JO41" i="1"/>
  <c r="KM41" i="1"/>
  <c r="JR41" i="1"/>
  <c r="KP41" i="1"/>
  <c r="KM33" i="1"/>
  <c r="KM25" i="1"/>
  <c r="KM17" i="1"/>
  <c r="KM38" i="1"/>
  <c r="KM30" i="1"/>
  <c r="KM22" i="1"/>
  <c r="KM14" i="1"/>
  <c r="KM35" i="1"/>
  <c r="KM27" i="1"/>
  <c r="KM19" i="1"/>
  <c r="KM32" i="1"/>
  <c r="KM24" i="1"/>
  <c r="KM16" i="1"/>
  <c r="KM37" i="1"/>
  <c r="KM29" i="1"/>
  <c r="KM21" i="1"/>
  <c r="KM13" i="1"/>
  <c r="KM34" i="1"/>
  <c r="KM26" i="1"/>
  <c r="KM18" i="1"/>
  <c r="KM10" i="1"/>
  <c r="KM39" i="1"/>
  <c r="KM31" i="1"/>
  <c r="KM23" i="1"/>
  <c r="KM15" i="1"/>
  <c r="KM36" i="1"/>
  <c r="KM28" i="1"/>
  <c r="KM20" i="1"/>
  <c r="KM12" i="1"/>
  <c r="KM9" i="1"/>
  <c r="KP35" i="1"/>
  <c r="KP27" i="1"/>
  <c r="KP19" i="1"/>
  <c r="KP11" i="1"/>
  <c r="KP32" i="1"/>
  <c r="KP24" i="1"/>
  <c r="KP16" i="1"/>
  <c r="KP37" i="1"/>
  <c r="KP29" i="1"/>
  <c r="KP21" i="1"/>
  <c r="KP13" i="1"/>
  <c r="KP34" i="1"/>
  <c r="KP26" i="1"/>
  <c r="KP18" i="1"/>
  <c r="KP10" i="1"/>
  <c r="KP39" i="1"/>
  <c r="KP31" i="1"/>
  <c r="KP23" i="1"/>
  <c r="KP15" i="1"/>
  <c r="KP36" i="1"/>
  <c r="KP28" i="1"/>
  <c r="KP20" i="1"/>
  <c r="KP12" i="1"/>
  <c r="KP33" i="1"/>
  <c r="KP25" i="1"/>
  <c r="KP17" i="1"/>
  <c r="KP38" i="1"/>
  <c r="KP30" i="1"/>
  <c r="KP22" i="1"/>
  <c r="KP14" i="1"/>
  <c r="JU37" i="1"/>
  <c r="JU29" i="1"/>
  <c r="JU21" i="1"/>
  <c r="JU13" i="1"/>
  <c r="JU34" i="1"/>
  <c r="JU26" i="1"/>
  <c r="JU18" i="1"/>
  <c r="JU39" i="1"/>
  <c r="JU31" i="1"/>
  <c r="JU23" i="1"/>
  <c r="JU15" i="1"/>
  <c r="JU41" i="1"/>
  <c r="JU36" i="1"/>
  <c r="JU28" i="1"/>
  <c r="JU20" i="1"/>
  <c r="JU12" i="1"/>
  <c r="JU33" i="1"/>
  <c r="JU25" i="1"/>
  <c r="JU17" i="1"/>
  <c r="JU38" i="1"/>
  <c r="JU30" i="1"/>
  <c r="JU22" i="1"/>
  <c r="JU14" i="1"/>
  <c r="JU35" i="1"/>
  <c r="JU27" i="1"/>
  <c r="JU19" i="1"/>
  <c r="JU32" i="1"/>
  <c r="JU24" i="1"/>
  <c r="JU16" i="1"/>
  <c r="KS37" i="1"/>
  <c r="KS29" i="1"/>
  <c r="KS21" i="1"/>
  <c r="KS34" i="1"/>
  <c r="KS26" i="1"/>
  <c r="KS18" i="1"/>
  <c r="KS39" i="1"/>
  <c r="KS31" i="1"/>
  <c r="KS23" i="1"/>
  <c r="KS15" i="1"/>
  <c r="KS41" i="1"/>
  <c r="KS36" i="1"/>
  <c r="KS28" i="1"/>
  <c r="KS20" i="1"/>
  <c r="KS12" i="1"/>
  <c r="KS33" i="1"/>
  <c r="KS25" i="1"/>
  <c r="KS17" i="1"/>
  <c r="KS38" i="1"/>
  <c r="KS30" i="1"/>
  <c r="KS22" i="1"/>
  <c r="KS14" i="1"/>
  <c r="KS35" i="1"/>
  <c r="KS27" i="1"/>
  <c r="KS19" i="1"/>
  <c r="KS32" i="1"/>
  <c r="KS24" i="1"/>
  <c r="KS16" i="1"/>
  <c r="KS13" i="1"/>
  <c r="KM11" i="1"/>
  <c r="JL10" i="1"/>
  <c r="KJ10" i="1"/>
  <c r="JL18" i="1"/>
  <c r="KJ18" i="1"/>
  <c r="JL26" i="1"/>
  <c r="KJ26" i="1"/>
  <c r="JL34" i="1"/>
  <c r="KJ34" i="1"/>
  <c r="M41" i="1"/>
  <c r="AK41" i="1"/>
  <c r="BA41" i="1"/>
  <c r="BI41" i="1"/>
  <c r="CG41" i="1"/>
  <c r="DE41" i="1"/>
  <c r="EC41" i="1"/>
  <c r="FA41" i="1"/>
  <c r="FY41" i="1"/>
  <c r="GW41" i="1"/>
  <c r="HU41" i="1"/>
  <c r="IS41" i="1"/>
  <c r="JQ41" i="1"/>
  <c r="KO41" i="1"/>
  <c r="JL21" i="1"/>
  <c r="KJ21" i="1"/>
  <c r="JL29" i="1"/>
  <c r="KJ29" i="1"/>
  <c r="JL37" i="1"/>
  <c r="KJ37" i="1"/>
  <c r="N41" i="1"/>
  <c r="V41" i="1"/>
  <c r="AT41" i="1"/>
  <c r="BR41" i="1"/>
  <c r="CP41" i="1"/>
  <c r="DN41" i="1"/>
  <c r="EL41" i="1"/>
  <c r="FJ41" i="1"/>
  <c r="GH41" i="1"/>
  <c r="HF41" i="1"/>
  <c r="ID41" i="1"/>
  <c r="JB41" i="1"/>
  <c r="JZ41" i="1"/>
  <c r="JL16" i="1"/>
  <c r="KJ16" i="1"/>
  <c r="JL24" i="1"/>
  <c r="KJ24" i="1"/>
  <c r="JL32" i="1"/>
  <c r="KJ32" i="1"/>
  <c r="G41" i="1"/>
  <c r="CA41" i="1"/>
  <c r="CY41" i="1"/>
  <c r="DW41" i="1"/>
  <c r="EU41" i="1"/>
  <c r="FS41" i="1"/>
  <c r="GQ41" i="1"/>
  <c r="HO41" i="1"/>
  <c r="IM41" i="1"/>
  <c r="JK41" i="1"/>
  <c r="KI41" i="1"/>
  <c r="JL19" i="1"/>
  <c r="KJ19" i="1"/>
  <c r="JL27" i="1"/>
  <c r="KJ27" i="1"/>
  <c r="JL35" i="1"/>
  <c r="KJ35" i="1"/>
  <c r="H41" i="1"/>
  <c r="P41" i="1"/>
  <c r="AF41" i="1"/>
  <c r="AN41" i="1"/>
  <c r="BL41" i="1"/>
  <c r="CB41" i="1"/>
  <c r="CJ41" i="1"/>
  <c r="CZ41" i="1"/>
  <c r="DH41" i="1"/>
  <c r="DX41" i="1"/>
  <c r="EF41" i="1"/>
  <c r="EV41" i="1"/>
  <c r="FD41" i="1"/>
  <c r="FT41" i="1"/>
  <c r="GB41" i="1"/>
  <c r="GR41" i="1"/>
  <c r="GZ41" i="1"/>
  <c r="HP41" i="1"/>
  <c r="HX41" i="1"/>
  <c r="IN41" i="1"/>
  <c r="IV41" i="1"/>
  <c r="JL41" i="1"/>
  <c r="JT41" i="1"/>
  <c r="KJ41" i="1"/>
  <c r="KR41" i="1"/>
  <c r="JL14" i="1"/>
  <c r="KJ14" i="1"/>
  <c r="JL22" i="1"/>
  <c r="KJ22" i="1"/>
  <c r="JL30" i="1"/>
  <c r="KJ30" i="1"/>
  <c r="JL38" i="1"/>
  <c r="KJ38" i="1"/>
  <c r="AO41" i="1"/>
  <c r="AW41" i="1"/>
  <c r="BM41" i="1"/>
  <c r="BU41" i="1"/>
  <c r="CK41" i="1"/>
  <c r="CS41" i="1"/>
  <c r="DI41" i="1"/>
  <c r="DQ41" i="1"/>
  <c r="EG41" i="1"/>
  <c r="EO41" i="1"/>
  <c r="FE41" i="1"/>
  <c r="FM41" i="1"/>
  <c r="GC41" i="1"/>
  <c r="GK41" i="1"/>
  <c r="HA41" i="1"/>
  <c r="HI41" i="1"/>
  <c r="HY41" i="1"/>
  <c r="IG41" i="1"/>
  <c r="IW41" i="1"/>
  <c r="JE41" i="1"/>
  <c r="KC41" i="1"/>
  <c r="JL17" i="1"/>
  <c r="KJ17" i="1"/>
  <c r="JL25" i="1"/>
  <c r="KJ25" i="1"/>
  <c r="JL33" i="1"/>
  <c r="KJ33" i="1"/>
  <c r="Z41" i="1"/>
  <c r="AH41" i="1"/>
  <c r="AX41" i="1"/>
  <c r="BF41" i="1"/>
  <c r="BV41" i="1"/>
  <c r="CT41" i="1"/>
  <c r="DB41" i="1"/>
  <c r="DR41" i="1"/>
  <c r="DZ41" i="1"/>
  <c r="EP41" i="1"/>
  <c r="EX41" i="1"/>
  <c r="FN41" i="1"/>
  <c r="FV41" i="1"/>
  <c r="GL41" i="1"/>
  <c r="GT41" i="1"/>
  <c r="HJ41" i="1"/>
  <c r="HR41" i="1"/>
  <c r="IH41" i="1"/>
  <c r="IP41" i="1"/>
  <c r="JF41" i="1"/>
  <c r="JN41" i="1"/>
  <c r="KL41" i="1"/>
  <c r="JL20" i="1"/>
  <c r="KJ20" i="1"/>
  <c r="JL28" i="1"/>
  <c r="KJ28" i="1"/>
  <c r="JL36" i="1"/>
  <c r="KJ36" i="1"/>
  <c r="S41" i="1"/>
  <c r="AQ41" i="1"/>
  <c r="BO41" i="1"/>
  <c r="CM41" i="1"/>
  <c r="DK41" i="1"/>
  <c r="EI41" i="1"/>
  <c r="FG41" i="1"/>
  <c r="GE41" i="1"/>
  <c r="JW41" i="1"/>
  <c r="JL23" i="1"/>
  <c r="KJ23" i="1"/>
  <c r="JL31" i="1"/>
  <c r="KJ31" i="1"/>
  <c r="AB41" i="1"/>
  <c r="CV41" i="1"/>
  <c r="DT41" i="1"/>
  <c r="ER41" i="1"/>
  <c r="FP41" i="1"/>
  <c r="GN41" i="1"/>
  <c r="HD41" i="1"/>
  <c r="HL41" i="1"/>
  <c r="IB41" i="1"/>
  <c r="IJ41" i="1"/>
  <c r="IZ41" i="1"/>
  <c r="JH41" i="1"/>
  <c r="AW164" i="58" l="1"/>
  <c r="X191" i="58" s="1"/>
  <c r="AJ164" i="58"/>
  <c r="X180" i="58" s="1"/>
  <c r="AM164" i="58"/>
  <c r="AK164" i="58"/>
  <c r="X181" i="58" s="1"/>
  <c r="AT164" i="58"/>
  <c r="X188" i="58" s="1"/>
  <c r="AN164" i="58"/>
  <c r="X183" i="58" s="1"/>
  <c r="AF164" i="58"/>
  <c r="X176" i="58" s="1"/>
  <c r="AP164" i="58"/>
  <c r="X185" i="58" s="1"/>
  <c r="AY164" i="58"/>
  <c r="AH164" i="58"/>
  <c r="X178" i="58" s="1"/>
  <c r="AL164" i="58"/>
  <c r="X182" i="58" s="1"/>
  <c r="AI164" i="58"/>
  <c r="X179" i="58" s="1"/>
  <c r="X192" i="58"/>
  <c r="KU38" i="1"/>
  <c r="KU9" i="1"/>
  <c r="KU26" i="1"/>
  <c r="KU27" i="1"/>
  <c r="KU19" i="1"/>
  <c r="KU39" i="1"/>
  <c r="KU30" i="1"/>
  <c r="KU35" i="1"/>
  <c r="KU21" i="1"/>
  <c r="KU34" i="1"/>
  <c r="KU20" i="1"/>
  <c r="KU32" i="1"/>
  <c r="KU12" i="1"/>
  <c r="KU31" i="1"/>
  <c r="KU22" i="1"/>
  <c r="KU23" i="1"/>
  <c r="KU41" i="1"/>
  <c r="KU18" i="1"/>
  <c r="KU11" i="1"/>
  <c r="KU13" i="1"/>
  <c r="KU33" i="1"/>
  <c r="KU14" i="1"/>
  <c r="KU37" i="1"/>
  <c r="KU36" i="1"/>
  <c r="KU25" i="1"/>
  <c r="KU16" i="1"/>
  <c r="KU28" i="1"/>
  <c r="KU17" i="1"/>
  <c r="KU29" i="1"/>
  <c r="KU10" i="1"/>
  <c r="KU24" i="1"/>
  <c r="KU15" i="1"/>
  <c r="AZ163" i="46" l="1"/>
  <c r="AY163" i="46"/>
  <c r="AX163" i="46"/>
  <c r="AW163" i="46"/>
  <c r="AW165" i="58" s="1"/>
  <c r="J8" i="31" l="1"/>
  <c r="J8" i="30" s="1"/>
  <c r="J7" i="32"/>
  <c r="T9" i="48" l="1"/>
  <c r="AV163" i="46" l="1"/>
  <c r="AU163" i="46"/>
  <c r="AT163" i="46"/>
  <c r="AL163" i="46"/>
  <c r="AQ163" i="46"/>
  <c r="N39" i="53" l="1"/>
  <c r="AH41" i="48" l="1"/>
  <c r="AI9" i="48"/>
  <c r="AI10" i="48" s="1"/>
  <c r="AI11" i="48" s="1"/>
  <c r="AI12" i="48" s="1"/>
  <c r="AI13" i="48" s="1"/>
  <c r="AI14" i="48" s="1"/>
  <c r="AI15" i="48" s="1"/>
  <c r="AI16" i="48" s="1"/>
  <c r="AI17" i="48" s="1"/>
  <c r="AI18" i="48" s="1"/>
  <c r="AI19" i="48" s="1"/>
  <c r="AI20" i="48" s="1"/>
  <c r="AI21" i="48" s="1"/>
  <c r="AI22" i="48" s="1"/>
  <c r="AI23" i="48" s="1"/>
  <c r="AI24" i="48" s="1"/>
  <c r="AI25" i="48" s="1"/>
  <c r="AI26" i="48" s="1"/>
  <c r="AI27" i="48" s="1"/>
  <c r="AI28" i="48" s="1"/>
  <c r="AI29" i="48" s="1"/>
  <c r="AI30" i="48" s="1"/>
  <c r="AI31" i="48" s="1"/>
  <c r="AI32" i="48" s="1"/>
  <c r="AI33" i="48" s="1"/>
  <c r="AI34" i="48" s="1"/>
  <c r="AI35" i="48" s="1"/>
  <c r="AI36" i="48" s="1"/>
  <c r="AI37" i="48" s="1"/>
  <c r="AI38" i="48" s="1"/>
  <c r="AI39" i="48" s="1"/>
  <c r="N32" i="53"/>
  <c r="N26" i="53"/>
  <c r="N11" i="53"/>
  <c r="N37" i="53"/>
  <c r="N16" i="53"/>
  <c r="N25" i="53"/>
  <c r="N30" i="53"/>
  <c r="N6" i="53"/>
  <c r="N20" i="53"/>
  <c r="N18" i="53"/>
  <c r="N22" i="53"/>
  <c r="N7" i="53"/>
  <c r="N19" i="53"/>
  <c r="N29" i="53"/>
  <c r="N8" i="53"/>
  <c r="N27" i="53"/>
  <c r="N17" i="53"/>
  <c r="N21" i="53"/>
  <c r="N24" i="53"/>
  <c r="N4" i="53"/>
  <c r="N28" i="53"/>
  <c r="N9" i="53"/>
  <c r="N10" i="53"/>
  <c r="N34" i="53"/>
  <c r="N36" i="53"/>
  <c r="N23" i="53"/>
  <c r="N31" i="53"/>
  <c r="N35" i="53"/>
  <c r="N33" i="53"/>
  <c r="N38" i="53"/>
  <c r="N5" i="53"/>
  <c r="N15" i="53" l="1"/>
  <c r="U5" i="54"/>
  <c r="O15" i="53" s="1"/>
  <c r="P15" i="53" s="1"/>
  <c r="T11" i="54"/>
  <c r="O39" i="53" s="1"/>
  <c r="A4" i="47"/>
  <c r="O31" i="53" l="1"/>
  <c r="O32" i="53"/>
  <c r="O6" i="53"/>
  <c r="P6" i="53" s="1"/>
  <c r="O26" i="53"/>
  <c r="O20" i="53"/>
  <c r="O17" i="53"/>
  <c r="O27" i="53"/>
  <c r="O37" i="53"/>
  <c r="O22" i="53"/>
  <c r="O9" i="53"/>
  <c r="P9" i="53" s="1"/>
  <c r="O23" i="53"/>
  <c r="O24" i="53"/>
  <c r="O8" i="53"/>
  <c r="P8" i="53" s="1"/>
  <c r="O38" i="53"/>
  <c r="P38" i="53" s="1"/>
  <c r="Q38" i="53" s="1"/>
  <c r="O7" i="53"/>
  <c r="P7" i="53" s="1"/>
  <c r="O36" i="53"/>
  <c r="O10" i="53"/>
  <c r="P10" i="53" s="1"/>
  <c r="O19" i="53"/>
  <c r="O4" i="53"/>
  <c r="O35" i="53"/>
  <c r="O34" i="53"/>
  <c r="O33" i="53"/>
  <c r="O16" i="53"/>
  <c r="O18" i="53"/>
  <c r="P18" i="53" s="1"/>
  <c r="O21" i="53"/>
  <c r="O29" i="53"/>
  <c r="O5" i="53"/>
  <c r="P5" i="53" s="1"/>
  <c r="O25" i="53"/>
  <c r="O28" i="53"/>
  <c r="O30" i="53"/>
  <c r="O11" i="53"/>
  <c r="P11" i="53" s="1"/>
  <c r="P16" i="53" l="1"/>
  <c r="P31" i="53"/>
  <c r="P36" i="53"/>
  <c r="P24" i="53"/>
  <c r="P4" i="53"/>
  <c r="Q4" i="53" s="1"/>
  <c r="P19" i="53"/>
  <c r="P33" i="53"/>
  <c r="Q24" i="53" l="1"/>
  <c r="A9" i="1"/>
  <c r="C45" i="30" l="1"/>
  <c r="AF39" i="55" l="1"/>
  <c r="AE39" i="55"/>
  <c r="AD39" i="55"/>
  <c r="AC39" i="55"/>
  <c r="AB39" i="55"/>
  <c r="AA39" i="55"/>
  <c r="Z39" i="55"/>
  <c r="Y39" i="55"/>
  <c r="X39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E39" i="55"/>
  <c r="D39" i="55"/>
  <c r="C39" i="55"/>
  <c r="B39" i="55"/>
  <c r="AG37" i="55"/>
  <c r="AG36" i="55"/>
  <c r="AG35" i="55"/>
  <c r="AG34" i="55"/>
  <c r="AG33" i="55"/>
  <c r="AG32" i="55"/>
  <c r="AG31" i="55"/>
  <c r="AG30" i="55"/>
  <c r="AG29" i="55"/>
  <c r="AG28" i="55"/>
  <c r="AG27" i="55"/>
  <c r="AG26" i="55"/>
  <c r="AG25" i="55"/>
  <c r="AG24" i="55"/>
  <c r="AG23" i="55"/>
  <c r="AG22" i="55"/>
  <c r="AG21" i="55"/>
  <c r="AG20" i="55"/>
  <c r="AG19" i="55"/>
  <c r="AG18" i="55"/>
  <c r="AG17" i="55"/>
  <c r="AG16" i="55"/>
  <c r="AG15" i="55"/>
  <c r="AG14" i="55"/>
  <c r="AG13" i="55"/>
  <c r="AG12" i="55"/>
  <c r="AG11" i="55"/>
  <c r="AG10" i="55"/>
  <c r="AG9" i="55"/>
  <c r="AG8" i="55"/>
  <c r="AG7" i="55"/>
  <c r="AG6" i="55"/>
  <c r="AG39" i="55" l="1"/>
  <c r="AH36" i="55" l="1"/>
  <c r="AH18" i="55"/>
  <c r="AH6" i="55"/>
  <c r="AH32" i="55"/>
  <c r="AH24" i="55"/>
  <c r="AH10" i="55"/>
  <c r="AH35" i="55"/>
  <c r="AH31" i="55"/>
  <c r="AH27" i="55"/>
  <c r="AH23" i="55"/>
  <c r="AH19" i="55"/>
  <c r="AH15" i="55"/>
  <c r="AH11" i="55"/>
  <c r="AH7" i="55"/>
  <c r="AH17" i="55"/>
  <c r="AH9" i="55"/>
  <c r="AH37" i="55"/>
  <c r="AH33" i="55"/>
  <c r="AH29" i="55"/>
  <c r="AH25" i="55"/>
  <c r="AH21" i="55"/>
  <c r="AH13" i="55"/>
  <c r="AH12" i="55"/>
  <c r="AH34" i="55"/>
  <c r="AH22" i="55"/>
  <c r="AH16" i="55"/>
  <c r="AH28" i="55"/>
  <c r="AH8" i="55"/>
  <c r="AH20" i="55"/>
  <c r="AH30" i="55"/>
  <c r="AH26" i="55"/>
  <c r="AH14" i="55"/>
  <c r="AH39" i="55" l="1"/>
  <c r="A10" i="2"/>
  <c r="BW42" i="2" l="1"/>
  <c r="BO42" i="2"/>
  <c r="BG42" i="2"/>
  <c r="AM42" i="2"/>
  <c r="AI42" i="2"/>
  <c r="AA42" i="2"/>
  <c r="BS40" i="2"/>
  <c r="BS39" i="2"/>
  <c r="BS38" i="2"/>
  <c r="BS37" i="2"/>
  <c r="BS36" i="2"/>
  <c r="BS35" i="2"/>
  <c r="BS34" i="2"/>
  <c r="BS33" i="2"/>
  <c r="BS32" i="2"/>
  <c r="BS31" i="2"/>
  <c r="BS30" i="2"/>
  <c r="BS29" i="2"/>
  <c r="BS28" i="2"/>
  <c r="BS27" i="2"/>
  <c r="BS26" i="2"/>
  <c r="BS25" i="2"/>
  <c r="BS24" i="2"/>
  <c r="AQ42" i="2"/>
  <c r="BS23" i="2"/>
  <c r="K42" i="2"/>
  <c r="BS22" i="2"/>
  <c r="BS21" i="2"/>
  <c r="BS20" i="2"/>
  <c r="BS19" i="2"/>
  <c r="BS18" i="2"/>
  <c r="BS17" i="2"/>
  <c r="BS16" i="2"/>
  <c r="BS15" i="2"/>
  <c r="BS14" i="2"/>
  <c r="BS13" i="2"/>
  <c r="BS12" i="2"/>
  <c r="BS11" i="2"/>
  <c r="BY10" i="2"/>
  <c r="BQ10" i="2"/>
  <c r="BQ11" i="2" s="1"/>
  <c r="BK42" i="2"/>
  <c r="BI10" i="2"/>
  <c r="BI11" i="2" s="1"/>
  <c r="AY42" i="2"/>
  <c r="AU42" i="2"/>
  <c r="AS10" i="2"/>
  <c r="AO10" i="2"/>
  <c r="AO11" i="2" s="1"/>
  <c r="AK10" i="2"/>
  <c r="AK11" i="2" s="1"/>
  <c r="AC10" i="2"/>
  <c r="AC11" i="2" s="1"/>
  <c r="Y10" i="2"/>
  <c r="Y11" i="2" s="1"/>
  <c r="U10" i="2"/>
  <c r="U11" i="2" s="1"/>
  <c r="Q10" i="2"/>
  <c r="Q11" i="2" s="1"/>
  <c r="M10" i="2"/>
  <c r="M11" i="2" s="1"/>
  <c r="G42" i="2"/>
  <c r="CA37" i="2" l="1"/>
  <c r="CA38" i="2"/>
  <c r="BL38" i="2" s="1"/>
  <c r="CA40" i="2"/>
  <c r="P40" i="2" s="1"/>
  <c r="U12" i="2"/>
  <c r="BI12" i="2"/>
  <c r="BQ12" i="2"/>
  <c r="M12" i="2"/>
  <c r="AC12" i="2"/>
  <c r="Q12" i="2"/>
  <c r="Y12" i="2"/>
  <c r="AK12" i="2"/>
  <c r="AO12" i="2"/>
  <c r="CA13" i="2"/>
  <c r="CA15" i="2"/>
  <c r="AW10" i="2"/>
  <c r="AW11" i="2" s="1"/>
  <c r="AW12" i="2" s="1"/>
  <c r="AW13" i="2" s="1"/>
  <c r="BA10" i="2"/>
  <c r="BM10" i="2"/>
  <c r="AS11" i="2"/>
  <c r="BY11" i="2"/>
  <c r="CA21" i="2"/>
  <c r="I10" i="2"/>
  <c r="BS10" i="2"/>
  <c r="CA19" i="2"/>
  <c r="CA26" i="2"/>
  <c r="CA30" i="2"/>
  <c r="CA31" i="2"/>
  <c r="CA29" i="2"/>
  <c r="CA27" i="2"/>
  <c r="CA28" i="2"/>
  <c r="CA32" i="2"/>
  <c r="CA35" i="2"/>
  <c r="BP37" i="2"/>
  <c r="BH37" i="2"/>
  <c r="AZ37" i="2"/>
  <c r="AR37" i="2"/>
  <c r="AB37" i="2"/>
  <c r="T37" i="2"/>
  <c r="L37" i="2"/>
  <c r="BX37" i="2"/>
  <c r="BL37" i="2"/>
  <c r="BD37" i="2"/>
  <c r="AV37" i="2"/>
  <c r="AN37" i="2"/>
  <c r="AJ37" i="2"/>
  <c r="X37" i="2"/>
  <c r="P37" i="2"/>
  <c r="H37" i="2"/>
  <c r="BT37" i="2"/>
  <c r="CA36" i="2"/>
  <c r="AF37" i="2"/>
  <c r="BX38" i="2"/>
  <c r="CA39" i="2"/>
  <c r="BD40" i="2" l="1"/>
  <c r="AN40" i="2"/>
  <c r="AR40" i="2"/>
  <c r="AV40" i="2"/>
  <c r="H40" i="2"/>
  <c r="AJ38" i="2"/>
  <c r="AN38" i="2"/>
  <c r="AV38" i="2"/>
  <c r="AR38" i="2"/>
  <c r="AZ38" i="2"/>
  <c r="BD38" i="2"/>
  <c r="BH38" i="2"/>
  <c r="BP38" i="2"/>
  <c r="BT38" i="2"/>
  <c r="AF38" i="2"/>
  <c r="BH40" i="2"/>
  <c r="BD13" i="2"/>
  <c r="BD15" i="2"/>
  <c r="AF26" i="2"/>
  <c r="BX40" i="2"/>
  <c r="BT40" i="2"/>
  <c r="AF29" i="2"/>
  <c r="AJ40" i="2"/>
  <c r="AF35" i="2"/>
  <c r="AF31" i="2"/>
  <c r="AF21" i="2"/>
  <c r="AF30" i="2"/>
  <c r="BD32" i="2"/>
  <c r="X40" i="2"/>
  <c r="AF39" i="2"/>
  <c r="BD36" i="2"/>
  <c r="BL40" i="2"/>
  <c r="BD19" i="2"/>
  <c r="BP40" i="2"/>
  <c r="AZ35" i="2"/>
  <c r="BD31" i="2"/>
  <c r="H19" i="2"/>
  <c r="BD21" i="2"/>
  <c r="L35" i="2"/>
  <c r="BD35" i="2"/>
  <c r="AZ32" i="2"/>
  <c r="BT35" i="2"/>
  <c r="L30" i="2"/>
  <c r="BT30" i="2"/>
  <c r="AB40" i="2"/>
  <c r="H15" i="2"/>
  <c r="H13" i="2"/>
  <c r="AZ21" i="2"/>
  <c r="AZ26" i="2"/>
  <c r="H21" i="2"/>
  <c r="AF40" i="2"/>
  <c r="T40" i="2"/>
  <c r="L40" i="2"/>
  <c r="AZ40" i="2"/>
  <c r="BD26" i="2"/>
  <c r="AB38" i="2"/>
  <c r="T38" i="2"/>
  <c r="L38" i="2"/>
  <c r="X38" i="2"/>
  <c r="P38" i="2"/>
  <c r="H38" i="2"/>
  <c r="BT39" i="2"/>
  <c r="AZ30" i="2"/>
  <c r="BD30" i="2"/>
  <c r="AZ19" i="2"/>
  <c r="BT26" i="2"/>
  <c r="BT19" i="2"/>
  <c r="BT21" i="2"/>
  <c r="L31" i="2"/>
  <c r="AZ29" i="2"/>
  <c r="BT29" i="2"/>
  <c r="BT15" i="2"/>
  <c r="BT13" i="2"/>
  <c r="AF32" i="2"/>
  <c r="AF15" i="2"/>
  <c r="AF19" i="2"/>
  <c r="AF13" i="2"/>
  <c r="BX27" i="2"/>
  <c r="BL27" i="2"/>
  <c r="AN27" i="2"/>
  <c r="AJ27" i="2"/>
  <c r="AB27" i="2"/>
  <c r="T27" i="2"/>
  <c r="H27" i="2"/>
  <c r="BT27" i="2"/>
  <c r="BP27" i="2"/>
  <c r="BH27" i="2"/>
  <c r="AZ27" i="2"/>
  <c r="AV27" i="2"/>
  <c r="X27" i="2"/>
  <c r="P27" i="2"/>
  <c r="AR27" i="2"/>
  <c r="AF27" i="2"/>
  <c r="L27" i="2"/>
  <c r="BX28" i="2"/>
  <c r="BL28" i="2"/>
  <c r="AN28" i="2"/>
  <c r="AJ28" i="2"/>
  <c r="AB28" i="2"/>
  <c r="T28" i="2"/>
  <c r="L28" i="2"/>
  <c r="BT28" i="2"/>
  <c r="BP28" i="2"/>
  <c r="BH28" i="2"/>
  <c r="AZ28" i="2"/>
  <c r="AV28" i="2"/>
  <c r="X28" i="2"/>
  <c r="P28" i="2"/>
  <c r="H28" i="2"/>
  <c r="AF28" i="2"/>
  <c r="AR28" i="2"/>
  <c r="BP39" i="2"/>
  <c r="BH39" i="2"/>
  <c r="AZ39" i="2"/>
  <c r="AR39" i="2"/>
  <c r="BL39" i="2"/>
  <c r="AN39" i="2"/>
  <c r="X39" i="2"/>
  <c r="P39" i="2"/>
  <c r="H39" i="2"/>
  <c r="BX39" i="2"/>
  <c r="BD39" i="2"/>
  <c r="AV39" i="2"/>
  <c r="AJ39" i="2"/>
  <c r="AB39" i="2"/>
  <c r="T39" i="2"/>
  <c r="L39" i="2"/>
  <c r="BX36" i="2"/>
  <c r="BL36" i="2"/>
  <c r="AV36" i="2"/>
  <c r="AN36" i="2"/>
  <c r="AJ36" i="2"/>
  <c r="X36" i="2"/>
  <c r="P36" i="2"/>
  <c r="H36" i="2"/>
  <c r="BT36" i="2"/>
  <c r="BP36" i="2"/>
  <c r="BH36" i="2"/>
  <c r="AZ36" i="2"/>
  <c r="AR36" i="2"/>
  <c r="AF36" i="2"/>
  <c r="AB36" i="2"/>
  <c r="T36" i="2"/>
  <c r="L36" i="2"/>
  <c r="BP35" i="2"/>
  <c r="BH35" i="2"/>
  <c r="AV35" i="2"/>
  <c r="AN35" i="2"/>
  <c r="AJ35" i="2"/>
  <c r="X35" i="2"/>
  <c r="P35" i="2"/>
  <c r="BX35" i="2"/>
  <c r="BL35" i="2"/>
  <c r="AR35" i="2"/>
  <c r="AB35" i="2"/>
  <c r="T35" i="2"/>
  <c r="H35" i="2"/>
  <c r="BT32" i="2"/>
  <c r="BP29" i="2"/>
  <c r="BH29" i="2"/>
  <c r="AV29" i="2"/>
  <c r="AN29" i="2"/>
  <c r="AJ29" i="2"/>
  <c r="AB29" i="2"/>
  <c r="T29" i="2"/>
  <c r="L29" i="2"/>
  <c r="BX29" i="2"/>
  <c r="BL29" i="2"/>
  <c r="AR29" i="2"/>
  <c r="X29" i="2"/>
  <c r="P29" i="2"/>
  <c r="H29" i="2"/>
  <c r="BP30" i="2"/>
  <c r="BH30" i="2"/>
  <c r="AV30" i="2"/>
  <c r="AN30" i="2"/>
  <c r="AJ30" i="2"/>
  <c r="AB30" i="2"/>
  <c r="T30" i="2"/>
  <c r="H30" i="2"/>
  <c r="BX30" i="2"/>
  <c r="BL30" i="2"/>
  <c r="AR30" i="2"/>
  <c r="X30" i="2"/>
  <c r="P30" i="2"/>
  <c r="BP26" i="2"/>
  <c r="BH26" i="2"/>
  <c r="AV26" i="2"/>
  <c r="AN26" i="2"/>
  <c r="AJ26" i="2"/>
  <c r="X26" i="2"/>
  <c r="P26" i="2"/>
  <c r="BX26" i="2"/>
  <c r="BL26" i="2"/>
  <c r="AR26" i="2"/>
  <c r="AB26" i="2"/>
  <c r="T26" i="2"/>
  <c r="L26" i="2"/>
  <c r="H26" i="2"/>
  <c r="CA25" i="2"/>
  <c r="CA20" i="2"/>
  <c r="BC42" i="2"/>
  <c r="BE10" i="2"/>
  <c r="BE11" i="2" s="1"/>
  <c r="CA14" i="2"/>
  <c r="BY12" i="2"/>
  <c r="BM11" i="2"/>
  <c r="BA11" i="2"/>
  <c r="AC13" i="2"/>
  <c r="M13" i="2"/>
  <c r="BQ13" i="2"/>
  <c r="BI13" i="2"/>
  <c r="CA33" i="2"/>
  <c r="BP32" i="2"/>
  <c r="BH32" i="2"/>
  <c r="AV32" i="2"/>
  <c r="AN32" i="2"/>
  <c r="AJ32" i="2"/>
  <c r="X32" i="2"/>
  <c r="P32" i="2"/>
  <c r="BX32" i="2"/>
  <c r="BL32" i="2"/>
  <c r="AR32" i="2"/>
  <c r="AB32" i="2"/>
  <c r="T32" i="2"/>
  <c r="L32" i="2"/>
  <c r="H32" i="2"/>
  <c r="CA34" i="2"/>
  <c r="BD28" i="2"/>
  <c r="BD27" i="2"/>
  <c r="CA24" i="2"/>
  <c r="BX31" i="2"/>
  <c r="BL31" i="2"/>
  <c r="AR31" i="2"/>
  <c r="AB31" i="2"/>
  <c r="T31" i="2"/>
  <c r="BT31" i="2"/>
  <c r="BP31" i="2"/>
  <c r="BH31" i="2"/>
  <c r="AV31" i="2"/>
  <c r="AJ31" i="2"/>
  <c r="P31" i="2"/>
  <c r="H31" i="2"/>
  <c r="AZ31" i="2"/>
  <c r="AN31" i="2"/>
  <c r="X31" i="2"/>
  <c r="BD29" i="2"/>
  <c r="CA23" i="2"/>
  <c r="CA22" i="2"/>
  <c r="CA18" i="2"/>
  <c r="CA17" i="2"/>
  <c r="BP19" i="2"/>
  <c r="BH19" i="2"/>
  <c r="AV19" i="2"/>
  <c r="AN19" i="2"/>
  <c r="AJ19" i="2"/>
  <c r="X19" i="2"/>
  <c r="P19" i="2"/>
  <c r="BX19" i="2"/>
  <c r="BL19" i="2"/>
  <c r="AR19" i="2"/>
  <c r="AB19" i="2"/>
  <c r="T19" i="2"/>
  <c r="L19" i="2"/>
  <c r="BS42" i="2"/>
  <c r="BU10" i="2"/>
  <c r="AE42" i="2"/>
  <c r="AG10" i="2"/>
  <c r="AG11" i="2" s="1"/>
  <c r="AG12" i="2" s="1"/>
  <c r="CA10" i="2"/>
  <c r="BP21" i="2"/>
  <c r="BH21" i="2"/>
  <c r="AV21" i="2"/>
  <c r="AN21" i="2"/>
  <c r="AJ21" i="2"/>
  <c r="X21" i="2"/>
  <c r="P21" i="2"/>
  <c r="BX21" i="2"/>
  <c r="BL21" i="2"/>
  <c r="AR21" i="2"/>
  <c r="AB21" i="2"/>
  <c r="T21" i="2"/>
  <c r="L21" i="2"/>
  <c r="CA16" i="2"/>
  <c r="AW14" i="2"/>
  <c r="CA12" i="2"/>
  <c r="AS12" i="2"/>
  <c r="CA11" i="2"/>
  <c r="I11" i="2"/>
  <c r="BP15" i="2"/>
  <c r="BH15" i="2"/>
  <c r="AZ15" i="2"/>
  <c r="AN15" i="2"/>
  <c r="AJ15" i="2"/>
  <c r="X15" i="2"/>
  <c r="P15" i="2"/>
  <c r="BX15" i="2"/>
  <c r="BL15" i="2"/>
  <c r="AV15" i="2"/>
  <c r="AR15" i="2"/>
  <c r="AB15" i="2"/>
  <c r="T15" i="2"/>
  <c r="L15" i="2"/>
  <c r="BP13" i="2"/>
  <c r="BH13" i="2"/>
  <c r="AZ13" i="2"/>
  <c r="AN13" i="2"/>
  <c r="AJ13" i="2"/>
  <c r="X13" i="2"/>
  <c r="P13" i="2"/>
  <c r="BX13" i="2"/>
  <c r="BL13" i="2"/>
  <c r="AV13" i="2"/>
  <c r="AR13" i="2"/>
  <c r="AB13" i="2"/>
  <c r="T13" i="2"/>
  <c r="L13" i="2"/>
  <c r="AO13" i="2"/>
  <c r="AK13" i="2"/>
  <c r="Y13" i="2"/>
  <c r="Q13" i="2"/>
  <c r="U13" i="2"/>
  <c r="BT10" i="2" l="1"/>
  <c r="AF18" i="2"/>
  <c r="AF14" i="2"/>
  <c r="BD12" i="2"/>
  <c r="AF17" i="2"/>
  <c r="AF23" i="2"/>
  <c r="BD25" i="2"/>
  <c r="AF20" i="2"/>
  <c r="AF12" i="2"/>
  <c r="AF10" i="2"/>
  <c r="BD23" i="2"/>
  <c r="BD14" i="2"/>
  <c r="Q14" i="2"/>
  <c r="I12" i="2"/>
  <c r="BX11" i="2"/>
  <c r="BL11" i="2"/>
  <c r="AR11" i="2"/>
  <c r="X11" i="2"/>
  <c r="P11" i="2"/>
  <c r="BT11" i="2"/>
  <c r="BP11" i="2"/>
  <c r="BH11" i="2"/>
  <c r="AZ11" i="2"/>
  <c r="AN11" i="2"/>
  <c r="AJ11" i="2"/>
  <c r="AB11" i="2"/>
  <c r="T11" i="2"/>
  <c r="L11" i="2"/>
  <c r="AV11" i="2"/>
  <c r="H11" i="2"/>
  <c r="AS13" i="2"/>
  <c r="AG13" i="2"/>
  <c r="BX16" i="2"/>
  <c r="BP16" i="2"/>
  <c r="BH16" i="2"/>
  <c r="AR16" i="2"/>
  <c r="AB16" i="2"/>
  <c r="T16" i="2"/>
  <c r="L16" i="2"/>
  <c r="BL16" i="2"/>
  <c r="AN16" i="2"/>
  <c r="AJ16" i="2"/>
  <c r="X16" i="2"/>
  <c r="P16" i="2"/>
  <c r="H16" i="2"/>
  <c r="BT16" i="2"/>
  <c r="BD16" i="2"/>
  <c r="AZ16" i="2"/>
  <c r="AV16" i="2"/>
  <c r="BX22" i="2"/>
  <c r="BL22" i="2"/>
  <c r="AR22" i="2"/>
  <c r="AB22" i="2"/>
  <c r="T22" i="2"/>
  <c r="L22" i="2"/>
  <c r="BT22" i="2"/>
  <c r="BP22" i="2"/>
  <c r="BH22" i="2"/>
  <c r="AZ22" i="2"/>
  <c r="AV22" i="2"/>
  <c r="AN22" i="2"/>
  <c r="AJ22" i="2"/>
  <c r="X22" i="2"/>
  <c r="P22" i="2"/>
  <c r="H22" i="2"/>
  <c r="BD22" i="2"/>
  <c r="BX34" i="2"/>
  <c r="BP34" i="2"/>
  <c r="BH34" i="2"/>
  <c r="AV34" i="2"/>
  <c r="AN34" i="2"/>
  <c r="AJ34" i="2"/>
  <c r="X34" i="2"/>
  <c r="P34" i="2"/>
  <c r="BL34" i="2"/>
  <c r="AR34" i="2"/>
  <c r="AB34" i="2"/>
  <c r="T34" i="2"/>
  <c r="L34" i="2"/>
  <c r="H34" i="2"/>
  <c r="AF34" i="2"/>
  <c r="AZ34" i="2"/>
  <c r="BT34" i="2"/>
  <c r="BX33" i="2"/>
  <c r="BL33" i="2"/>
  <c r="AR33" i="2"/>
  <c r="AB33" i="2"/>
  <c r="T33" i="2"/>
  <c r="H33" i="2"/>
  <c r="BT33" i="2"/>
  <c r="BP33" i="2"/>
  <c r="BH33" i="2"/>
  <c r="AZ33" i="2"/>
  <c r="AV33" i="2"/>
  <c r="AN33" i="2"/>
  <c r="AJ33" i="2"/>
  <c r="X33" i="2"/>
  <c r="P33" i="2"/>
  <c r="L33" i="2"/>
  <c r="BD33" i="2"/>
  <c r="BA12" i="2"/>
  <c r="Y14" i="2"/>
  <c r="U14" i="2"/>
  <c r="AK14" i="2"/>
  <c r="AO14" i="2"/>
  <c r="AF11" i="2"/>
  <c r="BD11" i="2"/>
  <c r="BX12" i="2"/>
  <c r="BL12" i="2"/>
  <c r="AR12" i="2"/>
  <c r="X12" i="2"/>
  <c r="P12" i="2"/>
  <c r="BT12" i="2"/>
  <c r="BP12" i="2"/>
  <c r="BH12" i="2"/>
  <c r="AZ12" i="2"/>
  <c r="AN12" i="2"/>
  <c r="AJ12" i="2"/>
  <c r="AB12" i="2"/>
  <c r="T12" i="2"/>
  <c r="L12" i="2"/>
  <c r="AV12" i="2"/>
  <c r="H12" i="2"/>
  <c r="BE12" i="2"/>
  <c r="AW15" i="2"/>
  <c r="AF16" i="2"/>
  <c r="CA42" i="2"/>
  <c r="CB10" i="2"/>
  <c r="BX10" i="2"/>
  <c r="BH10" i="2"/>
  <c r="AR10" i="2"/>
  <c r="AB10" i="2"/>
  <c r="T10" i="2"/>
  <c r="L10" i="2"/>
  <c r="P10" i="2"/>
  <c r="BP10" i="2"/>
  <c r="AN10" i="2"/>
  <c r="AJ10" i="2"/>
  <c r="X10" i="2"/>
  <c r="H10" i="2"/>
  <c r="AZ10" i="2"/>
  <c r="AV10" i="2"/>
  <c r="BL10" i="2"/>
  <c r="BU11" i="2"/>
  <c r="BP17" i="2"/>
  <c r="BH17" i="2"/>
  <c r="AR17" i="2"/>
  <c r="AB17" i="2"/>
  <c r="T17" i="2"/>
  <c r="L17" i="2"/>
  <c r="BX17" i="2"/>
  <c r="BL17" i="2"/>
  <c r="AN17" i="2"/>
  <c r="AJ17" i="2"/>
  <c r="X17" i="2"/>
  <c r="P17" i="2"/>
  <c r="H17" i="2"/>
  <c r="BD17" i="2"/>
  <c r="AV17" i="2"/>
  <c r="AZ17" i="2"/>
  <c r="BT17" i="2"/>
  <c r="BX18" i="2"/>
  <c r="BL18" i="2"/>
  <c r="AR18" i="2"/>
  <c r="AB18" i="2"/>
  <c r="T18" i="2"/>
  <c r="L18" i="2"/>
  <c r="BT18" i="2"/>
  <c r="BP18" i="2"/>
  <c r="BH18" i="2"/>
  <c r="AZ18" i="2"/>
  <c r="AV18" i="2"/>
  <c r="AN18" i="2"/>
  <c r="AJ18" i="2"/>
  <c r="X18" i="2"/>
  <c r="P18" i="2"/>
  <c r="H18" i="2"/>
  <c r="AF22" i="2"/>
  <c r="BX23" i="2"/>
  <c r="BL23" i="2"/>
  <c r="AR23" i="2"/>
  <c r="AB23" i="2"/>
  <c r="T23" i="2"/>
  <c r="BP23" i="2"/>
  <c r="BH23" i="2"/>
  <c r="AV23" i="2"/>
  <c r="AN23" i="2"/>
  <c r="AJ23" i="2"/>
  <c r="X23" i="2"/>
  <c r="P23" i="2"/>
  <c r="H23" i="2"/>
  <c r="AZ23" i="2"/>
  <c r="BT23" i="2"/>
  <c r="L23" i="2"/>
  <c r="BT24" i="2"/>
  <c r="BP24" i="2"/>
  <c r="BH24" i="2"/>
  <c r="AZ24" i="2"/>
  <c r="AN24" i="2"/>
  <c r="AJ24" i="2"/>
  <c r="X24" i="2"/>
  <c r="P24" i="2"/>
  <c r="BX24" i="2"/>
  <c r="BL24" i="2"/>
  <c r="AB24" i="2"/>
  <c r="T24" i="2"/>
  <c r="L24" i="2"/>
  <c r="H24" i="2"/>
  <c r="AV24" i="2"/>
  <c r="AF24" i="2"/>
  <c r="AR24" i="2"/>
  <c r="BD24" i="2"/>
  <c r="AF33" i="2"/>
  <c r="BI14" i="2"/>
  <c r="BQ14" i="2"/>
  <c r="M14" i="2"/>
  <c r="AC14" i="2"/>
  <c r="BM12" i="2"/>
  <c r="BY13" i="2"/>
  <c r="BX14" i="2"/>
  <c r="BL14" i="2"/>
  <c r="AR14" i="2"/>
  <c r="AB14" i="2"/>
  <c r="T14" i="2"/>
  <c r="L14" i="2"/>
  <c r="BT14" i="2"/>
  <c r="BP14" i="2"/>
  <c r="BH14" i="2"/>
  <c r="AZ14" i="2"/>
  <c r="AN14" i="2"/>
  <c r="AJ14" i="2"/>
  <c r="X14" i="2"/>
  <c r="P14" i="2"/>
  <c r="H14" i="2"/>
  <c r="AV14" i="2"/>
  <c r="BD10" i="2"/>
  <c r="BD18" i="2"/>
  <c r="BX20" i="2"/>
  <c r="BL20" i="2"/>
  <c r="AR20" i="2"/>
  <c r="AB20" i="2"/>
  <c r="T20" i="2"/>
  <c r="L20" i="2"/>
  <c r="BT20" i="2"/>
  <c r="BP20" i="2"/>
  <c r="BH20" i="2"/>
  <c r="AZ20" i="2"/>
  <c r="AV20" i="2"/>
  <c r="AN20" i="2"/>
  <c r="AJ20" i="2"/>
  <c r="X20" i="2"/>
  <c r="P20" i="2"/>
  <c r="H20" i="2"/>
  <c r="BD20" i="2"/>
  <c r="BX25" i="2"/>
  <c r="BL25" i="2"/>
  <c r="AN25" i="2"/>
  <c r="AJ25" i="2"/>
  <c r="X25" i="2"/>
  <c r="P25" i="2"/>
  <c r="BT25" i="2"/>
  <c r="BP25" i="2"/>
  <c r="BH25" i="2"/>
  <c r="AZ25" i="2"/>
  <c r="AV25" i="2"/>
  <c r="AB25" i="2"/>
  <c r="T25" i="2"/>
  <c r="L25" i="2"/>
  <c r="AF25" i="2"/>
  <c r="AR25" i="2"/>
  <c r="H25" i="2"/>
  <c r="BD34" i="2"/>
  <c r="BF10" i="2" l="1"/>
  <c r="AF42" i="2"/>
  <c r="BD42" i="2"/>
  <c r="BV10" i="2"/>
  <c r="BM13" i="2"/>
  <c r="CB42" i="2"/>
  <c r="BP42" i="2"/>
  <c r="AN42" i="2"/>
  <c r="AJ42" i="2"/>
  <c r="AB42" i="2"/>
  <c r="BX42" i="2"/>
  <c r="BH42" i="2"/>
  <c r="AV42" i="2"/>
  <c r="AZ42" i="2"/>
  <c r="BL42" i="2"/>
  <c r="H42" i="2"/>
  <c r="AR42" i="2"/>
  <c r="AW16" i="2"/>
  <c r="BE13" i="2"/>
  <c r="BA13" i="2"/>
  <c r="BT42" i="2"/>
  <c r="I13" i="2"/>
  <c r="BY14" i="2"/>
  <c r="AC15" i="2"/>
  <c r="M15" i="2"/>
  <c r="BQ15" i="2"/>
  <c r="BI15" i="2"/>
  <c r="BU12" i="2"/>
  <c r="BR10" i="2"/>
  <c r="AP10" i="2"/>
  <c r="AL10" i="2"/>
  <c r="Z10" i="2"/>
  <c r="R10" i="2"/>
  <c r="AT10" i="2"/>
  <c r="BZ10" i="2"/>
  <c r="N10" i="2"/>
  <c r="AD10" i="2"/>
  <c r="BJ10" i="2"/>
  <c r="V10" i="2"/>
  <c r="J10" i="2"/>
  <c r="BB10" i="2"/>
  <c r="BN10" i="2"/>
  <c r="AX10" i="2"/>
  <c r="AO15" i="2"/>
  <c r="AK15" i="2"/>
  <c r="U15" i="2"/>
  <c r="Y15" i="2"/>
  <c r="AH10" i="2"/>
  <c r="AG14" i="2"/>
  <c r="AS14" i="2"/>
  <c r="CB11" i="2"/>
  <c r="Q15" i="2"/>
  <c r="AG15" i="2" l="1"/>
  <c r="BJ11" i="2"/>
  <c r="BR11" i="2"/>
  <c r="N11" i="2"/>
  <c r="AD11" i="2"/>
  <c r="V11" i="2"/>
  <c r="R11" i="2"/>
  <c r="Z11" i="2"/>
  <c r="AL11" i="2"/>
  <c r="AP11" i="2"/>
  <c r="AT11" i="2"/>
  <c r="BZ11" i="2"/>
  <c r="AX11" i="2"/>
  <c r="J11" i="2"/>
  <c r="BF11" i="2"/>
  <c r="BB11" i="2"/>
  <c r="AH11" i="2"/>
  <c r="BN11" i="2"/>
  <c r="CB12" i="2"/>
  <c r="AS15" i="2"/>
  <c r="BU13" i="2"/>
  <c r="I14" i="2"/>
  <c r="BA14" i="2"/>
  <c r="Q16" i="2"/>
  <c r="Y16" i="2"/>
  <c r="U16" i="2"/>
  <c r="AK16" i="2"/>
  <c r="AO16" i="2"/>
  <c r="BV11" i="2"/>
  <c r="BI16" i="2"/>
  <c r="BQ16" i="2"/>
  <c r="M16" i="2"/>
  <c r="AC16" i="2"/>
  <c r="BY15" i="2"/>
  <c r="BE14" i="2"/>
  <c r="AW17" i="2"/>
  <c r="BM14" i="2"/>
  <c r="BV12" i="2" l="1"/>
  <c r="AW18" i="2"/>
  <c r="BE15" i="2"/>
  <c r="BQ17" i="2"/>
  <c r="BI17" i="2"/>
  <c r="AO17" i="2"/>
  <c r="AK17" i="2"/>
  <c r="U17" i="2"/>
  <c r="Y17" i="2"/>
  <c r="Q17" i="2"/>
  <c r="BA15" i="2"/>
  <c r="AS16" i="2"/>
  <c r="AG16" i="2"/>
  <c r="BM15" i="2"/>
  <c r="BY16" i="2"/>
  <c r="AC17" i="2"/>
  <c r="M17" i="2"/>
  <c r="I15" i="2"/>
  <c r="BU14" i="2"/>
  <c r="AX12" i="2"/>
  <c r="CB13" i="2"/>
  <c r="Z12" i="2"/>
  <c r="R12" i="2"/>
  <c r="AP12" i="2"/>
  <c r="AL12" i="2"/>
  <c r="AD12" i="2"/>
  <c r="N12" i="2"/>
  <c r="BR12" i="2"/>
  <c r="BJ12" i="2"/>
  <c r="V12" i="2"/>
  <c r="AT12" i="2"/>
  <c r="AH12" i="2"/>
  <c r="BZ12" i="2"/>
  <c r="BB12" i="2"/>
  <c r="J12" i="2"/>
  <c r="BN12" i="2"/>
  <c r="BF12" i="2"/>
  <c r="BU15" i="2" l="1"/>
  <c r="I16" i="2"/>
  <c r="AG17" i="2"/>
  <c r="BE16" i="2"/>
  <c r="AX13" i="2"/>
  <c r="CB14" i="2"/>
  <c r="R13" i="2"/>
  <c r="Z13" i="2"/>
  <c r="V13" i="2"/>
  <c r="AL13" i="2"/>
  <c r="AP13" i="2"/>
  <c r="BJ13" i="2"/>
  <c r="BR13" i="2"/>
  <c r="N13" i="2"/>
  <c r="AD13" i="2"/>
  <c r="AT13" i="2"/>
  <c r="BZ13" i="2"/>
  <c r="AH13" i="2"/>
  <c r="BB13" i="2"/>
  <c r="BF13" i="2"/>
  <c r="BN13" i="2"/>
  <c r="J13" i="2"/>
  <c r="BV13" i="2"/>
  <c r="M18" i="2"/>
  <c r="AC18" i="2"/>
  <c r="BY17" i="2"/>
  <c r="BM16" i="2"/>
  <c r="AS17" i="2"/>
  <c r="BA16" i="2"/>
  <c r="Q18" i="2"/>
  <c r="Y18" i="2"/>
  <c r="U18" i="2"/>
  <c r="AK18" i="2"/>
  <c r="AO18" i="2"/>
  <c r="BI18" i="2"/>
  <c r="BQ18" i="2"/>
  <c r="AW19" i="2"/>
  <c r="U19" i="2" l="1"/>
  <c r="BA17" i="2"/>
  <c r="AC19" i="2"/>
  <c r="M19" i="2"/>
  <c r="BE17" i="2"/>
  <c r="AG18" i="2"/>
  <c r="I17" i="2"/>
  <c r="BU16" i="2"/>
  <c r="AW20" i="2"/>
  <c r="BQ19" i="2"/>
  <c r="BI19" i="2"/>
  <c r="AO19" i="2"/>
  <c r="AK19" i="2"/>
  <c r="Y19" i="2"/>
  <c r="Q19" i="2"/>
  <c r="AS18" i="2"/>
  <c r="BM17" i="2"/>
  <c r="BY18" i="2"/>
  <c r="CB15" i="2"/>
  <c r="AX14" i="2"/>
  <c r="AD14" i="2"/>
  <c r="N14" i="2"/>
  <c r="BR14" i="2"/>
  <c r="BJ14" i="2"/>
  <c r="AP14" i="2"/>
  <c r="AL14" i="2"/>
  <c r="V14" i="2"/>
  <c r="Z14" i="2"/>
  <c r="R14" i="2"/>
  <c r="AH14" i="2"/>
  <c r="AT14" i="2"/>
  <c r="BZ14" i="2"/>
  <c r="BF14" i="2"/>
  <c r="J14" i="2"/>
  <c r="BB14" i="2"/>
  <c r="BN14" i="2"/>
  <c r="BV14" i="2"/>
  <c r="CB16" i="2" l="1"/>
  <c r="AX15" i="2"/>
  <c r="R15" i="2"/>
  <c r="Z15" i="2"/>
  <c r="V15" i="2"/>
  <c r="AL15" i="2"/>
  <c r="AP15" i="2"/>
  <c r="BJ15" i="2"/>
  <c r="BR15" i="2"/>
  <c r="N15" i="2"/>
  <c r="AD15" i="2"/>
  <c r="AH15" i="2"/>
  <c r="AT15" i="2"/>
  <c r="BZ15" i="2"/>
  <c r="J15" i="2"/>
  <c r="BF15" i="2"/>
  <c r="BB15" i="2"/>
  <c r="BN15" i="2"/>
  <c r="AS19" i="2"/>
  <c r="BU17" i="2"/>
  <c r="I18" i="2"/>
  <c r="AG19" i="2"/>
  <c r="BE18" i="2"/>
  <c r="BA18" i="2"/>
  <c r="BY19" i="2"/>
  <c r="BM18" i="2"/>
  <c r="Q20" i="2"/>
  <c r="Y20" i="2"/>
  <c r="AK20" i="2"/>
  <c r="AO20" i="2"/>
  <c r="BI20" i="2"/>
  <c r="BQ20" i="2"/>
  <c r="AW21" i="2"/>
  <c r="BV15" i="2"/>
  <c r="M20" i="2"/>
  <c r="AC20" i="2"/>
  <c r="U20" i="2"/>
  <c r="BV16" i="2" l="1"/>
  <c r="AW22" i="2"/>
  <c r="BQ21" i="2"/>
  <c r="BI21" i="2"/>
  <c r="AO21" i="2"/>
  <c r="AK21" i="2"/>
  <c r="Y21" i="2"/>
  <c r="Q21" i="2"/>
  <c r="BM19" i="2"/>
  <c r="BY20" i="2"/>
  <c r="AS20" i="2"/>
  <c r="CB17" i="2"/>
  <c r="AX16" i="2"/>
  <c r="BR16" i="2"/>
  <c r="BJ16" i="2"/>
  <c r="AP16" i="2"/>
  <c r="AL16" i="2"/>
  <c r="V16" i="2"/>
  <c r="Z16" i="2"/>
  <c r="R16" i="2"/>
  <c r="AD16" i="2"/>
  <c r="N16" i="2"/>
  <c r="AH16" i="2"/>
  <c r="BZ16" i="2"/>
  <c r="AT16" i="2"/>
  <c r="BB16" i="2"/>
  <c r="BF16" i="2"/>
  <c r="J16" i="2"/>
  <c r="BN16" i="2"/>
  <c r="U21" i="2"/>
  <c r="AC21" i="2"/>
  <c r="M21" i="2"/>
  <c r="BA19" i="2"/>
  <c r="BE19" i="2"/>
  <c r="AG20" i="2"/>
  <c r="I19" i="2"/>
  <c r="BU18" i="2"/>
  <c r="BV17" i="2" l="1"/>
  <c r="M22" i="2"/>
  <c r="AC22" i="2"/>
  <c r="U22" i="2"/>
  <c r="CB18" i="2"/>
  <c r="AX17" i="2"/>
  <c r="N17" i="2"/>
  <c r="AD17" i="2"/>
  <c r="V17" i="2"/>
  <c r="AP17" i="2"/>
  <c r="BR17" i="2"/>
  <c r="R17" i="2"/>
  <c r="Z17" i="2"/>
  <c r="AL17" i="2"/>
  <c r="BJ17" i="2"/>
  <c r="AH17" i="2"/>
  <c r="AT17" i="2"/>
  <c r="BZ17" i="2"/>
  <c r="BN17" i="2"/>
  <c r="J17" i="2"/>
  <c r="BF17" i="2"/>
  <c r="BB17" i="2"/>
  <c r="BU19" i="2"/>
  <c r="I20" i="2"/>
  <c r="AG21" i="2"/>
  <c r="BE20" i="2"/>
  <c r="BA20" i="2"/>
  <c r="AS21" i="2"/>
  <c r="BY21" i="2"/>
  <c r="BM20" i="2"/>
  <c r="Q22" i="2"/>
  <c r="Y22" i="2"/>
  <c r="AK22" i="2"/>
  <c r="AO22" i="2"/>
  <c r="BI22" i="2"/>
  <c r="BQ22" i="2"/>
  <c r="AW23" i="2"/>
  <c r="BV18" i="2" l="1"/>
  <c r="AW24" i="2"/>
  <c r="BQ23" i="2"/>
  <c r="BI23" i="2"/>
  <c r="AO23" i="2"/>
  <c r="AK23" i="2"/>
  <c r="Y23" i="2"/>
  <c r="Q23" i="2"/>
  <c r="BM21" i="2"/>
  <c r="BY22" i="2"/>
  <c r="AS22" i="2"/>
  <c r="CB19" i="2"/>
  <c r="AX18" i="2"/>
  <c r="V18" i="2"/>
  <c r="AD18" i="2"/>
  <c r="N18" i="2"/>
  <c r="BR18" i="2"/>
  <c r="BJ18" i="2"/>
  <c r="AP18" i="2"/>
  <c r="AL18" i="2"/>
  <c r="Z18" i="2"/>
  <c r="R18" i="2"/>
  <c r="AT18" i="2"/>
  <c r="BZ18" i="2"/>
  <c r="AH18" i="2"/>
  <c r="BN18" i="2"/>
  <c r="BB18" i="2"/>
  <c r="BF18" i="2"/>
  <c r="J18" i="2"/>
  <c r="BA21" i="2"/>
  <c r="BE21" i="2"/>
  <c r="AG22" i="2"/>
  <c r="I21" i="2"/>
  <c r="BU20" i="2"/>
  <c r="U23" i="2"/>
  <c r="AC23" i="2"/>
  <c r="M23" i="2"/>
  <c r="BV19" i="2" l="1"/>
  <c r="CB20" i="2"/>
  <c r="AX19" i="2"/>
  <c r="R19" i="2"/>
  <c r="Z19" i="2"/>
  <c r="AL19" i="2"/>
  <c r="AP19" i="2"/>
  <c r="BJ19" i="2"/>
  <c r="BR19" i="2"/>
  <c r="AD19" i="2"/>
  <c r="N19" i="2"/>
  <c r="V19" i="2"/>
  <c r="BZ19" i="2"/>
  <c r="AT19" i="2"/>
  <c r="AH19" i="2"/>
  <c r="BN19" i="2"/>
  <c r="J19" i="2"/>
  <c r="BF19" i="2"/>
  <c r="BB19" i="2"/>
  <c r="AW25" i="2"/>
  <c r="M24" i="2"/>
  <c r="AC24" i="2"/>
  <c r="U24" i="2"/>
  <c r="BV20" i="2"/>
  <c r="BU21" i="2"/>
  <c r="I22" i="2"/>
  <c r="AG23" i="2"/>
  <c r="BE22" i="2"/>
  <c r="BA22" i="2"/>
  <c r="AS23" i="2"/>
  <c r="BY23" i="2"/>
  <c r="BM22" i="2"/>
  <c r="Q24" i="2"/>
  <c r="Y24" i="2"/>
  <c r="AK24" i="2"/>
  <c r="AO24" i="2"/>
  <c r="BI24" i="2"/>
  <c r="BQ24" i="2"/>
  <c r="BQ25" i="2" l="1"/>
  <c r="AO25" i="2"/>
  <c r="Y25" i="2"/>
  <c r="Q25" i="2"/>
  <c r="BM23" i="2"/>
  <c r="U25" i="2"/>
  <c r="AC25" i="2"/>
  <c r="AW26" i="2"/>
  <c r="CB21" i="2"/>
  <c r="AX20" i="2"/>
  <c r="V20" i="2"/>
  <c r="AD20" i="2"/>
  <c r="N20" i="2"/>
  <c r="BR20" i="2"/>
  <c r="BJ20" i="2"/>
  <c r="AP20" i="2"/>
  <c r="AL20" i="2"/>
  <c r="Z20" i="2"/>
  <c r="R20" i="2"/>
  <c r="AT20" i="2"/>
  <c r="BZ20" i="2"/>
  <c r="AH20" i="2"/>
  <c r="BN20" i="2"/>
  <c r="BB20" i="2"/>
  <c r="BF20" i="2"/>
  <c r="J20" i="2"/>
  <c r="BI25" i="2"/>
  <c r="AK25" i="2"/>
  <c r="BY24" i="2"/>
  <c r="AS24" i="2"/>
  <c r="BA23" i="2"/>
  <c r="BE23" i="2"/>
  <c r="AG24" i="2"/>
  <c r="I23" i="2"/>
  <c r="BU22" i="2"/>
  <c r="M25" i="2"/>
  <c r="BV21" i="2" l="1"/>
  <c r="BY25" i="2"/>
  <c r="BI26" i="2"/>
  <c r="CB22" i="2"/>
  <c r="AX21" i="2"/>
  <c r="R21" i="2"/>
  <c r="Z21" i="2"/>
  <c r="AL21" i="2"/>
  <c r="AP21" i="2"/>
  <c r="BJ21" i="2"/>
  <c r="BR21" i="2"/>
  <c r="N21" i="2"/>
  <c r="AD21" i="2"/>
  <c r="V21" i="2"/>
  <c r="BZ21" i="2"/>
  <c r="AT21" i="2"/>
  <c r="AH21" i="2"/>
  <c r="BN21" i="2"/>
  <c r="J21" i="2"/>
  <c r="BF21" i="2"/>
  <c r="BB21" i="2"/>
  <c r="BM24" i="2"/>
  <c r="Q26" i="2"/>
  <c r="Y26" i="2"/>
  <c r="AO26" i="2"/>
  <c r="M26" i="2"/>
  <c r="BU23" i="2"/>
  <c r="I24" i="2"/>
  <c r="AG25" i="2"/>
  <c r="BE24" i="2"/>
  <c r="BA24" i="2"/>
  <c r="AS25" i="2"/>
  <c r="AK26" i="2"/>
  <c r="AW27" i="2"/>
  <c r="AC26" i="2"/>
  <c r="U26" i="2"/>
  <c r="BQ26" i="2"/>
  <c r="BV22" i="2" l="1"/>
  <c r="BQ27" i="2"/>
  <c r="U27" i="2"/>
  <c r="AC27" i="2"/>
  <c r="AW28" i="2"/>
  <c r="I25" i="2"/>
  <c r="BM25" i="2"/>
  <c r="CB23" i="2"/>
  <c r="AX22" i="2"/>
  <c r="BR22" i="2"/>
  <c r="BJ22" i="2"/>
  <c r="AP22" i="2"/>
  <c r="AL22" i="2"/>
  <c r="Z22" i="2"/>
  <c r="R22" i="2"/>
  <c r="V22" i="2"/>
  <c r="AD22" i="2"/>
  <c r="N22" i="2"/>
  <c r="AH22" i="2"/>
  <c r="AT22" i="2"/>
  <c r="BZ22" i="2"/>
  <c r="BN22" i="2"/>
  <c r="BB22" i="2"/>
  <c r="BF22" i="2"/>
  <c r="J22" i="2"/>
  <c r="AK27" i="2"/>
  <c r="AS26" i="2"/>
  <c r="BA25" i="2"/>
  <c r="BE25" i="2"/>
  <c r="AG26" i="2"/>
  <c r="BU24" i="2"/>
  <c r="M27" i="2"/>
  <c r="AO27" i="2"/>
  <c r="Y27" i="2"/>
  <c r="Q27" i="2"/>
  <c r="BI27" i="2"/>
  <c r="BY26" i="2"/>
  <c r="BV23" i="2" l="1"/>
  <c r="BY27" i="2"/>
  <c r="BI28" i="2"/>
  <c r="Q28" i="2"/>
  <c r="Y28" i="2"/>
  <c r="AS27" i="2"/>
  <c r="CB24" i="2"/>
  <c r="AX23" i="2"/>
  <c r="AD23" i="2"/>
  <c r="V23" i="2"/>
  <c r="R23" i="2"/>
  <c r="Z23" i="2"/>
  <c r="AL23" i="2"/>
  <c r="AP23" i="2"/>
  <c r="BJ23" i="2"/>
  <c r="BR23" i="2"/>
  <c r="N23" i="2"/>
  <c r="BZ23" i="2"/>
  <c r="AT23" i="2"/>
  <c r="AH23" i="2"/>
  <c r="BN23" i="2"/>
  <c r="J23" i="2"/>
  <c r="BF23" i="2"/>
  <c r="BB23" i="2"/>
  <c r="I26" i="2"/>
  <c r="AO28" i="2"/>
  <c r="M28" i="2"/>
  <c r="BU25" i="2"/>
  <c r="AG27" i="2"/>
  <c r="BE26" i="2"/>
  <c r="BA26" i="2"/>
  <c r="AK28" i="2"/>
  <c r="BM26" i="2"/>
  <c r="AW29" i="2"/>
  <c r="AC28" i="2"/>
  <c r="U28" i="2"/>
  <c r="BQ28" i="2"/>
  <c r="BV24" i="2" l="1"/>
  <c r="BQ29" i="2"/>
  <c r="AW30" i="2"/>
  <c r="BM27" i="2"/>
  <c r="I27" i="2"/>
  <c r="CB25" i="2"/>
  <c r="AX24" i="2"/>
  <c r="AP24" i="2"/>
  <c r="Z24" i="2"/>
  <c r="R24" i="2"/>
  <c r="BJ24" i="2"/>
  <c r="BR24" i="2"/>
  <c r="V24" i="2"/>
  <c r="AD24" i="2"/>
  <c r="AL24" i="2"/>
  <c r="N24" i="2"/>
  <c r="BZ24" i="2"/>
  <c r="AH24" i="2"/>
  <c r="AT24" i="2"/>
  <c r="J24" i="2"/>
  <c r="BN24" i="2"/>
  <c r="BB24" i="2"/>
  <c r="BF24" i="2"/>
  <c r="AS28" i="2"/>
  <c r="U29" i="2"/>
  <c r="AC29" i="2"/>
  <c r="AK29" i="2"/>
  <c r="BA27" i="2"/>
  <c r="BE27" i="2"/>
  <c r="AG28" i="2"/>
  <c r="BU26" i="2"/>
  <c r="M29" i="2"/>
  <c r="AO29" i="2"/>
  <c r="Y29" i="2"/>
  <c r="Q29" i="2"/>
  <c r="BI29" i="2"/>
  <c r="BY28" i="2"/>
  <c r="BV25" i="2" l="1"/>
  <c r="BI30" i="2"/>
  <c r="Q30" i="2"/>
  <c r="Y30" i="2"/>
  <c r="CB26" i="2"/>
  <c r="AX25" i="2"/>
  <c r="AD25" i="2"/>
  <c r="V25" i="2"/>
  <c r="BR25" i="2"/>
  <c r="BJ25" i="2"/>
  <c r="R25" i="2"/>
  <c r="Z25" i="2"/>
  <c r="AP25" i="2"/>
  <c r="N25" i="2"/>
  <c r="AL25" i="2"/>
  <c r="AT25" i="2"/>
  <c r="BZ25" i="2"/>
  <c r="AH25" i="2"/>
  <c r="J25" i="2"/>
  <c r="BN25" i="2"/>
  <c r="BF25" i="2"/>
  <c r="BB25" i="2"/>
  <c r="AW31" i="2"/>
  <c r="BY29" i="2"/>
  <c r="AO30" i="2"/>
  <c r="M30" i="2"/>
  <c r="BU27" i="2"/>
  <c r="AG29" i="2"/>
  <c r="BE28" i="2"/>
  <c r="BA28" i="2"/>
  <c r="AK30" i="2"/>
  <c r="AC30" i="2"/>
  <c r="U30" i="2"/>
  <c r="AS29" i="2"/>
  <c r="I28" i="2"/>
  <c r="BM28" i="2"/>
  <c r="BQ30" i="2"/>
  <c r="BV26" i="2" l="1"/>
  <c r="I29" i="2"/>
  <c r="AW32" i="2"/>
  <c r="CB27" i="2"/>
  <c r="AX26" i="2"/>
  <c r="Z26" i="2"/>
  <c r="R26" i="2"/>
  <c r="BJ26" i="2"/>
  <c r="BR26" i="2"/>
  <c r="V26" i="2"/>
  <c r="AD26" i="2"/>
  <c r="AL26" i="2"/>
  <c r="N26" i="2"/>
  <c r="AP26" i="2"/>
  <c r="AT26" i="2"/>
  <c r="BZ26" i="2"/>
  <c r="AH26" i="2"/>
  <c r="BN26" i="2"/>
  <c r="J26" i="2"/>
  <c r="BB26" i="2"/>
  <c r="BF26" i="2"/>
  <c r="BI31" i="2"/>
  <c r="AS30" i="2"/>
  <c r="BY30" i="2"/>
  <c r="BQ31" i="2"/>
  <c r="BM29" i="2"/>
  <c r="U31" i="2"/>
  <c r="AC31" i="2"/>
  <c r="AK31" i="2"/>
  <c r="BA29" i="2"/>
  <c r="BE29" i="2"/>
  <c r="AG30" i="2"/>
  <c r="BU28" i="2"/>
  <c r="M31" i="2"/>
  <c r="AO31" i="2"/>
  <c r="Y31" i="2"/>
  <c r="Q31" i="2"/>
  <c r="BV27" i="2" l="1"/>
  <c r="Y32" i="2"/>
  <c r="AO32" i="2"/>
  <c r="AK32" i="2"/>
  <c r="U32" i="2"/>
  <c r="BM30" i="2"/>
  <c r="BQ32" i="2"/>
  <c r="BY31" i="2"/>
  <c r="AS31" i="2"/>
  <c r="BI32" i="2"/>
  <c r="CB28" i="2"/>
  <c r="AX27" i="2"/>
  <c r="BR27" i="2"/>
  <c r="BJ27" i="2"/>
  <c r="R27" i="2"/>
  <c r="Z27" i="2"/>
  <c r="AP27" i="2"/>
  <c r="N27" i="2"/>
  <c r="AL27" i="2"/>
  <c r="AD27" i="2"/>
  <c r="V27" i="2"/>
  <c r="AT27" i="2"/>
  <c r="AH27" i="2"/>
  <c r="BZ27" i="2"/>
  <c r="J27" i="2"/>
  <c r="BB27" i="2"/>
  <c r="BN27" i="2"/>
  <c r="BF27" i="2"/>
  <c r="Q32" i="2"/>
  <c r="M32" i="2"/>
  <c r="BU29" i="2"/>
  <c r="AG31" i="2"/>
  <c r="BE30" i="2"/>
  <c r="BA30" i="2"/>
  <c r="AC32" i="2"/>
  <c r="AW33" i="2"/>
  <c r="I30" i="2"/>
  <c r="BV28" i="2" l="1"/>
  <c r="I31" i="2"/>
  <c r="AW34" i="2"/>
  <c r="AC33" i="2"/>
  <c r="Q33" i="2"/>
  <c r="CB29" i="2"/>
  <c r="AX28" i="2"/>
  <c r="Z28" i="2"/>
  <c r="R28" i="2"/>
  <c r="BJ28" i="2"/>
  <c r="BR28" i="2"/>
  <c r="V28" i="2"/>
  <c r="AD28" i="2"/>
  <c r="AL28" i="2"/>
  <c r="N28" i="2"/>
  <c r="AP28" i="2"/>
  <c r="BZ28" i="2"/>
  <c r="AT28" i="2"/>
  <c r="AH28" i="2"/>
  <c r="BN28" i="2"/>
  <c r="J28" i="2"/>
  <c r="BB28" i="2"/>
  <c r="BF28" i="2"/>
  <c r="BA31" i="2"/>
  <c r="BE31" i="2"/>
  <c r="AG32" i="2"/>
  <c r="BU30" i="2"/>
  <c r="M33" i="2"/>
  <c r="BI33" i="2"/>
  <c r="AS32" i="2"/>
  <c r="BY32" i="2"/>
  <c r="BQ33" i="2"/>
  <c r="BM31" i="2"/>
  <c r="U33" i="2"/>
  <c r="AK33" i="2"/>
  <c r="AO33" i="2"/>
  <c r="Y33" i="2"/>
  <c r="BV29" i="2" l="1"/>
  <c r="Y34" i="2"/>
  <c r="AO34" i="2"/>
  <c r="AK34" i="2"/>
  <c r="U34" i="2"/>
  <c r="BM32" i="2"/>
  <c r="BQ34" i="2"/>
  <c r="BY33" i="2"/>
  <c r="AS33" i="2"/>
  <c r="BI34" i="2"/>
  <c r="BE32" i="2"/>
  <c r="CB30" i="2"/>
  <c r="AX29" i="2"/>
  <c r="BJ29" i="2"/>
  <c r="AP29" i="2"/>
  <c r="AL29" i="2"/>
  <c r="AD29" i="2"/>
  <c r="V29" i="2"/>
  <c r="BR29" i="2"/>
  <c r="R29" i="2"/>
  <c r="Z29" i="2"/>
  <c r="N29" i="2"/>
  <c r="AT29" i="2"/>
  <c r="BZ29" i="2"/>
  <c r="AH29" i="2"/>
  <c r="J29" i="2"/>
  <c r="BN29" i="2"/>
  <c r="BF29" i="2"/>
  <c r="BB29" i="2"/>
  <c r="I32" i="2"/>
  <c r="M34" i="2"/>
  <c r="BU31" i="2"/>
  <c r="AG33" i="2"/>
  <c r="BA32" i="2"/>
  <c r="Q34" i="2"/>
  <c r="AC34" i="2"/>
  <c r="AW35" i="2"/>
  <c r="BV30" i="2" l="1"/>
  <c r="AW36" i="2"/>
  <c r="AC35" i="2"/>
  <c r="Q35" i="2"/>
  <c r="I33" i="2"/>
  <c r="CB31" i="2"/>
  <c r="AX30" i="2"/>
  <c r="BJ30" i="2"/>
  <c r="BR30" i="2"/>
  <c r="V30" i="2"/>
  <c r="AL30" i="2"/>
  <c r="AP30" i="2"/>
  <c r="Z30" i="2"/>
  <c r="R30" i="2"/>
  <c r="AD30" i="2"/>
  <c r="N30" i="2"/>
  <c r="BZ30" i="2"/>
  <c r="AT30" i="2"/>
  <c r="AH30" i="2"/>
  <c r="J30" i="2"/>
  <c r="BF30" i="2"/>
  <c r="BN30" i="2"/>
  <c r="BB30" i="2"/>
  <c r="BE33" i="2"/>
  <c r="BA33" i="2"/>
  <c r="AG34" i="2"/>
  <c r="BU32" i="2"/>
  <c r="M35" i="2"/>
  <c r="BI35" i="2"/>
  <c r="AS34" i="2"/>
  <c r="BY34" i="2"/>
  <c r="BQ35" i="2"/>
  <c r="BM33" i="2"/>
  <c r="U35" i="2"/>
  <c r="AK35" i="2"/>
  <c r="AO35" i="2"/>
  <c r="Y35" i="2"/>
  <c r="BV31" i="2" l="1"/>
  <c r="AO36" i="2"/>
  <c r="AK36" i="2"/>
  <c r="U36" i="2"/>
  <c r="BM34" i="2"/>
  <c r="BQ36" i="2"/>
  <c r="BY35" i="2"/>
  <c r="AS35" i="2"/>
  <c r="BI36" i="2"/>
  <c r="CB32" i="2"/>
  <c r="AX31" i="2"/>
  <c r="R31" i="2"/>
  <c r="AD31" i="2"/>
  <c r="Z31" i="2"/>
  <c r="AP31" i="2"/>
  <c r="AL31" i="2"/>
  <c r="V31" i="2"/>
  <c r="BR31" i="2"/>
  <c r="BJ31" i="2"/>
  <c r="N31" i="2"/>
  <c r="AT31" i="2"/>
  <c r="BZ31" i="2"/>
  <c r="AH31" i="2"/>
  <c r="BF31" i="2"/>
  <c r="J31" i="2"/>
  <c r="BN31" i="2"/>
  <c r="BB31" i="2"/>
  <c r="AW37" i="2"/>
  <c r="Y36" i="2"/>
  <c r="M36" i="2"/>
  <c r="BU33" i="2"/>
  <c r="AG35" i="2"/>
  <c r="BA34" i="2"/>
  <c r="BE34" i="2"/>
  <c r="I34" i="2"/>
  <c r="Q36" i="2"/>
  <c r="AC36" i="2"/>
  <c r="BV32" i="2" l="1"/>
  <c r="I35" i="2"/>
  <c r="BA35" i="2"/>
  <c r="M37" i="2"/>
  <c r="AW38" i="2"/>
  <c r="CB33" i="2"/>
  <c r="AX32" i="2"/>
  <c r="BJ32" i="2"/>
  <c r="BR32" i="2"/>
  <c r="V32" i="2"/>
  <c r="AL32" i="2"/>
  <c r="AP32" i="2"/>
  <c r="Z32" i="2"/>
  <c r="AD32" i="2"/>
  <c r="R32" i="2"/>
  <c r="N32" i="2"/>
  <c r="BZ32" i="2"/>
  <c r="AT32" i="2"/>
  <c r="AH32" i="2"/>
  <c r="BN32" i="2"/>
  <c r="J32" i="2"/>
  <c r="BF32" i="2"/>
  <c r="BB32" i="2"/>
  <c r="AK37" i="2"/>
  <c r="AO37" i="2"/>
  <c r="AC37" i="2"/>
  <c r="Q37" i="2"/>
  <c r="BE35" i="2"/>
  <c r="AG36" i="2"/>
  <c r="BU34" i="2"/>
  <c r="Y37" i="2"/>
  <c r="BI37" i="2"/>
  <c r="AS36" i="2"/>
  <c r="BY36" i="2"/>
  <c r="BQ37" i="2"/>
  <c r="BM35" i="2"/>
  <c r="U37" i="2"/>
  <c r="BV33" i="2" l="1"/>
  <c r="BM36" i="2"/>
  <c r="BY37" i="2"/>
  <c r="BI38" i="2"/>
  <c r="Y38" i="2"/>
  <c r="Q38" i="2"/>
  <c r="AC38" i="2"/>
  <c r="AO38" i="2"/>
  <c r="AK38" i="2"/>
  <c r="CB34" i="2"/>
  <c r="AX33" i="2"/>
  <c r="R33" i="2"/>
  <c r="AD33" i="2"/>
  <c r="Z33" i="2"/>
  <c r="AP33" i="2"/>
  <c r="AL33" i="2"/>
  <c r="V33" i="2"/>
  <c r="BR33" i="2"/>
  <c r="BJ33" i="2"/>
  <c r="N33" i="2"/>
  <c r="AT33" i="2"/>
  <c r="BZ33" i="2"/>
  <c r="AH33" i="2"/>
  <c r="BB33" i="2"/>
  <c r="J33" i="2"/>
  <c r="BN33" i="2"/>
  <c r="BF33" i="2"/>
  <c r="BA36" i="2"/>
  <c r="U38" i="2"/>
  <c r="BQ38" i="2"/>
  <c r="AS37" i="2"/>
  <c r="BU35" i="2"/>
  <c r="AG37" i="2"/>
  <c r="BE36" i="2"/>
  <c r="AW39" i="2"/>
  <c r="M38" i="2"/>
  <c r="I36" i="2"/>
  <c r="BV34" i="2" l="1"/>
  <c r="I37" i="2"/>
  <c r="M39" i="2"/>
  <c r="AW40" i="2"/>
  <c r="AS38" i="2"/>
  <c r="BQ39" i="2"/>
  <c r="U39" i="2"/>
  <c r="BA37" i="2"/>
  <c r="CB35" i="2"/>
  <c r="AX34" i="2"/>
  <c r="BJ34" i="2"/>
  <c r="BR34" i="2"/>
  <c r="V34" i="2"/>
  <c r="AL34" i="2"/>
  <c r="AP34" i="2"/>
  <c r="Z34" i="2"/>
  <c r="AD34" i="2"/>
  <c r="R34" i="2"/>
  <c r="N34" i="2"/>
  <c r="BZ34" i="2"/>
  <c r="AT34" i="2"/>
  <c r="AH34" i="2"/>
  <c r="BB34" i="2"/>
  <c r="BN34" i="2"/>
  <c r="J34" i="2"/>
  <c r="BF34" i="2"/>
  <c r="BE37" i="2"/>
  <c r="AG38" i="2"/>
  <c r="BU36" i="2"/>
  <c r="AK39" i="2"/>
  <c r="AO39" i="2"/>
  <c r="AC39" i="2"/>
  <c r="Q39" i="2"/>
  <c r="Y39" i="2"/>
  <c r="BI39" i="2"/>
  <c r="BY38" i="2"/>
  <c r="BM37" i="2"/>
  <c r="BV35" i="2" l="1"/>
  <c r="BM38" i="2"/>
  <c r="Y40" i="2"/>
  <c r="Q40" i="2"/>
  <c r="AC40" i="2"/>
  <c r="AO40" i="2"/>
  <c r="AK40" i="2"/>
  <c r="CB36" i="2"/>
  <c r="AX35" i="2"/>
  <c r="AP35" i="2"/>
  <c r="AL35" i="2"/>
  <c r="N35" i="2"/>
  <c r="AD35" i="2"/>
  <c r="V35" i="2"/>
  <c r="BR35" i="2"/>
  <c r="BJ35" i="2"/>
  <c r="Z35" i="2"/>
  <c r="R35" i="2"/>
  <c r="AT35" i="2"/>
  <c r="BZ35" i="2"/>
  <c r="AH35" i="2"/>
  <c r="BB35" i="2"/>
  <c r="J35" i="2"/>
  <c r="BN35" i="2"/>
  <c r="BF35" i="2"/>
  <c r="BY39" i="2"/>
  <c r="BI40" i="2"/>
  <c r="BU37" i="2"/>
  <c r="AG39" i="2"/>
  <c r="BE38" i="2"/>
  <c r="BA38" i="2"/>
  <c r="U40" i="2"/>
  <c r="BQ40" i="2"/>
  <c r="AS39" i="2"/>
  <c r="M40" i="2"/>
  <c r="I38" i="2"/>
  <c r="BV36" i="2" l="1"/>
  <c r="AS40" i="2"/>
  <c r="BE39" i="2"/>
  <c r="BU38" i="2"/>
  <c r="CB37" i="2"/>
  <c r="AX36" i="2"/>
  <c r="AL36" i="2"/>
  <c r="AP36" i="2"/>
  <c r="AD36" i="2"/>
  <c r="R36" i="2"/>
  <c r="Z36" i="2"/>
  <c r="BJ36" i="2"/>
  <c r="BR36" i="2"/>
  <c r="V36" i="2"/>
  <c r="N36" i="2"/>
  <c r="AT36" i="2"/>
  <c r="BZ36" i="2"/>
  <c r="AH36" i="2"/>
  <c r="BN36" i="2"/>
  <c r="J36" i="2"/>
  <c r="BB36" i="2"/>
  <c r="BF36" i="2"/>
  <c r="I39" i="2"/>
  <c r="BA39" i="2"/>
  <c r="AG40" i="2"/>
  <c r="BY40" i="2"/>
  <c r="BM39" i="2"/>
  <c r="BM40" i="2" l="1"/>
  <c r="CB38" i="2"/>
  <c r="AX37" i="2"/>
  <c r="V37" i="2"/>
  <c r="BR37" i="2"/>
  <c r="N37" i="2"/>
  <c r="BJ37" i="2"/>
  <c r="Z37" i="2"/>
  <c r="R37" i="2"/>
  <c r="AD37" i="2"/>
  <c r="AP37" i="2"/>
  <c r="AL37" i="2"/>
  <c r="BZ37" i="2"/>
  <c r="AT37" i="2"/>
  <c r="AH37" i="2"/>
  <c r="BF37" i="2"/>
  <c r="BN37" i="2"/>
  <c r="BB37" i="2"/>
  <c r="J37" i="2"/>
  <c r="BU39" i="2"/>
  <c r="BE40" i="2"/>
  <c r="BA40" i="2"/>
  <c r="I40" i="2"/>
  <c r="BV37" i="2"/>
  <c r="BV38" i="2" l="1"/>
  <c r="BU40" i="2"/>
  <c r="CB39" i="2"/>
  <c r="AX38" i="2"/>
  <c r="AL38" i="2"/>
  <c r="AP38" i="2"/>
  <c r="AD38" i="2"/>
  <c r="R38" i="2"/>
  <c r="Z38" i="2"/>
  <c r="N38" i="2"/>
  <c r="BR38" i="2"/>
  <c r="V38" i="2"/>
  <c r="BJ38" i="2"/>
  <c r="BZ38" i="2"/>
  <c r="AH38" i="2"/>
  <c r="AT38" i="2"/>
  <c r="BF38" i="2"/>
  <c r="BN38" i="2"/>
  <c r="J38" i="2"/>
  <c r="BB38" i="2"/>
  <c r="CB40" i="2" l="1"/>
  <c r="AX39" i="2"/>
  <c r="Z39" i="2"/>
  <c r="AL39" i="2"/>
  <c r="R39" i="2"/>
  <c r="AD39" i="2"/>
  <c r="AP39" i="2"/>
  <c r="BJ39" i="2"/>
  <c r="V39" i="2"/>
  <c r="BR39" i="2"/>
  <c r="N39" i="2"/>
  <c r="BZ39" i="2"/>
  <c r="AT39" i="2"/>
  <c r="AH39" i="2"/>
  <c r="BB39" i="2"/>
  <c r="BN39" i="2"/>
  <c r="BF39" i="2"/>
  <c r="J39" i="2"/>
  <c r="BV39" i="2"/>
  <c r="BV40" i="2" l="1"/>
  <c r="AX40" i="2"/>
  <c r="BR40" i="2"/>
  <c r="R40" i="2"/>
  <c r="N40" i="2"/>
  <c r="AL40" i="2"/>
  <c r="Z40" i="2"/>
  <c r="V40" i="2"/>
  <c r="BJ40" i="2"/>
  <c r="AP40" i="2"/>
  <c r="AD40" i="2"/>
  <c r="BZ40" i="2"/>
  <c r="AH40" i="2"/>
  <c r="AT40" i="2"/>
  <c r="BB40" i="2"/>
  <c r="J40" i="2"/>
  <c r="BF40" i="2"/>
  <c r="BN40" i="2"/>
  <c r="C43" i="11" l="1"/>
  <c r="C43" i="12" l="1"/>
  <c r="C43" i="13" l="1"/>
  <c r="F42" i="16" l="1"/>
  <c r="G42" i="16"/>
  <c r="I37" i="16" s="1"/>
  <c r="C43" i="16"/>
  <c r="C43" i="17" l="1"/>
  <c r="C43" i="26" l="1"/>
  <c r="C43" i="25" l="1"/>
  <c r="C43" i="31" l="1"/>
  <c r="AI163" i="46" l="1"/>
  <c r="AH163" i="46"/>
  <c r="AG163" i="46"/>
  <c r="C51" i="24" l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E40" i="1" l="1"/>
  <c r="D39" i="48" l="1"/>
  <c r="G42" i="43"/>
  <c r="I37" i="43" s="1"/>
  <c r="G42" i="4"/>
  <c r="I37" i="4" s="1"/>
  <c r="F42" i="4"/>
  <c r="D38" i="48" s="1"/>
  <c r="E35" i="48"/>
  <c r="D35" i="48"/>
  <c r="D37" i="48"/>
  <c r="I37" i="6"/>
  <c r="D36" i="48"/>
  <c r="D34" i="48"/>
  <c r="G42" i="9"/>
  <c r="I37" i="9" s="1"/>
  <c r="F42" i="9"/>
  <c r="D33" i="48" s="1"/>
  <c r="D32" i="48"/>
  <c r="G42" i="11"/>
  <c r="I37" i="11" s="1"/>
  <c r="F42" i="11"/>
  <c r="D31" i="48" s="1"/>
  <c r="D29" i="48"/>
  <c r="G42" i="12"/>
  <c r="I37" i="12" s="1"/>
  <c r="F42" i="12"/>
  <c r="D30" i="48" s="1"/>
  <c r="D12" i="48"/>
  <c r="E12" i="48"/>
  <c r="D13" i="48"/>
  <c r="D17" i="48"/>
  <c r="E17" i="48"/>
  <c r="D25" i="48"/>
  <c r="E25" i="48"/>
  <c r="D28" i="48"/>
  <c r="D27" i="48"/>
  <c r="D26" i="48"/>
  <c r="G42" i="18"/>
  <c r="I37" i="18" s="1"/>
  <c r="F42" i="18"/>
  <c r="D24" i="48" s="1"/>
  <c r="D23" i="48"/>
  <c r="D22" i="48"/>
  <c r="D21" i="48"/>
  <c r="H8" i="45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L8" i="45"/>
  <c r="L9" i="45" s="1"/>
  <c r="L10" i="45" s="1"/>
  <c r="L11" i="45" s="1"/>
  <c r="L12" i="45" s="1"/>
  <c r="L13" i="45" s="1"/>
  <c r="L14" i="45" s="1"/>
  <c r="L15" i="45" s="1"/>
  <c r="L16" i="45" s="1"/>
  <c r="L17" i="45" s="1"/>
  <c r="L18" i="45" s="1"/>
  <c r="L19" i="45" s="1"/>
  <c r="L20" i="45" s="1"/>
  <c r="L21" i="45" s="1"/>
  <c r="P8" i="45"/>
  <c r="P9" i="45" s="1"/>
  <c r="P10" i="45" s="1"/>
  <c r="P11" i="45" s="1"/>
  <c r="P12" i="45" s="1"/>
  <c r="P13" i="45" s="1"/>
  <c r="P14" i="45" s="1"/>
  <c r="P15" i="45" s="1"/>
  <c r="P16" i="45" s="1"/>
  <c r="P17" i="45" s="1"/>
  <c r="P18" i="45" s="1"/>
  <c r="P19" i="45" s="1"/>
  <c r="P20" i="45" s="1"/>
  <c r="P21" i="45" s="1"/>
  <c r="T8" i="45"/>
  <c r="T9" i="45" s="1"/>
  <c r="T10" i="45" s="1"/>
  <c r="T11" i="45" s="1"/>
  <c r="T12" i="45" s="1"/>
  <c r="T13" i="45" s="1"/>
  <c r="T14" i="45" s="1"/>
  <c r="T15" i="45" s="1"/>
  <c r="T16" i="45" s="1"/>
  <c r="T17" i="45" s="1"/>
  <c r="T18" i="45" s="1"/>
  <c r="T19" i="45" s="1"/>
  <c r="T20" i="45" s="1"/>
  <c r="T21" i="45" s="1"/>
  <c r="D20" i="48"/>
  <c r="I43" i="43"/>
  <c r="I44" i="43" s="1"/>
  <c r="I43" i="4"/>
  <c r="I44" i="4" s="1"/>
  <c r="I43" i="37"/>
  <c r="I44" i="37" s="1"/>
  <c r="I43" i="6"/>
  <c r="I44" i="6" s="1"/>
  <c r="I43" i="7"/>
  <c r="I44" i="7" s="1"/>
  <c r="I43" i="8"/>
  <c r="I44" i="8" s="1"/>
  <c r="I43" i="9"/>
  <c r="I44" i="9" s="1"/>
  <c r="I43" i="10"/>
  <c r="I44" i="10" s="1"/>
  <c r="I43" i="11"/>
  <c r="I44" i="11" s="1"/>
  <c r="I43" i="12"/>
  <c r="I44" i="12" s="1"/>
  <c r="I43" i="13"/>
  <c r="I44" i="13" s="1"/>
  <c r="I43" i="14"/>
  <c r="I43" i="15"/>
  <c r="I44" i="15" s="1"/>
  <c r="I43" i="16"/>
  <c r="I44" i="16" s="1"/>
  <c r="I43" i="17"/>
  <c r="I44" i="17" s="1"/>
  <c r="I43" i="18"/>
  <c r="I44" i="18" s="1"/>
  <c r="I43" i="19"/>
  <c r="I44" i="19" s="1"/>
  <c r="I43" i="20"/>
  <c r="I44" i="20" s="1"/>
  <c r="I43" i="22"/>
  <c r="I44" i="22" s="1"/>
  <c r="I43" i="21"/>
  <c r="I43" i="23"/>
  <c r="I44" i="23" s="1"/>
  <c r="I43" i="24"/>
  <c r="I44" i="24" s="1"/>
  <c r="I43" i="25"/>
  <c r="I44" i="25" s="1"/>
  <c r="I43" i="26"/>
  <c r="I44" i="26" s="1"/>
  <c r="I43" i="28"/>
  <c r="I44" i="28" s="1"/>
  <c r="I43" i="27"/>
  <c r="I44" i="27" s="1"/>
  <c r="I43" i="29"/>
  <c r="I44" i="29" s="1"/>
  <c r="I44" i="30"/>
  <c r="I43" i="30"/>
  <c r="I43" i="31"/>
  <c r="I44" i="31" s="1"/>
  <c r="I50" i="31"/>
  <c r="I43" i="32"/>
  <c r="I44" i="32" s="1"/>
  <c r="I43" i="33"/>
  <c r="J43" i="33" s="1"/>
  <c r="C10" i="1"/>
  <c r="C11" i="2" s="1"/>
  <c r="C11" i="1"/>
  <c r="C12" i="2" s="1"/>
  <c r="C12" i="1"/>
  <c r="C13" i="2" s="1"/>
  <c r="C13" i="1"/>
  <c r="C14" i="2" s="1"/>
  <c r="C14" i="1"/>
  <c r="C15" i="2" s="1"/>
  <c r="C15" i="1"/>
  <c r="C16" i="2" s="1"/>
  <c r="C16" i="1"/>
  <c r="C17" i="2" s="1"/>
  <c r="C17" i="1"/>
  <c r="C18" i="2" s="1"/>
  <c r="C18" i="1"/>
  <c r="C19" i="2" s="1"/>
  <c r="C19" i="1"/>
  <c r="C20" i="2" s="1"/>
  <c r="C20" i="1"/>
  <c r="C21" i="2" s="1"/>
  <c r="C21" i="1"/>
  <c r="C22" i="2" s="1"/>
  <c r="C22" i="1"/>
  <c r="C23" i="2" s="1"/>
  <c r="C23" i="1"/>
  <c r="C24" i="2" s="1"/>
  <c r="C24" i="1"/>
  <c r="C25" i="2" s="1"/>
  <c r="C25" i="1"/>
  <c r="C26" i="2" s="1"/>
  <c r="C26" i="1"/>
  <c r="C27" i="2" s="1"/>
  <c r="C27" i="1"/>
  <c r="C28" i="2" s="1"/>
  <c r="C28" i="1"/>
  <c r="C29" i="2" s="1"/>
  <c r="C29" i="1"/>
  <c r="C30" i="2" s="1"/>
  <c r="C30" i="1"/>
  <c r="C31" i="2" s="1"/>
  <c r="C31" i="1"/>
  <c r="C32" i="2" s="1"/>
  <c r="C32" i="1"/>
  <c r="C33" i="2" s="1"/>
  <c r="C33" i="1"/>
  <c r="C34" i="2" s="1"/>
  <c r="C34" i="1"/>
  <c r="C35" i="2" s="1"/>
  <c r="C35" i="1"/>
  <c r="C36" i="2" s="1"/>
  <c r="C36" i="1"/>
  <c r="C37" i="2" s="1"/>
  <c r="C37" i="1"/>
  <c r="C38" i="2" s="1"/>
  <c r="C38" i="1"/>
  <c r="C39" i="2" s="1"/>
  <c r="C39" i="1"/>
  <c r="C40" i="2" s="1"/>
  <c r="C9" i="1"/>
  <c r="C10" i="2" s="1"/>
  <c r="B10" i="1"/>
  <c r="B11" i="1"/>
  <c r="B12" i="2" s="1"/>
  <c r="B12" i="1"/>
  <c r="B13" i="1"/>
  <c r="B14" i="2" s="1"/>
  <c r="B14" i="1"/>
  <c r="B15" i="1"/>
  <c r="B16" i="2" s="1"/>
  <c r="B16" i="1"/>
  <c r="B17" i="1"/>
  <c r="B18" i="2" s="1"/>
  <c r="B18" i="1"/>
  <c r="B19" i="1"/>
  <c r="B20" i="2" s="1"/>
  <c r="B20" i="1"/>
  <c r="B21" i="1"/>
  <c r="B22" i="2" s="1"/>
  <c r="B22" i="1"/>
  <c r="B23" i="1"/>
  <c r="B24" i="2" s="1"/>
  <c r="B24" i="1"/>
  <c r="B25" i="1"/>
  <c r="B26" i="1"/>
  <c r="B27" i="1"/>
  <c r="B28" i="2" s="1"/>
  <c r="B28" i="1"/>
  <c r="B29" i="1"/>
  <c r="B30" i="2" s="1"/>
  <c r="B30" i="1"/>
  <c r="B31" i="1"/>
  <c r="B32" i="2" s="1"/>
  <c r="B32" i="1"/>
  <c r="B33" i="1"/>
  <c r="B34" i="2" s="1"/>
  <c r="B34" i="1"/>
  <c r="B35" i="1"/>
  <c r="B36" i="2" s="1"/>
  <c r="B36" i="1"/>
  <c r="B37" i="1"/>
  <c r="B38" i="2" s="1"/>
  <c r="B38" i="1"/>
  <c r="B39" i="1"/>
  <c r="B40" i="2" s="1"/>
  <c r="B9" i="1"/>
  <c r="D39" i="1"/>
  <c r="D40" i="2" s="1"/>
  <c r="D38" i="1"/>
  <c r="D39" i="2" s="1"/>
  <c r="D37" i="1"/>
  <c r="D38" i="2" s="1"/>
  <c r="D36" i="1"/>
  <c r="D37" i="2" s="1"/>
  <c r="D35" i="1"/>
  <c r="D36" i="2" s="1"/>
  <c r="D34" i="1"/>
  <c r="D35" i="2" s="1"/>
  <c r="D33" i="1"/>
  <c r="D34" i="2" s="1"/>
  <c r="D32" i="1"/>
  <c r="D33" i="2" s="1"/>
  <c r="D31" i="1"/>
  <c r="D32" i="2" s="1"/>
  <c r="D30" i="1"/>
  <c r="D31" i="2" s="1"/>
  <c r="D28" i="1"/>
  <c r="D29" i="2" s="1"/>
  <c r="D26" i="1"/>
  <c r="D27" i="2" s="1"/>
  <c r="D25" i="1"/>
  <c r="D26" i="2" s="1"/>
  <c r="G24" i="48"/>
  <c r="D23" i="1"/>
  <c r="D24" i="2" s="1"/>
  <c r="D22" i="1"/>
  <c r="D23" i="2" s="1"/>
  <c r="D18" i="1"/>
  <c r="D19" i="2" s="1"/>
  <c r="D16" i="1"/>
  <c r="D17" i="2" s="1"/>
  <c r="V15" i="48"/>
  <c r="V14" i="48"/>
  <c r="V11" i="48"/>
  <c r="D10" i="1"/>
  <c r="D11" i="2" s="1"/>
  <c r="U9" i="48"/>
  <c r="U10" i="48" s="1"/>
  <c r="U11" i="48" s="1"/>
  <c r="U12" i="48" s="1"/>
  <c r="U13" i="48" s="1"/>
  <c r="U14" i="48" s="1"/>
  <c r="U15" i="48" s="1"/>
  <c r="U16" i="48" s="1"/>
  <c r="U17" i="48" s="1"/>
  <c r="U18" i="48" s="1"/>
  <c r="U19" i="48" s="1"/>
  <c r="U20" i="48" s="1"/>
  <c r="U21" i="48" s="1"/>
  <c r="U22" i="48" s="1"/>
  <c r="U23" i="48" s="1"/>
  <c r="U24" i="48" s="1"/>
  <c r="U25" i="48" s="1"/>
  <c r="U26" i="48" s="1"/>
  <c r="U27" i="48" s="1"/>
  <c r="U28" i="48" s="1"/>
  <c r="U29" i="48" s="1"/>
  <c r="U30" i="48" s="1"/>
  <c r="U31" i="48" s="1"/>
  <c r="U32" i="48" s="1"/>
  <c r="U33" i="48" s="1"/>
  <c r="U34" i="48" s="1"/>
  <c r="U35" i="48" s="1"/>
  <c r="U36" i="48" s="1"/>
  <c r="U37" i="48" s="1"/>
  <c r="U38" i="48" s="1"/>
  <c r="U39" i="48" s="1"/>
  <c r="A10" i="48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D19" i="48"/>
  <c r="G42" i="24"/>
  <c r="I37" i="24" s="1"/>
  <c r="F42" i="24"/>
  <c r="D18" i="48" s="1"/>
  <c r="G42" i="26"/>
  <c r="I37" i="26" s="1"/>
  <c r="F42" i="26"/>
  <c r="D16" i="48" s="1"/>
  <c r="G42" i="28"/>
  <c r="I37" i="28" s="1"/>
  <c r="F42" i="28"/>
  <c r="D15" i="48" s="1"/>
  <c r="G42" i="27"/>
  <c r="I37" i="27" s="1"/>
  <c r="F42" i="27"/>
  <c r="D14" i="48" s="1"/>
  <c r="E13" i="48"/>
  <c r="D11" i="48"/>
  <c r="L34" i="26"/>
  <c r="K34" i="26"/>
  <c r="W43" i="58" s="1"/>
  <c r="X43" i="58" s="1"/>
  <c r="D10" i="48"/>
  <c r="D9" i="48"/>
  <c r="AY21" i="45"/>
  <c r="AX21" i="45"/>
  <c r="AY20" i="45"/>
  <c r="AX20" i="45"/>
  <c r="AY18" i="45"/>
  <c r="AX18" i="45"/>
  <c r="AY17" i="45"/>
  <c r="AX17" i="45"/>
  <c r="AY15" i="45"/>
  <c r="AX15" i="45"/>
  <c r="AY14" i="45"/>
  <c r="AX14" i="45"/>
  <c r="AY13" i="45"/>
  <c r="AX13" i="45"/>
  <c r="AY12" i="45"/>
  <c r="AX12" i="45"/>
  <c r="AY11" i="45"/>
  <c r="AX11" i="45"/>
  <c r="AY10" i="45"/>
  <c r="AX10" i="45"/>
  <c r="AN8" i="45"/>
  <c r="AN9" i="45" s="1"/>
  <c r="AN10" i="45" s="1"/>
  <c r="AN11" i="45" s="1"/>
  <c r="AN12" i="45" s="1"/>
  <c r="AN13" i="45" s="1"/>
  <c r="AN14" i="45" s="1"/>
  <c r="AN15" i="45" s="1"/>
  <c r="AN16" i="45" s="1"/>
  <c r="AN17" i="45" s="1"/>
  <c r="AN18" i="45" s="1"/>
  <c r="AN19" i="45" s="1"/>
  <c r="AN20" i="45" s="1"/>
  <c r="AN21" i="45" s="1"/>
  <c r="AJ8" i="45"/>
  <c r="AJ9" i="45" s="1"/>
  <c r="AJ10" i="45" s="1"/>
  <c r="AJ11" i="45" s="1"/>
  <c r="AJ12" i="45" s="1"/>
  <c r="AJ13" i="45" s="1"/>
  <c r="AJ14" i="45" s="1"/>
  <c r="AJ15" i="45" s="1"/>
  <c r="AJ16" i="45" s="1"/>
  <c r="AJ17" i="45" s="1"/>
  <c r="AJ18" i="45" s="1"/>
  <c r="AJ19" i="45" s="1"/>
  <c r="AJ20" i="45" s="1"/>
  <c r="AJ21" i="45" s="1"/>
  <c r="AF8" i="45"/>
  <c r="AF9" i="45" s="1"/>
  <c r="AF10" i="45" s="1"/>
  <c r="AF11" i="45" s="1"/>
  <c r="AF12" i="45" s="1"/>
  <c r="AF13" i="45" s="1"/>
  <c r="AF14" i="45" s="1"/>
  <c r="AF15" i="45" s="1"/>
  <c r="AF16" i="45" s="1"/>
  <c r="AF17" i="45" s="1"/>
  <c r="AF18" i="45" s="1"/>
  <c r="AF19" i="45" s="1"/>
  <c r="AF20" i="45" s="1"/>
  <c r="AF21" i="45" s="1"/>
  <c r="I40" i="45"/>
  <c r="H4" i="43"/>
  <c r="K34" i="43"/>
  <c r="L34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C14" i="4"/>
  <c r="D14" i="4"/>
  <c r="E14" i="4"/>
  <c r="F14" i="4"/>
  <c r="C23" i="4"/>
  <c r="D23" i="4"/>
  <c r="E23" i="4"/>
  <c r="F23" i="4"/>
  <c r="C32" i="4"/>
  <c r="D32" i="4"/>
  <c r="E32" i="4"/>
  <c r="F32" i="4"/>
  <c r="K34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K34" i="6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L34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H4" i="8"/>
  <c r="K34" i="8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C41" i="11"/>
  <c r="C42" i="11"/>
  <c r="C44" i="11"/>
  <c r="C45" i="11"/>
  <c r="C46" i="11"/>
  <c r="C47" i="11"/>
  <c r="C48" i="11"/>
  <c r="C49" i="11"/>
  <c r="C50" i="11"/>
  <c r="I50" i="11"/>
  <c r="C51" i="11"/>
  <c r="H4" i="12"/>
  <c r="L34" i="12"/>
  <c r="C38" i="12"/>
  <c r="C39" i="12"/>
  <c r="C40" i="12"/>
  <c r="C41" i="12"/>
  <c r="C42" i="12"/>
  <c r="C44" i="12"/>
  <c r="C45" i="12"/>
  <c r="C46" i="12"/>
  <c r="C47" i="12"/>
  <c r="C48" i="12"/>
  <c r="C49" i="12"/>
  <c r="C50" i="12"/>
  <c r="C51" i="12"/>
  <c r="H4" i="13"/>
  <c r="K34" i="13"/>
  <c r="L34" i="13"/>
  <c r="C38" i="13"/>
  <c r="C39" i="13"/>
  <c r="C40" i="13"/>
  <c r="C41" i="13"/>
  <c r="C42" i="13"/>
  <c r="C44" i="13"/>
  <c r="C45" i="13"/>
  <c r="C46" i="13"/>
  <c r="C47" i="13"/>
  <c r="C48" i="13"/>
  <c r="C49" i="13"/>
  <c r="C50" i="13"/>
  <c r="I50" i="13"/>
  <c r="C51" i="13"/>
  <c r="H4" i="14"/>
  <c r="L34" i="14"/>
  <c r="C38" i="14"/>
  <c r="C39" i="14"/>
  <c r="C40" i="14"/>
  <c r="C41" i="14"/>
  <c r="C42" i="14"/>
  <c r="C43" i="14"/>
  <c r="C44" i="14"/>
  <c r="I44" i="14"/>
  <c r="C45" i="14"/>
  <c r="C46" i="14"/>
  <c r="C47" i="14"/>
  <c r="C48" i="14"/>
  <c r="C49" i="14"/>
  <c r="C50" i="14"/>
  <c r="I50" i="14"/>
  <c r="C51" i="14"/>
  <c r="H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I50" i="15"/>
  <c r="C51" i="15"/>
  <c r="H4" i="16"/>
  <c r="L34" i="16"/>
  <c r="C38" i="16"/>
  <c r="C39" i="16"/>
  <c r="C40" i="16"/>
  <c r="C41" i="16"/>
  <c r="C42" i="16"/>
  <c r="C44" i="16"/>
  <c r="C45" i="16"/>
  <c r="C46" i="16"/>
  <c r="C47" i="16"/>
  <c r="C48" i="16"/>
  <c r="C49" i="16"/>
  <c r="C50" i="16"/>
  <c r="I50" i="16"/>
  <c r="C51" i="16"/>
  <c r="H4" i="17"/>
  <c r="L34" i="17"/>
  <c r="C38" i="17"/>
  <c r="C39" i="17"/>
  <c r="C40" i="17"/>
  <c r="C41" i="17"/>
  <c r="C42" i="17"/>
  <c r="C44" i="17"/>
  <c r="C45" i="17"/>
  <c r="C46" i="17"/>
  <c r="C47" i="17"/>
  <c r="C48" i="17"/>
  <c r="C49" i="17"/>
  <c r="C50" i="17"/>
  <c r="I50" i="17"/>
  <c r="C51" i="17"/>
  <c r="H4" i="18"/>
  <c r="L34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I50" i="18"/>
  <c r="C51" i="18"/>
  <c r="H4" i="19"/>
  <c r="L34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I50" i="19"/>
  <c r="C51" i="19"/>
  <c r="H4" i="20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I50" i="20"/>
  <c r="C51" i="20"/>
  <c r="H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I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L34" i="21"/>
  <c r="C38" i="21"/>
  <c r="C39" i="21"/>
  <c r="C40" i="21"/>
  <c r="C41" i="21"/>
  <c r="C42" i="21"/>
  <c r="C43" i="21"/>
  <c r="C44" i="21"/>
  <c r="I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H4" i="24"/>
  <c r="L34" i="24"/>
  <c r="H4" i="25"/>
  <c r="K34" i="25"/>
  <c r="L34" i="25"/>
  <c r="C38" i="25"/>
  <c r="C39" i="25"/>
  <c r="C40" i="25"/>
  <c r="C41" i="25"/>
  <c r="C42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4" i="26"/>
  <c r="C45" i="26"/>
  <c r="C46" i="26"/>
  <c r="C47" i="26"/>
  <c r="C48" i="26"/>
  <c r="C49" i="26"/>
  <c r="C50" i="26"/>
  <c r="I50" i="26"/>
  <c r="C51" i="26"/>
  <c r="H4" i="28"/>
  <c r="L34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I50" i="28"/>
  <c r="C51" i="28"/>
  <c r="H4" i="27"/>
  <c r="L34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H4" i="29"/>
  <c r="L34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H4" i="30"/>
  <c r="L34" i="30"/>
  <c r="C38" i="30"/>
  <c r="C39" i="30"/>
  <c r="C40" i="30"/>
  <c r="C41" i="30"/>
  <c r="C42" i="30"/>
  <c r="C43" i="30"/>
  <c r="C44" i="30"/>
  <c r="C46" i="30"/>
  <c r="C47" i="30"/>
  <c r="C48" i="30"/>
  <c r="C49" i="30"/>
  <c r="C50" i="30"/>
  <c r="C51" i="30"/>
  <c r="H4" i="31"/>
  <c r="L34" i="31"/>
  <c r="C38" i="31"/>
  <c r="C39" i="31"/>
  <c r="C40" i="31"/>
  <c r="C41" i="31"/>
  <c r="C42" i="31"/>
  <c r="C44" i="31"/>
  <c r="C45" i="31"/>
  <c r="C46" i="31"/>
  <c r="C47" i="31"/>
  <c r="C48" i="31"/>
  <c r="C49" i="31"/>
  <c r="C50" i="31"/>
  <c r="C51" i="31"/>
  <c r="H4" i="32"/>
  <c r="J7" i="31"/>
  <c r="J7" i="30" s="1"/>
  <c r="J7" i="29" s="1"/>
  <c r="J7" i="27" s="1"/>
  <c r="J7" i="28" s="1"/>
  <c r="J7" i="26" s="1"/>
  <c r="J7" i="25" s="1"/>
  <c r="J7" i="24" s="1"/>
  <c r="J8" i="29"/>
  <c r="J8" i="27" s="1"/>
  <c r="J10" i="31"/>
  <c r="J10" i="30" s="1"/>
  <c r="J10" i="29" s="1"/>
  <c r="J10" i="27" s="1"/>
  <c r="J10" i="28" s="1"/>
  <c r="J10" i="26" s="1"/>
  <c r="J10" i="25" s="1"/>
  <c r="J10" i="24" s="1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L34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9" i="33"/>
  <c r="M9" i="32" s="1"/>
  <c r="M9" i="31" s="1"/>
  <c r="M9" i="30" s="1"/>
  <c r="M10" i="33"/>
  <c r="M10" i="32" s="1"/>
  <c r="M10" i="31" s="1"/>
  <c r="M10" i="30" s="1"/>
  <c r="M10" i="29" s="1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1" i="33"/>
  <c r="M11" i="32" s="1"/>
  <c r="M11" i="31" s="1"/>
  <c r="M12" i="33"/>
  <c r="M12" i="32" s="1"/>
  <c r="M12" i="31" s="1"/>
  <c r="M12" i="30" s="1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C14" i="33"/>
  <c r="D14" i="33"/>
  <c r="E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5" i="43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7" i="33"/>
  <c r="M17" i="32" s="1"/>
  <c r="M17" i="31" s="1"/>
  <c r="M17" i="30" s="1"/>
  <c r="M17" i="29" s="1"/>
  <c r="M17" i="27" s="1"/>
  <c r="M17" i="28" s="1"/>
  <c r="M17" i="26" s="1"/>
  <c r="M17" i="25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F34" i="33" s="1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C38" i="33"/>
  <c r="D38" i="33" s="1"/>
  <c r="J38" i="33"/>
  <c r="J38" i="32" s="1"/>
  <c r="C39" i="33"/>
  <c r="D39" i="33" s="1"/>
  <c r="E39" i="33" s="1"/>
  <c r="C40" i="33"/>
  <c r="D40" i="33" s="1"/>
  <c r="C41" i="33"/>
  <c r="D41" i="33" s="1"/>
  <c r="E41" i="33" s="1"/>
  <c r="C42" i="33"/>
  <c r="D42" i="33" s="1"/>
  <c r="E42" i="33" s="1"/>
  <c r="C43" i="33"/>
  <c r="D43" i="33" s="1"/>
  <c r="E43" i="33" s="1"/>
  <c r="C44" i="33"/>
  <c r="D44" i="33" s="1"/>
  <c r="E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E49" i="33" s="1"/>
  <c r="J49" i="33"/>
  <c r="J49" i="32" s="1"/>
  <c r="C50" i="33"/>
  <c r="D50" i="33" s="1"/>
  <c r="E50" i="33" s="1"/>
  <c r="I50" i="33"/>
  <c r="C51" i="33"/>
  <c r="D51" i="33" s="1"/>
  <c r="E51" i="33" s="1"/>
  <c r="AA161" i="46"/>
  <c r="AC161" i="46"/>
  <c r="AA162" i="46"/>
  <c r="AC162" i="46"/>
  <c r="Q163" i="46"/>
  <c r="Q164" i="46" s="1"/>
  <c r="R163" i="46"/>
  <c r="Y163" i="46"/>
  <c r="Y165" i="46" s="1"/>
  <c r="AJ163" i="46"/>
  <c r="AK163" i="46"/>
  <c r="AO163" i="46"/>
  <c r="AP163" i="46"/>
  <c r="AS163" i="46"/>
  <c r="M40" i="45"/>
  <c r="Q40" i="45"/>
  <c r="U40" i="45"/>
  <c r="I50" i="29"/>
  <c r="I50" i="27"/>
  <c r="AN163" i="46"/>
  <c r="AF163" i="46"/>
  <c r="I50" i="30"/>
  <c r="I50" i="12"/>
  <c r="I50" i="25"/>
  <c r="I50" i="24"/>
  <c r="I50" i="23"/>
  <c r="I50" i="21"/>
  <c r="I50" i="8"/>
  <c r="I50" i="37"/>
  <c r="I50" i="43"/>
  <c r="I50" i="10"/>
  <c r="I50" i="9"/>
  <c r="I50" i="7"/>
  <c r="A10" i="1"/>
  <c r="V12" i="48"/>
  <c r="V13" i="48"/>
  <c r="Q9" i="48"/>
  <c r="T41" i="48"/>
  <c r="V9" i="48"/>
  <c r="V25" i="48"/>
  <c r="V17" i="48"/>
  <c r="V19" i="48"/>
  <c r="V21" i="48"/>
  <c r="H21" i="48"/>
  <c r="B24" i="45"/>
  <c r="N24" i="45" s="1"/>
  <c r="V27" i="48"/>
  <c r="V28" i="48"/>
  <c r="B27" i="45"/>
  <c r="AL27" i="45" s="1"/>
  <c r="B28" i="45"/>
  <c r="AP28" i="45" s="1"/>
  <c r="G19" i="48"/>
  <c r="G25" i="48"/>
  <c r="V33" i="48"/>
  <c r="B32" i="45"/>
  <c r="AH32" i="45" s="1"/>
  <c r="H17" i="48"/>
  <c r="H22" i="48"/>
  <c r="V34" i="48"/>
  <c r="B33" i="45"/>
  <c r="G33" i="48"/>
  <c r="V35" i="48"/>
  <c r="B34" i="45"/>
  <c r="R34" i="45" s="1"/>
  <c r="V37" i="48"/>
  <c r="B36" i="45"/>
  <c r="R36" i="45" s="1"/>
  <c r="V36" i="48"/>
  <c r="B35" i="45"/>
  <c r="Z35" i="45" s="1"/>
  <c r="G36" i="48"/>
  <c r="G37" i="48"/>
  <c r="G17" i="48"/>
  <c r="G27" i="48"/>
  <c r="E28" i="48"/>
  <c r="E23" i="48"/>
  <c r="G20" i="48"/>
  <c r="V20" i="48"/>
  <c r="H27" i="48"/>
  <c r="H13" i="48"/>
  <c r="H36" i="48"/>
  <c r="AA43" i="58" l="1"/>
  <c r="AB43" i="58" s="1"/>
  <c r="J10" i="23"/>
  <c r="J10" i="21" s="1"/>
  <c r="J10" i="22" s="1"/>
  <c r="J10" i="20" s="1"/>
  <c r="J10" i="19" s="1"/>
  <c r="J10" i="18" s="1"/>
  <c r="J10" i="17" s="1"/>
  <c r="J7" i="23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W43" i="46"/>
  <c r="F23" i="48"/>
  <c r="BC165" i="46"/>
  <c r="BD165" i="46"/>
  <c r="BB165" i="46"/>
  <c r="BE165" i="46"/>
  <c r="BF165" i="46"/>
  <c r="E36" i="48"/>
  <c r="F36" i="48" s="1"/>
  <c r="J26" i="31"/>
  <c r="J26" i="30" s="1"/>
  <c r="J26" i="29" s="1"/>
  <c r="J26" i="27" s="1"/>
  <c r="J26" i="28" s="1"/>
  <c r="J26" i="26" s="1"/>
  <c r="J18" i="31"/>
  <c r="J18" i="30" s="1"/>
  <c r="J18" i="29" s="1"/>
  <c r="J18" i="27" s="1"/>
  <c r="J18" i="28" s="1"/>
  <c r="J25" i="31"/>
  <c r="J25" i="30" s="1"/>
  <c r="J25" i="29" s="1"/>
  <c r="J25" i="27" s="1"/>
  <c r="J25" i="28" s="1"/>
  <c r="J25" i="26" s="1"/>
  <c r="J17" i="31"/>
  <c r="J17" i="30" s="1"/>
  <c r="J17" i="29" s="1"/>
  <c r="J17" i="27" s="1"/>
  <c r="J17" i="28" s="1"/>
  <c r="J32" i="31"/>
  <c r="J32" i="30" s="1"/>
  <c r="J32" i="29" s="1"/>
  <c r="J32" i="27" s="1"/>
  <c r="J32" i="28" s="1"/>
  <c r="J32" i="26" s="1"/>
  <c r="J24" i="31"/>
  <c r="J24" i="30" s="1"/>
  <c r="J24" i="29" s="1"/>
  <c r="J24" i="27" s="1"/>
  <c r="J24" i="28" s="1"/>
  <c r="J24" i="26" s="1"/>
  <c r="J16" i="31"/>
  <c r="J16" i="30" s="1"/>
  <c r="J16" i="29" s="1"/>
  <c r="J16" i="27" s="1"/>
  <c r="J16" i="26" s="1"/>
  <c r="J16" i="25" s="1"/>
  <c r="J16" i="24" s="1"/>
  <c r="J16" i="23" s="1"/>
  <c r="J31" i="31"/>
  <c r="J31" i="30" s="1"/>
  <c r="J31" i="29" s="1"/>
  <c r="J31" i="27" s="1"/>
  <c r="J31" i="28" s="1"/>
  <c r="J31" i="26" s="1"/>
  <c r="J23" i="31"/>
  <c r="J23" i="30" s="1"/>
  <c r="J23" i="29" s="1"/>
  <c r="J23" i="27" s="1"/>
  <c r="J23" i="28" s="1"/>
  <c r="J23" i="26" s="1"/>
  <c r="J23" i="25" s="1"/>
  <c r="J23" i="24" s="1"/>
  <c r="J23" i="23" s="1"/>
  <c r="J15" i="31"/>
  <c r="J15" i="30" s="1"/>
  <c r="J15" i="29" s="1"/>
  <c r="J30" i="31"/>
  <c r="J30" i="30" s="1"/>
  <c r="J30" i="29" s="1"/>
  <c r="J30" i="27" s="1"/>
  <c r="J30" i="28" s="1"/>
  <c r="J30" i="26" s="1"/>
  <c r="J22" i="31"/>
  <c r="J22" i="30" s="1"/>
  <c r="J22" i="29" s="1"/>
  <c r="J22" i="27" s="1"/>
  <c r="J22" i="28" s="1"/>
  <c r="J22" i="26" s="1"/>
  <c r="J14" i="31"/>
  <c r="J14" i="30" s="1"/>
  <c r="J14" i="29" s="1"/>
  <c r="J29" i="31"/>
  <c r="J29" i="30" s="1"/>
  <c r="J29" i="29" s="1"/>
  <c r="J29" i="27" s="1"/>
  <c r="J29" i="28" s="1"/>
  <c r="J29" i="26" s="1"/>
  <c r="J21" i="31"/>
  <c r="J21" i="30" s="1"/>
  <c r="J21" i="29" s="1"/>
  <c r="J21" i="27" s="1"/>
  <c r="J21" i="28" s="1"/>
  <c r="J13" i="31"/>
  <c r="J13" i="30" s="1"/>
  <c r="J13" i="29" s="1"/>
  <c r="J28" i="31"/>
  <c r="J28" i="30" s="1"/>
  <c r="J28" i="29" s="1"/>
  <c r="J28" i="27" s="1"/>
  <c r="J28" i="28" s="1"/>
  <c r="J28" i="26" s="1"/>
  <c r="J20" i="31"/>
  <c r="J20" i="30" s="1"/>
  <c r="J20" i="29" s="1"/>
  <c r="J20" i="27" s="1"/>
  <c r="J20" i="28" s="1"/>
  <c r="J12" i="30"/>
  <c r="J12" i="29" s="1"/>
  <c r="J12" i="27" s="1"/>
  <c r="J12" i="28" s="1"/>
  <c r="J12" i="26" s="1"/>
  <c r="J12" i="25" s="1"/>
  <c r="J12" i="24" s="1"/>
  <c r="J27" i="31"/>
  <c r="J27" i="30" s="1"/>
  <c r="J27" i="29" s="1"/>
  <c r="J27" i="27" s="1"/>
  <c r="J27" i="28" s="1"/>
  <c r="J27" i="26" s="1"/>
  <c r="J19" i="31"/>
  <c r="J19" i="30" s="1"/>
  <c r="J19" i="29" s="1"/>
  <c r="J19" i="27" s="1"/>
  <c r="J19" i="28" s="1"/>
  <c r="J11" i="31"/>
  <c r="J11" i="30" s="1"/>
  <c r="J11" i="29" s="1"/>
  <c r="J11" i="27" s="1"/>
  <c r="J11" i="28" s="1"/>
  <c r="J11" i="26" s="1"/>
  <c r="J11" i="25" s="1"/>
  <c r="J11" i="24" s="1"/>
  <c r="E30" i="48"/>
  <c r="F30" i="48" s="1"/>
  <c r="F25" i="48"/>
  <c r="J32" i="9"/>
  <c r="J32" i="8" s="1"/>
  <c r="J32" i="7" s="1"/>
  <c r="J32" i="6" s="1"/>
  <c r="J32" i="37" s="1"/>
  <c r="J32" i="4" s="1"/>
  <c r="J32" i="43" s="1"/>
  <c r="AR163" i="46"/>
  <c r="BA163" i="46"/>
  <c r="R165" i="46" s="1"/>
  <c r="F17" i="48"/>
  <c r="I40" i="43"/>
  <c r="R39" i="48" s="1"/>
  <c r="F34" i="59" s="1"/>
  <c r="E15" i="48"/>
  <c r="F15" i="48" s="1"/>
  <c r="P22" i="45"/>
  <c r="P23" i="45" s="1"/>
  <c r="P24" i="45" s="1"/>
  <c r="P25" i="45" s="1"/>
  <c r="P26" i="45" s="1"/>
  <c r="P27" i="45" s="1"/>
  <c r="P28" i="45" s="1"/>
  <c r="P29" i="45" s="1"/>
  <c r="P30" i="45" s="1"/>
  <c r="P31" i="45" s="1"/>
  <c r="P32" i="45" s="1"/>
  <c r="P33" i="45" s="1"/>
  <c r="P34" i="45" s="1"/>
  <c r="P35" i="45" s="1"/>
  <c r="P36" i="45" s="1"/>
  <c r="P37" i="45" s="1"/>
  <c r="P38" i="45" s="1"/>
  <c r="K34" i="19"/>
  <c r="W74" i="58" s="1"/>
  <c r="X74" i="58" s="1"/>
  <c r="L22" i="45"/>
  <c r="L23" i="45" s="1"/>
  <c r="L24" i="45" s="1"/>
  <c r="L25" i="45" s="1"/>
  <c r="L26" i="45" s="1"/>
  <c r="L27" i="45" s="1"/>
  <c r="L28" i="45" s="1"/>
  <c r="L29" i="45" s="1"/>
  <c r="L30" i="45" s="1"/>
  <c r="L31" i="45" s="1"/>
  <c r="L32" i="45" s="1"/>
  <c r="L33" i="45" s="1"/>
  <c r="L34" i="45" s="1"/>
  <c r="L35" i="45" s="1"/>
  <c r="L36" i="45" s="1"/>
  <c r="L37" i="45" s="1"/>
  <c r="L38" i="45" s="1"/>
  <c r="H22" i="45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AF22" i="45"/>
  <c r="AF23" i="45" s="1"/>
  <c r="AF24" i="45" s="1"/>
  <c r="AF25" i="45" s="1"/>
  <c r="AF26" i="45" s="1"/>
  <c r="AF27" i="45" s="1"/>
  <c r="AF28" i="45" s="1"/>
  <c r="AF29" i="45" s="1"/>
  <c r="AF30" i="45" s="1"/>
  <c r="AF31" i="45" s="1"/>
  <c r="AF32" i="45" s="1"/>
  <c r="AF33" i="45" s="1"/>
  <c r="AF34" i="45" s="1"/>
  <c r="AF35" i="45" s="1"/>
  <c r="AF36" i="45" s="1"/>
  <c r="AJ22" i="45"/>
  <c r="AJ23" i="45" s="1"/>
  <c r="AJ24" i="45" s="1"/>
  <c r="AJ25" i="45" s="1"/>
  <c r="AJ26" i="45" s="1"/>
  <c r="AJ27" i="45" s="1"/>
  <c r="AJ28" i="45" s="1"/>
  <c r="AJ29" i="45" s="1"/>
  <c r="AJ30" i="45" s="1"/>
  <c r="AJ31" i="45" s="1"/>
  <c r="AJ32" i="45" s="1"/>
  <c r="AJ33" i="45" s="1"/>
  <c r="AJ34" i="45" s="1"/>
  <c r="AJ35" i="45" s="1"/>
  <c r="AJ36" i="45" s="1"/>
  <c r="AN22" i="45"/>
  <c r="AN23" i="45" s="1"/>
  <c r="AN24" i="45" s="1"/>
  <c r="AN25" i="45" s="1"/>
  <c r="AN26" i="45" s="1"/>
  <c r="AN27" i="45" s="1"/>
  <c r="AN28" i="45" s="1"/>
  <c r="AN29" i="45" s="1"/>
  <c r="AN30" i="45" s="1"/>
  <c r="AN31" i="45" s="1"/>
  <c r="AN32" i="45" s="1"/>
  <c r="AN33" i="45" s="1"/>
  <c r="AN34" i="45" s="1"/>
  <c r="AN35" i="45" s="1"/>
  <c r="AN36" i="45" s="1"/>
  <c r="T22" i="45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T38" i="45" s="1"/>
  <c r="F34" i="4"/>
  <c r="D24" i="4"/>
  <c r="K34" i="10"/>
  <c r="V24" i="48"/>
  <c r="J8" i="28"/>
  <c r="J8" i="26" s="1"/>
  <c r="J8" i="25" s="1"/>
  <c r="J8" i="24" s="1"/>
  <c r="K34" i="28"/>
  <c r="I40" i="28" s="1"/>
  <c r="R15" i="48" s="1"/>
  <c r="F10" i="59" s="1"/>
  <c r="K34" i="14"/>
  <c r="W100" i="58" s="1"/>
  <c r="X100" i="58" s="1"/>
  <c r="I40" i="8"/>
  <c r="V22" i="48"/>
  <c r="B21" i="45"/>
  <c r="AD21" i="45" s="1"/>
  <c r="B37" i="45"/>
  <c r="V30" i="48"/>
  <c r="C24" i="4"/>
  <c r="G22" i="48"/>
  <c r="G30" i="48"/>
  <c r="F13" i="48"/>
  <c r="K34" i="7"/>
  <c r="W133" i="58" s="1"/>
  <c r="X133" i="58" s="1"/>
  <c r="E15" i="4"/>
  <c r="H32" i="48"/>
  <c r="G32" i="48"/>
  <c r="E27" i="48"/>
  <c r="F27" i="48" s="1"/>
  <c r="B31" i="45"/>
  <c r="V31" i="45" s="1"/>
  <c r="V32" i="48"/>
  <c r="D34" i="4"/>
  <c r="C33" i="33"/>
  <c r="D15" i="4"/>
  <c r="C52" i="14"/>
  <c r="C53" i="14" s="1"/>
  <c r="AY19" i="45"/>
  <c r="B29" i="45"/>
  <c r="J29" i="45" s="1"/>
  <c r="K34" i="20"/>
  <c r="W69" i="58" s="1"/>
  <c r="X69" i="58" s="1"/>
  <c r="I51" i="43"/>
  <c r="H38" i="48"/>
  <c r="V38" i="48"/>
  <c r="H30" i="48"/>
  <c r="J57" i="23"/>
  <c r="C52" i="6"/>
  <c r="C53" i="6" s="1"/>
  <c r="C33" i="4"/>
  <c r="AX19" i="45"/>
  <c r="C52" i="37"/>
  <c r="C53" i="37" s="1"/>
  <c r="C52" i="4"/>
  <c r="C53" i="4" s="1"/>
  <c r="C34" i="4"/>
  <c r="C52" i="43"/>
  <c r="C53" i="43" s="1"/>
  <c r="C52" i="16"/>
  <c r="C53" i="16" s="1"/>
  <c r="C52" i="13"/>
  <c r="C53" i="13" s="1"/>
  <c r="C52" i="25"/>
  <c r="C53" i="25" s="1"/>
  <c r="K34" i="21"/>
  <c r="W61" i="58" s="1"/>
  <c r="X61" i="58" s="1"/>
  <c r="C52" i="22"/>
  <c r="C53" i="22" s="1"/>
  <c r="V28" i="45"/>
  <c r="N35" i="45"/>
  <c r="B30" i="45"/>
  <c r="J30" i="45" s="1"/>
  <c r="E33" i="33"/>
  <c r="V31" i="48"/>
  <c r="J50" i="32"/>
  <c r="H39" i="48"/>
  <c r="E33" i="4"/>
  <c r="H23" i="48"/>
  <c r="B38" i="45"/>
  <c r="N38" i="45" s="1"/>
  <c r="V39" i="48"/>
  <c r="N34" i="45"/>
  <c r="G15" i="48"/>
  <c r="K34" i="24"/>
  <c r="I40" i="24" s="1"/>
  <c r="R18" i="48" s="1"/>
  <c r="F13" i="59" s="1"/>
  <c r="AY16" i="45"/>
  <c r="AH34" i="45"/>
  <c r="H31" i="48"/>
  <c r="V23" i="48"/>
  <c r="I44" i="33"/>
  <c r="AD163" i="46"/>
  <c r="I9" i="54" s="1"/>
  <c r="AP36" i="45"/>
  <c r="E34" i="33"/>
  <c r="J57" i="33" s="1"/>
  <c r="C52" i="18"/>
  <c r="C53" i="18" s="1"/>
  <c r="D33" i="4"/>
  <c r="C52" i="15"/>
  <c r="C53" i="15" s="1"/>
  <c r="I40" i="6"/>
  <c r="J38" i="31"/>
  <c r="J38" i="30" s="1"/>
  <c r="J38" i="29" s="1"/>
  <c r="J38" i="27" s="1"/>
  <c r="J38" i="28" s="1"/>
  <c r="J38" i="26" s="1"/>
  <c r="J38" i="25" s="1"/>
  <c r="J38" i="24" s="1"/>
  <c r="J38" i="23" s="1"/>
  <c r="J38" i="21" s="1"/>
  <c r="J38" i="22" s="1"/>
  <c r="J38" i="20" s="1"/>
  <c r="J38" i="19" s="1"/>
  <c r="J38" i="18" s="1"/>
  <c r="J38" i="17" s="1"/>
  <c r="J38" i="16" s="1"/>
  <c r="J38" i="15" s="1"/>
  <c r="J38" i="14" s="1"/>
  <c r="J38" i="13" s="1"/>
  <c r="J38" i="12" s="1"/>
  <c r="J38" i="11" s="1"/>
  <c r="J38" i="10" s="1"/>
  <c r="J38" i="9" s="1"/>
  <c r="J38" i="8" s="1"/>
  <c r="J38" i="7" s="1"/>
  <c r="J38" i="6" s="1"/>
  <c r="J38" i="37" s="1"/>
  <c r="J38" i="4" s="1"/>
  <c r="J38" i="43" s="1"/>
  <c r="L9" i="48"/>
  <c r="W9" i="48"/>
  <c r="J43" i="32"/>
  <c r="J43" i="31" s="1"/>
  <c r="J35" i="45"/>
  <c r="R35" i="45"/>
  <c r="AD34" i="45"/>
  <c r="J34" i="45"/>
  <c r="AD32" i="45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26" i="2"/>
  <c r="B10" i="2"/>
  <c r="B11" i="2"/>
  <c r="A11" i="1"/>
  <c r="A12" i="2" s="1"/>
  <c r="A11" i="2"/>
  <c r="C52" i="12"/>
  <c r="C53" i="12" s="1"/>
  <c r="C52" i="9"/>
  <c r="C53" i="9" s="1"/>
  <c r="C52" i="7"/>
  <c r="C53" i="7" s="1"/>
  <c r="C52" i="8"/>
  <c r="C53" i="8" s="1"/>
  <c r="K34" i="9"/>
  <c r="N32" i="45"/>
  <c r="C52" i="10"/>
  <c r="C53" i="10" s="1"/>
  <c r="AP35" i="45"/>
  <c r="R33" i="45"/>
  <c r="V32" i="45"/>
  <c r="J32" i="45"/>
  <c r="N27" i="45"/>
  <c r="J27" i="45"/>
  <c r="S163" i="46"/>
  <c r="G39" i="48"/>
  <c r="F28" i="48"/>
  <c r="K34" i="16"/>
  <c r="K34" i="17"/>
  <c r="C52" i="17"/>
  <c r="C53" i="17" s="1"/>
  <c r="E24" i="48"/>
  <c r="C52" i="19"/>
  <c r="C53" i="19" s="1"/>
  <c r="C52" i="20"/>
  <c r="C53" i="20" s="1"/>
  <c r="C52" i="21"/>
  <c r="C53" i="21" s="1"/>
  <c r="C52" i="23"/>
  <c r="C53" i="23" s="1"/>
  <c r="I40" i="25"/>
  <c r="R17" i="48" s="1"/>
  <c r="F12" i="59" s="1"/>
  <c r="B17" i="45"/>
  <c r="V18" i="48"/>
  <c r="H18" i="48"/>
  <c r="E18" i="48"/>
  <c r="I40" i="26"/>
  <c r="R16" i="48" s="1"/>
  <c r="F11" i="59" s="1"/>
  <c r="C52" i="28"/>
  <c r="C53" i="28" s="1"/>
  <c r="C52" i="27"/>
  <c r="C53" i="27" s="1"/>
  <c r="AD35" i="45"/>
  <c r="AH35" i="45"/>
  <c r="V35" i="45"/>
  <c r="N36" i="45"/>
  <c r="AD33" i="45"/>
  <c r="R27" i="45"/>
  <c r="AH27" i="45"/>
  <c r="AD27" i="45"/>
  <c r="D34" i="33"/>
  <c r="I40" i="13"/>
  <c r="R29" i="48" s="1"/>
  <c r="F24" i="59" s="1"/>
  <c r="E14" i="48"/>
  <c r="E19" i="48"/>
  <c r="J50" i="33"/>
  <c r="E32" i="48"/>
  <c r="C52" i="29"/>
  <c r="C53" i="29" s="1"/>
  <c r="G11" i="48"/>
  <c r="C52" i="30"/>
  <c r="C53" i="30" s="1"/>
  <c r="M8" i="33"/>
  <c r="C34" i="33"/>
  <c r="G10" i="48"/>
  <c r="H24" i="48"/>
  <c r="G12" i="48"/>
  <c r="H20" i="48"/>
  <c r="G34" i="48"/>
  <c r="G29" i="48"/>
  <c r="G14" i="48"/>
  <c r="H15" i="48"/>
  <c r="H14" i="48"/>
  <c r="G21" i="48"/>
  <c r="H28" i="48"/>
  <c r="G23" i="48"/>
  <c r="H19" i="48"/>
  <c r="AM163" i="46"/>
  <c r="G18" i="48"/>
  <c r="H35" i="48"/>
  <c r="H34" i="48"/>
  <c r="R164" i="46"/>
  <c r="J44" i="33"/>
  <c r="C52" i="33"/>
  <c r="C53" i="33" s="1"/>
  <c r="E40" i="33"/>
  <c r="D40" i="32"/>
  <c r="E40" i="32" s="1"/>
  <c r="D52" i="33"/>
  <c r="D53" i="33" s="1"/>
  <c r="E38" i="33"/>
  <c r="D50" i="32"/>
  <c r="D50" i="31" s="1"/>
  <c r="D50" i="30" s="1"/>
  <c r="E50" i="30" s="1"/>
  <c r="D48" i="32"/>
  <c r="E48" i="32" s="1"/>
  <c r="D46" i="32"/>
  <c r="E46" i="32" s="1"/>
  <c r="D43" i="32"/>
  <c r="E43" i="32" s="1"/>
  <c r="D41" i="32"/>
  <c r="E41" i="32" s="1"/>
  <c r="D39" i="32"/>
  <c r="D39" i="31" s="1"/>
  <c r="D51" i="32"/>
  <c r="E51" i="32" s="1"/>
  <c r="D49" i="32"/>
  <c r="E49" i="32" s="1"/>
  <c r="D47" i="32"/>
  <c r="E47" i="32" s="1"/>
  <c r="D45" i="32"/>
  <c r="E45" i="32" s="1"/>
  <c r="D44" i="32"/>
  <c r="E44" i="32" s="1"/>
  <c r="D42" i="32"/>
  <c r="E42" i="32" s="1"/>
  <c r="D38" i="32"/>
  <c r="E38" i="32" s="1"/>
  <c r="Q10" i="48"/>
  <c r="W10" i="48" s="1"/>
  <c r="V10" i="48"/>
  <c r="C52" i="32"/>
  <c r="C53" i="32" s="1"/>
  <c r="C52" i="31"/>
  <c r="C53" i="31" s="1"/>
  <c r="AL35" i="45"/>
  <c r="Z34" i="45"/>
  <c r="AL34" i="45"/>
  <c r="V34" i="45"/>
  <c r="AP34" i="45"/>
  <c r="V27" i="45"/>
  <c r="AP27" i="45"/>
  <c r="Z27" i="45"/>
  <c r="H10" i="48"/>
  <c r="AP24" i="45"/>
  <c r="D33" i="33"/>
  <c r="E10" i="48"/>
  <c r="D9" i="1"/>
  <c r="D10" i="2" s="1"/>
  <c r="B10" i="45"/>
  <c r="D11" i="1"/>
  <c r="D12" i="2" s="1"/>
  <c r="B12" i="45"/>
  <c r="D13" i="1"/>
  <c r="D14" i="2" s="1"/>
  <c r="B14" i="45"/>
  <c r="D15" i="1"/>
  <c r="D16" i="2" s="1"/>
  <c r="B16" i="45"/>
  <c r="D17" i="1"/>
  <c r="D18" i="2" s="1"/>
  <c r="B18" i="45"/>
  <c r="Z18" i="45" s="1"/>
  <c r="D19" i="1"/>
  <c r="D20" i="2" s="1"/>
  <c r="B20" i="45"/>
  <c r="Z20" i="45" s="1"/>
  <c r="D21" i="1"/>
  <c r="D22" i="2" s="1"/>
  <c r="B26" i="45"/>
  <c r="D27" i="1"/>
  <c r="D28" i="2" s="1"/>
  <c r="V29" i="48"/>
  <c r="D29" i="1"/>
  <c r="D30" i="2" s="1"/>
  <c r="E20" i="48"/>
  <c r="E31" i="48"/>
  <c r="E33" i="48"/>
  <c r="I40" i="4"/>
  <c r="R38" i="48" s="1"/>
  <c r="F33" i="59" s="1"/>
  <c r="AX16" i="45"/>
  <c r="B11" i="45"/>
  <c r="D12" i="1"/>
  <c r="D13" i="2" s="1"/>
  <c r="B13" i="45"/>
  <c r="D14" i="1"/>
  <c r="D15" i="2" s="1"/>
  <c r="B19" i="45"/>
  <c r="AP19" i="45" s="1"/>
  <c r="D20" i="1"/>
  <c r="D21" i="2" s="1"/>
  <c r="B23" i="45"/>
  <c r="AP23" i="45" s="1"/>
  <c r="D24" i="1"/>
  <c r="D25" i="2" s="1"/>
  <c r="E21" i="48"/>
  <c r="E22" i="48"/>
  <c r="E39" i="48"/>
  <c r="C52" i="26"/>
  <c r="C53" i="26" s="1"/>
  <c r="C52" i="24"/>
  <c r="C53" i="24" s="1"/>
  <c r="C52" i="11"/>
  <c r="C53" i="11" s="1"/>
  <c r="E24" i="4"/>
  <c r="E34" i="4"/>
  <c r="C15" i="4"/>
  <c r="E11" i="48"/>
  <c r="E16" i="48"/>
  <c r="B9" i="45"/>
  <c r="E26" i="48"/>
  <c r="J37" i="33"/>
  <c r="E9" i="48"/>
  <c r="E29" i="48"/>
  <c r="E34" i="48"/>
  <c r="E38" i="48"/>
  <c r="F12" i="48"/>
  <c r="E37" i="48"/>
  <c r="B8" i="45"/>
  <c r="N8" i="45" s="1"/>
  <c r="F35" i="48"/>
  <c r="G38" i="48"/>
  <c r="H33" i="48"/>
  <c r="AH28" i="45"/>
  <c r="J28" i="45"/>
  <c r="Z28" i="45"/>
  <c r="AD28" i="45"/>
  <c r="N28" i="45"/>
  <c r="R28" i="45"/>
  <c r="A7" i="45"/>
  <c r="A9" i="45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B15" i="45"/>
  <c r="V16" i="48"/>
  <c r="P41" i="48"/>
  <c r="H16" i="48"/>
  <c r="G16" i="48"/>
  <c r="B25" i="45"/>
  <c r="H26" i="48"/>
  <c r="G26" i="48"/>
  <c r="AL36" i="45"/>
  <c r="AH36" i="45"/>
  <c r="V36" i="45"/>
  <c r="AD36" i="45"/>
  <c r="Z36" i="45"/>
  <c r="J36" i="45"/>
  <c r="H37" i="48"/>
  <c r="AP33" i="45"/>
  <c r="Z33" i="45"/>
  <c r="V33" i="45"/>
  <c r="AL33" i="45"/>
  <c r="N33" i="45"/>
  <c r="AH33" i="45"/>
  <c r="J33" i="45"/>
  <c r="G28" i="48"/>
  <c r="H11" i="48"/>
  <c r="H12" i="48"/>
  <c r="G31" i="48"/>
  <c r="AH24" i="45"/>
  <c r="J24" i="45"/>
  <c r="Z24" i="45"/>
  <c r="AL24" i="45"/>
  <c r="V24" i="45"/>
  <c r="R24" i="45"/>
  <c r="AD24" i="45"/>
  <c r="J49" i="31"/>
  <c r="AL28" i="45"/>
  <c r="V26" i="48"/>
  <c r="G35" i="48"/>
  <c r="G13" i="48"/>
  <c r="H25" i="48"/>
  <c r="H29" i="48"/>
  <c r="AP32" i="45"/>
  <c r="Z32" i="45"/>
  <c r="AL32" i="45"/>
  <c r="R32" i="45"/>
  <c r="I40" i="7" l="1"/>
  <c r="W133" i="46"/>
  <c r="AA61" i="58"/>
  <c r="AB61" i="58" s="1"/>
  <c r="AA69" i="58"/>
  <c r="AB69" i="58" s="1"/>
  <c r="AA74" i="58"/>
  <c r="AB74" i="58" s="1"/>
  <c r="AA100" i="58"/>
  <c r="AB100" i="58" s="1"/>
  <c r="W100" i="46"/>
  <c r="J8" i="23"/>
  <c r="J8" i="21" s="1"/>
  <c r="J8" i="22" s="1"/>
  <c r="J8" i="20" s="1"/>
  <c r="J8" i="19" s="1"/>
  <c r="J8" i="18" s="1"/>
  <c r="J12" i="23"/>
  <c r="J12" i="21" s="1"/>
  <c r="J12" i="22" s="1"/>
  <c r="J12" i="20" s="1"/>
  <c r="J12" i="19" s="1"/>
  <c r="J12" i="18" s="1"/>
  <c r="J12" i="17" s="1"/>
  <c r="J11" i="23"/>
  <c r="J11" i="21" s="1"/>
  <c r="J11" i="22" s="1"/>
  <c r="J11" i="20" s="1"/>
  <c r="J11" i="19" s="1"/>
  <c r="J11" i="18" s="1"/>
  <c r="J11" i="17" s="1"/>
  <c r="I40" i="19"/>
  <c r="R23" i="48" s="1"/>
  <c r="F18" i="59" s="1"/>
  <c r="W74" i="46"/>
  <c r="W69" i="46"/>
  <c r="W61" i="46"/>
  <c r="J39" i="48"/>
  <c r="B34" i="59" s="1"/>
  <c r="I45" i="43"/>
  <c r="AA43" i="46"/>
  <c r="AB43" i="46" s="1"/>
  <c r="X43" i="46"/>
  <c r="R37" i="45"/>
  <c r="N37" i="45"/>
  <c r="J32" i="24"/>
  <c r="J32" i="23" s="1"/>
  <c r="J32" i="25"/>
  <c r="I45" i="6"/>
  <c r="R36" i="48"/>
  <c r="F31" i="59" s="1"/>
  <c r="I45" i="7"/>
  <c r="R35" i="48"/>
  <c r="F30" i="59" s="1"/>
  <c r="R34" i="48"/>
  <c r="C33" i="45" s="1"/>
  <c r="K33" i="45" s="1"/>
  <c r="K34" i="37"/>
  <c r="W142" i="58" s="1"/>
  <c r="X142" i="58" s="1"/>
  <c r="M10" i="37"/>
  <c r="M10" i="4" s="1"/>
  <c r="M10" i="43" s="1"/>
  <c r="I40" i="9"/>
  <c r="R33" i="48" s="1"/>
  <c r="F28" i="59" s="1"/>
  <c r="I40" i="21"/>
  <c r="R20" i="48" s="1"/>
  <c r="I40" i="14"/>
  <c r="R28" i="48" s="1"/>
  <c r="F23" i="59" s="1"/>
  <c r="I40" i="10"/>
  <c r="I51" i="10" s="1"/>
  <c r="M16" i="10"/>
  <c r="M16" i="9" s="1"/>
  <c r="M16" i="8" s="1"/>
  <c r="M16" i="7" s="1"/>
  <c r="M16" i="6" s="1"/>
  <c r="M16" i="37" s="1"/>
  <c r="M16" i="4" s="1"/>
  <c r="M16" i="43" s="1"/>
  <c r="AP31" i="45"/>
  <c r="K34" i="12"/>
  <c r="W109" i="58" s="1"/>
  <c r="X109" i="58" s="1"/>
  <c r="S164" i="46"/>
  <c r="S165" i="46"/>
  <c r="M13" i="14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K34" i="15"/>
  <c r="W96" i="58" s="1"/>
  <c r="X96" i="58" s="1"/>
  <c r="I40" i="16"/>
  <c r="R26" i="48" s="1"/>
  <c r="F21" i="59" s="1"/>
  <c r="I40" i="17"/>
  <c r="M12" i="17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V37" i="45"/>
  <c r="J37" i="45"/>
  <c r="I40" i="20"/>
  <c r="I51" i="20" s="1"/>
  <c r="K34" i="18"/>
  <c r="AH21" i="45"/>
  <c r="I45" i="8"/>
  <c r="A22" i="45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P18" i="45"/>
  <c r="I51" i="8"/>
  <c r="N31" i="45"/>
  <c r="R31" i="45"/>
  <c r="Z31" i="45"/>
  <c r="J18" i="45"/>
  <c r="J31" i="45"/>
  <c r="AL31" i="45"/>
  <c r="AH31" i="45"/>
  <c r="AD31" i="45"/>
  <c r="J21" i="45"/>
  <c r="V21" i="45"/>
  <c r="K34" i="22"/>
  <c r="W65" i="58" s="1"/>
  <c r="X65" i="58" s="1"/>
  <c r="J23" i="21"/>
  <c r="J23" i="22" s="1"/>
  <c r="I51" i="26"/>
  <c r="J19" i="26"/>
  <c r="J19" i="25" s="1"/>
  <c r="J19" i="24" s="1"/>
  <c r="J19" i="23" s="1"/>
  <c r="J21" i="26"/>
  <c r="J21" i="25" s="1"/>
  <c r="J21" i="24" s="1"/>
  <c r="J21" i="23" s="1"/>
  <c r="J17" i="26"/>
  <c r="J17" i="25" s="1"/>
  <c r="J20" i="26"/>
  <c r="J20" i="25" s="1"/>
  <c r="J20" i="24" s="1"/>
  <c r="J20" i="23" s="1"/>
  <c r="J9" i="25"/>
  <c r="J9" i="24" s="1"/>
  <c r="J9" i="23" s="1"/>
  <c r="J22" i="25"/>
  <c r="J22" i="24" s="1"/>
  <c r="J22" i="23" s="1"/>
  <c r="V18" i="45"/>
  <c r="J18" i="26"/>
  <c r="J18" i="25" s="1"/>
  <c r="J31" i="24"/>
  <c r="J31" i="25"/>
  <c r="J24" i="24"/>
  <c r="J24" i="23" s="1"/>
  <c r="J24" i="25"/>
  <c r="J26" i="25"/>
  <c r="J26" i="24"/>
  <c r="J29" i="25"/>
  <c r="J29" i="24"/>
  <c r="J28" i="24"/>
  <c r="J28" i="25"/>
  <c r="J30" i="25"/>
  <c r="J30" i="24"/>
  <c r="J25" i="24"/>
  <c r="J25" i="25"/>
  <c r="J27" i="24"/>
  <c r="J27" i="25"/>
  <c r="J15" i="28"/>
  <c r="J15" i="26" s="1"/>
  <c r="J15" i="25" s="1"/>
  <c r="J15" i="24" s="1"/>
  <c r="J13" i="28"/>
  <c r="J13" i="26" s="1"/>
  <c r="J13" i="25" s="1"/>
  <c r="J13" i="24" s="1"/>
  <c r="J19" i="45"/>
  <c r="J14" i="26"/>
  <c r="J14" i="25" s="1"/>
  <c r="J14" i="24" s="1"/>
  <c r="N18" i="45"/>
  <c r="AH30" i="45"/>
  <c r="AD20" i="45"/>
  <c r="N29" i="45"/>
  <c r="M22" i="7"/>
  <c r="M22" i="6" s="1"/>
  <c r="M22" i="37" s="1"/>
  <c r="M22" i="4" s="1"/>
  <c r="M22" i="43" s="1"/>
  <c r="AD38" i="45"/>
  <c r="R30" i="45"/>
  <c r="J38" i="45"/>
  <c r="AL21" i="45"/>
  <c r="R21" i="45"/>
  <c r="Z30" i="45"/>
  <c r="N21" i="45"/>
  <c r="K34" i="27"/>
  <c r="AP30" i="45"/>
  <c r="V30" i="45"/>
  <c r="Z21" i="45"/>
  <c r="AP21" i="45"/>
  <c r="AL30" i="45"/>
  <c r="J57" i="32"/>
  <c r="J57" i="31" s="1"/>
  <c r="J57" i="30" s="1"/>
  <c r="J57" i="29" s="1"/>
  <c r="J57" i="27" s="1"/>
  <c r="V38" i="45"/>
  <c r="M9" i="29"/>
  <c r="C35" i="24"/>
  <c r="J20" i="45"/>
  <c r="R18" i="45"/>
  <c r="R20" i="45"/>
  <c r="AD18" i="45"/>
  <c r="I51" i="6"/>
  <c r="E35" i="32"/>
  <c r="AH18" i="45"/>
  <c r="AL18" i="45"/>
  <c r="AH23" i="45"/>
  <c r="V19" i="45"/>
  <c r="AP38" i="45"/>
  <c r="K34" i="23"/>
  <c r="K34" i="31"/>
  <c r="AH20" i="45"/>
  <c r="V29" i="45"/>
  <c r="AD29" i="45"/>
  <c r="Z29" i="45"/>
  <c r="AP29" i="45"/>
  <c r="D35" i="32"/>
  <c r="R29" i="45"/>
  <c r="AL29" i="45"/>
  <c r="AH29" i="45"/>
  <c r="J56" i="33"/>
  <c r="J56" i="32" s="1"/>
  <c r="J56" i="31" s="1"/>
  <c r="J56" i="30" s="1"/>
  <c r="J56" i="29" s="1"/>
  <c r="J56" i="27" s="1"/>
  <c r="J56" i="28" s="1"/>
  <c r="J56" i="26" s="1"/>
  <c r="J56" i="25" s="1"/>
  <c r="J56" i="24" s="1"/>
  <c r="J56" i="23" s="1"/>
  <c r="A12" i="1"/>
  <c r="A13" i="2" s="1"/>
  <c r="M7" i="33"/>
  <c r="E39" i="1"/>
  <c r="FV39" i="1" s="1"/>
  <c r="AL38" i="45"/>
  <c r="AJ16" i="48"/>
  <c r="D11" i="59" s="1"/>
  <c r="D43" i="31"/>
  <c r="E43" i="31" s="1"/>
  <c r="AJ17" i="48"/>
  <c r="D12" i="59" s="1"/>
  <c r="AJ39" i="48"/>
  <c r="D34" i="59" s="1"/>
  <c r="C35" i="32"/>
  <c r="N20" i="45"/>
  <c r="V20" i="45"/>
  <c r="N17" i="45"/>
  <c r="AL20" i="45"/>
  <c r="AP20" i="45"/>
  <c r="AP17" i="45"/>
  <c r="M17" i="24"/>
  <c r="C35" i="17"/>
  <c r="D44" i="31"/>
  <c r="D44" i="30" s="1"/>
  <c r="E44" i="30" s="1"/>
  <c r="R38" i="45"/>
  <c r="Z38" i="45"/>
  <c r="N30" i="45"/>
  <c r="AD30" i="45"/>
  <c r="AH38" i="45"/>
  <c r="D40" i="31"/>
  <c r="D40" i="30" s="1"/>
  <c r="E40" i="30" s="1"/>
  <c r="J44" i="32"/>
  <c r="AL23" i="45"/>
  <c r="AL17" i="45"/>
  <c r="V17" i="45"/>
  <c r="Z23" i="45"/>
  <c r="R23" i="45"/>
  <c r="R19" i="45"/>
  <c r="AL19" i="45"/>
  <c r="E50" i="32"/>
  <c r="D41" i="31"/>
  <c r="E41" i="31" s="1"/>
  <c r="I45" i="24"/>
  <c r="D42" i="2"/>
  <c r="I51" i="7"/>
  <c r="Q11" i="48"/>
  <c r="Q12" i="48" s="1"/>
  <c r="AD23" i="45"/>
  <c r="J23" i="45"/>
  <c r="V23" i="45"/>
  <c r="N23" i="45"/>
  <c r="N19" i="45"/>
  <c r="Z19" i="45"/>
  <c r="AH19" i="45"/>
  <c r="AD19" i="45"/>
  <c r="I51" i="28"/>
  <c r="I45" i="25"/>
  <c r="F24" i="48"/>
  <c r="E35" i="24"/>
  <c r="I51" i="25"/>
  <c r="AH17" i="45"/>
  <c r="Z17" i="45"/>
  <c r="J17" i="45"/>
  <c r="R17" i="45"/>
  <c r="AD17" i="45"/>
  <c r="F18" i="48"/>
  <c r="I16" i="48"/>
  <c r="I45" i="26"/>
  <c r="I45" i="28"/>
  <c r="F32" i="48"/>
  <c r="F19" i="48"/>
  <c r="F14" i="48"/>
  <c r="D35" i="24"/>
  <c r="I51" i="13"/>
  <c r="I45" i="13"/>
  <c r="I39" i="48"/>
  <c r="C38" i="45"/>
  <c r="X39" i="48"/>
  <c r="H34" i="59" s="1"/>
  <c r="I51" i="24"/>
  <c r="P163" i="46"/>
  <c r="O163" i="46" s="1"/>
  <c r="AP8" i="45"/>
  <c r="D35" i="33"/>
  <c r="C35" i="33"/>
  <c r="E35" i="33"/>
  <c r="D47" i="31"/>
  <c r="D47" i="30" s="1"/>
  <c r="D46" i="31"/>
  <c r="D46" i="30" s="1"/>
  <c r="E39" i="32"/>
  <c r="D48" i="31"/>
  <c r="D48" i="30" s="1"/>
  <c r="D48" i="29" s="1"/>
  <c r="D48" i="27" s="1"/>
  <c r="D48" i="28" s="1"/>
  <c r="E48" i="28" s="1"/>
  <c r="D38" i="31"/>
  <c r="D38" i="30" s="1"/>
  <c r="D51" i="31"/>
  <c r="E51" i="31" s="1"/>
  <c r="E52" i="33"/>
  <c r="E53" i="33" s="1"/>
  <c r="D52" i="32"/>
  <c r="D42" i="31"/>
  <c r="D42" i="30" s="1"/>
  <c r="D45" i="31"/>
  <c r="D45" i="30" s="1"/>
  <c r="D45" i="29" s="1"/>
  <c r="D49" i="31"/>
  <c r="E49" i="31" s="1"/>
  <c r="D50" i="29"/>
  <c r="E50" i="29" s="1"/>
  <c r="E50" i="31"/>
  <c r="D39" i="30"/>
  <c r="E39" i="31"/>
  <c r="F22" i="48"/>
  <c r="C35" i="7"/>
  <c r="E35" i="7"/>
  <c r="F31" i="48"/>
  <c r="F20" i="48"/>
  <c r="D41" i="1"/>
  <c r="F10" i="48"/>
  <c r="E35" i="17"/>
  <c r="D35" i="7"/>
  <c r="E16" i="1"/>
  <c r="F39" i="48"/>
  <c r="F21" i="48"/>
  <c r="Z13" i="45"/>
  <c r="AL13" i="45"/>
  <c r="AP13" i="45"/>
  <c r="V13" i="45"/>
  <c r="J13" i="45"/>
  <c r="AD13" i="45"/>
  <c r="N13" i="45"/>
  <c r="R13" i="45"/>
  <c r="AH13" i="45"/>
  <c r="AD11" i="45"/>
  <c r="AH11" i="45"/>
  <c r="Z11" i="45"/>
  <c r="AL11" i="45"/>
  <c r="N11" i="45"/>
  <c r="R11" i="45"/>
  <c r="V11" i="45"/>
  <c r="AP11" i="45"/>
  <c r="J11" i="45"/>
  <c r="I45" i="4"/>
  <c r="I51" i="4"/>
  <c r="F33" i="48"/>
  <c r="AD26" i="45"/>
  <c r="R26" i="45"/>
  <c r="AH26" i="45"/>
  <c r="Z26" i="45"/>
  <c r="N26" i="45"/>
  <c r="AL26" i="45"/>
  <c r="J26" i="45"/>
  <c r="AP26" i="45"/>
  <c r="V26" i="45"/>
  <c r="AH16" i="45"/>
  <c r="R16" i="45"/>
  <c r="AL16" i="45"/>
  <c r="Z16" i="45"/>
  <c r="V16" i="45"/>
  <c r="N16" i="45"/>
  <c r="AD16" i="45"/>
  <c r="AP16" i="45"/>
  <c r="J16" i="45"/>
  <c r="Z14" i="45"/>
  <c r="AL14" i="45"/>
  <c r="AH14" i="45"/>
  <c r="N14" i="45"/>
  <c r="J14" i="45"/>
  <c r="AD14" i="45"/>
  <c r="V14" i="45"/>
  <c r="R14" i="45"/>
  <c r="AP14" i="45"/>
  <c r="AP12" i="45"/>
  <c r="Z12" i="45"/>
  <c r="V12" i="45"/>
  <c r="AL12" i="45"/>
  <c r="R12" i="45"/>
  <c r="AH12" i="45"/>
  <c r="J12" i="45"/>
  <c r="AD12" i="45"/>
  <c r="N12" i="45"/>
  <c r="R10" i="45"/>
  <c r="N10" i="45"/>
  <c r="AH10" i="45"/>
  <c r="Z10" i="45"/>
  <c r="AL10" i="45"/>
  <c r="J10" i="45"/>
  <c r="AP10" i="45"/>
  <c r="V10" i="45"/>
  <c r="AD10" i="45"/>
  <c r="D35" i="17"/>
  <c r="E17" i="1"/>
  <c r="I17" i="48"/>
  <c r="X17" i="48"/>
  <c r="H12" i="59" s="1"/>
  <c r="C16" i="45"/>
  <c r="J17" i="48"/>
  <c r="B12" i="59" s="1"/>
  <c r="I45" i="14"/>
  <c r="F9" i="48"/>
  <c r="F26" i="48"/>
  <c r="AP9" i="45"/>
  <c r="R9" i="45"/>
  <c r="J9" i="45"/>
  <c r="AD9" i="45"/>
  <c r="N9" i="45"/>
  <c r="Z9" i="45"/>
  <c r="AH9" i="45"/>
  <c r="V9" i="45"/>
  <c r="AL9" i="45"/>
  <c r="F16" i="48"/>
  <c r="F11" i="48"/>
  <c r="J57" i="21"/>
  <c r="J57" i="22" s="1"/>
  <c r="J57" i="20" s="1"/>
  <c r="J57" i="19" s="1"/>
  <c r="J57" i="18" s="1"/>
  <c r="J57" i="17" s="1"/>
  <c r="C15" i="45"/>
  <c r="J16" i="48"/>
  <c r="B11" i="59" s="1"/>
  <c r="X16" i="48"/>
  <c r="H11" i="59" s="1"/>
  <c r="E35" i="15"/>
  <c r="D35" i="15"/>
  <c r="C35" i="15"/>
  <c r="F37" i="48"/>
  <c r="F38" i="48"/>
  <c r="F34" i="48"/>
  <c r="F29" i="48"/>
  <c r="J39" i="33"/>
  <c r="J37" i="32"/>
  <c r="D35" i="4"/>
  <c r="C35" i="4"/>
  <c r="E35" i="4"/>
  <c r="E35" i="18"/>
  <c r="D35" i="18"/>
  <c r="C35" i="18"/>
  <c r="AL8" i="45"/>
  <c r="V8" i="45"/>
  <c r="AH8" i="45"/>
  <c r="R8" i="45"/>
  <c r="J8" i="45"/>
  <c r="J44" i="31"/>
  <c r="J43" i="30"/>
  <c r="AL25" i="45"/>
  <c r="Z25" i="45"/>
  <c r="N25" i="45"/>
  <c r="AH25" i="45"/>
  <c r="R25" i="45"/>
  <c r="J25" i="45"/>
  <c r="AP25" i="45"/>
  <c r="AD25" i="45"/>
  <c r="V25" i="45"/>
  <c r="J50" i="31"/>
  <c r="J49" i="30"/>
  <c r="V41" i="48"/>
  <c r="AL15" i="45"/>
  <c r="R15" i="45"/>
  <c r="AH15" i="45"/>
  <c r="AD15" i="45"/>
  <c r="V15" i="45"/>
  <c r="B40" i="45"/>
  <c r="J15" i="45"/>
  <c r="Z15" i="45"/>
  <c r="AP15" i="45"/>
  <c r="N15" i="45"/>
  <c r="I40" i="37" l="1"/>
  <c r="R37" i="48" s="1"/>
  <c r="F32" i="59" s="1"/>
  <c r="W142" i="46"/>
  <c r="I51" i="19"/>
  <c r="I45" i="19"/>
  <c r="C22" i="45"/>
  <c r="AA133" i="58"/>
  <c r="AB133" i="58" s="1"/>
  <c r="AA133" i="46"/>
  <c r="AB133" i="46" s="1"/>
  <c r="X133" i="46"/>
  <c r="X117" i="46"/>
  <c r="AA117" i="46"/>
  <c r="AB117" i="46" s="1"/>
  <c r="I45" i="9"/>
  <c r="I51" i="9"/>
  <c r="AA96" i="58"/>
  <c r="AB96" i="58" s="1"/>
  <c r="AA65" i="58"/>
  <c r="AB65" i="58" s="1"/>
  <c r="W109" i="46"/>
  <c r="AA100" i="46"/>
  <c r="AB100" i="46" s="1"/>
  <c r="X100" i="46"/>
  <c r="I40" i="15"/>
  <c r="R27" i="48" s="1"/>
  <c r="F22" i="59" s="1"/>
  <c r="W96" i="46"/>
  <c r="J29" i="23"/>
  <c r="J29" i="21" s="1"/>
  <c r="J29" i="22" s="1"/>
  <c r="J29" i="20" s="1"/>
  <c r="J29" i="19" s="1"/>
  <c r="J29" i="18" s="1"/>
  <c r="J27" i="23"/>
  <c r="J27" i="21" s="1"/>
  <c r="J27" i="22" s="1"/>
  <c r="J27" i="20" s="1"/>
  <c r="J27" i="19" s="1"/>
  <c r="J27" i="18" s="1"/>
  <c r="J31" i="23"/>
  <c r="J31" i="21" s="1"/>
  <c r="J31" i="22" s="1"/>
  <c r="J31" i="20" s="1"/>
  <c r="J31" i="19" s="1"/>
  <c r="J31" i="18" s="1"/>
  <c r="J26" i="23"/>
  <c r="J26" i="21" s="1"/>
  <c r="J26" i="22" s="1"/>
  <c r="J26" i="20" s="1"/>
  <c r="J26" i="19" s="1"/>
  <c r="J26" i="18" s="1"/>
  <c r="J25" i="23"/>
  <c r="J25" i="21" s="1"/>
  <c r="J25" i="22" s="1"/>
  <c r="J25" i="20" s="1"/>
  <c r="J25" i="19" s="1"/>
  <c r="J25" i="18" s="1"/>
  <c r="J14" i="23"/>
  <c r="J14" i="21" s="1"/>
  <c r="J14" i="22" s="1"/>
  <c r="J14" i="20" s="1"/>
  <c r="J14" i="19" s="1"/>
  <c r="J14" i="18" s="1"/>
  <c r="J14" i="17" s="1"/>
  <c r="J30" i="23"/>
  <c r="J30" i="21" s="1"/>
  <c r="J30" i="22" s="1"/>
  <c r="J30" i="20" s="1"/>
  <c r="J30" i="19" s="1"/>
  <c r="J30" i="18" s="1"/>
  <c r="J28" i="23"/>
  <c r="J28" i="21" s="1"/>
  <c r="J28" i="22" s="1"/>
  <c r="J28" i="20" s="1"/>
  <c r="J28" i="19" s="1"/>
  <c r="J28" i="18" s="1"/>
  <c r="J15" i="23"/>
  <c r="J15" i="21" s="1"/>
  <c r="J15" i="22" s="1"/>
  <c r="J15" i="20" s="1"/>
  <c r="J15" i="19" s="1"/>
  <c r="J15" i="18" s="1"/>
  <c r="J15" i="17" s="1"/>
  <c r="J13" i="23"/>
  <c r="J13" i="21" s="1"/>
  <c r="J13" i="22" s="1"/>
  <c r="J13" i="20" s="1"/>
  <c r="J13" i="19" s="1"/>
  <c r="J13" i="18" s="1"/>
  <c r="J13" i="17" s="1"/>
  <c r="I40" i="18"/>
  <c r="R24" i="48" s="1"/>
  <c r="F19" i="59" s="1"/>
  <c r="AA74" i="46"/>
  <c r="AB74" i="46" s="1"/>
  <c r="X74" i="46"/>
  <c r="X69" i="46"/>
  <c r="AA69" i="46"/>
  <c r="AB69" i="46" s="1"/>
  <c r="W65" i="46"/>
  <c r="X61" i="46"/>
  <c r="AA61" i="46"/>
  <c r="AB61" i="46" s="1"/>
  <c r="E34" i="1"/>
  <c r="ID34" i="1" s="1"/>
  <c r="J34" i="48"/>
  <c r="B29" i="59" s="1"/>
  <c r="I51" i="14"/>
  <c r="J36" i="48"/>
  <c r="B31" i="59" s="1"/>
  <c r="I51" i="21"/>
  <c r="I45" i="21"/>
  <c r="AJ34" i="48"/>
  <c r="D29" i="59" s="1"/>
  <c r="F29" i="59"/>
  <c r="I34" i="48"/>
  <c r="I45" i="37"/>
  <c r="X34" i="48"/>
  <c r="H29" i="59" s="1"/>
  <c r="J9" i="21"/>
  <c r="J9" i="22" s="1"/>
  <c r="J9" i="20" s="1"/>
  <c r="J9" i="19" s="1"/>
  <c r="J9" i="18" s="1"/>
  <c r="I51" i="37"/>
  <c r="I45" i="10"/>
  <c r="R32" i="48"/>
  <c r="F27" i="59" s="1"/>
  <c r="R25" i="48"/>
  <c r="E25" i="1" s="1"/>
  <c r="I45" i="20"/>
  <c r="R22" i="48"/>
  <c r="F17" i="59" s="1"/>
  <c r="AI33" i="45"/>
  <c r="I40" i="31"/>
  <c r="I45" i="16"/>
  <c r="I40" i="12"/>
  <c r="R30" i="48" s="1"/>
  <c r="F25" i="59" s="1"/>
  <c r="I45" i="17"/>
  <c r="I51" i="17"/>
  <c r="I45" i="15"/>
  <c r="I51" i="15"/>
  <c r="O33" i="45"/>
  <c r="AA33" i="45"/>
  <c r="AM33" i="45"/>
  <c r="AQ33" i="45"/>
  <c r="W33" i="45"/>
  <c r="AE33" i="45"/>
  <c r="S33" i="45"/>
  <c r="I51" i="16"/>
  <c r="J10" i="16"/>
  <c r="J10" i="15" s="1"/>
  <c r="J10" i="14" s="1"/>
  <c r="J10" i="13" s="1"/>
  <c r="J8" i="17"/>
  <c r="J8" i="16" s="1"/>
  <c r="J8" i="15" s="1"/>
  <c r="J8" i="14" s="1"/>
  <c r="J8" i="13" s="1"/>
  <c r="S22" i="45"/>
  <c r="AM22" i="45"/>
  <c r="K22" i="45"/>
  <c r="G22" i="45"/>
  <c r="W22" i="45"/>
  <c r="O22" i="45"/>
  <c r="AQ22" i="45"/>
  <c r="AI22" i="45"/>
  <c r="AA22" i="45"/>
  <c r="AE22" i="45"/>
  <c r="AT22" i="45"/>
  <c r="J23" i="20"/>
  <c r="J23" i="19" s="1"/>
  <c r="J23" i="18" s="1"/>
  <c r="I40" i="22"/>
  <c r="R21" i="48" s="1"/>
  <c r="F16" i="59" s="1"/>
  <c r="J19" i="21"/>
  <c r="J19" i="22" s="1"/>
  <c r="A13" i="1"/>
  <c r="A14" i="2" s="1"/>
  <c r="J22" i="21"/>
  <c r="J22" i="22" s="1"/>
  <c r="J24" i="21"/>
  <c r="J24" i="22" s="1"/>
  <c r="J20" i="21"/>
  <c r="J20" i="22" s="1"/>
  <c r="J16" i="21"/>
  <c r="J16" i="22" s="1"/>
  <c r="J16" i="20" s="1"/>
  <c r="J16" i="19" s="1"/>
  <c r="J16" i="18" s="1"/>
  <c r="J16" i="17" s="1"/>
  <c r="J17" i="21"/>
  <c r="J17" i="22" s="1"/>
  <c r="J17" i="20" s="1"/>
  <c r="J17" i="19" s="1"/>
  <c r="J17" i="18" s="1"/>
  <c r="J17" i="17" s="1"/>
  <c r="J21" i="21"/>
  <c r="J21" i="22" s="1"/>
  <c r="I40" i="23"/>
  <c r="BL39" i="1"/>
  <c r="M17" i="23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J18" i="24"/>
  <c r="J18" i="23" s="1"/>
  <c r="I36" i="48"/>
  <c r="E44" i="31"/>
  <c r="FD39" i="1"/>
  <c r="K34" i="29"/>
  <c r="W29" i="58" s="1"/>
  <c r="X29" i="58" s="1"/>
  <c r="EC39" i="1"/>
  <c r="DB39" i="1"/>
  <c r="HU39" i="1"/>
  <c r="GT39" i="1"/>
  <c r="IV39" i="1"/>
  <c r="CA39" i="1"/>
  <c r="FS39" i="1"/>
  <c r="I40" i="27"/>
  <c r="R14" i="48" s="1"/>
  <c r="F9" i="59" s="1"/>
  <c r="AK39" i="1"/>
  <c r="J39" i="1"/>
  <c r="M9" i="27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C35" i="45"/>
  <c r="AM35" i="45" s="1"/>
  <c r="AJ36" i="48"/>
  <c r="D31" i="59" s="1"/>
  <c r="E36" i="1"/>
  <c r="HF36" i="1" s="1"/>
  <c r="AW39" i="1"/>
  <c r="DN39" i="1"/>
  <c r="Y39" i="1"/>
  <c r="DQ39" i="1"/>
  <c r="HI39" i="1"/>
  <c r="AZ39" i="1"/>
  <c r="ER39" i="1"/>
  <c r="IJ39" i="1"/>
  <c r="BO39" i="1"/>
  <c r="FG39" i="1"/>
  <c r="IY39" i="1"/>
  <c r="CP39" i="1"/>
  <c r="GH39" i="1"/>
  <c r="X36" i="48"/>
  <c r="H31" i="59" s="1"/>
  <c r="E40" i="2"/>
  <c r="CC40" i="2" s="1"/>
  <c r="BI39" i="1"/>
  <c r="FA39" i="1"/>
  <c r="IS39" i="1"/>
  <c r="CJ39" i="1"/>
  <c r="GB39" i="1"/>
  <c r="G39" i="1"/>
  <c r="CY39" i="1"/>
  <c r="GQ39" i="1"/>
  <c r="AH39" i="1"/>
  <c r="DZ39" i="1"/>
  <c r="HR39" i="1"/>
  <c r="EO39" i="1"/>
  <c r="FP39" i="1"/>
  <c r="CM39" i="1"/>
  <c r="HF39" i="1"/>
  <c r="K34" i="33"/>
  <c r="BU39" i="1"/>
  <c r="FM39" i="1"/>
  <c r="JE39" i="1"/>
  <c r="CV39" i="1"/>
  <c r="GN39" i="1"/>
  <c r="S39" i="1"/>
  <c r="DK39" i="1"/>
  <c r="HC39" i="1"/>
  <c r="AT39" i="1"/>
  <c r="EL39" i="1"/>
  <c r="ID39" i="1"/>
  <c r="IG39" i="1"/>
  <c r="GE39" i="1"/>
  <c r="CG39" i="1"/>
  <c r="FY39" i="1"/>
  <c r="P39" i="1"/>
  <c r="DH39" i="1"/>
  <c r="GZ39" i="1"/>
  <c r="AE39" i="1"/>
  <c r="DW39" i="1"/>
  <c r="HO39" i="1"/>
  <c r="BF39" i="1"/>
  <c r="EX39" i="1"/>
  <c r="IP39" i="1"/>
  <c r="V39" i="1"/>
  <c r="CS39" i="1"/>
  <c r="GK39" i="1"/>
  <c r="AB39" i="1"/>
  <c r="DT39" i="1"/>
  <c r="HL39" i="1"/>
  <c r="AQ39" i="1"/>
  <c r="EI39" i="1"/>
  <c r="IA39" i="1"/>
  <c r="BR39" i="1"/>
  <c r="FJ39" i="1"/>
  <c r="JB39" i="1"/>
  <c r="BX39" i="1"/>
  <c r="JH39" i="1"/>
  <c r="M39" i="1"/>
  <c r="DE39" i="1"/>
  <c r="GW39" i="1"/>
  <c r="AN39" i="1"/>
  <c r="EF39" i="1"/>
  <c r="HX39" i="1"/>
  <c r="BC39" i="1"/>
  <c r="EU39" i="1"/>
  <c r="IM39" i="1"/>
  <c r="CD39" i="1"/>
  <c r="D43" i="30"/>
  <c r="E43" i="30" s="1"/>
  <c r="D44" i="29"/>
  <c r="D44" i="27" s="1"/>
  <c r="D44" i="28" s="1"/>
  <c r="D44" i="26" s="1"/>
  <c r="E44" i="26" s="1"/>
  <c r="M34" i="33"/>
  <c r="J40" i="33" s="1"/>
  <c r="J45" i="33" s="1"/>
  <c r="M7" i="32"/>
  <c r="M7" i="31" s="1"/>
  <c r="M7" i="30" s="1"/>
  <c r="M7" i="29" s="1"/>
  <c r="M7" i="27" s="1"/>
  <c r="M7" i="28" s="1"/>
  <c r="E40" i="31"/>
  <c r="D40" i="29"/>
  <c r="D40" i="27" s="1"/>
  <c r="E40" i="27" s="1"/>
  <c r="AJ33" i="48"/>
  <c r="D28" i="59" s="1"/>
  <c r="AJ15" i="48"/>
  <c r="D10" i="59" s="1"/>
  <c r="AJ37" i="48"/>
  <c r="D32" i="59" s="1"/>
  <c r="AJ35" i="48"/>
  <c r="D30" i="59" s="1"/>
  <c r="AJ23" i="48"/>
  <c r="D18" i="59" s="1"/>
  <c r="AJ28" i="48"/>
  <c r="D23" i="59" s="1"/>
  <c r="AJ38" i="48"/>
  <c r="D33" i="59" s="1"/>
  <c r="AJ18" i="48"/>
  <c r="D13" i="59" s="1"/>
  <c r="AJ27" i="48"/>
  <c r="D22" i="59" s="1"/>
  <c r="AJ29" i="48"/>
  <c r="D24" i="59" s="1"/>
  <c r="AJ26" i="48"/>
  <c r="D21" i="59" s="1"/>
  <c r="IY17" i="1"/>
  <c r="IM17" i="1"/>
  <c r="IA17" i="1"/>
  <c r="HO17" i="1"/>
  <c r="HC17" i="1"/>
  <c r="GQ17" i="1"/>
  <c r="GE17" i="1"/>
  <c r="FS17" i="1"/>
  <c r="FG17" i="1"/>
  <c r="EU17" i="1"/>
  <c r="EI17" i="1"/>
  <c r="DW17" i="1"/>
  <c r="DK17" i="1"/>
  <c r="CY17" i="1"/>
  <c r="CM17" i="1"/>
  <c r="CA17" i="1"/>
  <c r="BO17" i="1"/>
  <c r="BC17" i="1"/>
  <c r="AQ17" i="1"/>
  <c r="AE17" i="1"/>
  <c r="S17" i="1"/>
  <c r="G17" i="1"/>
  <c r="JH17" i="1"/>
  <c r="IV17" i="1"/>
  <c r="IJ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JE17" i="1"/>
  <c r="IS17" i="1"/>
  <c r="IG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JB17" i="1"/>
  <c r="IP17" i="1"/>
  <c r="ID17" i="1"/>
  <c r="HR17" i="1"/>
  <c r="HF17" i="1"/>
  <c r="GT17" i="1"/>
  <c r="GH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E17" i="2"/>
  <c r="CC17" i="2" s="1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AQ16" i="1"/>
  <c r="AE16" i="1"/>
  <c r="S16" i="1"/>
  <c r="G16" i="1"/>
  <c r="JH16" i="1"/>
  <c r="IV16" i="1"/>
  <c r="IJ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M8" i="32"/>
  <c r="M8" i="31" s="1"/>
  <c r="M8" i="30" s="1"/>
  <c r="M8" i="29" s="1"/>
  <c r="M8" i="27" s="1"/>
  <c r="M8" i="28" s="1"/>
  <c r="M8" i="26" s="1"/>
  <c r="M8" i="25" s="1"/>
  <c r="M8" i="24" s="1"/>
  <c r="M8" i="23" s="1"/>
  <c r="M8" i="21" s="1"/>
  <c r="M8" i="22" s="1"/>
  <c r="M8" i="20" s="1"/>
  <c r="M8" i="19" s="1"/>
  <c r="M8" i="18" s="1"/>
  <c r="M8" i="17" s="1"/>
  <c r="M8" i="16" s="1"/>
  <c r="M8" i="15" s="1"/>
  <c r="M8" i="14" s="1"/>
  <c r="M8" i="13" s="1"/>
  <c r="M8" i="12" s="1"/>
  <c r="M8" i="11" s="1"/>
  <c r="M8" i="10" s="1"/>
  <c r="M8" i="9" s="1"/>
  <c r="M8" i="8" s="1"/>
  <c r="M8" i="7" s="1"/>
  <c r="M8" i="6" s="1"/>
  <c r="M8" i="37" s="1"/>
  <c r="M8" i="4" s="1"/>
  <c r="M8" i="43" s="1"/>
  <c r="D53" i="32"/>
  <c r="K34" i="32"/>
  <c r="E52" i="32"/>
  <c r="E53" i="32" s="1"/>
  <c r="W11" i="48"/>
  <c r="D41" i="30"/>
  <c r="D41" i="29" s="1"/>
  <c r="D41" i="27" s="1"/>
  <c r="E48" i="30"/>
  <c r="E45" i="30"/>
  <c r="D49" i="30"/>
  <c r="D49" i="29" s="1"/>
  <c r="E49" i="29" s="1"/>
  <c r="E18" i="2"/>
  <c r="X35" i="48"/>
  <c r="H30" i="59" s="1"/>
  <c r="I35" i="48"/>
  <c r="E35" i="1"/>
  <c r="C34" i="45"/>
  <c r="J35" i="48"/>
  <c r="B30" i="59" s="1"/>
  <c r="K34" i="11"/>
  <c r="W113" i="58" s="1"/>
  <c r="X113" i="58" s="1"/>
  <c r="M20" i="11"/>
  <c r="M20" i="10" s="1"/>
  <c r="M20" i="9" s="1"/>
  <c r="M20" i="8" s="1"/>
  <c r="M20" i="7" s="1"/>
  <c r="M20" i="6" s="1"/>
  <c r="M20" i="37" s="1"/>
  <c r="M20" i="4" s="1"/>
  <c r="M20" i="43" s="1"/>
  <c r="N9" i="48"/>
  <c r="V163" i="46"/>
  <c r="C26" i="45"/>
  <c r="X27" i="48"/>
  <c r="H22" i="59" s="1"/>
  <c r="I27" i="48"/>
  <c r="E27" i="1"/>
  <c r="J27" i="48"/>
  <c r="B22" i="59" s="1"/>
  <c r="X26" i="48"/>
  <c r="H21" i="59" s="1"/>
  <c r="C25" i="45"/>
  <c r="J26" i="48"/>
  <c r="B21" i="59" s="1"/>
  <c r="E26" i="1"/>
  <c r="I26" i="48"/>
  <c r="I15" i="48"/>
  <c r="E15" i="1"/>
  <c r="C14" i="45"/>
  <c r="X15" i="48"/>
  <c r="H10" i="59" s="1"/>
  <c r="J15" i="48"/>
  <c r="B10" i="59" s="1"/>
  <c r="K34" i="30"/>
  <c r="W24" i="58" s="1"/>
  <c r="M11" i="30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E33" i="1"/>
  <c r="X33" i="48"/>
  <c r="H28" i="59" s="1"/>
  <c r="C32" i="45"/>
  <c r="J33" i="48"/>
  <c r="B28" i="59" s="1"/>
  <c r="I33" i="48"/>
  <c r="J18" i="48"/>
  <c r="B13" i="59" s="1"/>
  <c r="C17" i="45"/>
  <c r="X18" i="48"/>
  <c r="H13" i="59" s="1"/>
  <c r="I18" i="48"/>
  <c r="E18" i="1"/>
  <c r="O38" i="45"/>
  <c r="AI38" i="45"/>
  <c r="AA38" i="45"/>
  <c r="K38" i="45"/>
  <c r="AE38" i="45"/>
  <c r="W38" i="45"/>
  <c r="AQ38" i="45"/>
  <c r="S38" i="45"/>
  <c r="AM38" i="45"/>
  <c r="I29" i="48"/>
  <c r="X29" i="48"/>
  <c r="H24" i="59" s="1"/>
  <c r="C28" i="45"/>
  <c r="J29" i="48"/>
  <c r="B24" i="59" s="1"/>
  <c r="E29" i="1"/>
  <c r="E47" i="31"/>
  <c r="E46" i="31"/>
  <c r="E38" i="31"/>
  <c r="D48" i="26"/>
  <c r="D48" i="25" s="1"/>
  <c r="E48" i="31"/>
  <c r="E48" i="27"/>
  <c r="E48" i="29"/>
  <c r="E42" i="31"/>
  <c r="D52" i="31"/>
  <c r="D53" i="31" s="1"/>
  <c r="D51" i="30"/>
  <c r="D51" i="29" s="1"/>
  <c r="E51" i="29" s="1"/>
  <c r="E45" i="31"/>
  <c r="E45" i="29"/>
  <c r="D45" i="27"/>
  <c r="D50" i="27"/>
  <c r="D50" i="28" s="1"/>
  <c r="D42" i="29"/>
  <c r="E42" i="30"/>
  <c r="D46" i="29"/>
  <c r="E46" i="30"/>
  <c r="D39" i="29"/>
  <c r="E39" i="30"/>
  <c r="E47" i="30"/>
  <c r="D47" i="29"/>
  <c r="E37" i="1"/>
  <c r="E23" i="1"/>
  <c r="W16" i="45"/>
  <c r="AA16" i="45"/>
  <c r="O16" i="45"/>
  <c r="K16" i="45"/>
  <c r="AE16" i="45"/>
  <c r="AM16" i="45"/>
  <c r="S16" i="45"/>
  <c r="AQ16" i="45"/>
  <c r="AI16" i="45"/>
  <c r="E28" i="1"/>
  <c r="E38" i="1"/>
  <c r="C37" i="45"/>
  <c r="J38" i="48"/>
  <c r="B33" i="59" s="1"/>
  <c r="I38" i="48"/>
  <c r="X38" i="48"/>
  <c r="H33" i="59" s="1"/>
  <c r="J37" i="31"/>
  <c r="J39" i="32"/>
  <c r="AI15" i="45"/>
  <c r="K15" i="45"/>
  <c r="AE15" i="45"/>
  <c r="AA15" i="45"/>
  <c r="S15" i="45"/>
  <c r="O15" i="45"/>
  <c r="AQ15" i="45"/>
  <c r="AM15" i="45"/>
  <c r="W15" i="45"/>
  <c r="I28" i="48"/>
  <c r="C27" i="45"/>
  <c r="J28" i="48"/>
  <c r="B23" i="59" s="1"/>
  <c r="X28" i="48"/>
  <c r="H23" i="59" s="1"/>
  <c r="J37" i="48"/>
  <c r="B32" i="59" s="1"/>
  <c r="C36" i="45"/>
  <c r="I37" i="48"/>
  <c r="X37" i="48"/>
  <c r="H32" i="59" s="1"/>
  <c r="X23" i="48"/>
  <c r="H18" i="59" s="1"/>
  <c r="I23" i="48"/>
  <c r="J23" i="48"/>
  <c r="B18" i="59" s="1"/>
  <c r="R40" i="45"/>
  <c r="N40" i="45"/>
  <c r="J40" i="45"/>
  <c r="V40" i="45"/>
  <c r="D38" i="29"/>
  <c r="E38" i="30"/>
  <c r="J49" i="29"/>
  <c r="J50" i="30"/>
  <c r="J57" i="16"/>
  <c r="J57" i="28"/>
  <c r="J56" i="21"/>
  <c r="J43" i="29"/>
  <c r="J44" i="30"/>
  <c r="W12" i="48"/>
  <c r="Q13" i="48"/>
  <c r="X24" i="58" l="1"/>
  <c r="W163" i="58"/>
  <c r="AA142" i="58"/>
  <c r="AB142" i="58" s="1"/>
  <c r="X142" i="46"/>
  <c r="AA142" i="46"/>
  <c r="AB142" i="46" s="1"/>
  <c r="CJ34" i="1"/>
  <c r="S34" i="1"/>
  <c r="JB34" i="1"/>
  <c r="DZ34" i="1"/>
  <c r="FG34" i="1"/>
  <c r="I45" i="18"/>
  <c r="GK34" i="1"/>
  <c r="HF34" i="1"/>
  <c r="AK34" i="1"/>
  <c r="AN34" i="1"/>
  <c r="J24" i="48"/>
  <c r="B19" i="59" s="1"/>
  <c r="I24" i="48"/>
  <c r="E32" i="1"/>
  <c r="GE32" i="1" s="1"/>
  <c r="IG34" i="1"/>
  <c r="E24" i="1"/>
  <c r="EO34" i="1"/>
  <c r="W113" i="46"/>
  <c r="DH34" i="1"/>
  <c r="DN34" i="1"/>
  <c r="G34" i="1"/>
  <c r="DW34" i="1"/>
  <c r="J32" i="48"/>
  <c r="B27" i="59" s="1"/>
  <c r="HR34" i="1"/>
  <c r="IS34" i="1"/>
  <c r="BL34" i="1"/>
  <c r="ER34" i="1"/>
  <c r="AA24" i="58"/>
  <c r="X24" i="48"/>
  <c r="H19" i="59" s="1"/>
  <c r="EL34" i="1"/>
  <c r="FM34" i="1"/>
  <c r="CV34" i="1"/>
  <c r="M34" i="1"/>
  <c r="AA29" i="58"/>
  <c r="AB29" i="58" s="1"/>
  <c r="AJ32" i="48"/>
  <c r="D27" i="59" s="1"/>
  <c r="AT34" i="1"/>
  <c r="BC34" i="1"/>
  <c r="I51" i="18"/>
  <c r="BO34" i="1"/>
  <c r="C23" i="45"/>
  <c r="AE23" i="45" s="1"/>
  <c r="AJ24" i="48"/>
  <c r="D19" i="59" s="1"/>
  <c r="CG34" i="1"/>
  <c r="GN34" i="1"/>
  <c r="GT34" i="1"/>
  <c r="AE34" i="1"/>
  <c r="AA109" i="58"/>
  <c r="AA109" i="46"/>
  <c r="AB109" i="46" s="1"/>
  <c r="X109" i="46"/>
  <c r="AQ34" i="1"/>
  <c r="EF34" i="1"/>
  <c r="FV34" i="1"/>
  <c r="BF34" i="1"/>
  <c r="C31" i="45"/>
  <c r="AE31" i="45" s="1"/>
  <c r="HC34" i="1"/>
  <c r="CY34" i="1"/>
  <c r="V34" i="1"/>
  <c r="DB34" i="1"/>
  <c r="FJ34" i="1"/>
  <c r="P34" i="1"/>
  <c r="DK34" i="1"/>
  <c r="JE34" i="1"/>
  <c r="CM34" i="1"/>
  <c r="JH34" i="1"/>
  <c r="BR34" i="1"/>
  <c r="CP34" i="1"/>
  <c r="AA96" i="46"/>
  <c r="AB96" i="46" s="1"/>
  <c r="X96" i="46"/>
  <c r="BU34" i="1"/>
  <c r="GE34" i="1"/>
  <c r="AW34" i="1"/>
  <c r="IA34" i="1"/>
  <c r="GH34" i="1"/>
  <c r="FD34" i="1"/>
  <c r="DQ34" i="1"/>
  <c r="IP34" i="1"/>
  <c r="EI34" i="1"/>
  <c r="HO34" i="1"/>
  <c r="EX34" i="1"/>
  <c r="CA34" i="1"/>
  <c r="IM34" i="1"/>
  <c r="IY34" i="1"/>
  <c r="HX34" i="1"/>
  <c r="HI34" i="1"/>
  <c r="EU34" i="1"/>
  <c r="CD34" i="1"/>
  <c r="HU34" i="1"/>
  <c r="HL34" i="1"/>
  <c r="GZ34" i="1"/>
  <c r="AH34" i="1"/>
  <c r="BX34" i="1"/>
  <c r="FA34" i="1"/>
  <c r="J34" i="1"/>
  <c r="AB34" i="1"/>
  <c r="GW34" i="1"/>
  <c r="DT34" i="1"/>
  <c r="EC34" i="1"/>
  <c r="IV34" i="1"/>
  <c r="GB34" i="1"/>
  <c r="E35" i="2"/>
  <c r="CC35" i="2" s="1"/>
  <c r="FY34" i="1"/>
  <c r="GQ34" i="1"/>
  <c r="BI34" i="1"/>
  <c r="FS34" i="1"/>
  <c r="DE34" i="1"/>
  <c r="IJ34" i="1"/>
  <c r="AZ34" i="1"/>
  <c r="CS34" i="1"/>
  <c r="FP34" i="1"/>
  <c r="Y34" i="1"/>
  <c r="AA78" i="46"/>
  <c r="AB78" i="46" s="1"/>
  <c r="X78" i="46"/>
  <c r="AA65" i="46"/>
  <c r="AB65" i="46" s="1"/>
  <c r="X65" i="46"/>
  <c r="W29" i="46"/>
  <c r="W24" i="46"/>
  <c r="I10" i="54"/>
  <c r="E39" i="53" s="1"/>
  <c r="J22" i="48"/>
  <c r="B17" i="59" s="1"/>
  <c r="X22" i="48"/>
  <c r="H17" i="59" s="1"/>
  <c r="AJ22" i="48"/>
  <c r="D17" i="59" s="1"/>
  <c r="E22" i="1"/>
  <c r="HC22" i="1" s="1"/>
  <c r="C21" i="45"/>
  <c r="W21" i="45" s="1"/>
  <c r="I22" i="48"/>
  <c r="IM25" i="1"/>
  <c r="EU25" i="1"/>
  <c r="BC25" i="1"/>
  <c r="HX25" i="1"/>
  <c r="EF25" i="1"/>
  <c r="AN25" i="1"/>
  <c r="GW25" i="1"/>
  <c r="DE25" i="1"/>
  <c r="M25" i="1"/>
  <c r="FV25" i="1"/>
  <c r="CD25" i="1"/>
  <c r="Y25" i="1"/>
  <c r="IA25" i="1"/>
  <c r="EI25" i="1"/>
  <c r="AQ25" i="1"/>
  <c r="HL25" i="1"/>
  <c r="DT25" i="1"/>
  <c r="AB25" i="1"/>
  <c r="GK25" i="1"/>
  <c r="CS25" i="1"/>
  <c r="JB25" i="1"/>
  <c r="FJ25" i="1"/>
  <c r="BR25" i="1"/>
  <c r="S25" i="1"/>
  <c r="JE25" i="1"/>
  <c r="ID25" i="1"/>
  <c r="IJ25" i="1"/>
  <c r="DQ25" i="1"/>
  <c r="HO25" i="1"/>
  <c r="DW25" i="1"/>
  <c r="AE25" i="1"/>
  <c r="GZ25" i="1"/>
  <c r="DH25" i="1"/>
  <c r="P25" i="1"/>
  <c r="FY25" i="1"/>
  <c r="CG25" i="1"/>
  <c r="IP25" i="1"/>
  <c r="EX25" i="1"/>
  <c r="BF25" i="1"/>
  <c r="DK25" i="1"/>
  <c r="CV25" i="1"/>
  <c r="BU25" i="1"/>
  <c r="AT25" i="1"/>
  <c r="IY25" i="1"/>
  <c r="AZ25" i="1"/>
  <c r="HC25" i="1"/>
  <c r="GN25" i="1"/>
  <c r="FM25" i="1"/>
  <c r="EL25" i="1"/>
  <c r="FG25" i="1"/>
  <c r="GH25" i="1"/>
  <c r="GQ25" i="1"/>
  <c r="CY25" i="1"/>
  <c r="G25" i="1"/>
  <c r="GB25" i="1"/>
  <c r="CJ25" i="1"/>
  <c r="IS25" i="1"/>
  <c r="FA25" i="1"/>
  <c r="BI25" i="1"/>
  <c r="HR25" i="1"/>
  <c r="DZ25" i="1"/>
  <c r="AH25" i="1"/>
  <c r="BO25" i="1"/>
  <c r="HI25" i="1"/>
  <c r="CP25" i="1"/>
  <c r="GE25" i="1"/>
  <c r="CM25" i="1"/>
  <c r="JH25" i="1"/>
  <c r="FP25" i="1"/>
  <c r="BX25" i="1"/>
  <c r="IG25" i="1"/>
  <c r="EO25" i="1"/>
  <c r="AW25" i="1"/>
  <c r="HF25" i="1"/>
  <c r="DN25" i="1"/>
  <c r="V25" i="1"/>
  <c r="E26" i="2"/>
  <c r="CC26" i="2" s="1"/>
  <c r="FS25" i="1"/>
  <c r="CA25" i="1"/>
  <c r="IV25" i="1"/>
  <c r="FD25" i="1"/>
  <c r="BL25" i="1"/>
  <c r="HU25" i="1"/>
  <c r="EC25" i="1"/>
  <c r="AK25" i="1"/>
  <c r="GT25" i="1"/>
  <c r="DB25" i="1"/>
  <c r="J25" i="1"/>
  <c r="ER25" i="1"/>
  <c r="X25" i="48"/>
  <c r="H20" i="59" s="1"/>
  <c r="C24" i="45"/>
  <c r="AM24" i="45" s="1"/>
  <c r="J25" i="48"/>
  <c r="B20" i="59" s="1"/>
  <c r="I25" i="48"/>
  <c r="F20" i="59"/>
  <c r="X32" i="48"/>
  <c r="H27" i="59" s="1"/>
  <c r="AJ25" i="48"/>
  <c r="D20" i="59" s="1"/>
  <c r="R19" i="48"/>
  <c r="J19" i="48" s="1"/>
  <c r="B14" i="59" s="1"/>
  <c r="F15" i="59"/>
  <c r="I45" i="31"/>
  <c r="R11" i="48"/>
  <c r="F6" i="59" s="1"/>
  <c r="I51" i="31"/>
  <c r="I32" i="48"/>
  <c r="I45" i="12"/>
  <c r="I51" i="12"/>
  <c r="G32" i="1"/>
  <c r="J10" i="12"/>
  <c r="J10" i="11" s="1"/>
  <c r="J8" i="12"/>
  <c r="J8" i="11" s="1"/>
  <c r="J8" i="10" s="1"/>
  <c r="A14" i="1"/>
  <c r="A15" i="2" s="1"/>
  <c r="J41" i="33"/>
  <c r="J51" i="33"/>
  <c r="K56" i="33"/>
  <c r="CJ32" i="1"/>
  <c r="S32" i="1"/>
  <c r="K57" i="33"/>
  <c r="CG32" i="1"/>
  <c r="BI32" i="1"/>
  <c r="EI32" i="1"/>
  <c r="DZ32" i="1"/>
  <c r="GZ32" i="1"/>
  <c r="Y32" i="1"/>
  <c r="IP32" i="1"/>
  <c r="IV32" i="1"/>
  <c r="J31" i="17"/>
  <c r="J31" i="16" s="1"/>
  <c r="J31" i="15" s="1"/>
  <c r="J31" i="14" s="1"/>
  <c r="J31" i="13" s="1"/>
  <c r="J31" i="12" s="1"/>
  <c r="J31" i="11" s="1"/>
  <c r="J31" i="10" s="1"/>
  <c r="J23" i="17"/>
  <c r="J23" i="16" s="1"/>
  <c r="J28" i="17"/>
  <c r="J28" i="16" s="1"/>
  <c r="J28" i="15" s="1"/>
  <c r="J28" i="14" s="1"/>
  <c r="J28" i="13" s="1"/>
  <c r="J27" i="17"/>
  <c r="J27" i="16" s="1"/>
  <c r="J27" i="15" s="1"/>
  <c r="J27" i="14" s="1"/>
  <c r="J27" i="13" s="1"/>
  <c r="J29" i="17"/>
  <c r="J29" i="16" s="1"/>
  <c r="J29" i="15" s="1"/>
  <c r="J29" i="14" s="1"/>
  <c r="J29" i="13" s="1"/>
  <c r="J11" i="16"/>
  <c r="J9" i="17"/>
  <c r="J9" i="16" s="1"/>
  <c r="J9" i="15" s="1"/>
  <c r="J9" i="14" s="1"/>
  <c r="J9" i="13" s="1"/>
  <c r="J30" i="17"/>
  <c r="J30" i="16" s="1"/>
  <c r="J30" i="15" s="1"/>
  <c r="J30" i="14" s="1"/>
  <c r="J30" i="13" s="1"/>
  <c r="J30" i="12" s="1"/>
  <c r="J30" i="11" s="1"/>
  <c r="J30" i="10" s="1"/>
  <c r="J26" i="17"/>
  <c r="J26" i="16" s="1"/>
  <c r="J26" i="15" s="1"/>
  <c r="J25" i="17"/>
  <c r="J25" i="16" s="1"/>
  <c r="J25" i="15" s="1"/>
  <c r="I45" i="22"/>
  <c r="I51" i="22"/>
  <c r="J21" i="20"/>
  <c r="J21" i="19" s="1"/>
  <c r="J21" i="18" s="1"/>
  <c r="J12" i="16"/>
  <c r="J12" i="15" s="1"/>
  <c r="J12" i="14" s="1"/>
  <c r="J12" i="13" s="1"/>
  <c r="J12" i="12" s="1"/>
  <c r="J12" i="11" s="1"/>
  <c r="J22" i="20"/>
  <c r="J22" i="19" s="1"/>
  <c r="J22" i="18" s="1"/>
  <c r="J20" i="20"/>
  <c r="J20" i="19" s="1"/>
  <c r="J20" i="18" s="1"/>
  <c r="J24" i="20"/>
  <c r="J24" i="19" s="1"/>
  <c r="J24" i="18" s="1"/>
  <c r="J19" i="20"/>
  <c r="J19" i="19" s="1"/>
  <c r="J19" i="18" s="1"/>
  <c r="I21" i="48"/>
  <c r="C20" i="45"/>
  <c r="E21" i="1"/>
  <c r="AJ21" i="48"/>
  <c r="D16" i="59" s="1"/>
  <c r="X21" i="48"/>
  <c r="H16" i="59" s="1"/>
  <c r="J21" i="48"/>
  <c r="B16" i="59" s="1"/>
  <c r="J18" i="21"/>
  <c r="J18" i="22" s="1"/>
  <c r="I45" i="23"/>
  <c r="I51" i="23"/>
  <c r="P36" i="1"/>
  <c r="E44" i="29"/>
  <c r="BL36" i="1"/>
  <c r="FG36" i="1"/>
  <c r="GH36" i="1"/>
  <c r="GW36" i="1"/>
  <c r="AQ36" i="1"/>
  <c r="BR36" i="1"/>
  <c r="FP36" i="1"/>
  <c r="I40" i="33"/>
  <c r="I40" i="29"/>
  <c r="R13" i="48" s="1"/>
  <c r="F8" i="59" s="1"/>
  <c r="K35" i="45"/>
  <c r="HU36" i="1"/>
  <c r="BO36" i="1"/>
  <c r="FY36" i="1"/>
  <c r="W35" i="45"/>
  <c r="IV36" i="1"/>
  <c r="DQ36" i="1"/>
  <c r="EF36" i="1"/>
  <c r="AE35" i="45"/>
  <c r="IA36" i="1"/>
  <c r="JB36" i="1"/>
  <c r="GZ36" i="1"/>
  <c r="CM36" i="1"/>
  <c r="DN36" i="1"/>
  <c r="I45" i="27"/>
  <c r="I51" i="27"/>
  <c r="AI35" i="45"/>
  <c r="FD36" i="1"/>
  <c r="AQ35" i="45"/>
  <c r="IY36" i="1"/>
  <c r="Y36" i="1"/>
  <c r="AN36" i="1"/>
  <c r="EI36" i="1"/>
  <c r="FJ36" i="1"/>
  <c r="DH36" i="1"/>
  <c r="O35" i="45"/>
  <c r="JH36" i="1"/>
  <c r="V36" i="1"/>
  <c r="EC36" i="1"/>
  <c r="IJ36" i="1"/>
  <c r="IM36" i="1"/>
  <c r="M36" i="1"/>
  <c r="DT36" i="1"/>
  <c r="CG36" i="1"/>
  <c r="IG36" i="1"/>
  <c r="DE36" i="1"/>
  <c r="BX36" i="1"/>
  <c r="AK36" i="1"/>
  <c r="ER36" i="1"/>
  <c r="AA35" i="45"/>
  <c r="EU36" i="1"/>
  <c r="FV36" i="1"/>
  <c r="AB36" i="1"/>
  <c r="S35" i="45"/>
  <c r="HO36" i="1"/>
  <c r="IP36" i="1"/>
  <c r="EO36" i="1"/>
  <c r="CP36" i="1"/>
  <c r="GT36" i="1"/>
  <c r="AZ36" i="1"/>
  <c r="BC36" i="1"/>
  <c r="CD36" i="1"/>
  <c r="GK36" i="1"/>
  <c r="DW36" i="1"/>
  <c r="EX36" i="1"/>
  <c r="AW36" i="1"/>
  <c r="HL36" i="1"/>
  <c r="CA36" i="1"/>
  <c r="DB36" i="1"/>
  <c r="HI36" i="1"/>
  <c r="HX36" i="1"/>
  <c r="CS36" i="1"/>
  <c r="AE36" i="1"/>
  <c r="BF36" i="1"/>
  <c r="GE36" i="1"/>
  <c r="E44" i="28"/>
  <c r="FS36" i="1"/>
  <c r="S36" i="1"/>
  <c r="FM36" i="1"/>
  <c r="AT36" i="1"/>
  <c r="G36" i="1"/>
  <c r="FA36" i="1"/>
  <c r="AH36" i="1"/>
  <c r="ID36" i="1"/>
  <c r="GN36" i="1"/>
  <c r="BU36" i="1"/>
  <c r="E37" i="2"/>
  <c r="CC37" i="2" s="1"/>
  <c r="GB36" i="1"/>
  <c r="BI36" i="1"/>
  <c r="HC36" i="1"/>
  <c r="CV36" i="1"/>
  <c r="GQ36" i="1"/>
  <c r="CJ36" i="1"/>
  <c r="HR36" i="1"/>
  <c r="CY36" i="1"/>
  <c r="DZ36" i="1"/>
  <c r="DK36" i="1"/>
  <c r="JE36" i="1"/>
  <c r="EL36" i="1"/>
  <c r="IS36" i="1"/>
  <c r="D44" i="25"/>
  <c r="D44" i="24" s="1"/>
  <c r="D44" i="23" s="1"/>
  <c r="D44" i="21" s="1"/>
  <c r="E44" i="27"/>
  <c r="D43" i="29"/>
  <c r="D43" i="27" s="1"/>
  <c r="D43" i="28" s="1"/>
  <c r="E43" i="28" s="1"/>
  <c r="D40" i="28"/>
  <c r="E40" i="28" s="1"/>
  <c r="E40" i="29"/>
  <c r="E19" i="2"/>
  <c r="CC19" i="2" s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JH18" i="1"/>
  <c r="IV18" i="1"/>
  <c r="IJ18" i="1"/>
  <c r="HX18" i="1"/>
  <c r="HL18" i="1"/>
  <c r="GZ18" i="1"/>
  <c r="GN18" i="1"/>
  <c r="GB18" i="1"/>
  <c r="FP18" i="1"/>
  <c r="FD18" i="1"/>
  <c r="ER18" i="1"/>
  <c r="EF18" i="1"/>
  <c r="DT18" i="1"/>
  <c r="DH18" i="1"/>
  <c r="CV18" i="1"/>
  <c r="CJ18" i="1"/>
  <c r="BX18" i="1"/>
  <c r="BL18" i="1"/>
  <c r="AZ18" i="1"/>
  <c r="AN18" i="1"/>
  <c r="AB18" i="1"/>
  <c r="P18" i="1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E24" i="2"/>
  <c r="CC24" i="2" s="1"/>
  <c r="JB23" i="1"/>
  <c r="IP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IY23" i="1"/>
  <c r="IM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H23" i="1"/>
  <c r="IV23" i="1"/>
  <c r="IJ23" i="1"/>
  <c r="HX23" i="1"/>
  <c r="HL23" i="1"/>
  <c r="GZ23" i="1"/>
  <c r="GN23" i="1"/>
  <c r="GB23" i="1"/>
  <c r="FP23" i="1"/>
  <c r="FD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JE23" i="1"/>
  <c r="IS23" i="1"/>
  <c r="IG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E39" i="2"/>
  <c r="CC39" i="2" s="1"/>
  <c r="JH38" i="1"/>
  <c r="IV38" i="1"/>
  <c r="IJ38" i="1"/>
  <c r="HX38" i="1"/>
  <c r="HL38" i="1"/>
  <c r="GZ38" i="1"/>
  <c r="GN38" i="1"/>
  <c r="GB38" i="1"/>
  <c r="FP38" i="1"/>
  <c r="FD38" i="1"/>
  <c r="ER38" i="1"/>
  <c r="EF38" i="1"/>
  <c r="DT38" i="1"/>
  <c r="DH38" i="1"/>
  <c r="CV38" i="1"/>
  <c r="CJ38" i="1"/>
  <c r="BX38" i="1"/>
  <c r="BL38" i="1"/>
  <c r="AZ38" i="1"/>
  <c r="AN38" i="1"/>
  <c r="AB38" i="1"/>
  <c r="P38" i="1"/>
  <c r="JE38" i="1"/>
  <c r="IS38" i="1"/>
  <c r="IG38" i="1"/>
  <c r="HU38" i="1"/>
  <c r="HI38" i="1"/>
  <c r="GW38" i="1"/>
  <c r="GK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JB38" i="1"/>
  <c r="IP38" i="1"/>
  <c r="ID38" i="1"/>
  <c r="HR38" i="1"/>
  <c r="HF38" i="1"/>
  <c r="GT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IY38" i="1"/>
  <c r="IM38" i="1"/>
  <c r="IA38" i="1"/>
  <c r="HO38" i="1"/>
  <c r="HC38" i="1"/>
  <c r="GQ38" i="1"/>
  <c r="GE38" i="1"/>
  <c r="FS38" i="1"/>
  <c r="FG38" i="1"/>
  <c r="EU38" i="1"/>
  <c r="EI38" i="1"/>
  <c r="DW38" i="1"/>
  <c r="DK38" i="1"/>
  <c r="CY38" i="1"/>
  <c r="CM38" i="1"/>
  <c r="CA38" i="1"/>
  <c r="BO38" i="1"/>
  <c r="BC38" i="1"/>
  <c r="AQ38" i="1"/>
  <c r="AE38" i="1"/>
  <c r="S38" i="1"/>
  <c r="G38" i="1"/>
  <c r="E34" i="2"/>
  <c r="CC34" i="2" s="1"/>
  <c r="IY33" i="1"/>
  <c r="IM33" i="1"/>
  <c r="IA33" i="1"/>
  <c r="HO33" i="1"/>
  <c r="HC33" i="1"/>
  <c r="GQ33" i="1"/>
  <c r="GE33" i="1"/>
  <c r="FS33" i="1"/>
  <c r="FG33" i="1"/>
  <c r="EU33" i="1"/>
  <c r="EI33" i="1"/>
  <c r="DW33" i="1"/>
  <c r="DK33" i="1"/>
  <c r="CY33" i="1"/>
  <c r="CM33" i="1"/>
  <c r="CA33" i="1"/>
  <c r="BO33" i="1"/>
  <c r="IS33" i="1"/>
  <c r="HR33" i="1"/>
  <c r="GB33" i="1"/>
  <c r="FA33" i="1"/>
  <c r="DZ33" i="1"/>
  <c r="CJ33" i="1"/>
  <c r="BI33" i="1"/>
  <c r="AW33" i="1"/>
  <c r="AK33" i="1"/>
  <c r="Y33" i="1"/>
  <c r="M33" i="1"/>
  <c r="JE33" i="1"/>
  <c r="ID33" i="1"/>
  <c r="GN33" i="1"/>
  <c r="FM33" i="1"/>
  <c r="EL33" i="1"/>
  <c r="CV33" i="1"/>
  <c r="BU33" i="1"/>
  <c r="IP33" i="1"/>
  <c r="GZ33" i="1"/>
  <c r="FY33" i="1"/>
  <c r="EX33" i="1"/>
  <c r="DH33" i="1"/>
  <c r="CG33" i="1"/>
  <c r="BF33" i="1"/>
  <c r="AT33" i="1"/>
  <c r="AH33" i="1"/>
  <c r="V33" i="1"/>
  <c r="J33" i="1"/>
  <c r="JB33" i="1"/>
  <c r="HL33" i="1"/>
  <c r="GK33" i="1"/>
  <c r="FJ33" i="1"/>
  <c r="DT33" i="1"/>
  <c r="CS33" i="1"/>
  <c r="BR33" i="1"/>
  <c r="HX33" i="1"/>
  <c r="GW33" i="1"/>
  <c r="FV33" i="1"/>
  <c r="EF33" i="1"/>
  <c r="DE33" i="1"/>
  <c r="CD33" i="1"/>
  <c r="BC33" i="1"/>
  <c r="AQ33" i="1"/>
  <c r="AE33" i="1"/>
  <c r="S33" i="1"/>
  <c r="G33" i="1"/>
  <c r="IV33" i="1"/>
  <c r="HU33" i="1"/>
  <c r="GT33" i="1"/>
  <c r="FD33" i="1"/>
  <c r="EC33" i="1"/>
  <c r="DB33" i="1"/>
  <c r="BL33" i="1"/>
  <c r="AZ33" i="1"/>
  <c r="AN33" i="1"/>
  <c r="AB33" i="1"/>
  <c r="P33" i="1"/>
  <c r="JH33" i="1"/>
  <c r="IG33" i="1"/>
  <c r="HF33" i="1"/>
  <c r="FP33" i="1"/>
  <c r="EO33" i="1"/>
  <c r="DN33" i="1"/>
  <c r="BX33" i="1"/>
  <c r="CP33" i="1"/>
  <c r="IJ33" i="1"/>
  <c r="HI33" i="1"/>
  <c r="ER33" i="1"/>
  <c r="GH33" i="1"/>
  <c r="DQ33" i="1"/>
  <c r="E25" i="2"/>
  <c r="CC25" i="2" s="1"/>
  <c r="JH24" i="1"/>
  <c r="IV24" i="1"/>
  <c r="IJ24" i="1"/>
  <c r="HX24" i="1"/>
  <c r="HL24" i="1"/>
  <c r="GZ24" i="1"/>
  <c r="GN24" i="1"/>
  <c r="GB24" i="1"/>
  <c r="FP24" i="1"/>
  <c r="FD24" i="1"/>
  <c r="ER24" i="1"/>
  <c r="EF24" i="1"/>
  <c r="DT24" i="1"/>
  <c r="DH24" i="1"/>
  <c r="CV24" i="1"/>
  <c r="CJ24" i="1"/>
  <c r="BX24" i="1"/>
  <c r="BL24" i="1"/>
  <c r="AZ24" i="1"/>
  <c r="AN24" i="1"/>
  <c r="AB24" i="1"/>
  <c r="P24" i="1"/>
  <c r="JE24" i="1"/>
  <c r="IS24" i="1"/>
  <c r="IG24" i="1"/>
  <c r="HU24" i="1"/>
  <c r="HI24" i="1"/>
  <c r="GW24" i="1"/>
  <c r="GK24" i="1"/>
  <c r="FY24" i="1"/>
  <c r="FM24" i="1"/>
  <c r="FA24" i="1"/>
  <c r="EO24" i="1"/>
  <c r="EC24" i="1"/>
  <c r="DQ24" i="1"/>
  <c r="DE24" i="1"/>
  <c r="CS24" i="1"/>
  <c r="CG24" i="1"/>
  <c r="BU24" i="1"/>
  <c r="BI24" i="1"/>
  <c r="AW24" i="1"/>
  <c r="AK24" i="1"/>
  <c r="Y24" i="1"/>
  <c r="M24" i="1"/>
  <c r="JB24" i="1"/>
  <c r="IP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IY24" i="1"/>
  <c r="IM24" i="1"/>
  <c r="IA24" i="1"/>
  <c r="HO24" i="1"/>
  <c r="HC24" i="1"/>
  <c r="GQ24" i="1"/>
  <c r="GE24" i="1"/>
  <c r="FS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E16" i="2"/>
  <c r="CC16" i="2" s="1"/>
  <c r="JE15" i="1"/>
  <c r="IS15" i="1"/>
  <c r="IG15" i="1"/>
  <c r="HU15" i="1"/>
  <c r="HI15" i="1"/>
  <c r="GW15" i="1"/>
  <c r="GK15" i="1"/>
  <c r="FY15" i="1"/>
  <c r="FM15" i="1"/>
  <c r="FA15" i="1"/>
  <c r="EO15" i="1"/>
  <c r="EC15" i="1"/>
  <c r="DQ15" i="1"/>
  <c r="DE15" i="1"/>
  <c r="CS15" i="1"/>
  <c r="CG15" i="1"/>
  <c r="BU15" i="1"/>
  <c r="BI15" i="1"/>
  <c r="AW15" i="1"/>
  <c r="AK15" i="1"/>
  <c r="Y15" i="1"/>
  <c r="M15" i="1"/>
  <c r="JB15" i="1"/>
  <c r="IP15" i="1"/>
  <c r="ID15" i="1"/>
  <c r="HR15" i="1"/>
  <c r="HF15" i="1"/>
  <c r="GT15" i="1"/>
  <c r="GH15" i="1"/>
  <c r="FV15" i="1"/>
  <c r="FJ15" i="1"/>
  <c r="EX15" i="1"/>
  <c r="EL15" i="1"/>
  <c r="DZ15" i="1"/>
  <c r="DN15" i="1"/>
  <c r="DB15" i="1"/>
  <c r="CP15" i="1"/>
  <c r="CD15" i="1"/>
  <c r="BR15" i="1"/>
  <c r="BF15" i="1"/>
  <c r="AT15" i="1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CM15" i="1"/>
  <c r="CA15" i="1"/>
  <c r="BO15" i="1"/>
  <c r="BC15" i="1"/>
  <c r="AQ15" i="1"/>
  <c r="AE15" i="1"/>
  <c r="S15" i="1"/>
  <c r="G15" i="1"/>
  <c r="JH15" i="1"/>
  <c r="IV15" i="1"/>
  <c r="IJ15" i="1"/>
  <c r="HX15" i="1"/>
  <c r="HL15" i="1"/>
  <c r="GZ15" i="1"/>
  <c r="GN15" i="1"/>
  <c r="GB15" i="1"/>
  <c r="FP15" i="1"/>
  <c r="FD15" i="1"/>
  <c r="ER15" i="1"/>
  <c r="EF15" i="1"/>
  <c r="DT15" i="1"/>
  <c r="DH15" i="1"/>
  <c r="CV15" i="1"/>
  <c r="CJ15" i="1"/>
  <c r="BX15" i="1"/>
  <c r="BL15" i="1"/>
  <c r="AZ15" i="1"/>
  <c r="AN15" i="1"/>
  <c r="AB15" i="1"/>
  <c r="P15" i="1"/>
  <c r="AH15" i="1"/>
  <c r="J15" i="1"/>
  <c r="V15" i="1"/>
  <c r="E29" i="2"/>
  <c r="CC29" i="2" s="1"/>
  <c r="JE28" i="1"/>
  <c r="IS28" i="1"/>
  <c r="IG28" i="1"/>
  <c r="HU28" i="1"/>
  <c r="HI28" i="1"/>
  <c r="GW28" i="1"/>
  <c r="GK28" i="1"/>
  <c r="FY28" i="1"/>
  <c r="FM28" i="1"/>
  <c r="FA28" i="1"/>
  <c r="EO28" i="1"/>
  <c r="EC28" i="1"/>
  <c r="DQ28" i="1"/>
  <c r="DE28" i="1"/>
  <c r="CS28" i="1"/>
  <c r="CG28" i="1"/>
  <c r="BU28" i="1"/>
  <c r="BI28" i="1"/>
  <c r="AW28" i="1"/>
  <c r="AK28" i="1"/>
  <c r="Y28" i="1"/>
  <c r="M28" i="1"/>
  <c r="JH28" i="1"/>
  <c r="IV28" i="1"/>
  <c r="IJ28" i="1"/>
  <c r="HX28" i="1"/>
  <c r="HL28" i="1"/>
  <c r="GZ28" i="1"/>
  <c r="GN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IP28" i="1"/>
  <c r="IA28" i="1"/>
  <c r="GT28" i="1"/>
  <c r="GE28" i="1"/>
  <c r="EX28" i="1"/>
  <c r="EI28" i="1"/>
  <c r="DB28" i="1"/>
  <c r="CM28" i="1"/>
  <c r="BF28" i="1"/>
  <c r="AQ28" i="1"/>
  <c r="J28" i="1"/>
  <c r="JB28" i="1"/>
  <c r="IM28" i="1"/>
  <c r="HF28" i="1"/>
  <c r="GQ28" i="1"/>
  <c r="FJ28" i="1"/>
  <c r="EU28" i="1"/>
  <c r="DN28" i="1"/>
  <c r="CY28" i="1"/>
  <c r="BR28" i="1"/>
  <c r="BC28" i="1"/>
  <c r="V28" i="1"/>
  <c r="G28" i="1"/>
  <c r="IY28" i="1"/>
  <c r="HR28" i="1"/>
  <c r="HC28" i="1"/>
  <c r="FV28" i="1"/>
  <c r="FG28" i="1"/>
  <c r="DZ28" i="1"/>
  <c r="DK28" i="1"/>
  <c r="CD28" i="1"/>
  <c r="BO28" i="1"/>
  <c r="AH28" i="1"/>
  <c r="S28" i="1"/>
  <c r="ID28" i="1"/>
  <c r="HO28" i="1"/>
  <c r="GH28" i="1"/>
  <c r="FS28" i="1"/>
  <c r="EL28" i="1"/>
  <c r="DW28" i="1"/>
  <c r="CP28" i="1"/>
  <c r="CA28" i="1"/>
  <c r="AT28" i="1"/>
  <c r="AE28" i="1"/>
  <c r="E38" i="2"/>
  <c r="CC38" i="2" s="1"/>
  <c r="JE37" i="1"/>
  <c r="IS37" i="1"/>
  <c r="IG37" i="1"/>
  <c r="HU37" i="1"/>
  <c r="HI37" i="1"/>
  <c r="GW37" i="1"/>
  <c r="GK37" i="1"/>
  <c r="FY37" i="1"/>
  <c r="FM37" i="1"/>
  <c r="FA37" i="1"/>
  <c r="EO37" i="1"/>
  <c r="EC37" i="1"/>
  <c r="DQ37" i="1"/>
  <c r="DE37" i="1"/>
  <c r="CS37" i="1"/>
  <c r="CG37" i="1"/>
  <c r="BU37" i="1"/>
  <c r="BI37" i="1"/>
  <c r="AW37" i="1"/>
  <c r="AK37" i="1"/>
  <c r="Y37" i="1"/>
  <c r="M37" i="1"/>
  <c r="JB37" i="1"/>
  <c r="IP37" i="1"/>
  <c r="ID37" i="1"/>
  <c r="HR37" i="1"/>
  <c r="HF37" i="1"/>
  <c r="GT37" i="1"/>
  <c r="GH37" i="1"/>
  <c r="FV37" i="1"/>
  <c r="FJ37" i="1"/>
  <c r="EX37" i="1"/>
  <c r="EL37" i="1"/>
  <c r="DZ37" i="1"/>
  <c r="DN37" i="1"/>
  <c r="DB37" i="1"/>
  <c r="CP37" i="1"/>
  <c r="CD37" i="1"/>
  <c r="BR37" i="1"/>
  <c r="BF37" i="1"/>
  <c r="AT37" i="1"/>
  <c r="AH37" i="1"/>
  <c r="V37" i="1"/>
  <c r="J37" i="1"/>
  <c r="IY37" i="1"/>
  <c r="IM37" i="1"/>
  <c r="IA37" i="1"/>
  <c r="HO37" i="1"/>
  <c r="HC37" i="1"/>
  <c r="GQ37" i="1"/>
  <c r="GE37" i="1"/>
  <c r="FS37" i="1"/>
  <c r="FG37" i="1"/>
  <c r="EU37" i="1"/>
  <c r="EI37" i="1"/>
  <c r="DW37" i="1"/>
  <c r="DK37" i="1"/>
  <c r="CY37" i="1"/>
  <c r="CM37" i="1"/>
  <c r="CA37" i="1"/>
  <c r="BO37" i="1"/>
  <c r="BC37" i="1"/>
  <c r="AQ37" i="1"/>
  <c r="AE37" i="1"/>
  <c r="S37" i="1"/>
  <c r="G37" i="1"/>
  <c r="JH37" i="1"/>
  <c r="IV37" i="1"/>
  <c r="IJ37" i="1"/>
  <c r="HX37" i="1"/>
  <c r="HL37" i="1"/>
  <c r="GZ37" i="1"/>
  <c r="GN37" i="1"/>
  <c r="GB37" i="1"/>
  <c r="FP37" i="1"/>
  <c r="FD37" i="1"/>
  <c r="ER37" i="1"/>
  <c r="EF37" i="1"/>
  <c r="DT37" i="1"/>
  <c r="DH37" i="1"/>
  <c r="CV37" i="1"/>
  <c r="CJ37" i="1"/>
  <c r="BX37" i="1"/>
  <c r="BL37" i="1"/>
  <c r="AZ37" i="1"/>
  <c r="AN37" i="1"/>
  <c r="AB37" i="1"/>
  <c r="P37" i="1"/>
  <c r="E27" i="2"/>
  <c r="CC27" i="2" s="1"/>
  <c r="JH26" i="1"/>
  <c r="IV26" i="1"/>
  <c r="IJ26" i="1"/>
  <c r="HX26" i="1"/>
  <c r="HL26" i="1"/>
  <c r="GZ26" i="1"/>
  <c r="GN26" i="1"/>
  <c r="GB26" i="1"/>
  <c r="FP26" i="1"/>
  <c r="FD26" i="1"/>
  <c r="IY26" i="1"/>
  <c r="IM26" i="1"/>
  <c r="IA26" i="1"/>
  <c r="HO26" i="1"/>
  <c r="HC26" i="1"/>
  <c r="GQ26" i="1"/>
  <c r="GE26" i="1"/>
  <c r="FS26" i="1"/>
  <c r="FG26" i="1"/>
  <c r="EU26" i="1"/>
  <c r="IS26" i="1"/>
  <c r="ID26" i="1"/>
  <c r="GW26" i="1"/>
  <c r="GH26" i="1"/>
  <c r="FA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JE26" i="1"/>
  <c r="IP26" i="1"/>
  <c r="HI26" i="1"/>
  <c r="GT26" i="1"/>
  <c r="FM26" i="1"/>
  <c r="EX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JB26" i="1"/>
  <c r="HU26" i="1"/>
  <c r="HF26" i="1"/>
  <c r="FY26" i="1"/>
  <c r="FJ26" i="1"/>
  <c r="ER26" i="1"/>
  <c r="EF26" i="1"/>
  <c r="DT26" i="1"/>
  <c r="DH26" i="1"/>
  <c r="CV26" i="1"/>
  <c r="CJ26" i="1"/>
  <c r="BX26" i="1"/>
  <c r="BL26" i="1"/>
  <c r="AZ26" i="1"/>
  <c r="AN26" i="1"/>
  <c r="AB26" i="1"/>
  <c r="P26" i="1"/>
  <c r="IG26" i="1"/>
  <c r="HR26" i="1"/>
  <c r="GK26" i="1"/>
  <c r="FV26" i="1"/>
  <c r="EO26" i="1"/>
  <c r="EC26" i="1"/>
  <c r="DQ26" i="1"/>
  <c r="DE26" i="1"/>
  <c r="CS26" i="1"/>
  <c r="CG26" i="1"/>
  <c r="BU26" i="1"/>
  <c r="BI26" i="1"/>
  <c r="AW26" i="1"/>
  <c r="AK26" i="1"/>
  <c r="Y26" i="1"/>
  <c r="M26" i="1"/>
  <c r="E36" i="2"/>
  <c r="CC36" i="2" s="1"/>
  <c r="JH35" i="1"/>
  <c r="IV35" i="1"/>
  <c r="IJ35" i="1"/>
  <c r="HX35" i="1"/>
  <c r="HL35" i="1"/>
  <c r="GZ35" i="1"/>
  <c r="GN35" i="1"/>
  <c r="GB35" i="1"/>
  <c r="FP35" i="1"/>
  <c r="FD35" i="1"/>
  <c r="ER35" i="1"/>
  <c r="EF35" i="1"/>
  <c r="DT35" i="1"/>
  <c r="DH35" i="1"/>
  <c r="CV35" i="1"/>
  <c r="CJ35" i="1"/>
  <c r="BX35" i="1"/>
  <c r="BL35" i="1"/>
  <c r="AZ35" i="1"/>
  <c r="AN35" i="1"/>
  <c r="AB35" i="1"/>
  <c r="P35" i="1"/>
  <c r="JE35" i="1"/>
  <c r="IS35" i="1"/>
  <c r="IG35" i="1"/>
  <c r="HU35" i="1"/>
  <c r="HI35" i="1"/>
  <c r="GW35" i="1"/>
  <c r="GK35" i="1"/>
  <c r="FY35" i="1"/>
  <c r="FM35" i="1"/>
  <c r="FA35" i="1"/>
  <c r="EO35" i="1"/>
  <c r="EC35" i="1"/>
  <c r="DQ35" i="1"/>
  <c r="DE35" i="1"/>
  <c r="CS35" i="1"/>
  <c r="CG35" i="1"/>
  <c r="BU35" i="1"/>
  <c r="BI35" i="1"/>
  <c r="AW35" i="1"/>
  <c r="AK35" i="1"/>
  <c r="Y35" i="1"/>
  <c r="M35" i="1"/>
  <c r="JB35" i="1"/>
  <c r="IP35" i="1"/>
  <c r="ID35" i="1"/>
  <c r="HR35" i="1"/>
  <c r="HF35" i="1"/>
  <c r="GT35" i="1"/>
  <c r="GH35" i="1"/>
  <c r="FV35" i="1"/>
  <c r="FJ35" i="1"/>
  <c r="EX35" i="1"/>
  <c r="EL35" i="1"/>
  <c r="DZ35" i="1"/>
  <c r="DN35" i="1"/>
  <c r="DB35" i="1"/>
  <c r="CP35" i="1"/>
  <c r="CD35" i="1"/>
  <c r="BR35" i="1"/>
  <c r="BF35" i="1"/>
  <c r="AT35" i="1"/>
  <c r="AH35" i="1"/>
  <c r="V35" i="1"/>
  <c r="J35" i="1"/>
  <c r="IY35" i="1"/>
  <c r="IM35" i="1"/>
  <c r="IA35" i="1"/>
  <c r="HO35" i="1"/>
  <c r="HC35" i="1"/>
  <c r="GQ35" i="1"/>
  <c r="GE35" i="1"/>
  <c r="FS35" i="1"/>
  <c r="FG35" i="1"/>
  <c r="EU35" i="1"/>
  <c r="EI35" i="1"/>
  <c r="DW35" i="1"/>
  <c r="DK35" i="1"/>
  <c r="CY35" i="1"/>
  <c r="CM35" i="1"/>
  <c r="CA35" i="1"/>
  <c r="BO35" i="1"/>
  <c r="BC35" i="1"/>
  <c r="AQ35" i="1"/>
  <c r="AE35" i="1"/>
  <c r="S35" i="1"/>
  <c r="G35" i="1"/>
  <c r="E28" i="2"/>
  <c r="CC28" i="2" s="1"/>
  <c r="JB27" i="1"/>
  <c r="IP27" i="1"/>
  <c r="ID27" i="1"/>
  <c r="HR27" i="1"/>
  <c r="HF27" i="1"/>
  <c r="GT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IY27" i="1"/>
  <c r="IM27" i="1"/>
  <c r="IA27" i="1"/>
  <c r="HO27" i="1"/>
  <c r="HC27" i="1"/>
  <c r="GQ27" i="1"/>
  <c r="GE27" i="1"/>
  <c r="FS27" i="1"/>
  <c r="FG27" i="1"/>
  <c r="EU27" i="1"/>
  <c r="EI27" i="1"/>
  <c r="DW27" i="1"/>
  <c r="DK27" i="1"/>
  <c r="CY27" i="1"/>
  <c r="CM27" i="1"/>
  <c r="CA27" i="1"/>
  <c r="BO27" i="1"/>
  <c r="BC27" i="1"/>
  <c r="AQ27" i="1"/>
  <c r="JH27" i="1"/>
  <c r="IV27" i="1"/>
  <c r="IJ27" i="1"/>
  <c r="HX27" i="1"/>
  <c r="HL27" i="1"/>
  <c r="GZ27" i="1"/>
  <c r="GN27" i="1"/>
  <c r="GB27" i="1"/>
  <c r="FP27" i="1"/>
  <c r="FD27" i="1"/>
  <c r="ER27" i="1"/>
  <c r="EF27" i="1"/>
  <c r="DT27" i="1"/>
  <c r="DH27" i="1"/>
  <c r="CV27" i="1"/>
  <c r="CJ27" i="1"/>
  <c r="BL27" i="1"/>
  <c r="AZ27" i="1"/>
  <c r="AN27" i="1"/>
  <c r="AB27" i="1"/>
  <c r="P27" i="1"/>
  <c r="JE27" i="1"/>
  <c r="IS27" i="1"/>
  <c r="IG27" i="1"/>
  <c r="HU27" i="1"/>
  <c r="HI27" i="1"/>
  <c r="GW27" i="1"/>
  <c r="GK27" i="1"/>
  <c r="FY27" i="1"/>
  <c r="FM27" i="1"/>
  <c r="FA27" i="1"/>
  <c r="EO27" i="1"/>
  <c r="EC27" i="1"/>
  <c r="DQ27" i="1"/>
  <c r="DE27" i="1"/>
  <c r="CS27" i="1"/>
  <c r="CG27" i="1"/>
  <c r="BU27" i="1"/>
  <c r="BI27" i="1"/>
  <c r="AW27" i="1"/>
  <c r="AK27" i="1"/>
  <c r="Y27" i="1"/>
  <c r="M27" i="1"/>
  <c r="AE27" i="1"/>
  <c r="G27" i="1"/>
  <c r="S27" i="1"/>
  <c r="HO22" i="1"/>
  <c r="EI22" i="1"/>
  <c r="DW22" i="1"/>
  <c r="AE22" i="1"/>
  <c r="HL22" i="1"/>
  <c r="JE22" i="1"/>
  <c r="FM22" i="1"/>
  <c r="CG22" i="1"/>
  <c r="BU22" i="1"/>
  <c r="ID22" i="1"/>
  <c r="EX22" i="1"/>
  <c r="EL22" i="1"/>
  <c r="AT22" i="1"/>
  <c r="AN22" i="1"/>
  <c r="FP22" i="1"/>
  <c r="CJ22" i="1"/>
  <c r="E30" i="2"/>
  <c r="CC30" i="2" s="1"/>
  <c r="IY29" i="1"/>
  <c r="IM29" i="1"/>
  <c r="IA29" i="1"/>
  <c r="HO29" i="1"/>
  <c r="HC29" i="1"/>
  <c r="GQ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H29" i="1"/>
  <c r="IV29" i="1"/>
  <c r="IJ29" i="1"/>
  <c r="HX29" i="1"/>
  <c r="HL29" i="1"/>
  <c r="GZ29" i="1"/>
  <c r="GN29" i="1"/>
  <c r="GB29" i="1"/>
  <c r="FP29" i="1"/>
  <c r="FD29" i="1"/>
  <c r="ER29" i="1"/>
  <c r="EF29" i="1"/>
  <c r="DT29" i="1"/>
  <c r="DH29" i="1"/>
  <c r="CV29" i="1"/>
  <c r="CJ29" i="1"/>
  <c r="BX29" i="1"/>
  <c r="BL29" i="1"/>
  <c r="AZ29" i="1"/>
  <c r="AN29" i="1"/>
  <c r="AB29" i="1"/>
  <c r="P29" i="1"/>
  <c r="JE29" i="1"/>
  <c r="IS29" i="1"/>
  <c r="IG29" i="1"/>
  <c r="HU29" i="1"/>
  <c r="HI29" i="1"/>
  <c r="GW29" i="1"/>
  <c r="GK29" i="1"/>
  <c r="FY29" i="1"/>
  <c r="FM29" i="1"/>
  <c r="FA29" i="1"/>
  <c r="EO29" i="1"/>
  <c r="EC29" i="1"/>
  <c r="DQ29" i="1"/>
  <c r="DE29" i="1"/>
  <c r="CS29" i="1"/>
  <c r="CG29" i="1"/>
  <c r="BU29" i="1"/>
  <c r="BI29" i="1"/>
  <c r="AW29" i="1"/>
  <c r="AK29" i="1"/>
  <c r="Y29" i="1"/>
  <c r="M29" i="1"/>
  <c r="JB29" i="1"/>
  <c r="IP29" i="1"/>
  <c r="ID29" i="1"/>
  <c r="HR29" i="1"/>
  <c r="HF29" i="1"/>
  <c r="GT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M34" i="31"/>
  <c r="M34" i="32"/>
  <c r="I40" i="32"/>
  <c r="R10" i="48" s="1"/>
  <c r="F5" i="59" s="1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U163" i="46"/>
  <c r="M34" i="30"/>
  <c r="E41" i="29"/>
  <c r="C163" i="46"/>
  <c r="M34" i="29"/>
  <c r="E41" i="30"/>
  <c r="E51" i="30"/>
  <c r="E49" i="30"/>
  <c r="D49" i="27"/>
  <c r="E49" i="27" s="1"/>
  <c r="M34" i="27"/>
  <c r="CC18" i="2"/>
  <c r="O34" i="45"/>
  <c r="S34" i="45"/>
  <c r="AI34" i="45"/>
  <c r="AE34" i="45"/>
  <c r="AA34" i="45"/>
  <c r="AQ34" i="45"/>
  <c r="W34" i="45"/>
  <c r="K34" i="45"/>
  <c r="AM34" i="45"/>
  <c r="I40" i="11"/>
  <c r="R31" i="48" s="1"/>
  <c r="F26" i="59" s="1"/>
  <c r="K163" i="46"/>
  <c r="I8" i="54" s="1"/>
  <c r="T163" i="46"/>
  <c r="AM26" i="45"/>
  <c r="W26" i="45"/>
  <c r="K26" i="45"/>
  <c r="O26" i="45"/>
  <c r="S26" i="45"/>
  <c r="AQ26" i="45"/>
  <c r="AA26" i="45"/>
  <c r="AE26" i="45"/>
  <c r="AI26" i="45"/>
  <c r="AI25" i="45"/>
  <c r="K25" i="45"/>
  <c r="W25" i="45"/>
  <c r="AE25" i="45"/>
  <c r="AA25" i="45"/>
  <c r="O25" i="45"/>
  <c r="AM25" i="45"/>
  <c r="S25" i="45"/>
  <c r="AQ25" i="45"/>
  <c r="AQ14" i="45"/>
  <c r="AM14" i="45"/>
  <c r="AI14" i="45"/>
  <c r="AE14" i="45"/>
  <c r="W14" i="45"/>
  <c r="S14" i="45"/>
  <c r="K14" i="45"/>
  <c r="O14" i="45"/>
  <c r="AA14" i="45"/>
  <c r="S17" i="45"/>
  <c r="AI17" i="45"/>
  <c r="AA17" i="45"/>
  <c r="K17" i="45"/>
  <c r="O17" i="45"/>
  <c r="W17" i="45"/>
  <c r="AE17" i="45"/>
  <c r="AM17" i="45"/>
  <c r="AQ17" i="45"/>
  <c r="AM32" i="45"/>
  <c r="AI32" i="45"/>
  <c r="S32" i="45"/>
  <c r="AE32" i="45"/>
  <c r="AQ32" i="45"/>
  <c r="O32" i="45"/>
  <c r="W32" i="45"/>
  <c r="AA32" i="45"/>
  <c r="K32" i="45"/>
  <c r="AI28" i="45"/>
  <c r="AE28" i="45"/>
  <c r="S28" i="45"/>
  <c r="W28" i="45"/>
  <c r="K28" i="45"/>
  <c r="AQ28" i="45"/>
  <c r="AA28" i="45"/>
  <c r="O28" i="45"/>
  <c r="AM28" i="45"/>
  <c r="I40" i="30"/>
  <c r="R12" i="48" s="1"/>
  <c r="F7" i="59" s="1"/>
  <c r="D51" i="27"/>
  <c r="D51" i="28" s="1"/>
  <c r="E48" i="26"/>
  <c r="D52" i="30"/>
  <c r="D53" i="30" s="1"/>
  <c r="E52" i="31"/>
  <c r="E53" i="31" s="1"/>
  <c r="E45" i="27"/>
  <c r="D45" i="28"/>
  <c r="E50" i="27"/>
  <c r="E42" i="29"/>
  <c r="D42" i="27"/>
  <c r="D39" i="27"/>
  <c r="E39" i="29"/>
  <c r="D48" i="24"/>
  <c r="E48" i="25"/>
  <c r="D47" i="27"/>
  <c r="E47" i="29"/>
  <c r="E46" i="29"/>
  <c r="D46" i="27"/>
  <c r="W37" i="45"/>
  <c r="S37" i="45"/>
  <c r="K37" i="45"/>
  <c r="O37" i="45"/>
  <c r="W23" i="45"/>
  <c r="S36" i="45"/>
  <c r="AA36" i="45"/>
  <c r="W36" i="45"/>
  <c r="K36" i="45"/>
  <c r="AE36" i="45"/>
  <c r="AM36" i="45"/>
  <c r="O36" i="45"/>
  <c r="AI36" i="45"/>
  <c r="AQ36" i="45"/>
  <c r="AE27" i="45"/>
  <c r="S27" i="45"/>
  <c r="K27" i="45"/>
  <c r="AQ27" i="45"/>
  <c r="AI27" i="45"/>
  <c r="O27" i="45"/>
  <c r="AM27" i="45"/>
  <c r="AA27" i="45"/>
  <c r="W27" i="45"/>
  <c r="D50" i="26"/>
  <c r="E50" i="28"/>
  <c r="J37" i="30"/>
  <c r="J39" i="31"/>
  <c r="Q14" i="48"/>
  <c r="W13" i="48"/>
  <c r="J43" i="27"/>
  <c r="J44" i="29"/>
  <c r="M7" i="26"/>
  <c r="M34" i="28"/>
  <c r="D38" i="27"/>
  <c r="E38" i="29"/>
  <c r="E41" i="27"/>
  <c r="D41" i="28"/>
  <c r="J56" i="22"/>
  <c r="J57" i="26"/>
  <c r="J57" i="15"/>
  <c r="J49" i="27"/>
  <c r="J50" i="29"/>
  <c r="AB24" i="58" l="1"/>
  <c r="X168" i="58"/>
  <c r="X166" i="58"/>
  <c r="X163" i="58"/>
  <c r="BL32" i="1"/>
  <c r="EX32" i="1"/>
  <c r="IY32" i="1"/>
  <c r="P32" i="1"/>
  <c r="AH32" i="1"/>
  <c r="AQ32" i="1"/>
  <c r="EF32" i="1"/>
  <c r="EO32" i="1"/>
  <c r="GH32" i="1"/>
  <c r="BU32" i="1"/>
  <c r="GQ32" i="1"/>
  <c r="FA32" i="1"/>
  <c r="BF32" i="1"/>
  <c r="FG32" i="1"/>
  <c r="DE32" i="1"/>
  <c r="EC32" i="1"/>
  <c r="HF32" i="1"/>
  <c r="HO32" i="1"/>
  <c r="HL32" i="1"/>
  <c r="CP32" i="1"/>
  <c r="FV32" i="1"/>
  <c r="CS32" i="1"/>
  <c r="CM32" i="1"/>
  <c r="HX32" i="1"/>
  <c r="FY32" i="1"/>
  <c r="BO32" i="1"/>
  <c r="GB32" i="1"/>
  <c r="GK32" i="1"/>
  <c r="DN32" i="1"/>
  <c r="DW32" i="1"/>
  <c r="AB32" i="1"/>
  <c r="IJ32" i="1"/>
  <c r="CD32" i="1"/>
  <c r="JB32" i="1"/>
  <c r="AN32" i="1"/>
  <c r="IG32" i="1"/>
  <c r="ID32" i="1"/>
  <c r="IM32" i="1"/>
  <c r="JH32" i="1"/>
  <c r="V32" i="1"/>
  <c r="AE32" i="1"/>
  <c r="DQ32" i="1"/>
  <c r="AZ32" i="1"/>
  <c r="AK32" i="1"/>
  <c r="FJ32" i="1"/>
  <c r="E33" i="2"/>
  <c r="CC33" i="2" s="1"/>
  <c r="AW32" i="1"/>
  <c r="EL32" i="1"/>
  <c r="EU32" i="1"/>
  <c r="BX32" i="1"/>
  <c r="CV32" i="1"/>
  <c r="GT32" i="1"/>
  <c r="DH32" i="1"/>
  <c r="BR32" i="1"/>
  <c r="FS32" i="1"/>
  <c r="DT32" i="1"/>
  <c r="AT32" i="1"/>
  <c r="BC32" i="1"/>
  <c r="FM32" i="1"/>
  <c r="FD32" i="1"/>
  <c r="DB32" i="1"/>
  <c r="HC32" i="1"/>
  <c r="GW32" i="1"/>
  <c r="GN32" i="1"/>
  <c r="CA32" i="1"/>
  <c r="HI32" i="1"/>
  <c r="ER32" i="1"/>
  <c r="HR32" i="1"/>
  <c r="IA32" i="1"/>
  <c r="IS32" i="1"/>
  <c r="J32" i="1"/>
  <c r="DK32" i="1"/>
  <c r="M32" i="1"/>
  <c r="JE32" i="1"/>
  <c r="HU32" i="1"/>
  <c r="FP32" i="1"/>
  <c r="CY32" i="1"/>
  <c r="W31" i="45"/>
  <c r="AM31" i="45"/>
  <c r="AI31" i="45"/>
  <c r="AA113" i="58"/>
  <c r="AB113" i="58" s="1"/>
  <c r="X113" i="46"/>
  <c r="AA113" i="46"/>
  <c r="AB113" i="46" s="1"/>
  <c r="S23" i="45"/>
  <c r="E11" i="1"/>
  <c r="CG11" i="1" s="1"/>
  <c r="AQ31" i="45"/>
  <c r="AA31" i="45"/>
  <c r="AQ23" i="45"/>
  <c r="AI23" i="45"/>
  <c r="AA23" i="45"/>
  <c r="O23" i="45"/>
  <c r="K23" i="45"/>
  <c r="K31" i="45"/>
  <c r="AM23" i="45"/>
  <c r="S31" i="45"/>
  <c r="X11" i="48"/>
  <c r="H6" i="59" s="1"/>
  <c r="O31" i="45"/>
  <c r="O41" i="53"/>
  <c r="AB109" i="58"/>
  <c r="E5" i="53"/>
  <c r="E6" i="53"/>
  <c r="E33" i="53"/>
  <c r="E34" i="53"/>
  <c r="E28" i="53"/>
  <c r="E31" i="53"/>
  <c r="E27" i="53"/>
  <c r="E29" i="53"/>
  <c r="E16" i="53"/>
  <c r="E11" i="53"/>
  <c r="E19" i="53"/>
  <c r="E24" i="53"/>
  <c r="E17" i="53"/>
  <c r="E22" i="53"/>
  <c r="E21" i="53"/>
  <c r="E4" i="53"/>
  <c r="E18" i="53"/>
  <c r="E38" i="53"/>
  <c r="E25" i="53"/>
  <c r="E36" i="53"/>
  <c r="E9" i="53"/>
  <c r="E23" i="53"/>
  <c r="E26" i="53"/>
  <c r="E10" i="53"/>
  <c r="E7" i="53"/>
  <c r="E20" i="53"/>
  <c r="CV22" i="1"/>
  <c r="FV22" i="1"/>
  <c r="DE22" i="1"/>
  <c r="IJ22" i="1"/>
  <c r="FG22" i="1"/>
  <c r="FD22" i="1"/>
  <c r="J22" i="1"/>
  <c r="GT22" i="1"/>
  <c r="EC22" i="1"/>
  <c r="JH22" i="1"/>
  <c r="GE22" i="1"/>
  <c r="GB22" i="1"/>
  <c r="BF22" i="1"/>
  <c r="IP22" i="1"/>
  <c r="FY22" i="1"/>
  <c r="AQ22" i="1"/>
  <c r="IA22" i="1"/>
  <c r="ER22" i="1"/>
  <c r="CD22" i="1"/>
  <c r="M22" i="1"/>
  <c r="GW22" i="1"/>
  <c r="BO22" i="1"/>
  <c r="IY22" i="1"/>
  <c r="DH22" i="1"/>
  <c r="DB22" i="1"/>
  <c r="AK22" i="1"/>
  <c r="HU22" i="1"/>
  <c r="CM22" i="1"/>
  <c r="AZ22" i="1"/>
  <c r="EF22" i="1"/>
  <c r="BR22" i="1"/>
  <c r="FJ22" i="1"/>
  <c r="JB22" i="1"/>
  <c r="CS22" i="1"/>
  <c r="GK22" i="1"/>
  <c r="HX22" i="1"/>
  <c r="BC22" i="1"/>
  <c r="EU22" i="1"/>
  <c r="IM22" i="1"/>
  <c r="BL22" i="1"/>
  <c r="P22" i="1"/>
  <c r="GN22" i="1"/>
  <c r="CP22" i="1"/>
  <c r="GH22" i="1"/>
  <c r="Y22" i="1"/>
  <c r="DQ22" i="1"/>
  <c r="HI22" i="1"/>
  <c r="IV22" i="1"/>
  <c r="CA22" i="1"/>
  <c r="FS22" i="1"/>
  <c r="E23" i="2"/>
  <c r="CC23" i="2" s="1"/>
  <c r="AB22" i="1"/>
  <c r="GZ22" i="1"/>
  <c r="V22" i="1"/>
  <c r="DN22" i="1"/>
  <c r="HF22" i="1"/>
  <c r="AW22" i="1"/>
  <c r="EO22" i="1"/>
  <c r="IG22" i="1"/>
  <c r="G22" i="1"/>
  <c r="CY22" i="1"/>
  <c r="GQ22" i="1"/>
  <c r="AQ21" i="45"/>
  <c r="DT22" i="1"/>
  <c r="BX22" i="1"/>
  <c r="AH22" i="1"/>
  <c r="DZ22" i="1"/>
  <c r="HR22" i="1"/>
  <c r="BI22" i="1"/>
  <c r="FA22" i="1"/>
  <c r="IS22" i="1"/>
  <c r="S22" i="1"/>
  <c r="DK22" i="1"/>
  <c r="AI21" i="45"/>
  <c r="K21" i="45"/>
  <c r="AM21" i="45"/>
  <c r="S21" i="45"/>
  <c r="AE21" i="45"/>
  <c r="AA21" i="45"/>
  <c r="O21" i="45"/>
  <c r="E32" i="53"/>
  <c r="E35" i="53"/>
  <c r="E30" i="53"/>
  <c r="E37" i="53"/>
  <c r="E8" i="53"/>
  <c r="AA24" i="46"/>
  <c r="AB24" i="46" s="1"/>
  <c r="X24" i="46"/>
  <c r="AA29" i="46"/>
  <c r="AB29" i="46" s="1"/>
  <c r="X29" i="46"/>
  <c r="AJ19" i="48"/>
  <c r="D14" i="59" s="1"/>
  <c r="E19" i="1"/>
  <c r="GZ19" i="1" s="1"/>
  <c r="I19" i="48"/>
  <c r="C18" i="45"/>
  <c r="AE18" i="45" s="1"/>
  <c r="AJ11" i="48"/>
  <c r="D6" i="59" s="1"/>
  <c r="C10" i="45"/>
  <c r="W10" i="45" s="1"/>
  <c r="J11" i="48"/>
  <c r="B6" i="59" s="1"/>
  <c r="I11" i="48"/>
  <c r="A15" i="1"/>
  <c r="A16" i="2" s="1"/>
  <c r="AA24" i="45"/>
  <c r="AQ24" i="45"/>
  <c r="O24" i="45"/>
  <c r="AE24" i="45"/>
  <c r="X19" i="48"/>
  <c r="H14" i="59" s="1"/>
  <c r="F14" i="59"/>
  <c r="S24" i="45"/>
  <c r="K24" i="45"/>
  <c r="J11" i="15"/>
  <c r="J11" i="14" s="1"/>
  <c r="J11" i="13" s="1"/>
  <c r="J11" i="12" s="1"/>
  <c r="J11" i="11" s="1"/>
  <c r="AI24" i="45"/>
  <c r="W24" i="45"/>
  <c r="AJ20" i="48"/>
  <c r="D15" i="59" s="1"/>
  <c r="J20" i="48"/>
  <c r="B15" i="59" s="1"/>
  <c r="I20" i="48"/>
  <c r="X20" i="48"/>
  <c r="H15" i="59" s="1"/>
  <c r="C19" i="45"/>
  <c r="E20" i="1"/>
  <c r="I45" i="33"/>
  <c r="R9" i="48"/>
  <c r="F4" i="59" s="1"/>
  <c r="J30" i="9"/>
  <c r="J30" i="8" s="1"/>
  <c r="J30" i="7" s="1"/>
  <c r="J30" i="6" s="1"/>
  <c r="J30" i="37" s="1"/>
  <c r="J30" i="4" s="1"/>
  <c r="J30" i="43" s="1"/>
  <c r="J8" i="9"/>
  <c r="J8" i="8" s="1"/>
  <c r="J8" i="7" s="1"/>
  <c r="J8" i="6" s="1"/>
  <c r="J8" i="37" s="1"/>
  <c r="J8" i="4" s="1"/>
  <c r="J8" i="43" s="1"/>
  <c r="J31" i="9"/>
  <c r="J31" i="8" s="1"/>
  <c r="J31" i="7" s="1"/>
  <c r="J31" i="6" s="1"/>
  <c r="J31" i="37" s="1"/>
  <c r="J31" i="4" s="1"/>
  <c r="J31" i="43" s="1"/>
  <c r="J10" i="10"/>
  <c r="AJ30" i="48"/>
  <c r="D25" i="59" s="1"/>
  <c r="X30" i="48"/>
  <c r="H25" i="59" s="1"/>
  <c r="I30" i="48"/>
  <c r="E30" i="1"/>
  <c r="J30" i="48"/>
  <c r="B25" i="59" s="1"/>
  <c r="C29" i="45"/>
  <c r="AT19" i="1"/>
  <c r="J9" i="12"/>
  <c r="J9" i="11" s="1"/>
  <c r="J9" i="10" s="1"/>
  <c r="J29" i="12"/>
  <c r="J29" i="11" s="1"/>
  <c r="J29" i="10" s="1"/>
  <c r="DN19" i="1"/>
  <c r="J27" i="12"/>
  <c r="J27" i="11" s="1"/>
  <c r="J27" i="10" s="1"/>
  <c r="J28" i="12"/>
  <c r="J28" i="11" s="1"/>
  <c r="J28" i="10" s="1"/>
  <c r="J25" i="14"/>
  <c r="J25" i="13" s="1"/>
  <c r="J26" i="14"/>
  <c r="J26" i="13" s="1"/>
  <c r="G19" i="1"/>
  <c r="J23" i="15"/>
  <c r="EF19" i="1"/>
  <c r="J17" i="16"/>
  <c r="J17" i="15" s="1"/>
  <c r="J17" i="14" s="1"/>
  <c r="J17" i="13" s="1"/>
  <c r="J19" i="16"/>
  <c r="J21" i="17"/>
  <c r="J21" i="16" s="1"/>
  <c r="J24" i="17"/>
  <c r="J24" i="16" s="1"/>
  <c r="J13" i="16"/>
  <c r="J13" i="15" s="1"/>
  <c r="J13" i="14" s="1"/>
  <c r="J13" i="13" s="1"/>
  <c r="J13" i="12" s="1"/>
  <c r="J13" i="11" s="1"/>
  <c r="J13" i="10" s="1"/>
  <c r="J13" i="9" s="1"/>
  <c r="J13" i="8" s="1"/>
  <c r="J13" i="7" s="1"/>
  <c r="J15" i="16"/>
  <c r="J15" i="15" s="1"/>
  <c r="J15" i="14" s="1"/>
  <c r="J15" i="13" s="1"/>
  <c r="J15" i="12" s="1"/>
  <c r="J15" i="11" s="1"/>
  <c r="J15" i="10" s="1"/>
  <c r="J15" i="9" s="1"/>
  <c r="J15" i="8" s="1"/>
  <c r="J15" i="7" s="1"/>
  <c r="J20" i="17"/>
  <c r="J20" i="16" s="1"/>
  <c r="J22" i="17"/>
  <c r="J22" i="16" s="1"/>
  <c r="J22" i="15" s="1"/>
  <c r="J16" i="16"/>
  <c r="J16" i="15" s="1"/>
  <c r="J16" i="14" s="1"/>
  <c r="J16" i="13" s="1"/>
  <c r="J16" i="12" s="1"/>
  <c r="J16" i="11" s="1"/>
  <c r="J16" i="10" s="1"/>
  <c r="J16" i="9" s="1"/>
  <c r="J16" i="8" s="1"/>
  <c r="J16" i="7" s="1"/>
  <c r="AM18" i="45"/>
  <c r="V19" i="1"/>
  <c r="GT19" i="1"/>
  <c r="S18" i="45"/>
  <c r="IV19" i="1"/>
  <c r="S19" i="1"/>
  <c r="BC19" i="1"/>
  <c r="W18" i="45"/>
  <c r="GH19" i="1"/>
  <c r="GW19" i="1"/>
  <c r="EO19" i="1"/>
  <c r="BL19" i="1"/>
  <c r="DW19" i="1"/>
  <c r="ID19" i="1"/>
  <c r="M19" i="1"/>
  <c r="EI19" i="1"/>
  <c r="HF19" i="1"/>
  <c r="EC19" i="1"/>
  <c r="J18" i="20"/>
  <c r="J18" i="19" s="1"/>
  <c r="J18" i="17" s="1"/>
  <c r="FY21" i="1"/>
  <c r="JB21" i="1"/>
  <c r="FV21" i="1"/>
  <c r="GN21" i="1"/>
  <c r="DH21" i="1"/>
  <c r="AQ21" i="1"/>
  <c r="CS21" i="1"/>
  <c r="AB21" i="1"/>
  <c r="HI21" i="1"/>
  <c r="DB21" i="1"/>
  <c r="AZ21" i="1"/>
  <c r="E22" i="2"/>
  <c r="CC22" i="2" s="1"/>
  <c r="HR21" i="1"/>
  <c r="S21" i="1"/>
  <c r="FM21" i="1"/>
  <c r="BF21" i="1"/>
  <c r="IG21" i="1"/>
  <c r="GZ21" i="1"/>
  <c r="HC21" i="1"/>
  <c r="DT21" i="1"/>
  <c r="GT21" i="1"/>
  <c r="ER21" i="1"/>
  <c r="GQ21" i="1"/>
  <c r="BI21" i="1"/>
  <c r="BX21" i="1"/>
  <c r="JE21" i="1"/>
  <c r="EX21" i="1"/>
  <c r="CY21" i="1"/>
  <c r="M21" i="1"/>
  <c r="BR21" i="1"/>
  <c r="HL21" i="1"/>
  <c r="G21" i="1"/>
  <c r="AK21" i="1"/>
  <c r="IJ21" i="1"/>
  <c r="EU21" i="1"/>
  <c r="FA21" i="1"/>
  <c r="FP21" i="1"/>
  <c r="CA21" i="1"/>
  <c r="IP21" i="1"/>
  <c r="GK21" i="1"/>
  <c r="HX21" i="1"/>
  <c r="ID21" i="1"/>
  <c r="AE21" i="1"/>
  <c r="DE21" i="1"/>
  <c r="IY21" i="1"/>
  <c r="GE21" i="1"/>
  <c r="EC21" i="1"/>
  <c r="V21" i="1"/>
  <c r="BL21" i="1"/>
  <c r="IS21" i="1"/>
  <c r="JH21" i="1"/>
  <c r="FG21" i="1"/>
  <c r="CG21" i="1"/>
  <c r="IA21" i="1"/>
  <c r="P21" i="1"/>
  <c r="CP21" i="1"/>
  <c r="AN21" i="1"/>
  <c r="HU21" i="1"/>
  <c r="DN21" i="1"/>
  <c r="FD21" i="1"/>
  <c r="AT21" i="1"/>
  <c r="DK21" i="1"/>
  <c r="EI21" i="1"/>
  <c r="AH21" i="1"/>
  <c r="CV21" i="1"/>
  <c r="AW21" i="1"/>
  <c r="CD21" i="1"/>
  <c r="GH21" i="1"/>
  <c r="EF21" i="1"/>
  <c r="HF21" i="1"/>
  <c r="IV21" i="1"/>
  <c r="EL21" i="1"/>
  <c r="CJ21" i="1"/>
  <c r="DW21" i="1"/>
  <c r="FS21" i="1"/>
  <c r="GW21" i="1"/>
  <c r="IM21" i="1"/>
  <c r="CM21" i="1"/>
  <c r="DQ21" i="1"/>
  <c r="J21" i="1"/>
  <c r="BC21" i="1"/>
  <c r="DZ21" i="1"/>
  <c r="BO21" i="1"/>
  <c r="BU21" i="1"/>
  <c r="HO21" i="1"/>
  <c r="FJ21" i="1"/>
  <c r="Y21" i="1"/>
  <c r="EO21" i="1"/>
  <c r="GB21" i="1"/>
  <c r="AQ20" i="45"/>
  <c r="S20" i="45"/>
  <c r="K20" i="45"/>
  <c r="W20" i="45"/>
  <c r="O20" i="45"/>
  <c r="AM20" i="45"/>
  <c r="AI20" i="45"/>
  <c r="AA20" i="45"/>
  <c r="AE20" i="45"/>
  <c r="E43" i="29"/>
  <c r="E52" i="29" s="1"/>
  <c r="E53" i="29" s="1"/>
  <c r="D43" i="26"/>
  <c r="E43" i="26" s="1"/>
  <c r="I51" i="33"/>
  <c r="I51" i="29"/>
  <c r="I45" i="29"/>
  <c r="C13" i="45"/>
  <c r="E14" i="1"/>
  <c r="X14" i="48"/>
  <c r="H9" i="59" s="1"/>
  <c r="AJ14" i="48"/>
  <c r="D9" i="59" s="1"/>
  <c r="I14" i="48"/>
  <c r="J14" i="48"/>
  <c r="B9" i="59" s="1"/>
  <c r="E44" i="25"/>
  <c r="E44" i="23"/>
  <c r="E44" i="24"/>
  <c r="D40" i="26"/>
  <c r="E40" i="26" s="1"/>
  <c r="E43" i="27"/>
  <c r="D52" i="29"/>
  <c r="D53" i="29" s="1"/>
  <c r="I11" i="54"/>
  <c r="F39" i="53" s="1"/>
  <c r="AH3" i="55"/>
  <c r="AH4" i="55"/>
  <c r="AH38" i="55"/>
  <c r="IV11" i="1"/>
  <c r="HL11" i="1"/>
  <c r="EF11" i="1"/>
  <c r="AZ11" i="1"/>
  <c r="JE11" i="1"/>
  <c r="IS11" i="1"/>
  <c r="IG11" i="1"/>
  <c r="HU11" i="1"/>
  <c r="HI11" i="1"/>
  <c r="GW11" i="1"/>
  <c r="GK11" i="1"/>
  <c r="FY11" i="1"/>
  <c r="FM11" i="1"/>
  <c r="FA11" i="1"/>
  <c r="EO11" i="1"/>
  <c r="EC11" i="1"/>
  <c r="DQ11" i="1"/>
  <c r="DE11" i="1"/>
  <c r="CS11" i="1"/>
  <c r="BU11" i="1"/>
  <c r="BI11" i="1"/>
  <c r="AW11" i="1"/>
  <c r="AK11" i="1"/>
  <c r="Y11" i="1"/>
  <c r="M11" i="1"/>
  <c r="GN11" i="1"/>
  <c r="ER11" i="1"/>
  <c r="BX11" i="1"/>
  <c r="IJ11" i="1"/>
  <c r="FD11" i="1"/>
  <c r="CJ11" i="1"/>
  <c r="P11" i="1"/>
  <c r="JB11" i="1"/>
  <c r="IP11" i="1"/>
  <c r="ID11" i="1"/>
  <c r="HR11" i="1"/>
  <c r="HF11" i="1"/>
  <c r="GT11" i="1"/>
  <c r="GH11" i="1"/>
  <c r="FV11" i="1"/>
  <c r="FJ11" i="1"/>
  <c r="EX11" i="1"/>
  <c r="EL11" i="1"/>
  <c r="DZ11" i="1"/>
  <c r="DN11" i="1"/>
  <c r="DB11" i="1"/>
  <c r="CP11" i="1"/>
  <c r="CD11" i="1"/>
  <c r="BR11" i="1"/>
  <c r="BF11" i="1"/>
  <c r="AT11" i="1"/>
  <c r="AH11" i="1"/>
  <c r="V11" i="1"/>
  <c r="J11" i="1"/>
  <c r="JH11" i="1"/>
  <c r="GB11" i="1"/>
  <c r="AN11" i="1"/>
  <c r="GZ11" i="1"/>
  <c r="DT11" i="1"/>
  <c r="BL11" i="1"/>
  <c r="IY11" i="1"/>
  <c r="IM11" i="1"/>
  <c r="IA11" i="1"/>
  <c r="HO11" i="1"/>
  <c r="HC11" i="1"/>
  <c r="GQ11" i="1"/>
  <c r="GE11" i="1"/>
  <c r="FS11" i="1"/>
  <c r="FG11" i="1"/>
  <c r="EU11" i="1"/>
  <c r="EI11" i="1"/>
  <c r="DW11" i="1"/>
  <c r="DK11" i="1"/>
  <c r="CY11" i="1"/>
  <c r="CM11" i="1"/>
  <c r="CA11" i="1"/>
  <c r="BO11" i="1"/>
  <c r="BC11" i="1"/>
  <c r="AQ11" i="1"/>
  <c r="AE11" i="1"/>
  <c r="S11" i="1"/>
  <c r="G11" i="1"/>
  <c r="DH11" i="1"/>
  <c r="HX11" i="1"/>
  <c r="FP11" i="1"/>
  <c r="CV11" i="1"/>
  <c r="AB11" i="1"/>
  <c r="N41" i="48"/>
  <c r="G41" i="48" s="1"/>
  <c r="G9" i="48"/>
  <c r="I51" i="32"/>
  <c r="I45" i="32"/>
  <c r="J40" i="32"/>
  <c r="M9" i="48"/>
  <c r="M10" i="48" s="1"/>
  <c r="M11" i="48" s="1"/>
  <c r="M12" i="48" s="1"/>
  <c r="M13" i="48" s="1"/>
  <c r="M14" i="48" s="1"/>
  <c r="L41" i="48"/>
  <c r="H41" i="48" s="1"/>
  <c r="H9" i="48"/>
  <c r="E52" i="30"/>
  <c r="E53" i="30" s="1"/>
  <c r="D49" i="28"/>
  <c r="E49" i="28" s="1"/>
  <c r="E12" i="2"/>
  <c r="Y164" i="46"/>
  <c r="X171" i="46" s="1"/>
  <c r="I51" i="11"/>
  <c r="I45" i="11"/>
  <c r="V164" i="46"/>
  <c r="AR164" i="46" s="1"/>
  <c r="AC163" i="46"/>
  <c r="I51" i="30"/>
  <c r="I45" i="30"/>
  <c r="W163" i="46"/>
  <c r="E51" i="27"/>
  <c r="E45" i="28"/>
  <c r="D45" i="26"/>
  <c r="D42" i="28"/>
  <c r="E42" i="27"/>
  <c r="E46" i="27"/>
  <c r="D46" i="28"/>
  <c r="E47" i="27"/>
  <c r="D47" i="28"/>
  <c r="E48" i="24"/>
  <c r="D48" i="23"/>
  <c r="E39" i="27"/>
  <c r="D39" i="28"/>
  <c r="E51" i="28"/>
  <c r="D51" i="26"/>
  <c r="J37" i="29"/>
  <c r="J39" i="30"/>
  <c r="D50" i="25"/>
  <c r="E50" i="26"/>
  <c r="J57" i="25"/>
  <c r="M7" i="25"/>
  <c r="M34" i="26"/>
  <c r="J43" i="28"/>
  <c r="J44" i="27"/>
  <c r="Q15" i="48"/>
  <c r="W14" i="48"/>
  <c r="J50" i="27"/>
  <c r="J49" i="28"/>
  <c r="D44" i="22"/>
  <c r="E44" i="21"/>
  <c r="J57" i="14"/>
  <c r="J56" i="20"/>
  <c r="D41" i="26"/>
  <c r="E41" i="28"/>
  <c r="E38" i="27"/>
  <c r="D52" i="27"/>
  <c r="D53" i="27" s="1"/>
  <c r="D38" i="28"/>
  <c r="AA163" i="58" l="1"/>
  <c r="AA164" i="58" s="1"/>
  <c r="X174" i="58" s="1"/>
  <c r="AB163" i="58"/>
  <c r="AB164" i="58" s="1"/>
  <c r="X175" i="58" s="1"/>
  <c r="CY19" i="1"/>
  <c r="DH19" i="1"/>
  <c r="FS19" i="1"/>
  <c r="AN19" i="1"/>
  <c r="EX19" i="1"/>
  <c r="IY19" i="1"/>
  <c r="FP19" i="1"/>
  <c r="CJ19" i="1"/>
  <c r="IJ19" i="1"/>
  <c r="AQ19" i="1"/>
  <c r="E20" i="2"/>
  <c r="CC20" i="2" s="1"/>
  <c r="FD19" i="1"/>
  <c r="Y19" i="1"/>
  <c r="FA19" i="1"/>
  <c r="JH19" i="1"/>
  <c r="CV19" i="1"/>
  <c r="FJ19" i="1"/>
  <c r="DT19" i="1"/>
  <c r="CM19" i="1"/>
  <c r="FV19" i="1"/>
  <c r="AE19" i="1"/>
  <c r="AW19" i="1"/>
  <c r="DE19" i="1"/>
  <c r="HO19" i="1"/>
  <c r="DZ19" i="1"/>
  <c r="IM19" i="1"/>
  <c r="JB19" i="1"/>
  <c r="GN19" i="1"/>
  <c r="FY19" i="1"/>
  <c r="AB19" i="1"/>
  <c r="EU19" i="1"/>
  <c r="IP19" i="1"/>
  <c r="AH19" i="1"/>
  <c r="AZ19" i="1"/>
  <c r="AK19" i="1"/>
  <c r="DQ19" i="1"/>
  <c r="EL19" i="1"/>
  <c r="HU19" i="1"/>
  <c r="BU19" i="1"/>
  <c r="IG19" i="1"/>
  <c r="J19" i="1"/>
  <c r="HC19" i="1"/>
  <c r="FG19" i="1"/>
  <c r="P19" i="1"/>
  <c r="GQ19" i="1"/>
  <c r="CP19" i="1"/>
  <c r="BR19" i="1"/>
  <c r="FM19" i="1"/>
  <c r="BX19" i="1"/>
  <c r="HX19" i="1"/>
  <c r="CG19" i="1"/>
  <c r="IS19" i="1"/>
  <c r="GE19" i="1"/>
  <c r="BI19" i="1"/>
  <c r="CS19" i="1"/>
  <c r="ER19" i="1"/>
  <c r="HL19" i="1"/>
  <c r="GB19" i="1"/>
  <c r="CA19" i="1"/>
  <c r="GK19" i="1"/>
  <c r="BF19" i="1"/>
  <c r="HR19" i="1"/>
  <c r="HI19" i="1"/>
  <c r="DB19" i="1"/>
  <c r="JE19" i="1"/>
  <c r="CD19" i="1"/>
  <c r="BO19" i="1"/>
  <c r="DK19" i="1"/>
  <c r="IA19" i="1"/>
  <c r="A16" i="1"/>
  <c r="A17" i="2" s="1"/>
  <c r="AE10" i="45"/>
  <c r="I5" i="54"/>
  <c r="E15" i="53" s="1"/>
  <c r="F15" i="53" s="1"/>
  <c r="G15" i="53" s="1"/>
  <c r="AA10" i="45"/>
  <c r="O10" i="45"/>
  <c r="S10" i="45"/>
  <c r="AM10" i="45"/>
  <c r="K18" i="45"/>
  <c r="AA18" i="45"/>
  <c r="O18" i="45"/>
  <c r="AQ18" i="45"/>
  <c r="AI18" i="45"/>
  <c r="K10" i="45"/>
  <c r="AQ10" i="45"/>
  <c r="AI10" i="45"/>
  <c r="J9" i="48"/>
  <c r="B4" i="59" s="1"/>
  <c r="IP20" i="1"/>
  <c r="EX20" i="1"/>
  <c r="BF20" i="1"/>
  <c r="GW20" i="1"/>
  <c r="HI20" i="1"/>
  <c r="HU20" i="1"/>
  <c r="GQ20" i="1"/>
  <c r="HC20" i="1"/>
  <c r="HO20" i="1"/>
  <c r="GZ20" i="1"/>
  <c r="HL20" i="1"/>
  <c r="ID20" i="1"/>
  <c r="EL20" i="1"/>
  <c r="AT20" i="1"/>
  <c r="FG20" i="1"/>
  <c r="FS20" i="1"/>
  <c r="GE20" i="1"/>
  <c r="FP20" i="1"/>
  <c r="GB20" i="1"/>
  <c r="GN20" i="1"/>
  <c r="FY20" i="1"/>
  <c r="GK20" i="1"/>
  <c r="HR20" i="1"/>
  <c r="DZ20" i="1"/>
  <c r="AH20" i="1"/>
  <c r="EF20" i="1"/>
  <c r="ER20" i="1"/>
  <c r="FD20" i="1"/>
  <c r="EO20" i="1"/>
  <c r="FA20" i="1"/>
  <c r="FM20" i="1"/>
  <c r="EI20" i="1"/>
  <c r="EU20" i="1"/>
  <c r="HF20" i="1"/>
  <c r="DN20" i="1"/>
  <c r="V20" i="1"/>
  <c r="DE20" i="1"/>
  <c r="DQ20" i="1"/>
  <c r="EC20" i="1"/>
  <c r="CY20" i="1"/>
  <c r="DK20" i="1"/>
  <c r="DW20" i="1"/>
  <c r="DH20" i="1"/>
  <c r="DT20" i="1"/>
  <c r="GT20" i="1"/>
  <c r="DB20" i="1"/>
  <c r="J20" i="1"/>
  <c r="BO20" i="1"/>
  <c r="CA20" i="1"/>
  <c r="CM20" i="1"/>
  <c r="BX20" i="1"/>
  <c r="CJ20" i="1"/>
  <c r="CV20" i="1"/>
  <c r="CG20" i="1"/>
  <c r="CS20" i="1"/>
  <c r="GH20" i="1"/>
  <c r="CP20" i="1"/>
  <c r="JH20" i="1"/>
  <c r="AN20" i="1"/>
  <c r="AZ20" i="1"/>
  <c r="BL20" i="1"/>
  <c r="AW20" i="1"/>
  <c r="BI20" i="1"/>
  <c r="BU20" i="1"/>
  <c r="AQ20" i="1"/>
  <c r="BC20" i="1"/>
  <c r="E21" i="2"/>
  <c r="CC21" i="2" s="1"/>
  <c r="FV20" i="1"/>
  <c r="CD20" i="1"/>
  <c r="IY20" i="1"/>
  <c r="M20" i="1"/>
  <c r="Y20" i="1"/>
  <c r="AK20" i="1"/>
  <c r="G20" i="1"/>
  <c r="S20" i="1"/>
  <c r="AE20" i="1"/>
  <c r="P20" i="1"/>
  <c r="AB20" i="1"/>
  <c r="JB20" i="1"/>
  <c r="FJ20" i="1"/>
  <c r="BR20" i="1"/>
  <c r="HX20" i="1"/>
  <c r="IJ20" i="1"/>
  <c r="IV20" i="1"/>
  <c r="IG20" i="1"/>
  <c r="IS20" i="1"/>
  <c r="JE20" i="1"/>
  <c r="IA20" i="1"/>
  <c r="IM20" i="1"/>
  <c r="AQ19" i="45"/>
  <c r="AE19" i="45"/>
  <c r="W19" i="45"/>
  <c r="S19" i="45"/>
  <c r="AI19" i="45"/>
  <c r="O19" i="45"/>
  <c r="AM19" i="45"/>
  <c r="K19" i="45"/>
  <c r="AA19" i="45"/>
  <c r="J27" i="9"/>
  <c r="J27" i="8" s="1"/>
  <c r="J27" i="7" s="1"/>
  <c r="J27" i="6" s="1"/>
  <c r="J27" i="37" s="1"/>
  <c r="J27" i="4" s="1"/>
  <c r="J27" i="43" s="1"/>
  <c r="J29" i="9"/>
  <c r="J29" i="8" s="1"/>
  <c r="J29" i="7" s="1"/>
  <c r="J29" i="6" s="1"/>
  <c r="J29" i="37" s="1"/>
  <c r="J29" i="4" s="1"/>
  <c r="J29" i="43" s="1"/>
  <c r="J28" i="9"/>
  <c r="J28" i="8" s="1"/>
  <c r="J28" i="7" s="1"/>
  <c r="J28" i="6" s="1"/>
  <c r="J28" i="37" s="1"/>
  <c r="J28" i="4" s="1"/>
  <c r="J28" i="43" s="1"/>
  <c r="J9" i="9"/>
  <c r="J9" i="8" s="1"/>
  <c r="J9" i="7" s="1"/>
  <c r="J9" i="6" s="1"/>
  <c r="J9" i="37" s="1"/>
  <c r="J9" i="4" s="1"/>
  <c r="J9" i="43" s="1"/>
  <c r="J10" i="9"/>
  <c r="J10" i="8" s="1"/>
  <c r="J11" i="10"/>
  <c r="O29" i="45"/>
  <c r="AM29" i="45"/>
  <c r="K29" i="45"/>
  <c r="S29" i="45"/>
  <c r="AI29" i="45"/>
  <c r="AE29" i="45"/>
  <c r="W29" i="45"/>
  <c r="AQ29" i="45"/>
  <c r="AA29" i="45"/>
  <c r="IP30" i="1"/>
  <c r="EX30" i="1"/>
  <c r="BF30" i="1"/>
  <c r="HU30" i="1"/>
  <c r="EC30" i="1"/>
  <c r="AK30" i="1"/>
  <c r="DW30" i="1"/>
  <c r="HL30" i="1"/>
  <c r="AB30" i="1"/>
  <c r="CJ30" i="1"/>
  <c r="FG30" i="1"/>
  <c r="ID30" i="1"/>
  <c r="EL30" i="1"/>
  <c r="AT30" i="1"/>
  <c r="HI30" i="1"/>
  <c r="DQ30" i="1"/>
  <c r="Y30" i="1"/>
  <c r="DH30" i="1"/>
  <c r="GE30" i="1"/>
  <c r="IM30" i="1"/>
  <c r="BC30" i="1"/>
  <c r="ER30" i="1"/>
  <c r="HR30" i="1"/>
  <c r="DZ30" i="1"/>
  <c r="AH30" i="1"/>
  <c r="GW30" i="1"/>
  <c r="DE30" i="1"/>
  <c r="M30" i="1"/>
  <c r="CA30" i="1"/>
  <c r="FP30" i="1"/>
  <c r="HX30" i="1"/>
  <c r="AN30" i="1"/>
  <c r="DK30" i="1"/>
  <c r="HF30" i="1"/>
  <c r="DN30" i="1"/>
  <c r="V30" i="1"/>
  <c r="GK30" i="1"/>
  <c r="CS30" i="1"/>
  <c r="IV30" i="1"/>
  <c r="BL30" i="1"/>
  <c r="EI30" i="1"/>
  <c r="GQ30" i="1"/>
  <c r="G30" i="1"/>
  <c r="CV30" i="1"/>
  <c r="GT30" i="1"/>
  <c r="DB30" i="1"/>
  <c r="J30" i="1"/>
  <c r="FY30" i="1"/>
  <c r="CG30" i="1"/>
  <c r="HO30" i="1"/>
  <c r="AE30" i="1"/>
  <c r="DT30" i="1"/>
  <c r="GB30" i="1"/>
  <c r="IY30" i="1"/>
  <c r="BO30" i="1"/>
  <c r="GH30" i="1"/>
  <c r="CP30" i="1"/>
  <c r="JE30" i="1"/>
  <c r="FM30" i="1"/>
  <c r="BU30" i="1"/>
  <c r="GZ30" i="1"/>
  <c r="P30" i="1"/>
  <c r="CM30" i="1"/>
  <c r="EU30" i="1"/>
  <c r="IJ30" i="1"/>
  <c r="AZ30" i="1"/>
  <c r="E31" i="2"/>
  <c r="CC31" i="2" s="1"/>
  <c r="FV30" i="1"/>
  <c r="CD30" i="1"/>
  <c r="IS30" i="1"/>
  <c r="FA30" i="1"/>
  <c r="BI30" i="1"/>
  <c r="FS30" i="1"/>
  <c r="JH30" i="1"/>
  <c r="BX30" i="1"/>
  <c r="EF30" i="1"/>
  <c r="HC30" i="1"/>
  <c r="S30" i="1"/>
  <c r="JB30" i="1"/>
  <c r="FJ30" i="1"/>
  <c r="BR30" i="1"/>
  <c r="IG30" i="1"/>
  <c r="EO30" i="1"/>
  <c r="AW30" i="1"/>
  <c r="FD30" i="1"/>
  <c r="IA30" i="1"/>
  <c r="AQ30" i="1"/>
  <c r="CY30" i="1"/>
  <c r="GN30" i="1"/>
  <c r="J26" i="12"/>
  <c r="J26" i="11" s="1"/>
  <c r="J25" i="12"/>
  <c r="J25" i="11" s="1"/>
  <c r="J23" i="14"/>
  <c r="J22" i="14"/>
  <c r="J22" i="13" s="1"/>
  <c r="J20" i="15"/>
  <c r="J20" i="14" s="1"/>
  <c r="J20" i="13" s="1"/>
  <c r="J15" i="6"/>
  <c r="J15" i="37" s="1"/>
  <c r="J15" i="4" s="1"/>
  <c r="J15" i="43" s="1"/>
  <c r="D43" i="25"/>
  <c r="D43" i="24" s="1"/>
  <c r="J13" i="6"/>
  <c r="J13" i="37" s="1"/>
  <c r="J13" i="4" s="1"/>
  <c r="J13" i="43" s="1"/>
  <c r="J19" i="15"/>
  <c r="J19" i="14" s="1"/>
  <c r="J19" i="13" s="1"/>
  <c r="J24" i="15"/>
  <c r="J21" i="15"/>
  <c r="J18" i="16"/>
  <c r="J18" i="15" s="1"/>
  <c r="J14" i="16"/>
  <c r="J14" i="15" s="1"/>
  <c r="J14" i="14" s="1"/>
  <c r="J14" i="13" s="1"/>
  <c r="J14" i="12" s="1"/>
  <c r="J14" i="11" s="1"/>
  <c r="J14" i="10" s="1"/>
  <c r="J14" i="9" s="1"/>
  <c r="J14" i="8" s="1"/>
  <c r="J14" i="7" s="1"/>
  <c r="P41" i="53"/>
  <c r="Q41" i="53" s="1"/>
  <c r="AJ9" i="48"/>
  <c r="D4" i="59" s="1"/>
  <c r="C8" i="45"/>
  <c r="I9" i="48"/>
  <c r="S9" i="48"/>
  <c r="E9" i="1"/>
  <c r="X9" i="48"/>
  <c r="H4" i="59" s="1"/>
  <c r="J13" i="48"/>
  <c r="B8" i="59" s="1"/>
  <c r="E13" i="1"/>
  <c r="I13" i="48"/>
  <c r="X13" i="48"/>
  <c r="H8" i="59" s="1"/>
  <c r="C12" i="45"/>
  <c r="AJ13" i="48"/>
  <c r="D8" i="59" s="1"/>
  <c r="IA14" i="1"/>
  <c r="EI14" i="1"/>
  <c r="AQ14" i="1"/>
  <c r="HL14" i="1"/>
  <c r="DT14" i="1"/>
  <c r="AB14" i="1"/>
  <c r="GH14" i="1"/>
  <c r="CP14" i="1"/>
  <c r="IS14" i="1"/>
  <c r="AK14" i="1"/>
  <c r="IG14" i="1"/>
  <c r="FP14" i="1"/>
  <c r="AT14" i="1"/>
  <c r="BL14" i="1"/>
  <c r="HO14" i="1"/>
  <c r="DW14" i="1"/>
  <c r="AE14" i="1"/>
  <c r="GZ14" i="1"/>
  <c r="DH14" i="1"/>
  <c r="P14" i="1"/>
  <c r="FV14" i="1"/>
  <c r="CD14" i="1"/>
  <c r="FA14" i="1"/>
  <c r="HI14" i="1"/>
  <c r="EO14" i="1"/>
  <c r="FS14" i="1"/>
  <c r="GW14" i="1"/>
  <c r="HC14" i="1"/>
  <c r="DK14" i="1"/>
  <c r="S14" i="1"/>
  <c r="GN14" i="1"/>
  <c r="CV14" i="1"/>
  <c r="JB14" i="1"/>
  <c r="FJ14" i="1"/>
  <c r="BR14" i="1"/>
  <c r="BI14" i="1"/>
  <c r="JE14" i="1"/>
  <c r="AW14" i="1"/>
  <c r="CM14" i="1"/>
  <c r="ID14" i="1"/>
  <c r="CG14" i="1"/>
  <c r="E15" i="2"/>
  <c r="CC15" i="2" s="1"/>
  <c r="HR14" i="1"/>
  <c r="AH14" i="1"/>
  <c r="GQ14" i="1"/>
  <c r="CY14" i="1"/>
  <c r="G14" i="1"/>
  <c r="GB14" i="1"/>
  <c r="CJ14" i="1"/>
  <c r="IP14" i="1"/>
  <c r="EX14" i="1"/>
  <c r="BF14" i="1"/>
  <c r="GK14" i="1"/>
  <c r="FM14" i="1"/>
  <c r="FY14" i="1"/>
  <c r="EL14" i="1"/>
  <c r="CA14" i="1"/>
  <c r="Y14" i="1"/>
  <c r="IY14" i="1"/>
  <c r="FG14" i="1"/>
  <c r="BO14" i="1"/>
  <c r="IJ14" i="1"/>
  <c r="ER14" i="1"/>
  <c r="AZ14" i="1"/>
  <c r="HF14" i="1"/>
  <c r="DN14" i="1"/>
  <c r="V14" i="1"/>
  <c r="HU14" i="1"/>
  <c r="DE14" i="1"/>
  <c r="GE14" i="1"/>
  <c r="BX14" i="1"/>
  <c r="BU14" i="1"/>
  <c r="IV14" i="1"/>
  <c r="DZ14" i="1"/>
  <c r="DQ14" i="1"/>
  <c r="IM14" i="1"/>
  <c r="EU14" i="1"/>
  <c r="BC14" i="1"/>
  <c r="HX14" i="1"/>
  <c r="EF14" i="1"/>
  <c r="AN14" i="1"/>
  <c r="GT14" i="1"/>
  <c r="DB14" i="1"/>
  <c r="J14" i="1"/>
  <c r="EC14" i="1"/>
  <c r="M14" i="1"/>
  <c r="JH14" i="1"/>
  <c r="CS14" i="1"/>
  <c r="FD14" i="1"/>
  <c r="O13" i="45"/>
  <c r="K13" i="45"/>
  <c r="W13" i="45"/>
  <c r="AM13" i="45"/>
  <c r="AQ13" i="45"/>
  <c r="AE13" i="45"/>
  <c r="AI13" i="45"/>
  <c r="AA13" i="45"/>
  <c r="S13" i="45"/>
  <c r="D40" i="25"/>
  <c r="D40" i="24" s="1"/>
  <c r="E40" i="24" s="1"/>
  <c r="AJ31" i="48"/>
  <c r="D26" i="59" s="1"/>
  <c r="AJ12" i="48"/>
  <c r="D7" i="59" s="1"/>
  <c r="AJ10" i="48"/>
  <c r="D5" i="59" s="1"/>
  <c r="AI3" i="55"/>
  <c r="F7" i="53"/>
  <c r="G7" i="53" s="1"/>
  <c r="F27" i="53"/>
  <c r="F19" i="53"/>
  <c r="F31" i="53"/>
  <c r="F11" i="53"/>
  <c r="G11" i="53" s="1"/>
  <c r="F35" i="53"/>
  <c r="F23" i="53"/>
  <c r="F5" i="53"/>
  <c r="G5" i="53" s="1"/>
  <c r="F16" i="53"/>
  <c r="F29" i="53"/>
  <c r="F10" i="53"/>
  <c r="G10" i="53" s="1"/>
  <c r="F28" i="53"/>
  <c r="F34" i="53"/>
  <c r="F17" i="53"/>
  <c r="F37" i="53"/>
  <c r="F21" i="53"/>
  <c r="F36" i="53"/>
  <c r="F20" i="53"/>
  <c r="F4" i="53"/>
  <c r="F8" i="53"/>
  <c r="G8" i="53" s="1"/>
  <c r="F24" i="53"/>
  <c r="F9" i="53"/>
  <c r="G9" i="53" s="1"/>
  <c r="F25" i="53"/>
  <c r="F18" i="53"/>
  <c r="G18" i="53" s="1"/>
  <c r="F38" i="53"/>
  <c r="G38" i="53" s="1"/>
  <c r="H38" i="53" s="1"/>
  <c r="F22" i="53"/>
  <c r="F32" i="53"/>
  <c r="F26" i="53"/>
  <c r="F6" i="53"/>
  <c r="G6" i="53" s="1"/>
  <c r="F30" i="53"/>
  <c r="F33" i="53"/>
  <c r="AW164" i="46"/>
  <c r="X191" i="46" s="1"/>
  <c r="AZ164" i="46"/>
  <c r="X193" i="46" s="1"/>
  <c r="AV164" i="46"/>
  <c r="X190" i="46" s="1"/>
  <c r="AY164" i="46"/>
  <c r="AX164" i="46"/>
  <c r="J41" i="32"/>
  <c r="K57" i="32"/>
  <c r="K56" i="32"/>
  <c r="J45" i="32"/>
  <c r="J51" i="32"/>
  <c r="J40" i="31"/>
  <c r="X10" i="48"/>
  <c r="H5" i="59" s="1"/>
  <c r="E10" i="1"/>
  <c r="J10" i="48"/>
  <c r="B5" i="59" s="1"/>
  <c r="C9" i="45"/>
  <c r="I10" i="48"/>
  <c r="AF164" i="46"/>
  <c r="X176" i="46" s="1"/>
  <c r="AL164" i="46"/>
  <c r="X182" i="46" s="1"/>
  <c r="AU164" i="46"/>
  <c r="X189" i="46" s="1"/>
  <c r="AT164" i="46"/>
  <c r="X188" i="46" s="1"/>
  <c r="AQ164" i="46"/>
  <c r="X186" i="46" s="1"/>
  <c r="BA164" i="46"/>
  <c r="AI164" i="46"/>
  <c r="X179" i="46" s="1"/>
  <c r="AG164" i="46"/>
  <c r="X177" i="46" s="1"/>
  <c r="D49" i="26"/>
  <c r="E49" i="26" s="1"/>
  <c r="CC12" i="2"/>
  <c r="AC164" i="46"/>
  <c r="X173" i="46" s="1"/>
  <c r="E31" i="1"/>
  <c r="C30" i="45"/>
  <c r="I31" i="48"/>
  <c r="J31" i="48"/>
  <c r="B26" i="59" s="1"/>
  <c r="X31" i="48"/>
  <c r="H26" i="59" s="1"/>
  <c r="AN164" i="46"/>
  <c r="X183" i="46" s="1"/>
  <c r="AO164" i="46"/>
  <c r="X184" i="46" s="1"/>
  <c r="AK164" i="46"/>
  <c r="X181" i="46" s="1"/>
  <c r="AJ164" i="46"/>
  <c r="X180" i="46" s="1"/>
  <c r="AP164" i="46"/>
  <c r="X185" i="46" s="1"/>
  <c r="AS164" i="46"/>
  <c r="X187" i="46" s="1"/>
  <c r="AH164" i="46"/>
  <c r="X178" i="46" s="1"/>
  <c r="AM164" i="46"/>
  <c r="X168" i="46"/>
  <c r="X166" i="46"/>
  <c r="X163" i="46"/>
  <c r="J12" i="48"/>
  <c r="B7" i="59" s="1"/>
  <c r="X12" i="48"/>
  <c r="H7" i="59" s="1"/>
  <c r="I12" i="48"/>
  <c r="E12" i="1"/>
  <c r="C11" i="45"/>
  <c r="R41" i="48"/>
  <c r="AJ41" i="48" s="1"/>
  <c r="D45" i="25"/>
  <c r="E45" i="26"/>
  <c r="E52" i="27"/>
  <c r="E53" i="27" s="1"/>
  <c r="D42" i="26"/>
  <c r="E42" i="28"/>
  <c r="E39" i="28"/>
  <c r="D39" i="26"/>
  <c r="E48" i="23"/>
  <c r="D48" i="21"/>
  <c r="E47" i="28"/>
  <c r="D47" i="26"/>
  <c r="D46" i="26"/>
  <c r="E46" i="28"/>
  <c r="D51" i="25"/>
  <c r="E51" i="26"/>
  <c r="D50" i="24"/>
  <c r="E50" i="25"/>
  <c r="J39" i="29"/>
  <c r="J37" i="27"/>
  <c r="J57" i="13"/>
  <c r="E44" i="22"/>
  <c r="D44" i="20"/>
  <c r="J49" i="26"/>
  <c r="J50" i="28"/>
  <c r="J44" i="28"/>
  <c r="J43" i="26"/>
  <c r="M34" i="25"/>
  <c r="M7" i="24"/>
  <c r="E38" i="28"/>
  <c r="D52" i="28"/>
  <c r="D53" i="28" s="1"/>
  <c r="D38" i="26"/>
  <c r="E41" i="26"/>
  <c r="D41" i="25"/>
  <c r="J56" i="19"/>
  <c r="W15" i="48"/>
  <c r="Q16" i="48"/>
  <c r="X194" i="58" l="1"/>
  <c r="X196" i="58" s="1"/>
  <c r="T4" i="54"/>
  <c r="T3" i="54"/>
  <c r="A17" i="1"/>
  <c r="A18" i="2" s="1"/>
  <c r="E43" i="25"/>
  <c r="J10" i="7"/>
  <c r="J10" i="6" s="1"/>
  <c r="J10" i="37" s="1"/>
  <c r="J10" i="4" s="1"/>
  <c r="J10" i="43" s="1"/>
  <c r="K9" i="48"/>
  <c r="C4" i="59" s="1"/>
  <c r="G4" i="59"/>
  <c r="J11" i="9"/>
  <c r="J11" i="8" s="1"/>
  <c r="J25" i="10"/>
  <c r="J26" i="10"/>
  <c r="J26" i="9" s="1"/>
  <c r="J26" i="8" s="1"/>
  <c r="J26" i="7" s="1"/>
  <c r="J26" i="6" s="1"/>
  <c r="J26" i="37" s="1"/>
  <c r="J26" i="4" s="1"/>
  <c r="J26" i="43" s="1"/>
  <c r="J12" i="10"/>
  <c r="J22" i="12"/>
  <c r="J22" i="11" s="1"/>
  <c r="J19" i="12"/>
  <c r="J19" i="11" s="1"/>
  <c r="J19" i="10" s="1"/>
  <c r="J23" i="13"/>
  <c r="J23" i="12" s="1"/>
  <c r="J23" i="11" s="1"/>
  <c r="J20" i="12"/>
  <c r="J20" i="11" s="1"/>
  <c r="J20" i="10" s="1"/>
  <c r="J16" i="6"/>
  <c r="J16" i="37" s="1"/>
  <c r="J16" i="4" s="1"/>
  <c r="J16" i="43" s="1"/>
  <c r="J17" i="12"/>
  <c r="J17" i="11" s="1"/>
  <c r="J17" i="10" s="1"/>
  <c r="J21" i="14"/>
  <c r="J21" i="13" s="1"/>
  <c r="J24" i="14"/>
  <c r="J14" i="6"/>
  <c r="J14" i="37" s="1"/>
  <c r="J14" i="4" s="1"/>
  <c r="J14" i="43" s="1"/>
  <c r="J18" i="14"/>
  <c r="J18" i="13" s="1"/>
  <c r="F41" i="53"/>
  <c r="G41" i="53" s="1"/>
  <c r="H41" i="53" s="1"/>
  <c r="D40" i="23"/>
  <c r="D40" i="21" s="1"/>
  <c r="JE9" i="1"/>
  <c r="FM9" i="1"/>
  <c r="BU9" i="1"/>
  <c r="JB9" i="1"/>
  <c r="FJ9" i="1"/>
  <c r="BR9" i="1"/>
  <c r="HC9" i="1"/>
  <c r="DK9" i="1"/>
  <c r="S9" i="1"/>
  <c r="GN9" i="1"/>
  <c r="CV9" i="1"/>
  <c r="IS9" i="1"/>
  <c r="FA9" i="1"/>
  <c r="BI9" i="1"/>
  <c r="IP9" i="1"/>
  <c r="EX9" i="1"/>
  <c r="AT9" i="1"/>
  <c r="GQ9" i="1"/>
  <c r="CY9" i="1"/>
  <c r="G9" i="1"/>
  <c r="GB9" i="1"/>
  <c r="CJ9" i="1"/>
  <c r="IG9" i="1"/>
  <c r="EO9" i="1"/>
  <c r="AW9" i="1"/>
  <c r="ID9" i="1"/>
  <c r="EL9" i="1"/>
  <c r="AH9" i="1"/>
  <c r="GE9" i="1"/>
  <c r="CM9" i="1"/>
  <c r="JH9" i="1"/>
  <c r="FP9" i="1"/>
  <c r="BX9" i="1"/>
  <c r="HU9" i="1"/>
  <c r="EC9" i="1"/>
  <c r="AK9" i="1"/>
  <c r="HR9" i="1"/>
  <c r="DZ9" i="1"/>
  <c r="J9" i="1"/>
  <c r="FS9" i="1"/>
  <c r="CA9" i="1"/>
  <c r="IV9" i="1"/>
  <c r="FD9" i="1"/>
  <c r="BL9" i="1"/>
  <c r="HI9" i="1"/>
  <c r="DQ9" i="1"/>
  <c r="Y9" i="1"/>
  <c r="HF9" i="1"/>
  <c r="DN9" i="1"/>
  <c r="IY9" i="1"/>
  <c r="FG9" i="1"/>
  <c r="BO9" i="1"/>
  <c r="IJ9" i="1"/>
  <c r="ER9" i="1"/>
  <c r="AZ9" i="1"/>
  <c r="GW9" i="1"/>
  <c r="DE9" i="1"/>
  <c r="M9" i="1"/>
  <c r="GT9" i="1"/>
  <c r="DB9" i="1"/>
  <c r="IM9" i="1"/>
  <c r="EU9" i="1"/>
  <c r="BC9" i="1"/>
  <c r="HX9" i="1"/>
  <c r="EF9" i="1"/>
  <c r="AN9" i="1"/>
  <c r="GK9" i="1"/>
  <c r="CS9" i="1"/>
  <c r="BF9" i="1"/>
  <c r="GH9" i="1"/>
  <c r="CP9" i="1"/>
  <c r="IA9" i="1"/>
  <c r="EI9" i="1"/>
  <c r="AQ9" i="1"/>
  <c r="HL9" i="1"/>
  <c r="DT9" i="1"/>
  <c r="AB9" i="1"/>
  <c r="E10" i="2"/>
  <c r="FY9" i="1"/>
  <c r="CG9" i="1"/>
  <c r="V9" i="1"/>
  <c r="FV9" i="1"/>
  <c r="CD9" i="1"/>
  <c r="HO9" i="1"/>
  <c r="DW9" i="1"/>
  <c r="AE9" i="1"/>
  <c r="GZ9" i="1"/>
  <c r="DH9" i="1"/>
  <c r="P9" i="1"/>
  <c r="Y9" i="48"/>
  <c r="I4" i="59" s="1"/>
  <c r="AK9" i="48"/>
  <c r="E4" i="59" s="1"/>
  <c r="AI8" i="45"/>
  <c r="S8" i="45"/>
  <c r="O8" i="45"/>
  <c r="AM8" i="45"/>
  <c r="K8" i="45"/>
  <c r="AQ8" i="45"/>
  <c r="W8" i="45"/>
  <c r="S10" i="48"/>
  <c r="G5" i="59" s="1"/>
  <c r="E40" i="25"/>
  <c r="AA12" i="45"/>
  <c r="AI12" i="45"/>
  <c r="AM12" i="45"/>
  <c r="S12" i="45"/>
  <c r="W12" i="45"/>
  <c r="AE12" i="45"/>
  <c r="O12" i="45"/>
  <c r="K12" i="45"/>
  <c r="AQ12" i="45"/>
  <c r="GE13" i="1"/>
  <c r="CM13" i="1"/>
  <c r="JE13" i="1"/>
  <c r="FM13" i="1"/>
  <c r="JB13" i="1"/>
  <c r="BI13" i="1"/>
  <c r="AT13" i="1"/>
  <c r="GN13" i="1"/>
  <c r="DZ13" i="1"/>
  <c r="DH13" i="1"/>
  <c r="AK13" i="1"/>
  <c r="E14" i="2"/>
  <c r="CC14" i="2" s="1"/>
  <c r="FS13" i="1"/>
  <c r="CA13" i="1"/>
  <c r="IS13" i="1"/>
  <c r="FA13" i="1"/>
  <c r="IP13" i="1"/>
  <c r="AH13" i="1"/>
  <c r="FP13" i="1"/>
  <c r="ER13" i="1"/>
  <c r="CD13" i="1"/>
  <c r="AZ13" i="1"/>
  <c r="J13" i="1"/>
  <c r="IY13" i="1"/>
  <c r="FG13" i="1"/>
  <c r="BO13" i="1"/>
  <c r="IG13" i="1"/>
  <c r="EO13" i="1"/>
  <c r="ID13" i="1"/>
  <c r="V13" i="1"/>
  <c r="IV13" i="1"/>
  <c r="CV13" i="1"/>
  <c r="AN13" i="1"/>
  <c r="Y13" i="1"/>
  <c r="IM13" i="1"/>
  <c r="EU13" i="1"/>
  <c r="BC13" i="1"/>
  <c r="HU13" i="1"/>
  <c r="EC13" i="1"/>
  <c r="HR13" i="1"/>
  <c r="HL13" i="1"/>
  <c r="FJ13" i="1"/>
  <c r="BR13" i="1"/>
  <c r="M13" i="1"/>
  <c r="GZ13" i="1"/>
  <c r="IA13" i="1"/>
  <c r="EI13" i="1"/>
  <c r="AQ13" i="1"/>
  <c r="HI13" i="1"/>
  <c r="DQ13" i="1"/>
  <c r="HF13" i="1"/>
  <c r="GB13" i="1"/>
  <c r="DN13" i="1"/>
  <c r="AB13" i="1"/>
  <c r="IJ13" i="1"/>
  <c r="GH13" i="1"/>
  <c r="HO13" i="1"/>
  <c r="DW13" i="1"/>
  <c r="AE13" i="1"/>
  <c r="GW13" i="1"/>
  <c r="DE13" i="1"/>
  <c r="GT13" i="1"/>
  <c r="EF13" i="1"/>
  <c r="BF13" i="1"/>
  <c r="DT13" i="1"/>
  <c r="AW13" i="1"/>
  <c r="EL13" i="1"/>
  <c r="HC13" i="1"/>
  <c r="DK13" i="1"/>
  <c r="S13" i="1"/>
  <c r="GK13" i="1"/>
  <c r="CS13" i="1"/>
  <c r="EX13" i="1"/>
  <c r="CJ13" i="1"/>
  <c r="P13" i="1"/>
  <c r="HX13" i="1"/>
  <c r="JH13" i="1"/>
  <c r="CP13" i="1"/>
  <c r="GQ13" i="1"/>
  <c r="CY13" i="1"/>
  <c r="G13" i="1"/>
  <c r="FY13" i="1"/>
  <c r="CG13" i="1"/>
  <c r="DB13" i="1"/>
  <c r="BU13" i="1"/>
  <c r="BX13" i="1"/>
  <c r="FV13" i="1"/>
  <c r="FD13" i="1"/>
  <c r="BL13" i="1"/>
  <c r="D49" i="25"/>
  <c r="D49" i="24" s="1"/>
  <c r="D49" i="23" s="1"/>
  <c r="G33" i="53"/>
  <c r="X192" i="46"/>
  <c r="G24" i="53"/>
  <c r="G31" i="53"/>
  <c r="G4" i="53"/>
  <c r="G19" i="53"/>
  <c r="G36" i="53"/>
  <c r="G16" i="53"/>
  <c r="E13" i="2"/>
  <c r="CC13" i="2" s="1"/>
  <c r="IY12" i="1"/>
  <c r="IM12" i="1"/>
  <c r="JH12" i="1"/>
  <c r="IG12" i="1"/>
  <c r="HU12" i="1"/>
  <c r="HI12" i="1"/>
  <c r="GW12" i="1"/>
  <c r="GK12" i="1"/>
  <c r="FY12" i="1"/>
  <c r="FM12" i="1"/>
  <c r="FA12" i="1"/>
  <c r="EO12" i="1"/>
  <c r="EC12" i="1"/>
  <c r="DQ12" i="1"/>
  <c r="DE12" i="1"/>
  <c r="CS12" i="1"/>
  <c r="CG12" i="1"/>
  <c r="BU12" i="1"/>
  <c r="BI12" i="1"/>
  <c r="AW12" i="1"/>
  <c r="AK12" i="1"/>
  <c r="Y12" i="1"/>
  <c r="M12" i="1"/>
  <c r="IS12" i="1"/>
  <c r="JE12" i="1"/>
  <c r="ID12" i="1"/>
  <c r="HR12" i="1"/>
  <c r="HF12" i="1"/>
  <c r="GT12" i="1"/>
  <c r="GH12" i="1"/>
  <c r="FV12" i="1"/>
  <c r="FJ12" i="1"/>
  <c r="EX12" i="1"/>
  <c r="EL12" i="1"/>
  <c r="DZ12" i="1"/>
  <c r="DN12" i="1"/>
  <c r="DB12" i="1"/>
  <c r="CP12" i="1"/>
  <c r="CD12" i="1"/>
  <c r="BR12" i="1"/>
  <c r="BF12" i="1"/>
  <c r="AT12" i="1"/>
  <c r="AH12" i="1"/>
  <c r="V12" i="1"/>
  <c r="J12" i="1"/>
  <c r="IV12" i="1"/>
  <c r="IP12" i="1"/>
  <c r="JB12" i="1"/>
  <c r="IA12" i="1"/>
  <c r="HO12" i="1"/>
  <c r="HC12" i="1"/>
  <c r="GQ12" i="1"/>
  <c r="GE12" i="1"/>
  <c r="FS12" i="1"/>
  <c r="FG12" i="1"/>
  <c r="EU12" i="1"/>
  <c r="EI12" i="1"/>
  <c r="DW12" i="1"/>
  <c r="DK12" i="1"/>
  <c r="CY12" i="1"/>
  <c r="CM12" i="1"/>
  <c r="CA12" i="1"/>
  <c r="BO12" i="1"/>
  <c r="BC12" i="1"/>
  <c r="AQ12" i="1"/>
  <c r="AE12" i="1"/>
  <c r="S12" i="1"/>
  <c r="G12" i="1"/>
  <c r="IJ12" i="1"/>
  <c r="HX12" i="1"/>
  <c r="HL12" i="1"/>
  <c r="GZ12" i="1"/>
  <c r="GN12" i="1"/>
  <c r="GB12" i="1"/>
  <c r="FP12" i="1"/>
  <c r="FD12" i="1"/>
  <c r="ER12" i="1"/>
  <c r="EF12" i="1"/>
  <c r="DT12" i="1"/>
  <c r="DH12" i="1"/>
  <c r="CV12" i="1"/>
  <c r="CJ12" i="1"/>
  <c r="BX12" i="1"/>
  <c r="BL12" i="1"/>
  <c r="AZ12" i="1"/>
  <c r="AN12" i="1"/>
  <c r="AB12" i="1"/>
  <c r="P12" i="1"/>
  <c r="JE10" i="1"/>
  <c r="FY10" i="1"/>
  <c r="EC10" i="1"/>
  <c r="BU10" i="1"/>
  <c r="M10" i="1"/>
  <c r="JB10" i="1"/>
  <c r="IP10" i="1"/>
  <c r="ID10" i="1"/>
  <c r="HR10" i="1"/>
  <c r="HF10" i="1"/>
  <c r="GT10" i="1"/>
  <c r="GH10" i="1"/>
  <c r="FV10" i="1"/>
  <c r="FJ10" i="1"/>
  <c r="EX10" i="1"/>
  <c r="EL10" i="1"/>
  <c r="DZ10" i="1"/>
  <c r="DN10" i="1"/>
  <c r="DB10" i="1"/>
  <c r="CP10" i="1"/>
  <c r="CD10" i="1"/>
  <c r="BR10" i="1"/>
  <c r="BF10" i="1"/>
  <c r="AT10" i="1"/>
  <c r="AH10" i="1"/>
  <c r="V10" i="1"/>
  <c r="J10" i="1"/>
  <c r="DQ10" i="1"/>
  <c r="Y10" i="1"/>
  <c r="HU10" i="1"/>
  <c r="EO10" i="1"/>
  <c r="AW10" i="1"/>
  <c r="IY10" i="1"/>
  <c r="IM10" i="1"/>
  <c r="IA10" i="1"/>
  <c r="HO10" i="1"/>
  <c r="HC10" i="1"/>
  <c r="GQ10" i="1"/>
  <c r="GE10" i="1"/>
  <c r="FS10" i="1"/>
  <c r="FG10" i="1"/>
  <c r="EU10" i="1"/>
  <c r="EI10" i="1"/>
  <c r="DW10" i="1"/>
  <c r="DK10" i="1"/>
  <c r="CY10" i="1"/>
  <c r="CM10" i="1"/>
  <c r="CA10" i="1"/>
  <c r="BO10" i="1"/>
  <c r="BC10" i="1"/>
  <c r="AQ10" i="1"/>
  <c r="AE10" i="1"/>
  <c r="S10" i="1"/>
  <c r="G10" i="1"/>
  <c r="IS10" i="1"/>
  <c r="GK10" i="1"/>
  <c r="DE10" i="1"/>
  <c r="AK10" i="1"/>
  <c r="GW10" i="1"/>
  <c r="FM10" i="1"/>
  <c r="CG10" i="1"/>
  <c r="JH10" i="1"/>
  <c r="IV10" i="1"/>
  <c r="IJ10" i="1"/>
  <c r="HX10" i="1"/>
  <c r="HL10" i="1"/>
  <c r="GZ10" i="1"/>
  <c r="GN10" i="1"/>
  <c r="GB10" i="1"/>
  <c r="FP10" i="1"/>
  <c r="FD10" i="1"/>
  <c r="ER10" i="1"/>
  <c r="EF10" i="1"/>
  <c r="DT10" i="1"/>
  <c r="DH10" i="1"/>
  <c r="CV10" i="1"/>
  <c r="CJ10" i="1"/>
  <c r="BX10" i="1"/>
  <c r="BL10" i="1"/>
  <c r="AZ10" i="1"/>
  <c r="AN10" i="1"/>
  <c r="AB10" i="1"/>
  <c r="P10" i="1"/>
  <c r="HI10" i="1"/>
  <c r="CS10" i="1"/>
  <c r="IG10" i="1"/>
  <c r="FA10" i="1"/>
  <c r="BI10" i="1"/>
  <c r="E32" i="2"/>
  <c r="CC32" i="2" s="1"/>
  <c r="JH31" i="1"/>
  <c r="IV31" i="1"/>
  <c r="IJ31" i="1"/>
  <c r="HX31" i="1"/>
  <c r="HL31" i="1"/>
  <c r="GZ31" i="1"/>
  <c r="GN31" i="1"/>
  <c r="GB31" i="1"/>
  <c r="FP31" i="1"/>
  <c r="FD31" i="1"/>
  <c r="ER31" i="1"/>
  <c r="EF31" i="1"/>
  <c r="DT31" i="1"/>
  <c r="DH31" i="1"/>
  <c r="CV31" i="1"/>
  <c r="CJ31" i="1"/>
  <c r="BX31" i="1"/>
  <c r="BL31" i="1"/>
  <c r="AZ31" i="1"/>
  <c r="AN31" i="1"/>
  <c r="AB31" i="1"/>
  <c r="P31" i="1"/>
  <c r="JE31" i="1"/>
  <c r="IS31" i="1"/>
  <c r="IG31" i="1"/>
  <c r="HU31" i="1"/>
  <c r="HI31" i="1"/>
  <c r="GW31" i="1"/>
  <c r="GK31" i="1"/>
  <c r="FY31" i="1"/>
  <c r="FM31" i="1"/>
  <c r="FA31" i="1"/>
  <c r="EO31" i="1"/>
  <c r="EC31" i="1"/>
  <c r="DQ31" i="1"/>
  <c r="DE31" i="1"/>
  <c r="CS31" i="1"/>
  <c r="CG31" i="1"/>
  <c r="BU31" i="1"/>
  <c r="BI31" i="1"/>
  <c r="AW31" i="1"/>
  <c r="AK31" i="1"/>
  <c r="Y31" i="1"/>
  <c r="M31" i="1"/>
  <c r="JB31" i="1"/>
  <c r="IP31" i="1"/>
  <c r="ID31" i="1"/>
  <c r="HR31" i="1"/>
  <c r="HF31" i="1"/>
  <c r="GT31" i="1"/>
  <c r="GH31" i="1"/>
  <c r="FV31" i="1"/>
  <c r="FJ31" i="1"/>
  <c r="EX31" i="1"/>
  <c r="EL31" i="1"/>
  <c r="DZ31" i="1"/>
  <c r="DN31" i="1"/>
  <c r="DB31" i="1"/>
  <c r="CP31" i="1"/>
  <c r="CD31" i="1"/>
  <c r="BR31" i="1"/>
  <c r="BF31" i="1"/>
  <c r="AT31" i="1"/>
  <c r="AH31" i="1"/>
  <c r="V31" i="1"/>
  <c r="J31" i="1"/>
  <c r="IY31" i="1"/>
  <c r="IM31" i="1"/>
  <c r="IA31" i="1"/>
  <c r="HO31" i="1"/>
  <c r="HC31" i="1"/>
  <c r="GQ31" i="1"/>
  <c r="GE31" i="1"/>
  <c r="FS31" i="1"/>
  <c r="FG31" i="1"/>
  <c r="EU31" i="1"/>
  <c r="EI31" i="1"/>
  <c r="DW31" i="1"/>
  <c r="DK31" i="1"/>
  <c r="CY31" i="1"/>
  <c r="CM31" i="1"/>
  <c r="CA31" i="1"/>
  <c r="BO31" i="1"/>
  <c r="BC31" i="1"/>
  <c r="AQ31" i="1"/>
  <c r="AE31" i="1"/>
  <c r="S31" i="1"/>
  <c r="G31" i="1"/>
  <c r="AA9" i="45"/>
  <c r="S9" i="45"/>
  <c r="K9" i="45"/>
  <c r="AM9" i="45"/>
  <c r="W9" i="45"/>
  <c r="AQ9" i="45"/>
  <c r="AI9" i="45"/>
  <c r="AE9" i="45"/>
  <c r="O9" i="45"/>
  <c r="E11" i="2"/>
  <c r="J41" i="31"/>
  <c r="J40" i="30"/>
  <c r="J51" i="31"/>
  <c r="K56" i="31"/>
  <c r="J45" i="31"/>
  <c r="K57" i="31"/>
  <c r="J5" i="54"/>
  <c r="O30" i="45"/>
  <c r="W30" i="45"/>
  <c r="AM30" i="45"/>
  <c r="K30" i="45"/>
  <c r="AA30" i="45"/>
  <c r="S30" i="45"/>
  <c r="AE30" i="45"/>
  <c r="AI30" i="45"/>
  <c r="AQ30" i="45"/>
  <c r="I41" i="48"/>
  <c r="J41" i="48"/>
  <c r="X41" i="48"/>
  <c r="AM11" i="45"/>
  <c r="O11" i="45"/>
  <c r="AI11" i="45"/>
  <c r="W11" i="45"/>
  <c r="S11" i="45"/>
  <c r="AA11" i="45"/>
  <c r="K11" i="45"/>
  <c r="AQ11" i="45"/>
  <c r="AE11" i="45"/>
  <c r="C40" i="45"/>
  <c r="E41" i="1"/>
  <c r="E45" i="25"/>
  <c r="D45" i="24"/>
  <c r="E42" i="26"/>
  <c r="D42" i="25"/>
  <c r="E52" i="28"/>
  <c r="E53" i="28" s="1"/>
  <c r="E47" i="26"/>
  <c r="D47" i="25"/>
  <c r="E48" i="21"/>
  <c r="D48" i="22"/>
  <c r="E39" i="26"/>
  <c r="D39" i="25"/>
  <c r="E46" i="26"/>
  <c r="D46" i="25"/>
  <c r="D50" i="23"/>
  <c r="E50" i="24"/>
  <c r="D51" i="24"/>
  <c r="E51" i="25"/>
  <c r="J37" i="28"/>
  <c r="J39" i="27"/>
  <c r="Q17" i="48"/>
  <c r="W16" i="48"/>
  <c r="D41" i="24"/>
  <c r="E41" i="25"/>
  <c r="E38" i="26"/>
  <c r="D38" i="25"/>
  <c r="D52" i="26"/>
  <c r="D53" i="26" s="1"/>
  <c r="M7" i="23"/>
  <c r="M34" i="24"/>
  <c r="J43" i="25"/>
  <c r="J44" i="26"/>
  <c r="D44" i="19"/>
  <c r="E44" i="20"/>
  <c r="E43" i="24"/>
  <c r="D43" i="23"/>
  <c r="J56" i="18"/>
  <c r="J49" i="25"/>
  <c r="J50" i="26"/>
  <c r="J57" i="12"/>
  <c r="A18" i="1"/>
  <c r="A19" i="2" s="1"/>
  <c r="J11" i="7" l="1"/>
  <c r="J11" i="6" s="1"/>
  <c r="J11" i="37" s="1"/>
  <c r="J11" i="43" s="1"/>
  <c r="J12" i="9"/>
  <c r="J25" i="9"/>
  <c r="J25" i="8" s="1"/>
  <c r="J25" i="7" s="1"/>
  <c r="J25" i="6" s="1"/>
  <c r="J25" i="37" s="1"/>
  <c r="J25" i="4" s="1"/>
  <c r="J25" i="43" s="1"/>
  <c r="J22" i="10"/>
  <c r="J23" i="10"/>
  <c r="J24" i="13"/>
  <c r="J24" i="12" s="1"/>
  <c r="J24" i="11" s="1"/>
  <c r="J21" i="12"/>
  <c r="J21" i="11" s="1"/>
  <c r="J18" i="12"/>
  <c r="J18" i="11" s="1"/>
  <c r="J18" i="10" s="1"/>
  <c r="E40" i="23"/>
  <c r="E42" i="2"/>
  <c r="CC42" i="2" s="1"/>
  <c r="E49" i="24"/>
  <c r="Y10" i="48"/>
  <c r="I5" i="59" s="1"/>
  <c r="S11" i="48"/>
  <c r="G6" i="59" s="1"/>
  <c r="K10" i="48"/>
  <c r="C5" i="59" s="1"/>
  <c r="AK10" i="48"/>
  <c r="E5" i="59" s="1"/>
  <c r="CC10" i="2"/>
  <c r="F10" i="2"/>
  <c r="CD10" i="2" s="1"/>
  <c r="E49" i="25"/>
  <c r="H4" i="53"/>
  <c r="H24" i="53"/>
  <c r="J51" i="30"/>
  <c r="K56" i="30"/>
  <c r="K57" i="30"/>
  <c r="J40" i="29"/>
  <c r="J45" i="30"/>
  <c r="J41" i="30"/>
  <c r="CC11" i="2"/>
  <c r="K40" i="45"/>
  <c r="W40" i="45"/>
  <c r="O40" i="45"/>
  <c r="S40" i="45"/>
  <c r="D45" i="23"/>
  <c r="E45" i="24"/>
  <c r="E52" i="26"/>
  <c r="E53" i="26" s="1"/>
  <c r="E42" i="25"/>
  <c r="D42" i="24"/>
  <c r="D46" i="24"/>
  <c r="E46" i="25"/>
  <c r="E39" i="25"/>
  <c r="D39" i="24"/>
  <c r="E48" i="22"/>
  <c r="D48" i="20"/>
  <c r="D47" i="24"/>
  <c r="E47" i="25"/>
  <c r="J39" i="28"/>
  <c r="J37" i="26"/>
  <c r="D49" i="21"/>
  <c r="E49" i="23"/>
  <c r="D51" i="23"/>
  <c r="E51" i="24"/>
  <c r="D40" i="22"/>
  <c r="E40" i="21"/>
  <c r="E50" i="23"/>
  <c r="D50" i="21"/>
  <c r="A19" i="1"/>
  <c r="A20" i="2" s="1"/>
  <c r="J57" i="11"/>
  <c r="J49" i="24"/>
  <c r="J50" i="25"/>
  <c r="E44" i="19"/>
  <c r="D44" i="18"/>
  <c r="E41" i="24"/>
  <c r="D41" i="23"/>
  <c r="W17" i="48"/>
  <c r="Q18" i="48"/>
  <c r="J56" i="17"/>
  <c r="D43" i="21"/>
  <c r="E43" i="23"/>
  <c r="J43" i="24"/>
  <c r="J44" i="25"/>
  <c r="M7" i="21"/>
  <c r="M34" i="23"/>
  <c r="E38" i="25"/>
  <c r="D38" i="24"/>
  <c r="D52" i="25"/>
  <c r="D53" i="25" s="1"/>
  <c r="J12" i="8" l="1"/>
  <c r="J12" i="7" s="1"/>
  <c r="J12" i="6" s="1"/>
  <c r="J12" i="37" s="1"/>
  <c r="J12" i="4" s="1"/>
  <c r="J12" i="43" s="1"/>
  <c r="J20" i="9"/>
  <c r="J17" i="9"/>
  <c r="J22" i="9"/>
  <c r="J22" i="8" s="1"/>
  <c r="J22" i="7" s="1"/>
  <c r="J22" i="6" s="1"/>
  <c r="J22" i="37" s="1"/>
  <c r="J22" i="4" s="1"/>
  <c r="J22" i="43" s="1"/>
  <c r="J23" i="9"/>
  <c r="J23" i="8" s="1"/>
  <c r="J23" i="7" s="1"/>
  <c r="J23" i="6" s="1"/>
  <c r="J23" i="37" s="1"/>
  <c r="J23" i="4" s="1"/>
  <c r="J23" i="43" s="1"/>
  <c r="J21" i="10"/>
  <c r="J24" i="10"/>
  <c r="F11" i="2"/>
  <c r="CD11" i="2" s="1"/>
  <c r="AK11" i="48"/>
  <c r="E6" i="59" s="1"/>
  <c r="K11" i="48"/>
  <c r="C6" i="59" s="1"/>
  <c r="Y11" i="48"/>
  <c r="I6" i="59" s="1"/>
  <c r="S12" i="48"/>
  <c r="G7" i="59" s="1"/>
  <c r="J45" i="29"/>
  <c r="K57" i="29"/>
  <c r="J40" i="27"/>
  <c r="J51" i="29"/>
  <c r="J41" i="29"/>
  <c r="K56" i="29"/>
  <c r="D45" i="21"/>
  <c r="E45" i="23"/>
  <c r="E52" i="25"/>
  <c r="E53" i="25" s="1"/>
  <c r="E42" i="24"/>
  <c r="D42" i="23"/>
  <c r="E48" i="20"/>
  <c r="D48" i="19"/>
  <c r="E39" i="24"/>
  <c r="D39" i="23"/>
  <c r="D47" i="23"/>
  <c r="E47" i="24"/>
  <c r="E46" i="24"/>
  <c r="D46" i="23"/>
  <c r="E50" i="21"/>
  <c r="D50" i="22"/>
  <c r="J39" i="26"/>
  <c r="J37" i="25"/>
  <c r="E40" i="22"/>
  <c r="D40" i="20"/>
  <c r="D51" i="21"/>
  <c r="E51" i="23"/>
  <c r="E49" i="21"/>
  <c r="D49" i="22"/>
  <c r="M7" i="22"/>
  <c r="M34" i="21"/>
  <c r="J56" i="16"/>
  <c r="M15" i="48"/>
  <c r="W18" i="48"/>
  <c r="Q19" i="48"/>
  <c r="E41" i="23"/>
  <c r="D41" i="21"/>
  <c r="D44" i="17"/>
  <c r="E44" i="18"/>
  <c r="J50" i="24"/>
  <c r="J49" i="23"/>
  <c r="J57" i="10"/>
  <c r="E38" i="24"/>
  <c r="D38" i="23"/>
  <c r="D52" i="24"/>
  <c r="D53" i="24" s="1"/>
  <c r="J43" i="23"/>
  <c r="J44" i="24"/>
  <c r="D43" i="22"/>
  <c r="E43" i="21"/>
  <c r="A20" i="1"/>
  <c r="A21" i="2" s="1"/>
  <c r="AA56" i="46" l="1"/>
  <c r="Z163" i="46"/>
  <c r="J19" i="7"/>
  <c r="J19" i="6" s="1"/>
  <c r="J19" i="37" s="1"/>
  <c r="J19" i="4" s="1"/>
  <c r="J19" i="43" s="1"/>
  <c r="J17" i="8"/>
  <c r="J17" i="7" s="1"/>
  <c r="J17" i="6" s="1"/>
  <c r="J17" i="37" s="1"/>
  <c r="J17" i="4" s="1"/>
  <c r="J17" i="43" s="1"/>
  <c r="J20" i="7"/>
  <c r="J20" i="6" s="1"/>
  <c r="J20" i="37" s="1"/>
  <c r="J20" i="4" s="1"/>
  <c r="J20" i="43" s="1"/>
  <c r="J24" i="9"/>
  <c r="J24" i="8" s="1"/>
  <c r="J24" i="7" s="1"/>
  <c r="J24" i="6" s="1"/>
  <c r="J24" i="37" s="1"/>
  <c r="J24" i="4" s="1"/>
  <c r="J24" i="43" s="1"/>
  <c r="J21" i="9"/>
  <c r="J21" i="8" s="1"/>
  <c r="J21" i="7" s="1"/>
  <c r="J21" i="6" s="1"/>
  <c r="J21" i="37" s="1"/>
  <c r="J21" i="4" s="1"/>
  <c r="J21" i="43" s="1"/>
  <c r="J18" i="9"/>
  <c r="F12" i="2"/>
  <c r="CD12" i="2" s="1"/>
  <c r="AK12" i="48"/>
  <c r="E7" i="59" s="1"/>
  <c r="S13" i="48"/>
  <c r="G8" i="59" s="1"/>
  <c r="Y12" i="48"/>
  <c r="I7" i="59" s="1"/>
  <c r="K12" i="48"/>
  <c r="C7" i="59" s="1"/>
  <c r="K57" i="27"/>
  <c r="J40" i="28"/>
  <c r="J45" i="27"/>
  <c r="K56" i="27"/>
  <c r="J51" i="27"/>
  <c r="J41" i="27"/>
  <c r="D45" i="22"/>
  <c r="E45" i="21"/>
  <c r="E42" i="23"/>
  <c r="D42" i="21"/>
  <c r="D46" i="21"/>
  <c r="E46" i="23"/>
  <c r="D39" i="21"/>
  <c r="E39" i="23"/>
  <c r="D48" i="18"/>
  <c r="E48" i="19"/>
  <c r="E52" i="24"/>
  <c r="E53" i="24" s="1"/>
  <c r="E47" i="23"/>
  <c r="D47" i="21"/>
  <c r="D49" i="20"/>
  <c r="E49" i="22"/>
  <c r="D40" i="19"/>
  <c r="E40" i="20"/>
  <c r="J37" i="24"/>
  <c r="J39" i="25"/>
  <c r="D50" i="20"/>
  <c r="E50" i="22"/>
  <c r="D51" i="22"/>
  <c r="E51" i="21"/>
  <c r="J44" i="23"/>
  <c r="J43" i="21"/>
  <c r="D38" i="21"/>
  <c r="D52" i="23"/>
  <c r="D53" i="23" s="1"/>
  <c r="E38" i="23"/>
  <c r="J57" i="9"/>
  <c r="E41" i="21"/>
  <c r="D41" i="22"/>
  <c r="W19" i="48"/>
  <c r="Q20" i="48"/>
  <c r="M7" i="20"/>
  <c r="M34" i="22"/>
  <c r="A21" i="1"/>
  <c r="A22" i="2" s="1"/>
  <c r="D43" i="20"/>
  <c r="E43" i="22"/>
  <c r="J49" i="21"/>
  <c r="J50" i="23"/>
  <c r="E44" i="17"/>
  <c r="D44" i="16"/>
  <c r="M16" i="48"/>
  <c r="J56" i="15"/>
  <c r="I2" i="54" l="1"/>
  <c r="Z164" i="46"/>
  <c r="X172" i="46" s="1"/>
  <c r="AB56" i="46"/>
  <c r="AB163" i="46" s="1"/>
  <c r="AA163" i="46"/>
  <c r="J18" i="8"/>
  <c r="J18" i="7" s="1"/>
  <c r="J18" i="6" s="1"/>
  <c r="J18" i="37" s="1"/>
  <c r="J18" i="4" s="1"/>
  <c r="J18" i="43" s="1"/>
  <c r="F13" i="2"/>
  <c r="CD13" i="2" s="1"/>
  <c r="AK13" i="48"/>
  <c r="E8" i="59" s="1"/>
  <c r="S14" i="48"/>
  <c r="G9" i="59" s="1"/>
  <c r="Y13" i="48"/>
  <c r="I8" i="59" s="1"/>
  <c r="K13" i="48"/>
  <c r="C8" i="59" s="1"/>
  <c r="K57" i="28"/>
  <c r="J51" i="28"/>
  <c r="J41" i="28"/>
  <c r="K56" i="28"/>
  <c r="J45" i="28"/>
  <c r="J40" i="26"/>
  <c r="D45" i="20"/>
  <c r="E45" i="22"/>
  <c r="D42" i="22"/>
  <c r="E42" i="21"/>
  <c r="E52" i="23"/>
  <c r="E53" i="23" s="1"/>
  <c r="E47" i="21"/>
  <c r="D47" i="22"/>
  <c r="D48" i="17"/>
  <c r="E48" i="18"/>
  <c r="E39" i="21"/>
  <c r="D39" i="22"/>
  <c r="E46" i="21"/>
  <c r="D46" i="22"/>
  <c r="E51" i="22"/>
  <c r="D51" i="20"/>
  <c r="D50" i="19"/>
  <c r="E50" i="20"/>
  <c r="J37" i="23"/>
  <c r="J39" i="24"/>
  <c r="D40" i="18"/>
  <c r="E40" i="19"/>
  <c r="D49" i="19"/>
  <c r="E49" i="20"/>
  <c r="J56" i="14"/>
  <c r="E44" i="16"/>
  <c r="D44" i="15"/>
  <c r="J57" i="8"/>
  <c r="J43" i="22"/>
  <c r="J44" i="21"/>
  <c r="M17" i="48"/>
  <c r="J49" i="22"/>
  <c r="J50" i="21"/>
  <c r="E43" i="20"/>
  <c r="D43" i="19"/>
  <c r="A22" i="1"/>
  <c r="A23" i="2" s="1"/>
  <c r="M7" i="19"/>
  <c r="M34" i="20"/>
  <c r="W20" i="48"/>
  <c r="Q21" i="48"/>
  <c r="E41" i="22"/>
  <c r="D41" i="20"/>
  <c r="D38" i="22"/>
  <c r="E38" i="21"/>
  <c r="D52" i="21"/>
  <c r="D53" i="21" s="1"/>
  <c r="F14" i="2" l="1"/>
  <c r="AA164" i="46"/>
  <c r="X174" i="46" s="1"/>
  <c r="I3" i="54"/>
  <c r="I4" i="54"/>
  <c r="AB164" i="46"/>
  <c r="X175" i="46" s="1"/>
  <c r="E12" i="53"/>
  <c r="J2" i="54"/>
  <c r="N12" i="53"/>
  <c r="U2" i="54"/>
  <c r="O12" i="53" s="1"/>
  <c r="S15" i="48"/>
  <c r="G10" i="59" s="1"/>
  <c r="AK14" i="48"/>
  <c r="E9" i="59" s="1"/>
  <c r="Y14" i="48"/>
  <c r="I9" i="59" s="1"/>
  <c r="K14" i="48"/>
  <c r="C9" i="59" s="1"/>
  <c r="K57" i="26"/>
  <c r="J51" i="26"/>
  <c r="J41" i="26"/>
  <c r="K56" i="26"/>
  <c r="J45" i="26"/>
  <c r="J40" i="25"/>
  <c r="CD14" i="2"/>
  <c r="F15" i="2"/>
  <c r="E52" i="21"/>
  <c r="E53" i="21" s="1"/>
  <c r="E45" i="20"/>
  <c r="D45" i="19"/>
  <c r="E42" i="22"/>
  <c r="D42" i="20"/>
  <c r="D48" i="16"/>
  <c r="E48" i="17"/>
  <c r="E46" i="22"/>
  <c r="D46" i="20"/>
  <c r="E39" i="22"/>
  <c r="D39" i="20"/>
  <c r="D47" i="20"/>
  <c r="E47" i="22"/>
  <c r="E51" i="20"/>
  <c r="D51" i="19"/>
  <c r="E49" i="19"/>
  <c r="D49" i="18"/>
  <c r="E40" i="18"/>
  <c r="D40" i="17"/>
  <c r="J37" i="21"/>
  <c r="J39" i="23"/>
  <c r="D50" i="18"/>
  <c r="E50" i="19"/>
  <c r="E41" i="20"/>
  <c r="D41" i="19"/>
  <c r="W21" i="48"/>
  <c r="Q22" i="48"/>
  <c r="D43" i="18"/>
  <c r="E43" i="19"/>
  <c r="J49" i="20"/>
  <c r="J50" i="22"/>
  <c r="M18" i="48"/>
  <c r="J43" i="20"/>
  <c r="J44" i="22"/>
  <c r="J57" i="7"/>
  <c r="E38" i="22"/>
  <c r="D52" i="22"/>
  <c r="D53" i="22" s="1"/>
  <c r="D38" i="20"/>
  <c r="M7" i="18"/>
  <c r="M34" i="19"/>
  <c r="A23" i="1"/>
  <c r="A24" i="2" s="1"/>
  <c r="D44" i="14"/>
  <c r="E44" i="15"/>
  <c r="J56" i="13"/>
  <c r="X194" i="46" l="1"/>
  <c r="X196" i="46" s="1"/>
  <c r="P12" i="53"/>
  <c r="E14" i="53"/>
  <c r="F14" i="53" s="1"/>
  <c r="G14" i="53" s="1"/>
  <c r="H14" i="53" s="1"/>
  <c r="J4" i="54"/>
  <c r="N13" i="53"/>
  <c r="U3" i="54"/>
  <c r="O13" i="53" s="1"/>
  <c r="P13" i="53" s="1"/>
  <c r="E13" i="53"/>
  <c r="F13" i="53" s="1"/>
  <c r="G13" i="53" s="1"/>
  <c r="J3" i="54"/>
  <c r="F12" i="53"/>
  <c r="U4" i="54"/>
  <c r="O14" i="53" s="1"/>
  <c r="P14" i="53" s="1"/>
  <c r="Q14" i="53" s="1"/>
  <c r="N14" i="53"/>
  <c r="S16" i="48"/>
  <c r="G11" i="59" s="1"/>
  <c r="K15" i="48"/>
  <c r="C10" i="59" s="1"/>
  <c r="Y15" i="48"/>
  <c r="I10" i="59" s="1"/>
  <c r="AK15" i="48"/>
  <c r="E10" i="59" s="1"/>
  <c r="J40" i="24"/>
  <c r="J51" i="25"/>
  <c r="K56" i="25"/>
  <c r="K57" i="25"/>
  <c r="J45" i="25"/>
  <c r="J41" i="25"/>
  <c r="CD15" i="2"/>
  <c r="F16" i="2"/>
  <c r="D45" i="18"/>
  <c r="E45" i="19"/>
  <c r="E52" i="22"/>
  <c r="E53" i="22" s="1"/>
  <c r="D42" i="19"/>
  <c r="E42" i="20"/>
  <c r="E39" i="20"/>
  <c r="D39" i="19"/>
  <c r="E46" i="20"/>
  <c r="D46" i="19"/>
  <c r="E47" i="20"/>
  <c r="D47" i="19"/>
  <c r="E48" i="16"/>
  <c r="D48" i="15"/>
  <c r="D50" i="17"/>
  <c r="E50" i="18"/>
  <c r="J37" i="22"/>
  <c r="J39" i="21"/>
  <c r="E51" i="19"/>
  <c r="D51" i="18"/>
  <c r="D40" i="16"/>
  <c r="E40" i="17"/>
  <c r="E49" i="18"/>
  <c r="D49" i="17"/>
  <c r="A24" i="1"/>
  <c r="A25" i="2" s="1"/>
  <c r="D52" i="20"/>
  <c r="D53" i="20" s="1"/>
  <c r="D38" i="19"/>
  <c r="E38" i="20"/>
  <c r="J43" i="19"/>
  <c r="J44" i="20"/>
  <c r="W22" i="48"/>
  <c r="Q23" i="48"/>
  <c r="E41" i="19"/>
  <c r="D41" i="18"/>
  <c r="J56" i="12"/>
  <c r="D44" i="13"/>
  <c r="E44" i="14"/>
  <c r="M7" i="17"/>
  <c r="M34" i="18"/>
  <c r="J57" i="6"/>
  <c r="M19" i="48"/>
  <c r="J50" i="20"/>
  <c r="J49" i="19"/>
  <c r="E43" i="18"/>
  <c r="D43" i="17"/>
  <c r="P40" i="53" l="1"/>
  <c r="P42" i="53" s="1"/>
  <c r="N40" i="53"/>
  <c r="E40" i="53"/>
  <c r="G12" i="53"/>
  <c r="G40" i="53" s="1"/>
  <c r="G42" i="53" s="1"/>
  <c r="F40" i="53"/>
  <c r="F42" i="53" s="1"/>
  <c r="O40" i="53"/>
  <c r="O42" i="53" s="1"/>
  <c r="Q12" i="53"/>
  <c r="Q40" i="53" s="1"/>
  <c r="Q42" i="53" s="1"/>
  <c r="Y16" i="48"/>
  <c r="I11" i="59" s="1"/>
  <c r="S17" i="48"/>
  <c r="G12" i="59" s="1"/>
  <c r="K16" i="48"/>
  <c r="C11" i="59" s="1"/>
  <c r="AK16" i="48"/>
  <c r="E11" i="59" s="1"/>
  <c r="CD16" i="2"/>
  <c r="F17" i="2"/>
  <c r="J41" i="24"/>
  <c r="J40" i="23"/>
  <c r="K57" i="24"/>
  <c r="J45" i="24"/>
  <c r="K56" i="24"/>
  <c r="J51" i="24"/>
  <c r="E45" i="18"/>
  <c r="D45" i="17"/>
  <c r="E52" i="20"/>
  <c r="E53" i="20" s="1"/>
  <c r="D42" i="18"/>
  <c r="E42" i="19"/>
  <c r="E48" i="15"/>
  <c r="D48" i="14"/>
  <c r="D47" i="18"/>
  <c r="E47" i="19"/>
  <c r="E46" i="19"/>
  <c r="D46" i="18"/>
  <c r="D39" i="18"/>
  <c r="E39" i="19"/>
  <c r="E40" i="16"/>
  <c r="D40" i="15"/>
  <c r="E51" i="18"/>
  <c r="D51" i="17"/>
  <c r="D49" i="16"/>
  <c r="E49" i="17"/>
  <c r="J37" i="20"/>
  <c r="J39" i="22"/>
  <c r="E50" i="17"/>
  <c r="D50" i="16"/>
  <c r="M7" i="16"/>
  <c r="M34" i="17"/>
  <c r="J56" i="11"/>
  <c r="E41" i="18"/>
  <c r="D41" i="17"/>
  <c r="W23" i="48"/>
  <c r="Q24" i="48"/>
  <c r="J43" i="18"/>
  <c r="J44" i="19"/>
  <c r="E38" i="19"/>
  <c r="D52" i="19"/>
  <c r="D53" i="19" s="1"/>
  <c r="D38" i="18"/>
  <c r="D43" i="16"/>
  <c r="E43" i="17"/>
  <c r="J49" i="18"/>
  <c r="J50" i="19"/>
  <c r="M20" i="48"/>
  <c r="J57" i="37"/>
  <c r="D44" i="12"/>
  <c r="E44" i="13"/>
  <c r="A25" i="1"/>
  <c r="A26" i="2" s="1"/>
  <c r="H12" i="53" l="1"/>
  <c r="H40" i="53" s="1"/>
  <c r="H42" i="53" s="1"/>
  <c r="G50" i="54" s="1"/>
  <c r="Y17" i="48"/>
  <c r="I12" i="59" s="1"/>
  <c r="K17" i="48"/>
  <c r="C12" i="59" s="1"/>
  <c r="AK17" i="48"/>
  <c r="E12" i="59" s="1"/>
  <c r="S18" i="48"/>
  <c r="G13" i="59" s="1"/>
  <c r="J45" i="23"/>
  <c r="K57" i="23"/>
  <c r="J51" i="23"/>
  <c r="J41" i="23"/>
  <c r="J40" i="21"/>
  <c r="K56" i="23"/>
  <c r="CD17" i="2"/>
  <c r="F18" i="2"/>
  <c r="E45" i="17"/>
  <c r="D45" i="16"/>
  <c r="D42" i="17"/>
  <c r="E42" i="18"/>
  <c r="E52" i="19"/>
  <c r="E53" i="19" s="1"/>
  <c r="E46" i="18"/>
  <c r="D46" i="17"/>
  <c r="E48" i="14"/>
  <c r="D48" i="13"/>
  <c r="D39" i="17"/>
  <c r="E39" i="18"/>
  <c r="D47" i="17"/>
  <c r="E47" i="18"/>
  <c r="J37" i="19"/>
  <c r="J39" i="20"/>
  <c r="D49" i="15"/>
  <c r="E49" i="16"/>
  <c r="E40" i="15"/>
  <c r="D40" i="14"/>
  <c r="E50" i="16"/>
  <c r="D50" i="15"/>
  <c r="D51" i="16"/>
  <c r="E51" i="17"/>
  <c r="A26" i="1"/>
  <c r="A27" i="2" s="1"/>
  <c r="J49" i="17"/>
  <c r="J50" i="18"/>
  <c r="D43" i="15"/>
  <c r="E43" i="16"/>
  <c r="D38" i="17"/>
  <c r="E38" i="18"/>
  <c r="D52" i="18"/>
  <c r="D53" i="18" s="1"/>
  <c r="J43" i="17"/>
  <c r="J44" i="18"/>
  <c r="W24" i="48"/>
  <c r="Q25" i="48"/>
  <c r="D41" i="16"/>
  <c r="E41" i="17"/>
  <c r="J56" i="10"/>
  <c r="E44" i="12"/>
  <c r="D44" i="11"/>
  <c r="J57" i="4"/>
  <c r="M21" i="48"/>
  <c r="M34" i="16"/>
  <c r="M7" i="15"/>
  <c r="S19" i="48" l="1"/>
  <c r="G14" i="59" s="1"/>
  <c r="K18" i="48"/>
  <c r="C13" i="59" s="1"/>
  <c r="AK18" i="48"/>
  <c r="E13" i="59" s="1"/>
  <c r="Y18" i="48"/>
  <c r="I13" i="59" s="1"/>
  <c r="J41" i="21"/>
  <c r="J51" i="21"/>
  <c r="J40" i="22"/>
  <c r="J45" i="21"/>
  <c r="K57" i="21"/>
  <c r="K56" i="21"/>
  <c r="CD18" i="2"/>
  <c r="F19" i="2"/>
  <c r="D45" i="15"/>
  <c r="E45" i="16"/>
  <c r="D42" i="16"/>
  <c r="E42" i="17"/>
  <c r="E48" i="13"/>
  <c r="D48" i="12"/>
  <c r="E46" i="17"/>
  <c r="D46" i="16"/>
  <c r="E52" i="18"/>
  <c r="E53" i="18" s="1"/>
  <c r="E47" i="17"/>
  <c r="D47" i="16"/>
  <c r="E39" i="17"/>
  <c r="D39" i="16"/>
  <c r="D51" i="15"/>
  <c r="E51" i="16"/>
  <c r="D50" i="14"/>
  <c r="E50" i="15"/>
  <c r="E40" i="14"/>
  <c r="D40" i="13"/>
  <c r="D49" i="14"/>
  <c r="E49" i="15"/>
  <c r="J39" i="19"/>
  <c r="J37" i="18"/>
  <c r="J57" i="43"/>
  <c r="D41" i="15"/>
  <c r="E41" i="16"/>
  <c r="D38" i="16"/>
  <c r="D52" i="17"/>
  <c r="D53" i="17" s="1"/>
  <c r="E38" i="17"/>
  <c r="D43" i="14"/>
  <c r="E43" i="15"/>
  <c r="A27" i="1"/>
  <c r="A28" i="2" s="1"/>
  <c r="M7" i="14"/>
  <c r="M34" i="15"/>
  <c r="M22" i="48"/>
  <c r="D44" i="10"/>
  <c r="E44" i="11"/>
  <c r="J56" i="9"/>
  <c r="W25" i="48"/>
  <c r="Q26" i="48"/>
  <c r="J43" i="16"/>
  <c r="J44" i="17"/>
  <c r="J49" i="16"/>
  <c r="J50" i="17"/>
  <c r="S20" i="48" l="1"/>
  <c r="G15" i="59" s="1"/>
  <c r="K19" i="48"/>
  <c r="C14" i="59" s="1"/>
  <c r="Y19" i="48"/>
  <c r="I14" i="59" s="1"/>
  <c r="AK19" i="48"/>
  <c r="E14" i="59" s="1"/>
  <c r="K56" i="22"/>
  <c r="J51" i="22"/>
  <c r="J40" i="20"/>
  <c r="J41" i="22"/>
  <c r="K57" i="22"/>
  <c r="J45" i="22"/>
  <c r="CD19" i="2"/>
  <c r="F20" i="2"/>
  <c r="D45" i="14"/>
  <c r="E45" i="15"/>
  <c r="D42" i="15"/>
  <c r="E42" i="16"/>
  <c r="E52" i="17"/>
  <c r="E53" i="17" s="1"/>
  <c r="D46" i="15"/>
  <c r="E46" i="16"/>
  <c r="E48" i="12"/>
  <c r="D48" i="11"/>
  <c r="E39" i="16"/>
  <c r="D39" i="15"/>
  <c r="E47" i="16"/>
  <c r="D47" i="15"/>
  <c r="J37" i="17"/>
  <c r="J39" i="18"/>
  <c r="D40" i="12"/>
  <c r="E40" i="13"/>
  <c r="D49" i="13"/>
  <c r="E49" i="14"/>
  <c r="D50" i="13"/>
  <c r="E50" i="14"/>
  <c r="E51" i="15"/>
  <c r="D51" i="14"/>
  <c r="J50" i="16"/>
  <c r="J49" i="15"/>
  <c r="Q27" i="48"/>
  <c r="W26" i="48"/>
  <c r="M23" i="48"/>
  <c r="M7" i="13"/>
  <c r="M34" i="14"/>
  <c r="D43" i="13"/>
  <c r="E43" i="14"/>
  <c r="J43" i="15"/>
  <c r="J44" i="16"/>
  <c r="J56" i="8"/>
  <c r="D44" i="9"/>
  <c r="E44" i="10"/>
  <c r="A28" i="1"/>
  <c r="A29" i="2" s="1"/>
  <c r="D38" i="15"/>
  <c r="D52" i="16"/>
  <c r="D53" i="16" s="1"/>
  <c r="E38" i="16"/>
  <c r="E41" i="15"/>
  <c r="D41" i="14"/>
  <c r="Y20" i="48" l="1"/>
  <c r="I15" i="59" s="1"/>
  <c r="K20" i="48"/>
  <c r="C15" i="59" s="1"/>
  <c r="AK20" i="48"/>
  <c r="E15" i="59" s="1"/>
  <c r="S21" i="48"/>
  <c r="G16" i="59" s="1"/>
  <c r="K57" i="20"/>
  <c r="J41" i="20"/>
  <c r="J45" i="20"/>
  <c r="K56" i="20"/>
  <c r="J40" i="19"/>
  <c r="J51" i="20"/>
  <c r="CD20" i="2"/>
  <c r="F21" i="2"/>
  <c r="E45" i="14"/>
  <c r="D45" i="13"/>
  <c r="D42" i="14"/>
  <c r="E42" i="15"/>
  <c r="E47" i="15"/>
  <c r="D47" i="14"/>
  <c r="E39" i="15"/>
  <c r="D39" i="14"/>
  <c r="E48" i="11"/>
  <c r="D48" i="10"/>
  <c r="E52" i="16"/>
  <c r="E53" i="16" s="1"/>
  <c r="D46" i="14"/>
  <c r="E46" i="15"/>
  <c r="E51" i="14"/>
  <c r="D51" i="13"/>
  <c r="D49" i="12"/>
  <c r="E49" i="13"/>
  <c r="E40" i="12"/>
  <c r="D40" i="11"/>
  <c r="E50" i="13"/>
  <c r="D50" i="12"/>
  <c r="J37" i="16"/>
  <c r="J39" i="17"/>
  <c r="E41" i="14"/>
  <c r="D41" i="13"/>
  <c r="D52" i="15"/>
  <c r="D53" i="15" s="1"/>
  <c r="E38" i="15"/>
  <c r="D38" i="14"/>
  <c r="A29" i="1"/>
  <c r="A30" i="2" s="1"/>
  <c r="D44" i="8"/>
  <c r="E44" i="9"/>
  <c r="J56" i="7"/>
  <c r="D43" i="12"/>
  <c r="E43" i="13"/>
  <c r="J49" i="14"/>
  <c r="J50" i="15"/>
  <c r="J44" i="15"/>
  <c r="J43" i="14"/>
  <c r="M7" i="12"/>
  <c r="M34" i="13"/>
  <c r="M24" i="48"/>
  <c r="Q28" i="48"/>
  <c r="W27" i="48"/>
  <c r="Y21" i="48" l="1"/>
  <c r="I16" i="59" s="1"/>
  <c r="S22" i="48"/>
  <c r="G17" i="59" s="1"/>
  <c r="AK21" i="48"/>
  <c r="E16" i="59" s="1"/>
  <c r="K21" i="48"/>
  <c r="C16" i="59" s="1"/>
  <c r="J40" i="18"/>
  <c r="K56" i="19"/>
  <c r="K57" i="19"/>
  <c r="J51" i="19"/>
  <c r="J45" i="19"/>
  <c r="J41" i="19"/>
  <c r="CD21" i="2"/>
  <c r="F22" i="2"/>
  <c r="E45" i="13"/>
  <c r="D45" i="12"/>
  <c r="E52" i="15"/>
  <c r="E53" i="15" s="1"/>
  <c r="D42" i="13"/>
  <c r="E42" i="14"/>
  <c r="D46" i="13"/>
  <c r="E46" i="14"/>
  <c r="E48" i="10"/>
  <c r="D48" i="9"/>
  <c r="E39" i="14"/>
  <c r="D39" i="13"/>
  <c r="D47" i="13"/>
  <c r="E47" i="14"/>
  <c r="E50" i="12"/>
  <c r="D50" i="11"/>
  <c r="D40" i="10"/>
  <c r="E40" i="11"/>
  <c r="D51" i="12"/>
  <c r="E51" i="13"/>
  <c r="J39" i="16"/>
  <c r="J37" i="15"/>
  <c r="E49" i="12"/>
  <c r="D49" i="11"/>
  <c r="J49" i="13"/>
  <c r="J50" i="14"/>
  <c r="E43" i="12"/>
  <c r="D43" i="11"/>
  <c r="J56" i="6"/>
  <c r="A30" i="1"/>
  <c r="A31" i="2" s="1"/>
  <c r="D52" i="14"/>
  <c r="D53" i="14" s="1"/>
  <c r="D38" i="13"/>
  <c r="E38" i="14"/>
  <c r="Q29" i="48"/>
  <c r="W28" i="48"/>
  <c r="M25" i="48"/>
  <c r="M7" i="11"/>
  <c r="M34" i="12"/>
  <c r="J43" i="13"/>
  <c r="J44" i="14"/>
  <c r="D44" i="7"/>
  <c r="E44" i="8"/>
  <c r="D41" i="12"/>
  <c r="E41" i="13"/>
  <c r="S23" i="48" l="1"/>
  <c r="G18" i="59" s="1"/>
  <c r="K22" i="48"/>
  <c r="C17" i="59" s="1"/>
  <c r="Y22" i="48"/>
  <c r="I17" i="59" s="1"/>
  <c r="AK22" i="48"/>
  <c r="E17" i="59" s="1"/>
  <c r="CD22" i="2"/>
  <c r="F23" i="2"/>
  <c r="J41" i="18"/>
  <c r="K56" i="18"/>
  <c r="K57" i="18"/>
  <c r="J51" i="18"/>
  <c r="J40" i="17"/>
  <c r="J45" i="18"/>
  <c r="D45" i="11"/>
  <c r="E45" i="12"/>
  <c r="E42" i="13"/>
  <c r="D42" i="12"/>
  <c r="E52" i="14"/>
  <c r="E53" i="14" s="1"/>
  <c r="E39" i="13"/>
  <c r="D39" i="12"/>
  <c r="D48" i="8"/>
  <c r="E48" i="9"/>
  <c r="D47" i="12"/>
  <c r="E47" i="13"/>
  <c r="D46" i="12"/>
  <c r="E46" i="13"/>
  <c r="D49" i="10"/>
  <c r="E49" i="11"/>
  <c r="J37" i="14"/>
  <c r="J39" i="15"/>
  <c r="D50" i="10"/>
  <c r="E50" i="11"/>
  <c r="E51" i="12"/>
  <c r="D51" i="11"/>
  <c r="E40" i="10"/>
  <c r="D40" i="9"/>
  <c r="J56" i="37"/>
  <c r="D43" i="10"/>
  <c r="E43" i="11"/>
  <c r="J49" i="12"/>
  <c r="J50" i="13"/>
  <c r="E41" i="12"/>
  <c r="D41" i="11"/>
  <c r="D44" i="6"/>
  <c r="E44" i="7"/>
  <c r="J43" i="12"/>
  <c r="J44" i="13"/>
  <c r="M7" i="10"/>
  <c r="M34" i="11"/>
  <c r="M26" i="48"/>
  <c r="Q30" i="48"/>
  <c r="W29" i="48"/>
  <c r="D52" i="13"/>
  <c r="D53" i="13" s="1"/>
  <c r="D38" i="12"/>
  <c r="E38" i="13"/>
  <c r="A31" i="1"/>
  <c r="A32" i="2" s="1"/>
  <c r="S24" i="48" l="1"/>
  <c r="G19" i="59" s="1"/>
  <c r="Y23" i="48"/>
  <c r="I18" i="59" s="1"/>
  <c r="AK23" i="48"/>
  <c r="E18" i="59" s="1"/>
  <c r="K23" i="48"/>
  <c r="C18" i="59" s="1"/>
  <c r="J41" i="17"/>
  <c r="K56" i="17"/>
  <c r="J51" i="17"/>
  <c r="K57" i="17"/>
  <c r="J40" i="16"/>
  <c r="J45" i="17"/>
  <c r="CD23" i="2"/>
  <c r="F24" i="2"/>
  <c r="D45" i="10"/>
  <c r="E45" i="11"/>
  <c r="E42" i="12"/>
  <c r="D42" i="11"/>
  <c r="E52" i="13"/>
  <c r="E53" i="13" s="1"/>
  <c r="E39" i="12"/>
  <c r="D39" i="11"/>
  <c r="E46" i="12"/>
  <c r="D46" i="11"/>
  <c r="E47" i="12"/>
  <c r="D47" i="11"/>
  <c r="E48" i="8"/>
  <c r="D48" i="7"/>
  <c r="E40" i="9"/>
  <c r="D40" i="8"/>
  <c r="D51" i="10"/>
  <c r="E51" i="11"/>
  <c r="E50" i="10"/>
  <c r="D50" i="9"/>
  <c r="J37" i="13"/>
  <c r="J39" i="14"/>
  <c r="E49" i="10"/>
  <c r="D49" i="9"/>
  <c r="A32" i="1"/>
  <c r="A33" i="2" s="1"/>
  <c r="E38" i="12"/>
  <c r="D52" i="12"/>
  <c r="D53" i="12" s="1"/>
  <c r="D38" i="11"/>
  <c r="M27" i="48"/>
  <c r="J43" i="11"/>
  <c r="J44" i="12"/>
  <c r="D44" i="37"/>
  <c r="E44" i="6"/>
  <c r="J50" i="12"/>
  <c r="J49" i="11"/>
  <c r="D43" i="9"/>
  <c r="E43" i="10"/>
  <c r="J56" i="4"/>
  <c r="W30" i="48"/>
  <c r="Q31" i="48"/>
  <c r="M7" i="9"/>
  <c r="M34" i="10"/>
  <c r="D41" i="10"/>
  <c r="E41" i="11"/>
  <c r="S25" i="48" l="1"/>
  <c r="G20" i="59" s="1"/>
  <c r="K24" i="48"/>
  <c r="C19" i="59" s="1"/>
  <c r="AK24" i="48"/>
  <c r="E19" i="59" s="1"/>
  <c r="Y24" i="48"/>
  <c r="I19" i="59" s="1"/>
  <c r="J45" i="16"/>
  <c r="K57" i="16"/>
  <c r="J40" i="15"/>
  <c r="J51" i="16"/>
  <c r="J41" i="16"/>
  <c r="K56" i="16"/>
  <c r="F25" i="2"/>
  <c r="CD24" i="2"/>
  <c r="E45" i="10"/>
  <c r="D45" i="9"/>
  <c r="D42" i="10"/>
  <c r="E42" i="11"/>
  <c r="E52" i="12"/>
  <c r="E53" i="12" s="1"/>
  <c r="E48" i="7"/>
  <c r="D48" i="6"/>
  <c r="E47" i="11"/>
  <c r="D47" i="10"/>
  <c r="D46" i="10"/>
  <c r="E46" i="11"/>
  <c r="E39" i="11"/>
  <c r="D39" i="10"/>
  <c r="E49" i="9"/>
  <c r="D49" i="8"/>
  <c r="J37" i="12"/>
  <c r="J39" i="13"/>
  <c r="D40" i="7"/>
  <c r="E40" i="8"/>
  <c r="D50" i="8"/>
  <c r="E50" i="9"/>
  <c r="D51" i="9"/>
  <c r="E51" i="10"/>
  <c r="W31" i="48"/>
  <c r="Q32" i="48"/>
  <c r="J56" i="43"/>
  <c r="Z165" i="58" s="1"/>
  <c r="E43" i="9"/>
  <c r="D43" i="8"/>
  <c r="J43" i="10"/>
  <c r="J44" i="11"/>
  <c r="M28" i="48"/>
  <c r="E41" i="10"/>
  <c r="D41" i="9"/>
  <c r="M34" i="9"/>
  <c r="M7" i="8"/>
  <c r="J49" i="10"/>
  <c r="J50" i="11"/>
  <c r="D44" i="4"/>
  <c r="E44" i="37"/>
  <c r="E38" i="11"/>
  <c r="D38" i="10"/>
  <c r="D52" i="11"/>
  <c r="D53" i="11" s="1"/>
  <c r="A33" i="1"/>
  <c r="A34" i="2" s="1"/>
  <c r="S26" i="48" l="1"/>
  <c r="G21" i="59" s="1"/>
  <c r="Y25" i="48"/>
  <c r="I20" i="59" s="1"/>
  <c r="AK25" i="48"/>
  <c r="E20" i="59" s="1"/>
  <c r="K25" i="48"/>
  <c r="C20" i="59" s="1"/>
  <c r="Z165" i="46"/>
  <c r="J40" i="14"/>
  <c r="J51" i="15"/>
  <c r="K56" i="15"/>
  <c r="J41" i="15"/>
  <c r="J45" i="15"/>
  <c r="K57" i="15"/>
  <c r="CD25" i="2"/>
  <c r="F26" i="2"/>
  <c r="E45" i="9"/>
  <c r="D45" i="8"/>
  <c r="E42" i="10"/>
  <c r="D42" i="9"/>
  <c r="D39" i="9"/>
  <c r="E39" i="10"/>
  <c r="E47" i="10"/>
  <c r="D47" i="9"/>
  <c r="E48" i="6"/>
  <c r="D48" i="37"/>
  <c r="E52" i="11"/>
  <c r="E53" i="11" s="1"/>
  <c r="D46" i="9"/>
  <c r="E46" i="10"/>
  <c r="D51" i="8"/>
  <c r="E51" i="9"/>
  <c r="E50" i="8"/>
  <c r="D50" i="7"/>
  <c r="E49" i="8"/>
  <c r="D49" i="7"/>
  <c r="D40" i="6"/>
  <c r="E40" i="7"/>
  <c r="J37" i="11"/>
  <c r="J39" i="12"/>
  <c r="A34" i="1"/>
  <c r="A35" i="2" s="1"/>
  <c r="D52" i="10"/>
  <c r="D53" i="10" s="1"/>
  <c r="E38" i="10"/>
  <c r="D38" i="9"/>
  <c r="J49" i="9"/>
  <c r="J50" i="10"/>
  <c r="J43" i="9"/>
  <c r="J44" i="10"/>
  <c r="E43" i="8"/>
  <c r="D43" i="7"/>
  <c r="E44" i="4"/>
  <c r="D44" i="43"/>
  <c r="E44" i="43" s="1"/>
  <c r="M7" i="7"/>
  <c r="M34" i="8"/>
  <c r="E41" i="9"/>
  <c r="D41" i="8"/>
  <c r="M29" i="48"/>
  <c r="W32" i="48"/>
  <c r="Q33" i="48"/>
  <c r="Y26" i="48" l="1"/>
  <c r="I21" i="59" s="1"/>
  <c r="S27" i="48"/>
  <c r="G22" i="59" s="1"/>
  <c r="K26" i="48"/>
  <c r="C21" i="59" s="1"/>
  <c r="AK26" i="48"/>
  <c r="E21" i="59" s="1"/>
  <c r="CD26" i="2"/>
  <c r="F27" i="2"/>
  <c r="J41" i="14"/>
  <c r="K56" i="14"/>
  <c r="J45" i="14"/>
  <c r="J40" i="13"/>
  <c r="K57" i="14"/>
  <c r="J51" i="14"/>
  <c r="E45" i="8"/>
  <c r="D45" i="7"/>
  <c r="E52" i="10"/>
  <c r="E53" i="10" s="1"/>
  <c r="D42" i="8"/>
  <c r="E42" i="9"/>
  <c r="E46" i="9"/>
  <c r="D46" i="8"/>
  <c r="E48" i="37"/>
  <c r="D48" i="4"/>
  <c r="D47" i="8"/>
  <c r="E47" i="9"/>
  <c r="E39" i="9"/>
  <c r="D39" i="8"/>
  <c r="J37" i="10"/>
  <c r="J39" i="11"/>
  <c r="D40" i="37"/>
  <c r="E40" i="6"/>
  <c r="E49" i="7"/>
  <c r="D49" i="6"/>
  <c r="D50" i="6"/>
  <c r="E50" i="7"/>
  <c r="D51" i="7"/>
  <c r="E51" i="8"/>
  <c r="W33" i="48"/>
  <c r="Q34" i="48"/>
  <c r="D41" i="7"/>
  <c r="E41" i="8"/>
  <c r="D43" i="6"/>
  <c r="E43" i="7"/>
  <c r="J43" i="8"/>
  <c r="J44" i="9"/>
  <c r="E38" i="9"/>
  <c r="D52" i="9"/>
  <c r="D53" i="9" s="1"/>
  <c r="D38" i="8"/>
  <c r="A35" i="1"/>
  <c r="A36" i="2" s="1"/>
  <c r="M30" i="48"/>
  <c r="M7" i="6"/>
  <c r="M34" i="7"/>
  <c r="J49" i="8"/>
  <c r="J50" i="9"/>
  <c r="S28" i="48" l="1"/>
  <c r="G23" i="59" s="1"/>
  <c r="Y27" i="48"/>
  <c r="I22" i="59" s="1"/>
  <c r="K27" i="48"/>
  <c r="C22" i="59" s="1"/>
  <c r="AK27" i="48"/>
  <c r="E22" i="59" s="1"/>
  <c r="J51" i="13"/>
  <c r="J41" i="13"/>
  <c r="K56" i="13"/>
  <c r="J45" i="13"/>
  <c r="K57" i="13"/>
  <c r="J40" i="12"/>
  <c r="F28" i="2"/>
  <c r="CD27" i="2"/>
  <c r="E45" i="7"/>
  <c r="D45" i="6"/>
  <c r="E42" i="8"/>
  <c r="D42" i="7"/>
  <c r="D39" i="7"/>
  <c r="E39" i="8"/>
  <c r="E48" i="4"/>
  <c r="D48" i="43"/>
  <c r="E48" i="43" s="1"/>
  <c r="E46" i="8"/>
  <c r="D46" i="7"/>
  <c r="E52" i="9"/>
  <c r="E53" i="9" s="1"/>
  <c r="E47" i="8"/>
  <c r="D47" i="7"/>
  <c r="D51" i="6"/>
  <c r="E51" i="7"/>
  <c r="E50" i="6"/>
  <c r="D50" i="37"/>
  <c r="D40" i="4"/>
  <c r="E40" i="37"/>
  <c r="D49" i="37"/>
  <c r="E49" i="6"/>
  <c r="J39" i="10"/>
  <c r="J37" i="9"/>
  <c r="J50" i="8"/>
  <c r="J49" i="7"/>
  <c r="M31" i="48"/>
  <c r="D38" i="7"/>
  <c r="E38" i="8"/>
  <c r="D52" i="8"/>
  <c r="D53" i="8" s="1"/>
  <c r="D41" i="6"/>
  <c r="E41" i="7"/>
  <c r="M7" i="37"/>
  <c r="M34" i="6"/>
  <c r="A36" i="1"/>
  <c r="A37" i="2" s="1"/>
  <c r="J43" i="7"/>
  <c r="J44" i="8"/>
  <c r="D43" i="37"/>
  <c r="E43" i="6"/>
  <c r="Q35" i="48"/>
  <c r="W34" i="48"/>
  <c r="Y28" i="48" l="1"/>
  <c r="I23" i="59" s="1"/>
  <c r="K28" i="48"/>
  <c r="C23" i="59" s="1"/>
  <c r="S29" i="48"/>
  <c r="G24" i="59" s="1"/>
  <c r="AK28" i="48"/>
  <c r="E23" i="59" s="1"/>
  <c r="J40" i="11"/>
  <c r="J51" i="12"/>
  <c r="K56" i="12"/>
  <c r="K57" i="12"/>
  <c r="J41" i="12"/>
  <c r="J45" i="12"/>
  <c r="F29" i="2"/>
  <c r="CD28" i="2"/>
  <c r="D45" i="37"/>
  <c r="E45" i="6"/>
  <c r="E52" i="8"/>
  <c r="E53" i="8" s="1"/>
  <c r="D42" i="6"/>
  <c r="E42" i="7"/>
  <c r="D46" i="6"/>
  <c r="E46" i="7"/>
  <c r="D47" i="6"/>
  <c r="E47" i="7"/>
  <c r="E39" i="7"/>
  <c r="D39" i="6"/>
  <c r="J37" i="8"/>
  <c r="J39" i="9"/>
  <c r="E49" i="37"/>
  <c r="D49" i="4"/>
  <c r="D50" i="4"/>
  <c r="E50" i="37"/>
  <c r="E40" i="4"/>
  <c r="D40" i="43"/>
  <c r="E40" i="43" s="1"/>
  <c r="D51" i="37"/>
  <c r="E51" i="6"/>
  <c r="E43" i="37"/>
  <c r="D43" i="4"/>
  <c r="A37" i="1"/>
  <c r="A38" i="2" s="1"/>
  <c r="M7" i="4"/>
  <c r="M34" i="37"/>
  <c r="E41" i="6"/>
  <c r="D41" i="37"/>
  <c r="D52" i="7"/>
  <c r="D53" i="7" s="1"/>
  <c r="E38" i="7"/>
  <c r="D38" i="6"/>
  <c r="M32" i="48"/>
  <c r="W35" i="48"/>
  <c r="Q36" i="48"/>
  <c r="J43" i="6"/>
  <c r="J44" i="7"/>
  <c r="J49" i="6"/>
  <c r="J50" i="7"/>
  <c r="Y29" i="48" l="1"/>
  <c r="I24" i="59" s="1"/>
  <c r="K29" i="48"/>
  <c r="C24" i="59" s="1"/>
  <c r="AK29" i="48"/>
  <c r="E24" i="59" s="1"/>
  <c r="S30" i="48"/>
  <c r="G25" i="59" s="1"/>
  <c r="CD29" i="2"/>
  <c r="F30" i="2"/>
  <c r="J45" i="11"/>
  <c r="K56" i="11"/>
  <c r="K57" i="11"/>
  <c r="J40" i="10"/>
  <c r="J51" i="11"/>
  <c r="J41" i="11"/>
  <c r="D45" i="4"/>
  <c r="E45" i="37"/>
  <c r="D42" i="37"/>
  <c r="E42" i="6"/>
  <c r="E39" i="6"/>
  <c r="D39" i="37"/>
  <c r="E52" i="7"/>
  <c r="E53" i="7" s="1"/>
  <c r="E47" i="6"/>
  <c r="D47" i="37"/>
  <c r="E46" i="6"/>
  <c r="D46" i="37"/>
  <c r="E49" i="4"/>
  <c r="D49" i="43"/>
  <c r="E49" i="43" s="1"/>
  <c r="D51" i="4"/>
  <c r="E51" i="37"/>
  <c r="D50" i="43"/>
  <c r="E50" i="43" s="1"/>
  <c r="E50" i="4"/>
  <c r="J39" i="8"/>
  <c r="J37" i="7"/>
  <c r="J49" i="37"/>
  <c r="J50" i="6"/>
  <c r="M33" i="48"/>
  <c r="D52" i="6"/>
  <c r="D53" i="6" s="1"/>
  <c r="D38" i="37"/>
  <c r="E38" i="6"/>
  <c r="M7" i="43"/>
  <c r="M34" i="43" s="1"/>
  <c r="W165" i="58" s="1"/>
  <c r="M34" i="4"/>
  <c r="D43" i="43"/>
  <c r="E43" i="43" s="1"/>
  <c r="E43" i="4"/>
  <c r="J43" i="37"/>
  <c r="J44" i="6"/>
  <c r="Q37" i="48"/>
  <c r="W36" i="48"/>
  <c r="D41" i="4"/>
  <c r="E41" i="37"/>
  <c r="A38" i="1"/>
  <c r="A39" i="2" s="1"/>
  <c r="Y30" i="48" l="1"/>
  <c r="I25" i="59" s="1"/>
  <c r="S31" i="48"/>
  <c r="G26" i="59" s="1"/>
  <c r="AK30" i="48"/>
  <c r="E25" i="59" s="1"/>
  <c r="K30" i="48"/>
  <c r="C25" i="59" s="1"/>
  <c r="W165" i="46"/>
  <c r="K57" i="10"/>
  <c r="J45" i="10"/>
  <c r="J40" i="9"/>
  <c r="K56" i="10"/>
  <c r="J51" i="10"/>
  <c r="J41" i="10"/>
  <c r="CD30" i="2"/>
  <c r="F31" i="2"/>
  <c r="D45" i="43"/>
  <c r="E45" i="43" s="1"/>
  <c r="E45" i="4"/>
  <c r="E52" i="6"/>
  <c r="E53" i="6" s="1"/>
  <c r="E42" i="37"/>
  <c r="D42" i="4"/>
  <c r="E39" i="37"/>
  <c r="D39" i="4"/>
  <c r="E46" i="37"/>
  <c r="D46" i="4"/>
  <c r="D47" i="4"/>
  <c r="E47" i="37"/>
  <c r="J37" i="6"/>
  <c r="J39" i="7"/>
  <c r="D51" i="43"/>
  <c r="E51" i="43" s="1"/>
  <c r="E51" i="4"/>
  <c r="J43" i="4"/>
  <c r="J44" i="37"/>
  <c r="M34" i="48"/>
  <c r="J49" i="4"/>
  <c r="J50" i="37"/>
  <c r="A39" i="1"/>
  <c r="A40" i="2" s="1"/>
  <c r="E41" i="4"/>
  <c r="D41" i="43"/>
  <c r="E41" i="43" s="1"/>
  <c r="Q38" i="48"/>
  <c r="W37" i="48"/>
  <c r="D38" i="4"/>
  <c r="E38" i="37"/>
  <c r="D52" i="37"/>
  <c r="D53" i="37" s="1"/>
  <c r="S32" i="48" l="1"/>
  <c r="G27" i="59" s="1"/>
  <c r="K31" i="48"/>
  <c r="C26" i="59" s="1"/>
  <c r="AK31" i="48"/>
  <c r="E26" i="59" s="1"/>
  <c r="Y31" i="48"/>
  <c r="I26" i="59" s="1"/>
  <c r="J40" i="8"/>
  <c r="K56" i="9"/>
  <c r="J51" i="9"/>
  <c r="J45" i="9"/>
  <c r="J41" i="9"/>
  <c r="K57" i="9"/>
  <c r="CD31" i="2"/>
  <c r="F32" i="2"/>
  <c r="D42" i="43"/>
  <c r="E42" i="43" s="1"/>
  <c r="E42" i="4"/>
  <c r="D47" i="43"/>
  <c r="E47" i="43" s="1"/>
  <c r="E47" i="4"/>
  <c r="E52" i="37"/>
  <c r="E53" i="37" s="1"/>
  <c r="E46" i="4"/>
  <c r="D46" i="43"/>
  <c r="E46" i="43" s="1"/>
  <c r="E39" i="4"/>
  <c r="D39" i="43"/>
  <c r="E39" i="43" s="1"/>
  <c r="J39" i="6"/>
  <c r="J37" i="37"/>
  <c r="E38" i="4"/>
  <c r="D38" i="43"/>
  <c r="D52" i="4"/>
  <c r="D53" i="4" s="1"/>
  <c r="Q39" i="48"/>
  <c r="W39" i="48" s="1"/>
  <c r="W38" i="48"/>
  <c r="J49" i="43"/>
  <c r="J50" i="4"/>
  <c r="J43" i="43"/>
  <c r="J44" i="4"/>
  <c r="M35" i="48"/>
  <c r="AK32" i="48" l="1"/>
  <c r="E27" i="59" s="1"/>
  <c r="S33" i="48"/>
  <c r="G28" i="59" s="1"/>
  <c r="Y32" i="48"/>
  <c r="I27" i="59" s="1"/>
  <c r="K32" i="48"/>
  <c r="C27" i="59" s="1"/>
  <c r="CD32" i="2"/>
  <c r="F33" i="2"/>
  <c r="J45" i="8"/>
  <c r="J51" i="8"/>
  <c r="K57" i="8"/>
  <c r="J40" i="7"/>
  <c r="K56" i="8"/>
  <c r="J41" i="8"/>
  <c r="E52" i="4"/>
  <c r="E53" i="4" s="1"/>
  <c r="J37" i="4"/>
  <c r="J39" i="37"/>
  <c r="M36" i="48"/>
  <c r="J44" i="43"/>
  <c r="J50" i="43"/>
  <c r="D52" i="43"/>
  <c r="E38" i="43"/>
  <c r="E52" i="43" s="1"/>
  <c r="E53" i="43" s="1"/>
  <c r="S34" i="48" l="1"/>
  <c r="G29" i="59" s="1"/>
  <c r="Y33" i="48"/>
  <c r="I28" i="59" s="1"/>
  <c r="AK33" i="48"/>
  <c r="E28" i="59" s="1"/>
  <c r="K33" i="48"/>
  <c r="C28" i="59" s="1"/>
  <c r="D53" i="43"/>
  <c r="K56" i="7"/>
  <c r="K57" i="7"/>
  <c r="J45" i="7"/>
  <c r="J41" i="7"/>
  <c r="J40" i="6"/>
  <c r="J51" i="7"/>
  <c r="CD33" i="2"/>
  <c r="F34" i="2"/>
  <c r="J37" i="43"/>
  <c r="J39" i="43" s="1"/>
  <c r="J39" i="4"/>
  <c r="M37" i="48"/>
  <c r="Y34" i="48" l="1"/>
  <c r="I29" i="59" s="1"/>
  <c r="S35" i="48"/>
  <c r="G30" i="59" s="1"/>
  <c r="K34" i="48"/>
  <c r="C29" i="59" s="1"/>
  <c r="AK34" i="48"/>
  <c r="E29" i="59" s="1"/>
  <c r="J41" i="6"/>
  <c r="K56" i="6"/>
  <c r="J40" i="37"/>
  <c r="J45" i="6"/>
  <c r="J51" i="6"/>
  <c r="K57" i="6"/>
  <c r="F35" i="2"/>
  <c r="CD34" i="2"/>
  <c r="M38" i="48"/>
  <c r="S36" i="48" l="1"/>
  <c r="G31" i="59" s="1"/>
  <c r="AK35" i="48"/>
  <c r="E30" i="59" s="1"/>
  <c r="Y35" i="48"/>
  <c r="I30" i="59" s="1"/>
  <c r="K35" i="48"/>
  <c r="C30" i="59" s="1"/>
  <c r="CD35" i="2"/>
  <c r="F36" i="2"/>
  <c r="J41" i="37"/>
  <c r="K56" i="37"/>
  <c r="J45" i="37"/>
  <c r="J51" i="37"/>
  <c r="J40" i="4"/>
  <c r="K57" i="37"/>
  <c r="M39" i="48"/>
  <c r="S37" i="48" l="1"/>
  <c r="G32" i="59" s="1"/>
  <c r="AK36" i="48"/>
  <c r="E31" i="59" s="1"/>
  <c r="Y36" i="48"/>
  <c r="I31" i="59" s="1"/>
  <c r="K36" i="48"/>
  <c r="C31" i="59" s="1"/>
  <c r="K57" i="4"/>
  <c r="J51" i="4"/>
  <c r="J45" i="4"/>
  <c r="J40" i="43"/>
  <c r="J41" i="4"/>
  <c r="K56" i="4"/>
  <c r="CD36" i="2"/>
  <c r="F37" i="2"/>
  <c r="S38" i="48" l="1"/>
  <c r="G33" i="59" s="1"/>
  <c r="AK37" i="48"/>
  <c r="E32" i="59" s="1"/>
  <c r="Y37" i="48"/>
  <c r="I32" i="59" s="1"/>
  <c r="K37" i="48"/>
  <c r="C32" i="59" s="1"/>
  <c r="J51" i="43"/>
  <c r="J41" i="43"/>
  <c r="J45" i="43"/>
  <c r="K56" i="43"/>
  <c r="K57" i="43"/>
  <c r="F38" i="2"/>
  <c r="CD37" i="2"/>
  <c r="Y38" i="48" l="1"/>
  <c r="I33" i="59" s="1"/>
  <c r="AK38" i="48"/>
  <c r="E33" i="59" s="1"/>
  <c r="K38" i="48"/>
  <c r="C33" i="59" s="1"/>
  <c r="S39" i="48"/>
  <c r="G34" i="59" s="1"/>
  <c r="F38" i="59" s="1"/>
  <c r="F39" i="2"/>
  <c r="CD38" i="2"/>
  <c r="Y39" i="48" l="1"/>
  <c r="I34" i="59" s="1"/>
  <c r="H38" i="59" s="1"/>
  <c r="K39" i="48"/>
  <c r="C34" i="59" s="1"/>
  <c r="B38" i="59" s="1"/>
  <c r="AK39" i="48"/>
  <c r="E34" i="59" s="1"/>
  <c r="D38" i="59" s="1"/>
  <c r="CD39" i="2"/>
  <c r="F40" i="2"/>
  <c r="CD40" i="2" s="1"/>
  <c r="AR12" i="45" l="1"/>
  <c r="F12" i="45"/>
  <c r="G12" i="45"/>
  <c r="AR17" i="45"/>
  <c r="F17" i="45"/>
  <c r="G17" i="45"/>
  <c r="AR23" i="45"/>
  <c r="F23" i="45"/>
  <c r="G23" i="45"/>
  <c r="AR13" i="45"/>
  <c r="F13" i="45"/>
  <c r="G13" i="45"/>
  <c r="AR24" i="45"/>
  <c r="F24" i="45"/>
  <c r="G24" i="45"/>
  <c r="AR30" i="45"/>
  <c r="F30" i="45"/>
  <c r="G30" i="45"/>
  <c r="AR18" i="45"/>
  <c r="F18" i="45"/>
  <c r="G18" i="45"/>
  <c r="AR25" i="45"/>
  <c r="F25" i="45"/>
  <c r="G25" i="45"/>
  <c r="AR34" i="45"/>
  <c r="F34" i="45"/>
  <c r="G34" i="45"/>
  <c r="AR14" i="45"/>
  <c r="F14" i="45"/>
  <c r="G14" i="45"/>
  <c r="AR26" i="45"/>
  <c r="F26" i="45"/>
  <c r="G26" i="45"/>
  <c r="AR31" i="45"/>
  <c r="F31" i="45"/>
  <c r="G31" i="45"/>
  <c r="AR15" i="45"/>
  <c r="F15" i="45"/>
  <c r="G15" i="45"/>
  <c r="AR19" i="45"/>
  <c r="F19" i="45"/>
  <c r="G19" i="45"/>
  <c r="AR27" i="45"/>
  <c r="F27" i="45"/>
  <c r="G27" i="45"/>
  <c r="AR32" i="45"/>
  <c r="F32" i="45"/>
  <c r="G32" i="45"/>
  <c r="AR33" i="45"/>
  <c r="F33" i="45"/>
  <c r="G33" i="45"/>
  <c r="AR35" i="45"/>
  <c r="F35" i="45"/>
  <c r="G35" i="45"/>
  <c r="AR10" i="45"/>
  <c r="F10" i="45"/>
  <c r="G10" i="45"/>
  <c r="AR20" i="45"/>
  <c r="G20" i="45"/>
  <c r="F20" i="45"/>
  <c r="AR9" i="45"/>
  <c r="F9" i="45"/>
  <c r="G9" i="45"/>
  <c r="AR16" i="45"/>
  <c r="F16" i="45"/>
  <c r="G16" i="45"/>
  <c r="AR28" i="45"/>
  <c r="F28" i="45"/>
  <c r="G28" i="45"/>
  <c r="AR36" i="45"/>
  <c r="F36" i="45"/>
  <c r="G36" i="45"/>
  <c r="F37" i="45"/>
  <c r="G37" i="45"/>
  <c r="AR11" i="45"/>
  <c r="F11" i="45"/>
  <c r="G11" i="45"/>
  <c r="AR21" i="45"/>
  <c r="F21" i="45"/>
  <c r="G21" i="45"/>
  <c r="AR29" i="45"/>
  <c r="F29" i="45"/>
  <c r="G29" i="45"/>
  <c r="I46" i="20" l="1"/>
  <c r="AS21" i="45"/>
  <c r="AT21" i="45"/>
  <c r="I46" i="14"/>
  <c r="AS27" i="45"/>
  <c r="AT27" i="45"/>
  <c r="AR38" i="45"/>
  <c r="F38" i="45"/>
  <c r="G38" i="45"/>
  <c r="I46" i="31"/>
  <c r="AS10" i="45"/>
  <c r="AT10" i="45"/>
  <c r="I46" i="27"/>
  <c r="AS13" i="45"/>
  <c r="AT13" i="45"/>
  <c r="I46" i="22"/>
  <c r="AT20" i="45"/>
  <c r="AS20" i="45"/>
  <c r="I46" i="17"/>
  <c r="AS24" i="45"/>
  <c r="AT24" i="45"/>
  <c r="I46" i="25"/>
  <c r="AS16" i="45"/>
  <c r="AT16" i="45"/>
  <c r="I46" i="21"/>
  <c r="AS19" i="45"/>
  <c r="AT19" i="45"/>
  <c r="I46" i="12"/>
  <c r="AS29" i="45"/>
  <c r="AT29" i="45"/>
  <c r="I46" i="10"/>
  <c r="AS31" i="45"/>
  <c r="AT31" i="45"/>
  <c r="I46" i="18"/>
  <c r="AS23" i="45"/>
  <c r="AT23" i="45"/>
  <c r="I46" i="30"/>
  <c r="AS11" i="45"/>
  <c r="AT11" i="45"/>
  <c r="I46" i="6"/>
  <c r="AS35" i="45"/>
  <c r="AT35" i="45"/>
  <c r="I46" i="28"/>
  <c r="AS14" i="45"/>
  <c r="AT14" i="45"/>
  <c r="I46" i="7"/>
  <c r="AS34" i="45"/>
  <c r="AT34" i="45"/>
  <c r="I46" i="11"/>
  <c r="AS30" i="45"/>
  <c r="AT30" i="45"/>
  <c r="I46" i="26"/>
  <c r="AS15" i="45"/>
  <c r="AT15" i="45"/>
  <c r="I46" i="15"/>
  <c r="AS26" i="45"/>
  <c r="AT26" i="45"/>
  <c r="I46" i="8"/>
  <c r="AS33" i="45"/>
  <c r="AT33" i="45"/>
  <c r="I46" i="16"/>
  <c r="AS25" i="45"/>
  <c r="AT25" i="45"/>
  <c r="I46" i="24"/>
  <c r="AS17" i="45"/>
  <c r="AT17" i="45"/>
  <c r="I46" i="13"/>
  <c r="AS28" i="45"/>
  <c r="AT28" i="45"/>
  <c r="I46" i="9"/>
  <c r="AS32" i="45"/>
  <c r="AT32" i="45"/>
  <c r="I46" i="23"/>
  <c r="AS18" i="45"/>
  <c r="AT18" i="45"/>
  <c r="I46" i="37"/>
  <c r="AS36" i="45"/>
  <c r="AT36" i="45"/>
  <c r="I46" i="19"/>
  <c r="I46" i="32"/>
  <c r="AS9" i="45"/>
  <c r="AT9" i="45"/>
  <c r="E40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F8" i="45"/>
  <c r="G8" i="45"/>
  <c r="I46" i="29"/>
  <c r="AS12" i="45"/>
  <c r="AT12" i="45"/>
  <c r="D22" i="45" l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I47" i="8"/>
  <c r="I48" i="8"/>
  <c r="Z34" i="48"/>
  <c r="Z16" i="48"/>
  <c r="I47" i="26"/>
  <c r="I48" i="26"/>
  <c r="I48" i="22"/>
  <c r="Z21" i="48"/>
  <c r="I47" i="22"/>
  <c r="Z19" i="48"/>
  <c r="I47" i="23"/>
  <c r="I48" i="23"/>
  <c r="I47" i="28"/>
  <c r="Z15" i="48"/>
  <c r="I48" i="28"/>
  <c r="Z30" i="48"/>
  <c r="I47" i="12"/>
  <c r="I48" i="12"/>
  <c r="I46" i="43"/>
  <c r="AS38" i="45"/>
  <c r="AT38" i="45"/>
  <c r="Z23" i="48"/>
  <c r="I47" i="19"/>
  <c r="I48" i="19"/>
  <c r="Z18" i="48"/>
  <c r="I47" i="24"/>
  <c r="I48" i="24"/>
  <c r="F40" i="45"/>
  <c r="G40" i="45"/>
  <c r="Z31" i="48"/>
  <c r="I47" i="11"/>
  <c r="I48" i="11"/>
  <c r="Z24" i="48"/>
  <c r="I47" i="18"/>
  <c r="I48" i="18"/>
  <c r="I47" i="27"/>
  <c r="Z14" i="48"/>
  <c r="I48" i="27"/>
  <c r="Z33" i="48"/>
  <c r="I47" i="9"/>
  <c r="I48" i="9"/>
  <c r="Z36" i="48"/>
  <c r="I48" i="6"/>
  <c r="I47" i="6"/>
  <c r="I47" i="21"/>
  <c r="Z20" i="48"/>
  <c r="I48" i="21"/>
  <c r="I47" i="14"/>
  <c r="Z28" i="48"/>
  <c r="I48" i="14"/>
  <c r="I47" i="37"/>
  <c r="Z37" i="48"/>
  <c r="I48" i="37"/>
  <c r="I47" i="16"/>
  <c r="Z26" i="48"/>
  <c r="I48" i="16"/>
  <c r="I47" i="15"/>
  <c r="Z27" i="48"/>
  <c r="I48" i="15"/>
  <c r="I47" i="17"/>
  <c r="Z25" i="48"/>
  <c r="I48" i="17"/>
  <c r="Z35" i="48"/>
  <c r="I47" i="7"/>
  <c r="I48" i="7"/>
  <c r="I47" i="10"/>
  <c r="I48" i="10"/>
  <c r="Z32" i="48"/>
  <c r="I47" i="31"/>
  <c r="Z11" i="48"/>
  <c r="I48" i="31"/>
  <c r="I47" i="29"/>
  <c r="Z13" i="48"/>
  <c r="I48" i="29"/>
  <c r="Z10" i="48"/>
  <c r="I47" i="32"/>
  <c r="I48" i="32"/>
  <c r="Z29" i="48"/>
  <c r="I47" i="13"/>
  <c r="I48" i="13"/>
  <c r="Z12" i="48"/>
  <c r="I47" i="30"/>
  <c r="I48" i="30"/>
  <c r="Z17" i="48"/>
  <c r="I47" i="25"/>
  <c r="I48" i="25"/>
  <c r="Z22" i="48"/>
  <c r="I47" i="20"/>
  <c r="I48" i="20"/>
  <c r="AB35" i="48" l="1"/>
  <c r="AD35" i="48"/>
  <c r="J30" i="59" s="1"/>
  <c r="AB33" i="48"/>
  <c r="AD33" i="48"/>
  <c r="J28" i="59" s="1"/>
  <c r="I47" i="43"/>
  <c r="I48" i="43"/>
  <c r="Z39" i="48"/>
  <c r="AB18" i="48"/>
  <c r="AD18" i="48"/>
  <c r="J13" i="59" s="1"/>
  <c r="AB10" i="48"/>
  <c r="AD10" i="48"/>
  <c r="J5" i="59" s="1"/>
  <c r="AB32" i="48"/>
  <c r="AD32" i="48"/>
  <c r="J27" i="59" s="1"/>
  <c r="AB24" i="48"/>
  <c r="AD24" i="48"/>
  <c r="J19" i="59" s="1"/>
  <c r="AB25" i="48"/>
  <c r="AD25" i="48"/>
  <c r="J20" i="59" s="1"/>
  <c r="AB26" i="48"/>
  <c r="AD26" i="48"/>
  <c r="J21" i="59" s="1"/>
  <c r="AB28" i="48"/>
  <c r="AD28" i="48"/>
  <c r="J23" i="59" s="1"/>
  <c r="AB16" i="48"/>
  <c r="AD16" i="48"/>
  <c r="J11" i="59" s="1"/>
  <c r="AB13" i="48"/>
  <c r="AD13" i="48"/>
  <c r="J8" i="59" s="1"/>
  <c r="AB36" i="48"/>
  <c r="AD36" i="48"/>
  <c r="J31" i="59" s="1"/>
  <c r="AB30" i="48"/>
  <c r="AD30" i="48"/>
  <c r="J25" i="59" s="1"/>
  <c r="AB19" i="48"/>
  <c r="AD19" i="48"/>
  <c r="J14" i="59" s="1"/>
  <c r="AB14" i="48"/>
  <c r="AD14" i="48"/>
  <c r="J9" i="59" s="1"/>
  <c r="AB23" i="48"/>
  <c r="AD23" i="48"/>
  <c r="J18" i="59" s="1"/>
  <c r="AD34" i="48"/>
  <c r="J29" i="59" s="1"/>
  <c r="AB34" i="48"/>
  <c r="AB22" i="48"/>
  <c r="AD22" i="48"/>
  <c r="J17" i="59" s="1"/>
  <c r="AB31" i="48"/>
  <c r="AD31" i="48"/>
  <c r="J26" i="59" s="1"/>
  <c r="AB12" i="48"/>
  <c r="AD12" i="48"/>
  <c r="J7" i="59" s="1"/>
  <c r="AB17" i="48"/>
  <c r="AD17" i="48"/>
  <c r="J12" i="59" s="1"/>
  <c r="AB29" i="48"/>
  <c r="AD29" i="48"/>
  <c r="J24" i="59" s="1"/>
  <c r="AB11" i="48"/>
  <c r="AD11" i="48"/>
  <c r="J6" i="59" s="1"/>
  <c r="AB27" i="48"/>
  <c r="AD27" i="48"/>
  <c r="J22" i="59" s="1"/>
  <c r="AB37" i="48"/>
  <c r="AD37" i="48"/>
  <c r="J32" i="59" s="1"/>
  <c r="AB20" i="48"/>
  <c r="AD20" i="48"/>
  <c r="J15" i="59" s="1"/>
  <c r="AB15" i="48"/>
  <c r="AD15" i="48"/>
  <c r="J10" i="59" s="1"/>
  <c r="AD21" i="48"/>
  <c r="J16" i="59" s="1"/>
  <c r="AB21" i="48"/>
  <c r="AB39" i="48" l="1"/>
  <c r="AD39" i="48"/>
  <c r="J34" i="59" s="1"/>
  <c r="CC41" i="1" l="1"/>
  <c r="CD18" i="1"/>
  <c r="CE18" i="1"/>
  <c r="KT18" i="1" s="1"/>
  <c r="CD41" i="1" l="1"/>
  <c r="CE41" i="1"/>
  <c r="BY27" i="1" l="1"/>
  <c r="KT27" i="1"/>
  <c r="BX27" i="1"/>
  <c r="BW41" i="1"/>
  <c r="BX41" i="1" l="1"/>
  <c r="BY41" i="1"/>
  <c r="AO37" i="45" l="1"/>
  <c r="AK37" i="45"/>
  <c r="AG37" i="45"/>
  <c r="AC37" i="45"/>
  <c r="Y37" i="45"/>
  <c r="Z37" i="45" l="1"/>
  <c r="AA37" i="45"/>
  <c r="AO40" i="45"/>
  <c r="AN37" i="45"/>
  <c r="AN38" i="45" s="1"/>
  <c r="AP37" i="45"/>
  <c r="AQ37" i="45"/>
  <c r="AK40" i="45"/>
  <c r="AL37" i="45"/>
  <c r="AJ37" i="45"/>
  <c r="AJ38" i="45" s="1"/>
  <c r="AM37" i="45"/>
  <c r="AG40" i="45"/>
  <c r="AF37" i="45"/>
  <c r="AF38" i="45" s="1"/>
  <c r="AH37" i="45"/>
  <c r="AI37" i="45"/>
  <c r="AD37" i="45"/>
  <c r="AE37" i="45"/>
  <c r="AR37" i="45"/>
  <c r="Y8" i="45"/>
  <c r="AC8" i="45"/>
  <c r="AC40" i="45" s="1"/>
  <c r="AP40" i="45" l="1"/>
  <c r="AX22" i="45" s="1"/>
  <c r="AX24" i="45" s="1"/>
  <c r="AQ40" i="45"/>
  <c r="AY22" i="45" s="1"/>
  <c r="AY24" i="45" s="1"/>
  <c r="AL40" i="45"/>
  <c r="AM40" i="45"/>
  <c r="X8" i="45"/>
  <c r="X9" i="45" s="1"/>
  <c r="X10" i="45" s="1"/>
  <c r="X11" i="45" s="1"/>
  <c r="X12" i="45" s="1"/>
  <c r="X13" i="45" s="1"/>
  <c r="X14" i="45" s="1"/>
  <c r="X15" i="45" s="1"/>
  <c r="X16" i="45" s="1"/>
  <c r="X17" i="45" s="1"/>
  <c r="X18" i="45" s="1"/>
  <c r="X19" i="45" s="1"/>
  <c r="X20" i="45" s="1"/>
  <c r="X21" i="45" s="1"/>
  <c r="X22" i="45" s="1"/>
  <c r="X23" i="45" s="1"/>
  <c r="X24" i="45" s="1"/>
  <c r="X25" i="45" s="1"/>
  <c r="X26" i="45" s="1"/>
  <c r="X27" i="45" s="1"/>
  <c r="X28" i="45" s="1"/>
  <c r="X29" i="45" s="1"/>
  <c r="X30" i="45" s="1"/>
  <c r="X31" i="45" s="1"/>
  <c r="X32" i="45" s="1"/>
  <c r="X33" i="45" s="1"/>
  <c r="X34" i="45" s="1"/>
  <c r="X35" i="45" s="1"/>
  <c r="X36" i="45" s="1"/>
  <c r="X37" i="45" s="1"/>
  <c r="X38" i="45" s="1"/>
  <c r="Y40" i="45"/>
  <c r="AR40" i="45" s="1"/>
  <c r="AR42" i="45" s="1"/>
  <c r="Z8" i="45"/>
  <c r="AA8" i="45"/>
  <c r="AR8" i="45"/>
  <c r="AB8" i="45"/>
  <c r="AB9" i="45" s="1"/>
  <c r="AB10" i="45" s="1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AB22" i="45" s="1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AD8" i="45"/>
  <c r="AE8" i="45"/>
  <c r="AH40" i="45"/>
  <c r="AI40" i="45"/>
  <c r="I46" i="4"/>
  <c r="AS37" i="45"/>
  <c r="AT37" i="45"/>
  <c r="AD40" i="45"/>
  <c r="AE40" i="45"/>
  <c r="AY26" i="45" l="1"/>
  <c r="AS8" i="45"/>
  <c r="AT8" i="45"/>
  <c r="I46" i="33"/>
  <c r="Z40" i="45"/>
  <c r="AA40" i="45"/>
  <c r="AT40" i="45"/>
  <c r="AS40" i="45"/>
  <c r="Z38" i="48"/>
  <c r="I47" i="4"/>
  <c r="I48" i="4"/>
  <c r="I48" i="33" l="1"/>
  <c r="J46" i="33"/>
  <c r="I47" i="33"/>
  <c r="Z9" i="48"/>
  <c r="AD38" i="48"/>
  <c r="J33" i="59" s="1"/>
  <c r="AB38" i="48"/>
  <c r="AA9" i="48" l="1"/>
  <c r="AB9" i="48"/>
  <c r="AD9" i="48"/>
  <c r="J4" i="59" s="1"/>
  <c r="Z41" i="48"/>
  <c r="AD41" i="48" s="1"/>
  <c r="J47" i="33"/>
  <c r="J48" i="33"/>
  <c r="J46" i="32"/>
  <c r="AB41" i="48" l="1"/>
  <c r="J46" i="31"/>
  <c r="J47" i="32"/>
  <c r="J48" i="32"/>
  <c r="AA10" i="48"/>
  <c r="AE9" i="48"/>
  <c r="K4" i="59" s="1"/>
  <c r="AC9" i="48"/>
  <c r="AA11" i="48" l="1"/>
  <c r="AE10" i="48"/>
  <c r="K5" i="59" s="1"/>
  <c r="AC10" i="48"/>
  <c r="J48" i="31"/>
  <c r="J46" i="30"/>
  <c r="J47" i="31"/>
  <c r="J46" i="29" l="1"/>
  <c r="J48" i="30"/>
  <c r="J47" i="30"/>
  <c r="AC11" i="48"/>
  <c r="AA12" i="48"/>
  <c r="AE11" i="48"/>
  <c r="K6" i="59" s="1"/>
  <c r="AA13" i="48" l="1"/>
  <c r="AC12" i="48"/>
  <c r="AE12" i="48"/>
  <c r="K7" i="59" s="1"/>
  <c r="J46" i="27"/>
  <c r="J47" i="29"/>
  <c r="J48" i="29"/>
  <c r="J47" i="27" l="1"/>
  <c r="J48" i="27"/>
  <c r="J46" i="28"/>
  <c r="AA14" i="48"/>
  <c r="AE13" i="48"/>
  <c r="K8" i="59" s="1"/>
  <c r="AC13" i="48"/>
  <c r="AA15" i="48" l="1"/>
  <c r="AE14" i="48"/>
  <c r="K9" i="59" s="1"/>
  <c r="AC14" i="48"/>
  <c r="J46" i="26"/>
  <c r="J48" i="28"/>
  <c r="J47" i="28"/>
  <c r="J47" i="26" l="1"/>
  <c r="J48" i="26"/>
  <c r="J46" i="25"/>
  <c r="AA16" i="48"/>
  <c r="AC15" i="48"/>
  <c r="AE15" i="48"/>
  <c r="K10" i="59" s="1"/>
  <c r="AA17" i="48" l="1"/>
  <c r="AE16" i="48"/>
  <c r="K11" i="59" s="1"/>
  <c r="AC16" i="48"/>
  <c r="J47" i="25"/>
  <c r="J48" i="25"/>
  <c r="J46" i="24"/>
  <c r="J47" i="24" l="1"/>
  <c r="J48" i="24"/>
  <c r="J46" i="23"/>
  <c r="AC17" i="48"/>
  <c r="AA18" i="48"/>
  <c r="AE17" i="48"/>
  <c r="K12" i="59" s="1"/>
  <c r="AA19" i="48" l="1"/>
  <c r="AC18" i="48"/>
  <c r="AE18" i="48"/>
  <c r="K13" i="59" s="1"/>
  <c r="J47" i="23"/>
  <c r="J46" i="21"/>
  <c r="J48" i="23"/>
  <c r="J47" i="21" l="1"/>
  <c r="J48" i="21"/>
  <c r="J46" i="22"/>
  <c r="AA20" i="48"/>
  <c r="AC19" i="48"/>
  <c r="AE19" i="48"/>
  <c r="K14" i="59" s="1"/>
  <c r="AA21" i="48" l="1"/>
  <c r="AC20" i="48"/>
  <c r="AE20" i="48"/>
  <c r="K15" i="59" s="1"/>
  <c r="J48" i="22"/>
  <c r="J46" i="20"/>
  <c r="J47" i="22"/>
  <c r="J47" i="20" l="1"/>
  <c r="J48" i="20"/>
  <c r="J46" i="19"/>
  <c r="AA22" i="48"/>
  <c r="AC21" i="48"/>
  <c r="AE21" i="48"/>
  <c r="K16" i="59" s="1"/>
  <c r="J47" i="19" l="1"/>
  <c r="J46" i="18"/>
  <c r="J48" i="19"/>
  <c r="AA23" i="48"/>
  <c r="AC22" i="48"/>
  <c r="AE22" i="48"/>
  <c r="K17" i="59" s="1"/>
  <c r="J47" i="18" l="1"/>
  <c r="J48" i="18"/>
  <c r="J46" i="17"/>
  <c r="AE23" i="48"/>
  <c r="K18" i="59" s="1"/>
  <c r="AA24" i="48"/>
  <c r="AC23" i="48"/>
  <c r="AA25" i="48" l="1"/>
  <c r="AC24" i="48"/>
  <c r="AE24" i="48"/>
  <c r="K19" i="59" s="1"/>
  <c r="J47" i="17"/>
  <c r="J48" i="17"/>
  <c r="J46" i="16"/>
  <c r="J47" i="16" l="1"/>
  <c r="J48" i="16"/>
  <c r="J46" i="15"/>
  <c r="AA26" i="48"/>
  <c r="AC25" i="48"/>
  <c r="AE25" i="48"/>
  <c r="K20" i="59" s="1"/>
  <c r="AA27" i="48" l="1"/>
  <c r="AC26" i="48"/>
  <c r="AE26" i="48"/>
  <c r="K21" i="59" s="1"/>
  <c r="J48" i="15"/>
  <c r="J46" i="14"/>
  <c r="J47" i="15"/>
  <c r="J47" i="14" l="1"/>
  <c r="J48" i="14"/>
  <c r="J46" i="13"/>
  <c r="AA28" i="48"/>
  <c r="AC27" i="48"/>
  <c r="AE27" i="48"/>
  <c r="K22" i="59" s="1"/>
  <c r="AA29" i="48" l="1"/>
  <c r="AC28" i="48"/>
  <c r="AE28" i="48"/>
  <c r="K23" i="59" s="1"/>
  <c r="J48" i="13"/>
  <c r="J46" i="12"/>
  <c r="J47" i="13"/>
  <c r="J47" i="12" l="1"/>
  <c r="J48" i="12"/>
  <c r="J46" i="11"/>
  <c r="AA30" i="48"/>
  <c r="AC29" i="48"/>
  <c r="AE29" i="48"/>
  <c r="K24" i="59" s="1"/>
  <c r="AA31" i="48" l="1"/>
  <c r="AC30" i="48"/>
  <c r="AE30" i="48"/>
  <c r="K25" i="59" s="1"/>
  <c r="J48" i="11"/>
  <c r="J46" i="10"/>
  <c r="J47" i="11"/>
  <c r="J47" i="10" l="1"/>
  <c r="J48" i="10"/>
  <c r="J46" i="9"/>
  <c r="AA32" i="48"/>
  <c r="AC31" i="48"/>
  <c r="AE31" i="48"/>
  <c r="K26" i="59" s="1"/>
  <c r="AA33" i="48" l="1"/>
  <c r="AC32" i="48"/>
  <c r="AE32" i="48"/>
  <c r="K27" i="59" s="1"/>
  <c r="J47" i="9"/>
  <c r="J46" i="8"/>
  <c r="J48" i="9"/>
  <c r="J47" i="8" l="1"/>
  <c r="J48" i="8"/>
  <c r="J46" i="7"/>
  <c r="AA34" i="48"/>
  <c r="AC33" i="48"/>
  <c r="AE33" i="48"/>
  <c r="K28" i="59" s="1"/>
  <c r="AA35" i="48" l="1"/>
  <c r="AC34" i="48"/>
  <c r="AE34" i="48"/>
  <c r="K29" i="59" s="1"/>
  <c r="J48" i="7"/>
  <c r="J46" i="6"/>
  <c r="J47" i="7"/>
  <c r="J47" i="6" l="1"/>
  <c r="J48" i="6"/>
  <c r="J46" i="37"/>
  <c r="AA36" i="48"/>
  <c r="AC35" i="48"/>
  <c r="AE35" i="48"/>
  <c r="K30" i="59" s="1"/>
  <c r="AA37" i="48" l="1"/>
  <c r="AC36" i="48"/>
  <c r="AE36" i="48"/>
  <c r="K31" i="59" s="1"/>
  <c r="J47" i="37"/>
  <c r="J48" i="37"/>
  <c r="J46" i="4"/>
  <c r="J48" i="4" l="1"/>
  <c r="J47" i="4"/>
  <c r="J46" i="43"/>
  <c r="AC37" i="48"/>
  <c r="AE37" i="48"/>
  <c r="K32" i="59" s="1"/>
  <c r="AA38" i="48"/>
  <c r="AC38" i="48" l="1"/>
  <c r="AE38" i="48"/>
  <c r="K33" i="59" s="1"/>
  <c r="AA39" i="48"/>
  <c r="J47" i="43"/>
  <c r="J48" i="43"/>
  <c r="AC39" i="48" l="1"/>
  <c r="AE39" i="48"/>
  <c r="K34" i="59" s="1"/>
  <c r="J38" i="59" s="1"/>
  <c r="AN4" i="59" l="1"/>
  <c r="AO4" i="59" l="1"/>
  <c r="AP38" i="59" l="1"/>
  <c r="AO5" i="59" l="1"/>
  <c r="AO6" i="59" l="1"/>
  <c r="AO7" i="59" l="1"/>
  <c r="AO9" i="59" l="1"/>
  <c r="AO8" i="59"/>
  <c r="AO10" i="59" l="1"/>
  <c r="AO11" i="59" l="1"/>
  <c r="AO12" i="59" l="1"/>
  <c r="AO13" i="59" l="1"/>
  <c r="AO14" i="59" l="1"/>
  <c r="AO15" i="59" l="1"/>
  <c r="AO16" i="59" l="1"/>
  <c r="AO17" i="59" l="1"/>
  <c r="AO18" i="59" l="1"/>
  <c r="AO19" i="59" l="1"/>
  <c r="AO20" i="59" l="1"/>
  <c r="AO21" i="59" l="1"/>
  <c r="AO22" i="59" l="1"/>
  <c r="AO23" i="59" l="1"/>
  <c r="AO24" i="59" l="1"/>
  <c r="AO25" i="59" l="1"/>
  <c r="AO26" i="59" l="1"/>
  <c r="AO27" i="59" l="1"/>
  <c r="AO28" i="59" l="1"/>
  <c r="AO29" i="59" l="1"/>
  <c r="AO30" i="59" l="1"/>
  <c r="AO31" i="59" l="1"/>
  <c r="AO32" i="59" l="1"/>
  <c r="AO33" i="59" l="1"/>
  <c r="AO34" i="59" l="1"/>
  <c r="AN38" i="59" s="1"/>
  <c r="BL6" i="59" l="1"/>
  <c r="BM6" i="59" l="1"/>
  <c r="BM7" i="59" l="1"/>
  <c r="BM8" i="59"/>
  <c r="P8" i="59" l="1"/>
  <c r="P7" i="59" l="1"/>
  <c r="N4" i="59"/>
  <c r="L8" i="59"/>
  <c r="R8" i="59"/>
  <c r="N8" i="59"/>
  <c r="T8" i="59"/>
  <c r="N5" i="59" l="1"/>
  <c r="L7" i="59"/>
  <c r="T7" i="59"/>
  <c r="R7" i="59"/>
  <c r="N7" i="59"/>
  <c r="O4" i="59"/>
  <c r="N6" i="59" l="1"/>
  <c r="O5" i="59" l="1"/>
  <c r="O6" i="59" l="1"/>
  <c r="Q7" i="59"/>
  <c r="O7" i="59" l="1"/>
  <c r="S7" i="59"/>
  <c r="Q8" i="59"/>
  <c r="U7" i="59"/>
  <c r="O8" i="59" l="1"/>
  <c r="S8" i="59"/>
  <c r="U8" i="59"/>
  <c r="U9" i="59" l="1"/>
  <c r="Q9" i="59"/>
  <c r="O9" i="59"/>
  <c r="S9" i="59"/>
  <c r="Q10" i="59"/>
  <c r="S10" i="59" l="1"/>
  <c r="O10" i="59"/>
  <c r="U10" i="59"/>
  <c r="Q12" i="59" l="1"/>
  <c r="Q11" i="59"/>
  <c r="S11" i="59"/>
  <c r="O11" i="59"/>
  <c r="U11" i="59"/>
  <c r="O12" i="59"/>
  <c r="U12" i="59"/>
  <c r="S12" i="59"/>
  <c r="Q13" i="59"/>
  <c r="O13" i="59" l="1"/>
  <c r="U13" i="59"/>
  <c r="S13" i="59"/>
  <c r="M7" i="59" l="1"/>
  <c r="M8" i="59" l="1"/>
  <c r="M9" i="59" l="1"/>
  <c r="M10" i="59" l="1"/>
  <c r="M11" i="59" l="1"/>
  <c r="M12" i="59" l="1"/>
  <c r="M13" i="59" l="1"/>
  <c r="BJ9" i="59" l="1"/>
  <c r="BL9" i="59" l="1"/>
  <c r="BK9" i="59" l="1"/>
  <c r="BM9" i="59" l="1"/>
  <c r="BJ10" i="59" l="1"/>
  <c r="BL10" i="59" l="1"/>
  <c r="BK10" i="59" l="1"/>
  <c r="BM10" i="59" l="1"/>
  <c r="BJ11" i="59" l="1"/>
  <c r="BL11" i="59"/>
  <c r="BK11" i="59" l="1"/>
  <c r="BM11" i="59" l="1"/>
  <c r="KV16" i="1" l="1"/>
  <c r="BB41" i="1"/>
  <c r="BD16" i="1"/>
  <c r="KT16" i="1"/>
  <c r="BC16" i="1"/>
  <c r="BC41" i="1" l="1"/>
  <c r="BD41" i="1"/>
  <c r="BJ12" i="59" l="1"/>
  <c r="BL12" i="59" l="1"/>
  <c r="BK12" i="59" l="1"/>
  <c r="BM12" i="59" l="1"/>
  <c r="BJ13" i="59" l="1"/>
  <c r="BL13" i="59"/>
  <c r="BK13" i="59" l="1"/>
  <c r="BM13" i="59" l="1"/>
  <c r="BJ14" i="59" l="1"/>
  <c r="BJ15" i="59" l="1"/>
  <c r="BL14" i="59"/>
  <c r="BL15" i="59" l="1"/>
  <c r="BK14" i="59" l="1"/>
  <c r="BK15" i="59" l="1"/>
  <c r="BM14" i="59"/>
  <c r="BM15" i="59" l="1"/>
  <c r="P15" i="59" l="1"/>
  <c r="P14" i="59"/>
  <c r="N15" i="59" l="1"/>
  <c r="N14" i="59"/>
  <c r="T15" i="59"/>
  <c r="L15" i="59"/>
  <c r="R15" i="59"/>
  <c r="T14" i="59"/>
  <c r="L14" i="59"/>
  <c r="R14" i="59"/>
  <c r="Q14" i="59" l="1"/>
  <c r="O14" i="59" l="1"/>
  <c r="U14" i="59"/>
  <c r="S14" i="59"/>
  <c r="Q15" i="59"/>
  <c r="O15" i="59" l="1"/>
  <c r="U15" i="59"/>
  <c r="Q16" i="59"/>
  <c r="S15" i="59"/>
  <c r="O16" i="59" l="1"/>
  <c r="S16" i="59"/>
  <c r="U16" i="59"/>
  <c r="Q17" i="59"/>
  <c r="O17" i="59" l="1"/>
  <c r="U17" i="59"/>
  <c r="Q18" i="59"/>
  <c r="S17" i="59"/>
  <c r="O18" i="59" l="1"/>
  <c r="Q19" i="59"/>
  <c r="U18" i="59"/>
  <c r="S18" i="59"/>
  <c r="O19" i="59" l="1"/>
  <c r="S19" i="59"/>
  <c r="Q20" i="59"/>
  <c r="U19" i="59"/>
  <c r="O20" i="59" l="1"/>
  <c r="Q21" i="59"/>
  <c r="U20" i="59"/>
  <c r="S20" i="59"/>
  <c r="O21" i="59" l="1"/>
  <c r="U21" i="59"/>
  <c r="S21" i="59"/>
  <c r="Q22" i="59"/>
  <c r="O22" i="59" l="1"/>
  <c r="Q23" i="59"/>
  <c r="S22" i="59"/>
  <c r="U22" i="59"/>
  <c r="O23" i="59" l="1"/>
  <c r="U23" i="59"/>
  <c r="Q24" i="59"/>
  <c r="S23" i="59"/>
  <c r="Q25" i="59" l="1"/>
  <c r="S24" i="59"/>
  <c r="U24" i="59"/>
  <c r="S25" i="59" l="1"/>
  <c r="Q26" i="59"/>
  <c r="U25" i="59"/>
  <c r="U26" i="59" l="1"/>
  <c r="S26" i="59"/>
  <c r="Q27" i="59"/>
  <c r="Q28" i="59" l="1"/>
  <c r="S27" i="59"/>
  <c r="U27" i="59"/>
  <c r="S28" i="59" l="1"/>
  <c r="Q29" i="59"/>
  <c r="U28" i="59"/>
  <c r="U29" i="59" l="1"/>
  <c r="S29" i="59"/>
  <c r="Q30" i="59"/>
  <c r="U30" i="59" l="1"/>
  <c r="Q31" i="59"/>
  <c r="S30" i="59"/>
  <c r="Q32" i="59" l="1"/>
  <c r="U31" i="59"/>
  <c r="S31" i="59"/>
  <c r="U32" i="59" l="1"/>
  <c r="Q33" i="59"/>
  <c r="S32" i="59"/>
  <c r="Q34" i="59" l="1"/>
  <c r="P38" i="59" s="1"/>
  <c r="S33" i="59"/>
  <c r="U33" i="59"/>
  <c r="S34" i="59" l="1"/>
  <c r="R38" i="59" s="1"/>
  <c r="U34" i="59"/>
  <c r="T38" i="59" s="1"/>
  <c r="M14" i="59" l="1"/>
  <c r="M15" i="59" l="1"/>
  <c r="M16" i="59" l="1"/>
  <c r="M17" i="59" l="1"/>
  <c r="M18" i="59" l="1"/>
  <c r="M19" i="59" l="1"/>
  <c r="M20" i="59" l="1"/>
  <c r="M21" i="59" l="1"/>
  <c r="M22" i="59" l="1"/>
  <c r="M23" i="59" l="1"/>
  <c r="BJ16" i="59" l="1"/>
  <c r="BL16" i="59"/>
  <c r="BK16" i="59" l="1"/>
  <c r="BM16" i="59" l="1"/>
  <c r="BJ17" i="59" l="1"/>
  <c r="BL17" i="59"/>
  <c r="BK17" i="59" l="1"/>
  <c r="BM17" i="59" l="1"/>
  <c r="BJ18" i="59" l="1"/>
  <c r="BL18" i="59" l="1"/>
  <c r="BK18" i="59" l="1"/>
  <c r="BM18" i="59" l="1"/>
  <c r="BJ19" i="59" l="1"/>
  <c r="BJ20" i="59" l="1"/>
  <c r="BL20" i="59"/>
  <c r="BL19" i="59"/>
  <c r="BK19" i="59" l="1"/>
  <c r="BM19" i="59" l="1"/>
  <c r="BK20" i="59"/>
  <c r="BM20" i="59" l="1"/>
  <c r="BJ22" i="59" l="1"/>
  <c r="BJ21" i="59"/>
  <c r="BL22" i="59" l="1"/>
  <c r="BL21" i="59"/>
  <c r="BK21" i="59" l="1"/>
  <c r="BM21" i="59" l="1"/>
  <c r="BK22" i="59"/>
  <c r="BM22" i="59" l="1"/>
  <c r="AB22" i="59" l="1"/>
  <c r="AB21" i="59"/>
  <c r="AC21" i="59" l="1"/>
  <c r="AC22" i="59" l="1"/>
  <c r="AC23" i="59" l="1"/>
  <c r="AC24" i="59" l="1"/>
  <c r="AC25" i="59" l="1"/>
  <c r="AC26" i="59" l="1"/>
  <c r="AC27" i="59" l="1"/>
  <c r="AC28" i="59" l="1"/>
  <c r="AC29" i="59" l="1"/>
  <c r="AC30" i="59" l="1"/>
  <c r="AC31" i="59" l="1"/>
  <c r="AC32" i="59" l="1"/>
  <c r="AC33" i="59" l="1"/>
  <c r="AC34" i="59" l="1"/>
  <c r="AB38" i="59" s="1"/>
  <c r="BJ23" i="59" l="1"/>
  <c r="BL23" i="59" l="1"/>
  <c r="BK23" i="59" l="1"/>
  <c r="BM23" i="59" l="1"/>
  <c r="L24" i="59" l="1"/>
  <c r="N24" i="59" l="1"/>
  <c r="O24" i="59" l="1"/>
  <c r="O25" i="59" l="1"/>
  <c r="O26" i="59" l="1"/>
  <c r="O27" i="59" l="1"/>
  <c r="O28" i="59" l="1"/>
  <c r="O29" i="59" l="1"/>
  <c r="O30" i="59" l="1"/>
  <c r="O31" i="59" l="1"/>
  <c r="O32" i="59" l="1"/>
  <c r="O33" i="59" l="1"/>
  <c r="O34" i="59" l="1"/>
  <c r="N38" i="59" s="1"/>
  <c r="M24" i="59" l="1"/>
  <c r="M25" i="59" l="1"/>
  <c r="M26" i="59" l="1"/>
  <c r="M27" i="59" l="1"/>
  <c r="M28" i="59" l="1"/>
  <c r="M29" i="59" l="1"/>
  <c r="M30" i="59" l="1"/>
  <c r="M31" i="59" l="1"/>
  <c r="M32" i="59" l="1"/>
  <c r="M33" i="59" l="1"/>
  <c r="M34" i="59" l="1"/>
  <c r="L38" i="59" s="1"/>
  <c r="BJ24" i="59" l="1"/>
  <c r="BL24" i="59" l="1"/>
  <c r="BK24" i="59" l="1"/>
  <c r="BM24" i="59" l="1"/>
  <c r="BJ25" i="59" l="1"/>
  <c r="BL25" i="59" l="1"/>
  <c r="BK25" i="59" l="1"/>
  <c r="BM25" i="59" l="1"/>
  <c r="BF7" i="59" l="1"/>
  <c r="BF25" i="59" l="1"/>
  <c r="BF12" i="59"/>
  <c r="BF14" i="59"/>
  <c r="BF13" i="59" l="1"/>
  <c r="BF20" i="59"/>
  <c r="BF11" i="59"/>
  <c r="BF10" i="59"/>
  <c r="BF9" i="59"/>
  <c r="BF17" i="59"/>
  <c r="BF16" i="59"/>
  <c r="BF24" i="59"/>
  <c r="BF15" i="59"/>
  <c r="BF18" i="59"/>
  <c r="BF19" i="59"/>
  <c r="BF22" i="59"/>
  <c r="BF21" i="59"/>
  <c r="BF8" i="59"/>
  <c r="BF23" i="59"/>
  <c r="BL26" i="59" l="1"/>
  <c r="BJ26" i="59"/>
  <c r="BF26" i="59"/>
  <c r="BF6" i="59" l="1"/>
  <c r="BF4" i="59" l="1"/>
  <c r="BF5" i="59"/>
  <c r="BG4" i="59" l="1"/>
  <c r="BG5" i="59" l="1"/>
  <c r="BG6" i="59" l="1"/>
  <c r="BG7" i="59" l="1"/>
  <c r="BG8" i="59"/>
  <c r="BG9" i="59" l="1"/>
  <c r="BG10" i="59" l="1"/>
  <c r="BG11" i="59" l="1"/>
  <c r="BG12" i="59" l="1"/>
  <c r="BG13" i="59" l="1"/>
  <c r="BG14" i="59" l="1"/>
  <c r="BG15" i="59" l="1"/>
  <c r="BG16" i="59" l="1"/>
  <c r="BG17" i="59" l="1"/>
  <c r="BG18" i="59" l="1"/>
  <c r="BG19" i="59" l="1"/>
  <c r="BG20" i="59" l="1"/>
  <c r="BG21" i="59" l="1"/>
  <c r="BG22" i="59" l="1"/>
  <c r="BG23" i="59" l="1"/>
  <c r="BG24" i="59" l="1"/>
  <c r="BG25" i="59" l="1"/>
  <c r="BK26" i="59"/>
  <c r="BG26" i="59" l="1"/>
  <c r="BM26" i="59"/>
  <c r="BJ27" i="59" l="1"/>
  <c r="BL27" i="59"/>
  <c r="BF27" i="59"/>
  <c r="BK27" i="59" l="1"/>
  <c r="BG27" i="59" l="1"/>
  <c r="BM27" i="59"/>
  <c r="BJ29" i="59" l="1"/>
  <c r="BF29" i="59" l="1"/>
  <c r="BL29" i="59"/>
  <c r="BJ28" i="59"/>
  <c r="BL28" i="59" l="1"/>
  <c r="BF28" i="59"/>
  <c r="BK28" i="59" l="1"/>
  <c r="BG28" i="59" l="1"/>
  <c r="BM28" i="59"/>
  <c r="BK29" i="59"/>
  <c r="BG29" i="59" l="1"/>
  <c r="BM29" i="59"/>
  <c r="BJ30" i="59" l="1"/>
  <c r="BL30" i="59"/>
  <c r="BK30" i="59" l="1"/>
  <c r="BM30" i="59" l="1"/>
  <c r="BF30" i="59" l="1"/>
  <c r="BG30" i="59" l="1"/>
  <c r="BH7" i="59" l="1"/>
  <c r="BJ31" i="59" l="1"/>
  <c r="BH29" i="59" l="1"/>
  <c r="BH25" i="59"/>
  <c r="BH12" i="59"/>
  <c r="BH31" i="59"/>
  <c r="BH14" i="59"/>
  <c r="BF31" i="59"/>
  <c r="BL31" i="59"/>
  <c r="BH28" i="59" l="1"/>
  <c r="BH27" i="59"/>
  <c r="BH20" i="59"/>
  <c r="BH17" i="59"/>
  <c r="BH16" i="59"/>
  <c r="BH13" i="59"/>
  <c r="BH10" i="59"/>
  <c r="BH30" i="59"/>
  <c r="BH11" i="59"/>
  <c r="BH9" i="59"/>
  <c r="BH22" i="59"/>
  <c r="BH23" i="59"/>
  <c r="BH19" i="59"/>
  <c r="BH15" i="59"/>
  <c r="BH21" i="59"/>
  <c r="BH18" i="59"/>
  <c r="BH8" i="59"/>
  <c r="BH24" i="59"/>
  <c r="BH6" i="59" l="1"/>
  <c r="BH5" i="59" l="1"/>
  <c r="BK31" i="59" l="1"/>
  <c r="BG31" i="59" l="1"/>
  <c r="BM31" i="59"/>
  <c r="KV36" i="1" l="1"/>
  <c r="I41" i="1"/>
  <c r="J41" i="1" s="1"/>
  <c r="J36" i="1"/>
  <c r="K36" i="1"/>
  <c r="KT36" i="1" s="1"/>
  <c r="KV41" i="1" l="1"/>
  <c r="K41" i="1"/>
  <c r="KT41" i="1" s="1"/>
  <c r="BJ32" i="59" l="1"/>
  <c r="BH32" i="59" l="1"/>
  <c r="BF32" i="59"/>
  <c r="BL32" i="59"/>
  <c r="BK32" i="59" l="1"/>
  <c r="BG32" i="59" l="1"/>
  <c r="BM32" i="59"/>
  <c r="BJ33" i="59" l="1"/>
  <c r="BH33" i="59" l="1"/>
  <c r="BL33" i="59"/>
  <c r="BF33" i="59"/>
  <c r="BK33" i="59" l="1"/>
  <c r="BG33" i="59" l="1"/>
  <c r="BM33" i="59"/>
  <c r="BK34" i="59"/>
  <c r="BJ38" i="59" s="1"/>
  <c r="BM34" i="59" l="1"/>
  <c r="BL38" i="59" s="1"/>
  <c r="BG34" i="59"/>
  <c r="BF38" i="59" s="1"/>
  <c r="X33" i="59" l="1"/>
  <c r="X32" i="59" l="1"/>
  <c r="V34" i="59"/>
  <c r="V33" i="59"/>
  <c r="X34" i="59"/>
  <c r="V12" i="59" l="1"/>
  <c r="X12" i="59"/>
  <c r="V32" i="59"/>
  <c r="X24" i="59"/>
  <c r="V24" i="59"/>
  <c r="X28" i="59" l="1"/>
  <c r="V28" i="59"/>
  <c r="V27" i="59"/>
  <c r="X10" i="59"/>
  <c r="V10" i="59"/>
  <c r="X27" i="59"/>
  <c r="X20" i="59"/>
  <c r="V20" i="59"/>
  <c r="V23" i="59"/>
  <c r="X23" i="59"/>
  <c r="X25" i="59"/>
  <c r="V25" i="59"/>
  <c r="X30" i="59"/>
  <c r="V30" i="59"/>
  <c r="X29" i="59"/>
  <c r="V29" i="59"/>
  <c r="X22" i="59"/>
  <c r="V22" i="59"/>
  <c r="X21" i="59"/>
  <c r="V21" i="59"/>
  <c r="X19" i="59"/>
  <c r="V19" i="59"/>
  <c r="V18" i="59"/>
  <c r="X18" i="59"/>
  <c r="X17" i="59"/>
  <c r="V17" i="59"/>
  <c r="X16" i="59"/>
  <c r="V16" i="59"/>
  <c r="X15" i="59"/>
  <c r="V15" i="59"/>
  <c r="X14" i="59"/>
  <c r="V14" i="59"/>
  <c r="X13" i="59"/>
  <c r="V13" i="59"/>
  <c r="V11" i="59"/>
  <c r="X11" i="59"/>
  <c r="X4" i="59" l="1"/>
  <c r="V4" i="59"/>
  <c r="V31" i="59"/>
  <c r="X31" i="59"/>
  <c r="X9" i="59"/>
  <c r="V9" i="59"/>
  <c r="V8" i="59"/>
  <c r="X8" i="59"/>
  <c r="X5" i="59" l="1"/>
  <c r="V5" i="59"/>
  <c r="X7" i="59"/>
  <c r="V7" i="59"/>
  <c r="Y4" i="59"/>
  <c r="W4" i="59"/>
  <c r="V26" i="59" l="1"/>
  <c r="X26" i="59"/>
  <c r="V6" i="59"/>
  <c r="X6" i="59"/>
  <c r="W5" i="59" l="1"/>
  <c r="Y5" i="59"/>
  <c r="Y6" i="59" l="1"/>
  <c r="W6" i="59"/>
  <c r="W7" i="59" l="1"/>
  <c r="Y7" i="59"/>
  <c r="Y8" i="59" l="1"/>
  <c r="W8" i="59"/>
  <c r="Y9" i="59"/>
  <c r="W9" i="59" l="1"/>
  <c r="W10" i="59" l="1"/>
  <c r="Y10" i="59"/>
  <c r="W12" i="59" l="1"/>
  <c r="W11" i="59"/>
  <c r="Y11" i="59"/>
  <c r="Y12" i="59"/>
  <c r="Y13" i="59" l="1"/>
  <c r="W13" i="59"/>
  <c r="Y14" i="59" l="1"/>
  <c r="W14" i="59"/>
  <c r="W15" i="59" l="1"/>
  <c r="Y15" i="59"/>
  <c r="Y16" i="59" l="1"/>
  <c r="W16" i="59"/>
  <c r="W17" i="59" l="1"/>
  <c r="Y17" i="59"/>
  <c r="Y18" i="59" l="1"/>
  <c r="W18" i="59"/>
  <c r="Y19" i="59" l="1"/>
  <c r="W19" i="59"/>
  <c r="Y20" i="59" l="1"/>
  <c r="W20" i="59"/>
  <c r="Y21" i="59" l="1"/>
  <c r="W21" i="59"/>
  <c r="W22" i="59" l="1"/>
  <c r="Y22" i="59"/>
  <c r="Y23" i="59" l="1"/>
  <c r="W23" i="59"/>
  <c r="W24" i="59" l="1"/>
  <c r="Y24" i="59"/>
  <c r="W25" i="59" l="1"/>
  <c r="Y25" i="59"/>
  <c r="Y26" i="59" l="1"/>
  <c r="W26" i="59"/>
  <c r="W27" i="59" l="1"/>
  <c r="Y27" i="59"/>
  <c r="Y28" i="59" l="1"/>
  <c r="W28" i="59"/>
  <c r="W29" i="59" l="1"/>
  <c r="Y29" i="59"/>
  <c r="Y30" i="59" l="1"/>
  <c r="W30" i="59"/>
  <c r="W31" i="59" l="1"/>
  <c r="Y31" i="59"/>
  <c r="Y32" i="59" l="1"/>
  <c r="W32" i="59"/>
  <c r="Y33" i="59" l="1"/>
  <c r="W33" i="59"/>
  <c r="W34" i="59" l="1"/>
  <c r="V38" i="59" s="1"/>
  <c r="Y34" i="59"/>
  <c r="X38" i="59" s="1"/>
  <c r="BH26" i="59" l="1"/>
  <c r="BH4" i="59" l="1"/>
  <c r="BI4" i="59" l="1"/>
  <c r="BI5" i="59" l="1"/>
  <c r="BI6" i="59" l="1"/>
  <c r="BI7" i="59" l="1"/>
  <c r="BI8" i="59"/>
  <c r="BI9" i="59" l="1"/>
  <c r="BI10" i="59" l="1"/>
  <c r="BI11" i="59" l="1"/>
  <c r="BI12" i="59" l="1"/>
  <c r="BI13" i="59" l="1"/>
  <c r="BI14" i="59" l="1"/>
  <c r="BI15" i="59" l="1"/>
  <c r="BI16" i="59" l="1"/>
  <c r="BI17" i="59" l="1"/>
  <c r="BI18" i="59" l="1"/>
  <c r="BI19" i="59" l="1"/>
  <c r="BI20" i="59" l="1"/>
  <c r="BI21" i="59" l="1"/>
  <c r="BI22" i="59" l="1"/>
  <c r="BI23" i="59" l="1"/>
  <c r="BI24" i="59" l="1"/>
  <c r="BI25" i="59" l="1"/>
  <c r="BI26" i="59" l="1"/>
  <c r="BI27" i="59" l="1"/>
  <c r="BI28" i="59" l="1"/>
  <c r="BI29" i="59" l="1"/>
  <c r="BI30" i="59" l="1"/>
  <c r="BI31" i="59" l="1"/>
  <c r="BI32" i="59" l="1"/>
  <c r="BI33" i="59" l="1"/>
  <c r="BI34" i="59" l="1"/>
  <c r="BH38" i="59" s="1"/>
  <c r="AF34" i="59" l="1"/>
  <c r="AF31" i="59"/>
  <c r="AF33" i="59"/>
  <c r="AF32" i="59" l="1"/>
  <c r="AF4" i="59"/>
  <c r="AF5" i="59" l="1"/>
  <c r="AG4" i="59"/>
  <c r="AF6" i="59"/>
  <c r="AF29" i="59"/>
  <c r="AF20" i="59"/>
  <c r="AF19" i="59"/>
  <c r="AF10" i="59"/>
  <c r="AF8" i="59"/>
  <c r="AF7" i="59"/>
  <c r="AF30" i="59" l="1"/>
  <c r="AF16" i="59"/>
  <c r="AG5" i="59" l="1"/>
  <c r="AG6" i="59" l="1"/>
  <c r="AG7" i="59" l="1"/>
  <c r="AG8" i="59" l="1"/>
  <c r="AF9" i="59" l="1"/>
  <c r="AG9" i="59" l="1"/>
  <c r="AG10" i="59" l="1"/>
  <c r="AF11" i="59" l="1"/>
  <c r="AG11" i="59" l="1"/>
  <c r="AF13" i="59" l="1"/>
  <c r="AF12" i="59"/>
  <c r="AG12" i="59" l="1"/>
  <c r="AG13" i="59" l="1"/>
  <c r="AF14" i="59" l="1"/>
  <c r="AG14" i="59" l="1"/>
  <c r="AF15" i="59" l="1"/>
  <c r="AG15" i="59" l="1"/>
  <c r="AG16" i="59" l="1"/>
  <c r="AF17" i="59" l="1"/>
  <c r="AG17" i="59" l="1"/>
  <c r="AF18" i="59" l="1"/>
  <c r="AG18" i="59" l="1"/>
  <c r="AG19" i="59" l="1"/>
  <c r="AG20" i="59" l="1"/>
  <c r="AF21" i="59" l="1"/>
  <c r="AG21" i="59" l="1"/>
  <c r="AF22" i="59" l="1"/>
  <c r="AG22" i="59" l="1"/>
  <c r="AF23" i="59" l="1"/>
  <c r="AG23" i="59" l="1"/>
  <c r="AF24" i="59" l="1"/>
  <c r="AG24" i="59" l="1"/>
  <c r="AF25" i="59" l="1"/>
  <c r="AG25" i="59" l="1"/>
  <c r="AF27" i="59" l="1"/>
  <c r="AF26" i="59" l="1"/>
  <c r="AG26" i="59" l="1"/>
  <c r="AG27" i="59" l="1"/>
  <c r="AF28" i="59" l="1"/>
  <c r="AG28" i="59" l="1"/>
  <c r="AG29" i="59" l="1"/>
  <c r="AG30" i="59" l="1"/>
  <c r="AG31" i="59" l="1"/>
  <c r="AG32" i="59" l="1"/>
  <c r="AG33" i="59" l="1"/>
  <c r="AG34" i="59" l="1"/>
  <c r="AF38" i="59" s="1"/>
  <c r="AJ34" i="59" l="1"/>
  <c r="AJ16" i="59" l="1"/>
  <c r="AJ8" i="59"/>
  <c r="AJ23" i="59"/>
  <c r="AJ7" i="59"/>
  <c r="AJ33" i="59"/>
  <c r="AJ17" i="59"/>
  <c r="AJ9" i="59"/>
  <c r="AJ18" i="59" l="1"/>
  <c r="AJ15" i="59"/>
  <c r="AJ22" i="59"/>
  <c r="AJ30" i="59"/>
  <c r="AJ11" i="59"/>
  <c r="AJ32" i="59"/>
  <c r="AJ25" i="59"/>
  <c r="AJ20" i="59" l="1"/>
  <c r="AJ26" i="59"/>
  <c r="AJ27" i="59"/>
  <c r="AJ19" i="59"/>
  <c r="AJ31" i="59"/>
  <c r="AJ10" i="59"/>
  <c r="AJ5" i="59"/>
  <c r="AJ14" i="59"/>
  <c r="AJ29" i="59"/>
  <c r="AJ21" i="59"/>
  <c r="AJ24" i="59" l="1"/>
  <c r="AJ6" i="59"/>
  <c r="AJ13" i="59"/>
  <c r="AJ12" i="59"/>
  <c r="AJ4" i="59"/>
  <c r="AJ28" i="59"/>
  <c r="AK4" i="59" l="1"/>
  <c r="AK5" i="59" l="1"/>
  <c r="AK6" i="59" l="1"/>
  <c r="AK7" i="59" l="1"/>
  <c r="AK8" i="59" l="1"/>
  <c r="AK9" i="59" l="1"/>
  <c r="AK10" i="59" l="1"/>
  <c r="AK11" i="59" l="1"/>
  <c r="AK12" i="59" l="1"/>
  <c r="AK13" i="59" l="1"/>
  <c r="AK14" i="59" l="1"/>
  <c r="AK15" i="59" l="1"/>
  <c r="AK16" i="59" l="1"/>
  <c r="AK17" i="59" l="1"/>
  <c r="AK18" i="59" l="1"/>
  <c r="AK19" i="59" l="1"/>
  <c r="AK20" i="59" l="1"/>
  <c r="AK21" i="59" l="1"/>
  <c r="AK22" i="59" l="1"/>
  <c r="AK23" i="59" l="1"/>
  <c r="AK24" i="59" l="1"/>
  <c r="AK25" i="59" l="1"/>
  <c r="AK26" i="59" l="1"/>
  <c r="AK27" i="59" l="1"/>
  <c r="AK28" i="59" l="1"/>
  <c r="AK29" i="59" l="1"/>
  <c r="AK30" i="59" l="1"/>
  <c r="AK31" i="59" l="1"/>
  <c r="AK32" i="59" l="1"/>
  <c r="AK33" i="59" l="1"/>
  <c r="AK34" i="59" l="1"/>
  <c r="AJ38" i="59" s="1"/>
  <c r="BD33" i="59" l="1"/>
  <c r="BD34" i="59"/>
  <c r="BD32" i="59" l="1"/>
  <c r="AZ34" i="59"/>
  <c r="AZ33" i="59"/>
  <c r="AT34" i="59"/>
  <c r="BB34" i="59"/>
  <c r="BD12" i="59" l="1"/>
  <c r="AZ12" i="59"/>
  <c r="BB32" i="59"/>
  <c r="BB12" i="59"/>
  <c r="BD7" i="59"/>
  <c r="AZ32" i="59"/>
  <c r="BD30" i="59" l="1"/>
  <c r="BD27" i="59"/>
  <c r="BD28" i="59"/>
  <c r="BD19" i="59"/>
  <c r="BD25" i="59"/>
  <c r="BD23" i="59"/>
  <c r="BD17" i="59"/>
  <c r="BD22" i="59"/>
  <c r="BD20" i="59"/>
  <c r="BD10" i="59"/>
  <c r="BD11" i="59"/>
  <c r="BD16" i="59"/>
  <c r="BD21" i="59"/>
  <c r="BD13" i="59"/>
  <c r="BD14" i="59"/>
  <c r="BD18" i="59"/>
  <c r="BD29" i="59"/>
  <c r="BD24" i="59"/>
  <c r="BD15" i="59"/>
  <c r="BB28" i="59"/>
  <c r="AZ28" i="59"/>
  <c r="AZ24" i="59"/>
  <c r="BB24" i="59"/>
  <c r="AZ27" i="59"/>
  <c r="BB10" i="59"/>
  <c r="AZ10" i="59"/>
  <c r="BB27" i="59"/>
  <c r="BB7" i="59"/>
  <c r="AZ7" i="59"/>
  <c r="BB20" i="59"/>
  <c r="AZ20" i="59"/>
  <c r="AZ23" i="59"/>
  <c r="BB23" i="59"/>
  <c r="BB25" i="59"/>
  <c r="AZ25" i="59"/>
  <c r="BB30" i="59"/>
  <c r="AZ30" i="59"/>
  <c r="BB29" i="59"/>
  <c r="AZ29" i="59"/>
  <c r="BB22" i="59"/>
  <c r="AZ22" i="59"/>
  <c r="BB21" i="59"/>
  <c r="AZ21" i="59"/>
  <c r="BB19" i="59"/>
  <c r="AZ19" i="59"/>
  <c r="AZ18" i="59"/>
  <c r="BB18" i="59"/>
  <c r="BB17" i="59"/>
  <c r="AZ17" i="59"/>
  <c r="BB16" i="59"/>
  <c r="AZ16" i="59"/>
  <c r="BB15" i="59"/>
  <c r="AZ15" i="59"/>
  <c r="BB14" i="59"/>
  <c r="AZ14" i="59"/>
  <c r="BB13" i="59"/>
  <c r="AZ13" i="59"/>
  <c r="AZ11" i="59"/>
  <c r="BB11" i="59"/>
  <c r="BD8" i="59" l="1"/>
  <c r="BD4" i="59"/>
  <c r="BD9" i="59"/>
  <c r="BD31" i="59"/>
  <c r="BD5" i="59"/>
  <c r="BE4" i="59"/>
  <c r="BB4" i="59"/>
  <c r="AZ4" i="59"/>
  <c r="AZ31" i="59"/>
  <c r="BB31" i="59"/>
  <c r="BB9" i="59"/>
  <c r="AZ9" i="59"/>
  <c r="AZ8" i="59"/>
  <c r="BB8" i="59"/>
  <c r="AZ5" i="59" l="1"/>
  <c r="BB5" i="59"/>
  <c r="BC4" i="59"/>
  <c r="BA4" i="59"/>
  <c r="BD26" i="59" l="1"/>
  <c r="BD6" i="59"/>
  <c r="AZ26" i="59"/>
  <c r="BB26" i="59"/>
  <c r="BE5" i="59"/>
  <c r="AZ6" i="59"/>
  <c r="BB6" i="59"/>
  <c r="BA5" i="59" l="1"/>
  <c r="BC5" i="59"/>
  <c r="BE6" i="59"/>
  <c r="BC6" i="59" l="1"/>
  <c r="BE7" i="59"/>
  <c r="BA6" i="59"/>
  <c r="BA7" i="59" l="1"/>
  <c r="BC7" i="59"/>
  <c r="BE8" i="59"/>
  <c r="BC8" i="59" l="1"/>
  <c r="BE9" i="59"/>
  <c r="BA8" i="59"/>
  <c r="BC9" i="59" l="1"/>
  <c r="BA9" i="59"/>
  <c r="BE10" i="59"/>
  <c r="BE11" i="59" l="1"/>
  <c r="BA10" i="59"/>
  <c r="BC10" i="59"/>
  <c r="BE12" i="59"/>
  <c r="BA11" i="59" l="1"/>
  <c r="BC11" i="59"/>
  <c r="BC12" i="59"/>
  <c r="BA12" i="59"/>
  <c r="BE13" i="59"/>
  <c r="BE14" i="59" l="1"/>
  <c r="BC13" i="59"/>
  <c r="BA13" i="59"/>
  <c r="BC14" i="59" l="1"/>
  <c r="BA14" i="59"/>
  <c r="BE15" i="59"/>
  <c r="BE16" i="59" l="1"/>
  <c r="BA15" i="59"/>
  <c r="BC15" i="59"/>
  <c r="BC16" i="59" l="1"/>
  <c r="BE17" i="59"/>
  <c r="BA16" i="59"/>
  <c r="BE18" i="59" l="1"/>
  <c r="BA17" i="59"/>
  <c r="BC17" i="59"/>
  <c r="BE19" i="59" l="1"/>
  <c r="BC18" i="59"/>
  <c r="BA18" i="59"/>
  <c r="BE20" i="59" l="1"/>
  <c r="BC19" i="59"/>
  <c r="BA19" i="59"/>
  <c r="BE21" i="59" l="1"/>
  <c r="BC20" i="59"/>
  <c r="BA20" i="59"/>
  <c r="BC21" i="59" l="1"/>
  <c r="BA21" i="59"/>
  <c r="BE22" i="59"/>
  <c r="BE23" i="59" l="1"/>
  <c r="BA22" i="59"/>
  <c r="BC22" i="59"/>
  <c r="BC23" i="59" l="1"/>
  <c r="BE24" i="59"/>
  <c r="BA23" i="59"/>
  <c r="BE25" i="59" l="1"/>
  <c r="BA24" i="59"/>
  <c r="BC24" i="59"/>
  <c r="BC25" i="59" l="1"/>
  <c r="BA25" i="59"/>
  <c r="BE26" i="59"/>
  <c r="BC26" i="59" l="1"/>
  <c r="BE27" i="59"/>
  <c r="BA26" i="59"/>
  <c r="BE28" i="59" l="1"/>
  <c r="BC27" i="59"/>
  <c r="BA27" i="59"/>
  <c r="BA28" i="59" l="1"/>
  <c r="BC28" i="59"/>
  <c r="BE29" i="59"/>
  <c r="BA29" i="59" l="1"/>
  <c r="BC29" i="59"/>
  <c r="BE31" i="59"/>
  <c r="BE30" i="59" l="1"/>
  <c r="BA30" i="59"/>
  <c r="BC30" i="59"/>
  <c r="BA31" i="59"/>
  <c r="BC31" i="59"/>
  <c r="BE32" i="59"/>
  <c r="BA32" i="59" l="1"/>
  <c r="BE33" i="59"/>
  <c r="BC32" i="59"/>
  <c r="BE34" i="59" l="1"/>
  <c r="BD38" i="59" s="1"/>
  <c r="BA33" i="59"/>
  <c r="BA34" i="59"/>
  <c r="AZ38" i="59" s="1"/>
  <c r="AT6" i="59" l="1"/>
  <c r="AT15" i="59"/>
  <c r="AT20" i="59"/>
  <c r="AT8" i="59"/>
  <c r="AT13" i="59"/>
  <c r="AT31" i="59"/>
  <c r="AT33" i="59"/>
  <c r="AT14" i="59"/>
  <c r="AT28" i="59"/>
  <c r="AT10" i="59"/>
  <c r="AT32" i="59"/>
  <c r="AT30" i="59"/>
  <c r="AT5" i="59"/>
  <c r="AT16" i="59"/>
  <c r="AT11" i="59"/>
  <c r="AT7" i="59"/>
  <c r="AT26" i="59"/>
  <c r="AT27" i="59"/>
  <c r="AT18" i="59"/>
  <c r="AT4" i="59"/>
  <c r="AT17" i="59"/>
  <c r="AT29" i="59"/>
  <c r="AT12" i="59"/>
  <c r="AT25" i="59" l="1"/>
  <c r="AT23" i="59"/>
  <c r="AT21" i="59"/>
  <c r="AU4" i="59"/>
  <c r="AT19" i="59"/>
  <c r="AT24" i="59"/>
  <c r="AT9" i="59"/>
  <c r="AT22" i="59"/>
  <c r="AU5" i="59" l="1"/>
  <c r="AU6" i="59" l="1"/>
  <c r="AU7" i="59" l="1"/>
  <c r="AU8" i="59" l="1"/>
  <c r="AU9" i="59" l="1"/>
  <c r="AU10" i="59" l="1"/>
  <c r="AU11" i="59" l="1"/>
  <c r="AU12" i="59" l="1"/>
  <c r="AU13" i="59" l="1"/>
  <c r="AU14" i="59" l="1"/>
  <c r="AU15" i="59" l="1"/>
  <c r="AU16" i="59" l="1"/>
  <c r="AU17" i="59" l="1"/>
  <c r="AU18" i="59" l="1"/>
  <c r="AU19" i="59" l="1"/>
  <c r="AU20" i="59" l="1"/>
  <c r="AU21" i="59" l="1"/>
  <c r="AU22" i="59" l="1"/>
  <c r="AU23" i="59" l="1"/>
  <c r="AU24" i="59" l="1"/>
  <c r="AU25" i="59" l="1"/>
  <c r="AU26" i="59" l="1"/>
  <c r="AU27" i="59" l="1"/>
  <c r="AU28" i="59" l="1"/>
  <c r="AU29" i="59" l="1"/>
  <c r="AU30" i="59" l="1"/>
  <c r="AU31" i="59" l="1"/>
  <c r="AU32" i="59" l="1"/>
  <c r="AU33" i="59" l="1"/>
  <c r="AU34" i="59" l="1"/>
  <c r="AT38" i="59" s="1"/>
  <c r="BB33" i="59" l="1"/>
  <c r="BC33" i="59" l="1"/>
  <c r="BC34" i="59" l="1"/>
  <c r="BB38" i="59" s="1"/>
  <c r="BP7" i="59" l="1"/>
  <c r="BP25" i="59" l="1"/>
  <c r="BP34" i="59"/>
  <c r="BP12" i="59"/>
  <c r="BP31" i="59"/>
  <c r="BP29" i="59"/>
  <c r="BP14" i="59"/>
  <c r="BP28" i="59" l="1"/>
  <c r="BP26" i="59"/>
  <c r="BP27" i="59"/>
  <c r="BP11" i="59"/>
  <c r="BP13" i="59"/>
  <c r="BP30" i="59"/>
  <c r="BP20" i="59"/>
  <c r="BP16" i="59"/>
  <c r="BP9" i="59"/>
  <c r="BP10" i="59"/>
  <c r="BP17" i="59"/>
  <c r="BP15" i="59"/>
  <c r="BP24" i="59"/>
  <c r="BP18" i="59"/>
  <c r="BP19" i="59"/>
  <c r="BP22" i="59"/>
  <c r="BP32" i="59"/>
  <c r="BP21" i="59"/>
  <c r="BP33" i="59"/>
  <c r="BP8" i="59"/>
  <c r="BP23" i="59"/>
  <c r="BP6" i="59" l="1"/>
  <c r="BP4" i="59" l="1"/>
  <c r="BP5" i="59"/>
  <c r="BQ4" i="59" l="1"/>
  <c r="BQ5" i="59" l="1"/>
  <c r="BQ6" i="59" l="1"/>
  <c r="BQ7" i="59" l="1"/>
  <c r="BQ8" i="59"/>
  <c r="BQ9" i="59" l="1"/>
  <c r="BQ10" i="59" l="1"/>
  <c r="BQ11" i="59" l="1"/>
  <c r="BQ12" i="59" l="1"/>
  <c r="BQ13" i="59" l="1"/>
  <c r="BQ14" i="59" l="1"/>
  <c r="BQ15" i="59" l="1"/>
  <c r="BQ16" i="59" l="1"/>
  <c r="BQ17" i="59" l="1"/>
  <c r="BQ18" i="59" l="1"/>
  <c r="BQ19" i="59" l="1"/>
  <c r="BQ20" i="59" l="1"/>
  <c r="BQ21" i="59" l="1"/>
  <c r="BQ22" i="59" l="1"/>
  <c r="BQ23" i="59" l="1"/>
  <c r="BQ24" i="59" l="1"/>
  <c r="BQ25" i="59" l="1"/>
  <c r="BQ26" i="59" l="1"/>
  <c r="BQ27" i="59" l="1"/>
  <c r="BQ28" i="59" l="1"/>
  <c r="BQ29" i="59" l="1"/>
  <c r="BQ30" i="59" l="1"/>
  <c r="BQ31" i="59" l="1"/>
  <c r="BQ32" i="59" l="1"/>
  <c r="BQ33" i="59" l="1"/>
  <c r="BQ34" i="59" l="1"/>
  <c r="BP38" i="59" s="1"/>
  <c r="BZ34" i="59" l="1"/>
  <c r="CH34" i="59" l="1"/>
  <c r="CH15" i="59" l="1"/>
  <c r="CH30" i="59"/>
  <c r="CH23" i="59"/>
  <c r="CH28" i="59"/>
  <c r="CH21" i="59"/>
  <c r="CH31" i="59"/>
  <c r="CH24" i="59"/>
  <c r="CH18" i="59"/>
  <c r="CH5" i="59"/>
  <c r="CH27" i="59"/>
  <c r="CH11" i="59"/>
  <c r="CH13" i="59"/>
  <c r="CH20" i="59"/>
  <c r="CH25" i="59"/>
  <c r="CH16" i="59"/>
  <c r="CH10" i="59"/>
  <c r="CH26" i="59"/>
  <c r="CH22" i="59"/>
  <c r="CH32" i="59"/>
  <c r="CH29" i="59"/>
  <c r="CH8" i="59"/>
  <c r="CH19" i="59"/>
  <c r="CH7" i="59"/>
  <c r="CH17" i="59"/>
  <c r="CH6" i="59"/>
  <c r="CH14" i="59"/>
  <c r="CH12" i="59"/>
  <c r="CH9" i="59"/>
  <c r="CH4" i="59" l="1"/>
  <c r="CI4" i="59" l="1"/>
  <c r="CF23" i="59"/>
  <c r="CF21" i="59"/>
  <c r="CF30" i="59"/>
  <c r="CF17" i="59"/>
  <c r="CF6" i="59"/>
  <c r="CF10" i="59"/>
  <c r="CF13" i="59"/>
  <c r="CF15" i="59"/>
  <c r="CF20" i="59"/>
  <c r="CF29" i="59"/>
  <c r="CI5" i="59" l="1"/>
  <c r="CF34" i="59"/>
  <c r="CF14" i="59"/>
  <c r="CF9" i="59"/>
  <c r="CF12" i="59"/>
  <c r="CF31" i="59"/>
  <c r="CF25" i="59"/>
  <c r="CF19" i="59"/>
  <c r="CF11" i="59"/>
  <c r="CF24" i="59"/>
  <c r="CF7" i="59"/>
  <c r="CF18" i="59"/>
  <c r="CF22" i="59"/>
  <c r="CF16" i="59"/>
  <c r="CF26" i="59"/>
  <c r="CF27" i="59"/>
  <c r="CF32" i="59"/>
  <c r="CF5" i="59"/>
  <c r="CF8" i="59"/>
  <c r="CF28" i="59"/>
  <c r="CF33" i="59"/>
  <c r="CF4" i="59" l="1"/>
  <c r="CI6" i="59"/>
  <c r="CI7" i="59" l="1"/>
  <c r="CG4" i="59"/>
  <c r="CG5" i="59" l="1"/>
  <c r="CI8" i="59"/>
  <c r="CG6" i="59" l="1"/>
  <c r="CI9" i="59"/>
  <c r="CI10" i="59" l="1"/>
  <c r="CG7" i="59"/>
  <c r="CI11" i="59" l="1"/>
  <c r="CG8" i="59"/>
  <c r="CG9" i="59" l="1"/>
  <c r="CI12" i="59"/>
  <c r="CI13" i="59" l="1"/>
  <c r="CG10" i="59"/>
  <c r="CG11" i="59" l="1"/>
  <c r="CI14" i="59"/>
  <c r="CI15" i="59" l="1"/>
  <c r="CG12" i="59"/>
  <c r="CG13" i="59" l="1"/>
  <c r="CI16" i="59"/>
  <c r="CG14" i="59" l="1"/>
  <c r="CI17" i="59"/>
  <c r="CI18" i="59" l="1"/>
  <c r="CG15" i="59"/>
  <c r="CG16" i="59" l="1"/>
  <c r="CI19" i="59"/>
  <c r="CI20" i="59" l="1"/>
  <c r="CG17" i="59"/>
  <c r="CG18" i="59" l="1"/>
  <c r="CI21" i="59"/>
  <c r="CI22" i="59" l="1"/>
  <c r="CG19" i="59"/>
  <c r="CG20" i="59" l="1"/>
  <c r="CI23" i="59"/>
  <c r="CI24" i="59" l="1"/>
  <c r="CG21" i="59"/>
  <c r="CG22" i="59" l="1"/>
  <c r="CI25" i="59"/>
  <c r="CG23" i="59" l="1"/>
  <c r="CI26" i="59"/>
  <c r="CI27" i="59" l="1"/>
  <c r="CG24" i="59"/>
  <c r="CG25" i="59" l="1"/>
  <c r="CI28" i="59"/>
  <c r="CI29" i="59" l="1"/>
  <c r="CG26" i="59"/>
  <c r="CG27" i="59" l="1"/>
  <c r="CI30" i="59"/>
  <c r="CI31" i="59" l="1"/>
  <c r="CG28" i="59"/>
  <c r="CG29" i="59" l="1"/>
  <c r="CI32" i="59"/>
  <c r="CG30" i="59" l="1"/>
  <c r="CG31" i="59" l="1"/>
  <c r="CG32" i="59" l="1"/>
  <c r="CG33" i="59" l="1"/>
  <c r="CG34" i="59" l="1"/>
  <c r="CF38" i="59" s="1"/>
  <c r="BZ4" i="59" l="1"/>
  <c r="BZ33" i="59"/>
  <c r="BZ7" i="59" l="1"/>
  <c r="BZ6" i="59"/>
  <c r="BZ8" i="59"/>
  <c r="BZ5" i="59"/>
  <c r="CA4" i="59"/>
  <c r="CA5" i="59" l="1"/>
  <c r="BZ14" i="59"/>
  <c r="BZ30" i="59"/>
  <c r="BZ19" i="59"/>
  <c r="BZ12" i="59"/>
  <c r="BZ28" i="59"/>
  <c r="BZ22" i="59"/>
  <c r="BZ13" i="59"/>
  <c r="BZ20" i="59"/>
  <c r="BZ25" i="59"/>
  <c r="BZ24" i="59"/>
  <c r="BZ18" i="59"/>
  <c r="BZ15" i="59"/>
  <c r="BZ32" i="59"/>
  <c r="BZ27" i="59"/>
  <c r="BZ26" i="59"/>
  <c r="BZ16" i="59"/>
  <c r="BZ10" i="59"/>
  <c r="BZ21" i="59"/>
  <c r="BZ31" i="59"/>
  <c r="BZ23" i="59"/>
  <c r="BZ29" i="59"/>
  <c r="BZ17" i="59"/>
  <c r="BZ11" i="59"/>
  <c r="BZ9" i="59"/>
  <c r="CA6" i="59" l="1"/>
  <c r="CA7" i="59" l="1"/>
  <c r="CA8" i="59" l="1"/>
  <c r="CA9" i="59" l="1"/>
  <c r="CA10" i="59" l="1"/>
  <c r="CA11" i="59" l="1"/>
  <c r="CA12" i="59" l="1"/>
  <c r="CA13" i="59" l="1"/>
  <c r="CA14" i="59" l="1"/>
  <c r="CA15" i="59" l="1"/>
  <c r="CA16" i="59" l="1"/>
  <c r="CA17" i="59" l="1"/>
  <c r="CA18" i="59" l="1"/>
  <c r="CA19" i="59" l="1"/>
  <c r="CA20" i="59" l="1"/>
  <c r="CA21" i="59" l="1"/>
  <c r="CA22" i="59" l="1"/>
  <c r="CA23" i="59" l="1"/>
  <c r="CA24" i="59" l="1"/>
  <c r="CA25" i="59" l="1"/>
  <c r="CA26" i="59" l="1"/>
  <c r="CA27" i="59" l="1"/>
  <c r="CA28" i="59" l="1"/>
  <c r="CA29" i="59" l="1"/>
  <c r="CA30" i="59" l="1"/>
  <c r="CA31" i="59" l="1"/>
  <c r="CA32" i="59" l="1"/>
  <c r="CA33" i="59" l="1"/>
  <c r="CA34" i="59" l="1"/>
  <c r="BZ38" i="59" s="1"/>
  <c r="CH33" i="59" l="1"/>
  <c r="CI33" i="59" l="1"/>
  <c r="CI34" i="59" l="1"/>
  <c r="CH38" i="59" s="1"/>
</calcChain>
</file>

<file path=xl/comments1.xml><?xml version="1.0" encoding="utf-8"?>
<comments xmlns="http://schemas.openxmlformats.org/spreadsheetml/2006/main">
  <authors>
    <author>Produksi-PM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FRDI
FG Purchasing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FRDI
FG Purchasing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LB</t>
        </r>
      </text>
    </comment>
    <comment ref="H9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</t>
        </r>
      </text>
    </comment>
  </commentList>
</comments>
</file>

<file path=xl/comments2.xml><?xml version="1.0" encoding="utf-8"?>
<comments xmlns="http://schemas.openxmlformats.org/spreadsheetml/2006/main">
  <authors>
    <author>Produksi-PM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AHS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FRDI
FG Purchasing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FRDI
FG Purchasing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HB LB</t>
        </r>
      </text>
    </comment>
  </commentList>
</comments>
</file>

<file path=xl/sharedStrings.xml><?xml version="1.0" encoding="utf-8"?>
<sst xmlns="http://schemas.openxmlformats.org/spreadsheetml/2006/main" count="6255" uniqueCount="851">
  <si>
    <t xml:space="preserve"> </t>
  </si>
  <si>
    <t>Efficiency</t>
  </si>
  <si>
    <t>Total</t>
  </si>
  <si>
    <t>PRODUCTION DAILY REPORT</t>
  </si>
  <si>
    <t>GRADE</t>
  </si>
  <si>
    <t>GSM</t>
  </si>
  <si>
    <t>LOSS</t>
  </si>
  <si>
    <t>Facial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</si>
  <si>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</si>
  <si>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</si>
  <si>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</si>
  <si>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</si>
  <si>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</si>
  <si>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</si>
  <si>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</si>
  <si>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</si>
  <si>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</si>
  <si>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</si>
  <si>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</si>
  <si>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</si>
  <si>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</si>
  <si>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</si>
  <si>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</si>
  <si>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</si>
  <si>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</si>
  <si>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</si>
  <si>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</si>
  <si>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</si>
  <si>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</si>
  <si>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</si>
  <si>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</si>
  <si>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</si>
  <si>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</si>
  <si>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</si>
  <si>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</si>
  <si>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</si>
  <si>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</si>
  <si>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</si>
  <si>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</si>
  <si>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</si>
  <si>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</si>
  <si>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</si>
  <si>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ASPA</t>
  </si>
  <si>
    <t>TOTAL NBKP</t>
  </si>
  <si>
    <t>LBKP RAPP MHW</t>
  </si>
  <si>
    <t>BROKE FROM OUTSIDE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</si>
  <si>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</si>
  <si>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</si>
  <si>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</si>
  <si>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</si>
  <si>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</si>
  <si>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</si>
  <si>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</si>
  <si>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</si>
  <si>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</si>
  <si>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</si>
  <si>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</si>
  <si>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</si>
  <si>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</si>
  <si>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</si>
  <si>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</si>
  <si>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</si>
  <si>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</si>
  <si>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</si>
  <si>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</si>
  <si>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</si>
  <si>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</si>
  <si>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</si>
  <si>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</si>
  <si>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</si>
  <si>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</si>
  <si>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</si>
  <si>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</si>
  <si>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</si>
  <si>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</si>
  <si>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</si>
  <si>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</si>
  <si>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</si>
  <si>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</si>
  <si>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</si>
  <si>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</si>
  <si>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</si>
  <si>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</si>
  <si>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</si>
  <si>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</si>
  <si>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</si>
  <si>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</si>
  <si>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</si>
  <si>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</si>
  <si>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</si>
  <si>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</si>
  <si>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</si>
  <si>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</si>
  <si>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</si>
  <si>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</si>
  <si>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</si>
  <si>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</si>
  <si>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</si>
  <si>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</si>
  <si>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</si>
  <si>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</si>
  <si>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</si>
  <si>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</si>
  <si>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</si>
  <si>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</si>
  <si>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</si>
  <si>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</si>
  <si>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</si>
  <si>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</si>
  <si>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</si>
  <si>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</si>
  <si>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</si>
  <si>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</si>
  <si>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</si>
  <si>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</si>
  <si>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</si>
  <si>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</si>
  <si>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</si>
  <si>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</si>
  <si>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</si>
  <si>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</si>
  <si>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</si>
  <si>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</si>
  <si>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</si>
  <si>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</si>
  <si>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</si>
  <si>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</si>
  <si>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</si>
  <si>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</si>
  <si>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</si>
  <si>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</si>
  <si>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</si>
  <si>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</si>
  <si>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</si>
  <si>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</si>
  <si>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</si>
  <si>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</si>
  <si>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</si>
  <si>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</si>
  <si>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</si>
  <si>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</si>
  <si>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</si>
  <si>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</si>
  <si>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</si>
  <si>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</si>
  <si>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</si>
  <si>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</si>
  <si>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EBKP MONDE</t>
  </si>
  <si>
    <t>Total PM11</t>
  </si>
  <si>
    <t>TISSUE MACHINE 11</t>
  </si>
  <si>
    <t>PM 11</t>
  </si>
  <si>
    <t xml:space="preserve">PM11 Efficiency Report </t>
  </si>
  <si>
    <t>TISSUE MACHINE 45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</si>
  <si>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</si>
  <si>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</si>
  <si>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</si>
  <si>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</si>
  <si>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</si>
  <si>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</si>
  <si>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</si>
  <si>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</si>
  <si>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</si>
  <si>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</si>
  <si>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</si>
  <si>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</si>
  <si>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</si>
  <si>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</si>
  <si>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</si>
  <si>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</si>
  <si>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</si>
  <si>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</si>
  <si>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</si>
  <si>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</si>
  <si>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</si>
  <si>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</si>
  <si>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</si>
  <si>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Vacuum A</t>
  </si>
  <si>
    <t>Vacuum B</t>
  </si>
  <si>
    <t>MCC Aux TM</t>
  </si>
  <si>
    <t>Multi Screen</t>
  </si>
  <si>
    <t>WL II 1250 A (yankee + popereel)</t>
  </si>
  <si>
    <t>WL II 3200 A (Hood, Fan Pump, Felt &amp; Wire)</t>
  </si>
  <si>
    <t>Stock Prep &amp; UTM 1 (3200 A)</t>
  </si>
  <si>
    <t>Stock Prep &amp; UTM 2 (3200 A)</t>
  </si>
  <si>
    <t>Rewinder 1 (800 A)</t>
  </si>
  <si>
    <t>Rewinder 2 (800A)</t>
  </si>
  <si>
    <t>Gas ConsumptionHood PM 11</t>
  </si>
  <si>
    <t>Off Reel</t>
  </si>
  <si>
    <t>Off Rewinder</t>
  </si>
  <si>
    <t>Kwh/ ton</t>
  </si>
  <si>
    <t>Stockprep</t>
  </si>
  <si>
    <t>Rewinder</t>
  </si>
  <si>
    <t>LEBIH TINGGI DARI OFF REEL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</si>
  <si>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</si>
  <si>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</si>
  <si>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</si>
  <si>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</si>
  <si>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</si>
  <si>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</si>
  <si>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</si>
  <si>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</si>
  <si>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>PAPER MACHINE 11 DAILY REPORT 1</t>
  </si>
  <si>
    <t xml:space="preserve">Kapasitas Teori Real (ton) </t>
  </si>
  <si>
    <t>Speed real (ton) with Available Time</t>
  </si>
  <si>
    <t>Change Grade</t>
  </si>
  <si>
    <t>sheet break</t>
  </si>
  <si>
    <t>change blade</t>
  </si>
  <si>
    <t>change spool</t>
  </si>
  <si>
    <t>Loss time sheet break</t>
  </si>
  <si>
    <t>Loss time change blade</t>
  </si>
  <si>
    <t>Loss time change spool</t>
  </si>
  <si>
    <t>Loss time change grade</t>
  </si>
  <si>
    <t>CANFOR</t>
  </si>
  <si>
    <t>LBKP TEL PELITA</t>
  </si>
  <si>
    <t>REJECT ROLL</t>
  </si>
  <si>
    <t>PM 12</t>
  </si>
  <si>
    <t>PM 16</t>
  </si>
  <si>
    <t>PHP (ton)</t>
  </si>
  <si>
    <t>STEAM/Ton FG</t>
  </si>
  <si>
    <t>ELECTRIC/ton FG</t>
  </si>
  <si>
    <t>STEAM /ton FG</t>
  </si>
  <si>
    <t>ELECTRIC /ton FG</t>
  </si>
  <si>
    <t>Today</t>
  </si>
  <si>
    <t>Todate</t>
  </si>
  <si>
    <t>November</t>
  </si>
  <si>
    <t>Oktober</t>
  </si>
  <si>
    <t>Juli</t>
  </si>
  <si>
    <t>Juni</t>
  </si>
  <si>
    <t>Mei</t>
  </si>
  <si>
    <t>April</t>
  </si>
  <si>
    <t>Maret</t>
  </si>
  <si>
    <t>Februari</t>
  </si>
  <si>
    <t>Januari</t>
  </si>
  <si>
    <t>Kehilangan Effisiensi PM 11 terdiri dari:</t>
  </si>
  <si>
    <t>MG</t>
  </si>
  <si>
    <t>awal bulan produksi MG mengikuti real speed karea usia felt sudah 7minggu</t>
  </si>
  <si>
    <t>CAKRAWALA</t>
  </si>
  <si>
    <t/>
  </si>
  <si>
    <t>NB : info pak hartono untuk napkin + towel speed 1600mpm, gsm tinggi 92ton(&gt;17)</t>
  </si>
  <si>
    <t>change Grade</t>
  </si>
  <si>
    <t>PM 11 Summary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</si>
  <si>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</si>
  <si>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</si>
  <si>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</si>
  <si>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</si>
  <si>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</si>
  <si>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</si>
  <si>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</si>
  <si>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</si>
  <si>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</si>
  <si>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</si>
  <si>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</si>
  <si>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</si>
  <si>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</si>
  <si>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</si>
  <si>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</si>
  <si>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</si>
  <si>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</si>
  <si>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</si>
  <si>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</si>
  <si>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Change Spool</t>
  </si>
  <si>
    <t>Sheet Breaks</t>
  </si>
  <si>
    <t>Hole</t>
  </si>
  <si>
    <t>Maintenance</t>
  </si>
  <si>
    <t>Down Time EID</t>
  </si>
  <si>
    <t>Down Time Mekanik</t>
  </si>
  <si>
    <t>Loss Time EID</t>
  </si>
  <si>
    <t>Loss Time Mekanik</t>
  </si>
  <si>
    <t>Scheduled Shut Down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</si>
  <si>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</si>
  <si>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</si>
  <si>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</si>
  <si>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</si>
  <si>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</si>
  <si>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</si>
  <si>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</si>
  <si>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</si>
  <si>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</si>
  <si>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LT/DT Percentage</t>
  </si>
  <si>
    <t>Total LT/DT (ton)</t>
  </si>
  <si>
    <t>- Sheet Breaks (0x)</t>
  </si>
  <si>
    <t>Tonase</t>
  </si>
  <si>
    <t>Prosentase</t>
  </si>
  <si>
    <t>Total Prosentase</t>
  </si>
  <si>
    <t>Baklog</t>
  </si>
  <si>
    <t>Sisa spool popereel</t>
  </si>
  <si>
    <t xml:space="preserve">Sisa Spool seset </t>
  </si>
  <si>
    <t>Sisa Spool rewinder</t>
  </si>
  <si>
    <t>Pending</t>
  </si>
  <si>
    <t>Ngelokor</t>
  </si>
  <si>
    <t>Keriput</t>
  </si>
  <si>
    <t>Start up</t>
  </si>
  <si>
    <t>Potongan jelek</t>
  </si>
  <si>
    <t>Trim</t>
  </si>
  <si>
    <t>Warisan</t>
  </si>
  <si>
    <t>Kertas sobek pinggir</t>
  </si>
  <si>
    <t>Joint</t>
  </si>
  <si>
    <t>Dirt</t>
  </si>
  <si>
    <t>Formasi jelek</t>
  </si>
  <si>
    <t>MDT &lt; std</t>
  </si>
  <si>
    <t>Lembab</t>
  </si>
  <si>
    <t>Seset Change Grade</t>
  </si>
  <si>
    <t>Diameter &lt; std</t>
  </si>
  <si>
    <t>soping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</si>
  <si>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</si>
  <si>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</si>
  <si>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</si>
  <si>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</si>
  <si>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</si>
  <si>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</si>
  <si>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</si>
  <si>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</si>
  <si>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warna kehijauan</t>
  </si>
  <si>
    <t>UNKNOWN</t>
  </si>
  <si>
    <t>Gripis</t>
  </si>
  <si>
    <t>TOTALIZER</t>
  </si>
  <si>
    <t>SUZANO</t>
  </si>
  <si>
    <t>PM 14</t>
  </si>
  <si>
    <t>PM 15</t>
  </si>
  <si>
    <t>PM 17</t>
  </si>
  <si>
    <t>STEAM/ton FG</t>
  </si>
  <si>
    <t>STEAM DIP/ton FG</t>
  </si>
  <si>
    <t>ELECTRIC DIP/ton FG</t>
  </si>
  <si>
    <t>GAS /ton FG</t>
  </si>
  <si>
    <t>STEAM DIP /ton FG</t>
  </si>
  <si>
    <t>ELECTRIC DIP /ton FG</t>
  </si>
  <si>
    <t>Desember</t>
  </si>
  <si>
    <t>PULP AND BROKE DAILY REPORT 11</t>
  </si>
  <si>
    <t>CHEMICAL DAILY REPORT PM 11</t>
  </si>
  <si>
    <t>SINERGY</t>
  </si>
  <si>
    <t>Loss time</t>
  </si>
  <si>
    <t>Down Time</t>
  </si>
  <si>
    <t>Backlog</t>
  </si>
  <si>
    <t>Loss Time Marketing</t>
  </si>
  <si>
    <t>Hood</t>
  </si>
  <si>
    <t>Yankee</t>
  </si>
  <si>
    <t>NBKP SCA</t>
  </si>
  <si>
    <t>LBKP ACACIA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</si>
  <si>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</si>
  <si>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</si>
  <si>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</si>
  <si>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</si>
  <si>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</si>
  <si>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</si>
  <si>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</si>
  <si>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</si>
  <si>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</si>
  <si>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</si>
  <si>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</si>
  <si>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</si>
  <si>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</si>
  <si>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</si>
  <si>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</si>
  <si>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</si>
  <si>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</si>
  <si>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</si>
  <si>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</si>
  <si>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</si>
  <si>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</si>
  <si>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</si>
  <si>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</si>
  <si>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</si>
  <si>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</si>
  <si>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</si>
  <si>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</si>
  <si>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</si>
  <si>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</si>
  <si>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</si>
  <si>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</si>
  <si>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</si>
  <si>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</si>
  <si>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</si>
  <si>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</si>
  <si>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</si>
  <si>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</si>
  <si>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900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</si>
  <si>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</si>
  <si>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</si>
  <si>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</si>
  <si>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</si>
  <si>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</si>
  <si>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</si>
  <si>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</si>
  <si>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</si>
  <si>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</si>
  <si>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</si>
  <si>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</si>
  <si>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</si>
  <si>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</si>
  <si>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</si>
  <si>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</si>
  <si>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</si>
  <si>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</si>
  <si>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</si>
  <si>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</si>
  <si>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</si>
  <si>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</si>
  <si>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</si>
  <si>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</si>
  <si>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</si>
  <si>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</si>
  <si>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</si>
  <si>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</si>
  <si>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</si>
  <si>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</si>
  <si>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PM 11 Running Time</t>
  </si>
  <si>
    <t>Down Time PLN</t>
  </si>
  <si>
    <t>Eff Avaliable</t>
  </si>
  <si>
    <t>Eff Running</t>
  </si>
  <si>
    <t xml:space="preserve">Kapasitas Running (ton) </t>
  </si>
  <si>
    <t>Eff FG vs Target  Running(%)</t>
  </si>
  <si>
    <t>Off White</t>
  </si>
  <si>
    <t>133*2</t>
  </si>
  <si>
    <t>EBKP NAVIA/ENCE</t>
  </si>
  <si>
    <t>Seset Spol Getar &amp; Astor</t>
  </si>
  <si>
    <t>Steam, &amp; gangguan sinergy (X)</t>
  </si>
  <si>
    <t>Freq, Trip PLN (X)</t>
  </si>
  <si>
    <t>Cleaning Holes (X)</t>
  </si>
  <si>
    <t>Per hari</t>
  </si>
  <si>
    <t>NBKP METSA</t>
  </si>
  <si>
    <t>Blowing</t>
  </si>
  <si>
    <t>0</t>
  </si>
  <si>
    <t>- Change Spool (10x)</t>
  </si>
  <si>
    <t>F 10,3 VP OW</t>
  </si>
  <si>
    <t>- Change Grade</t>
  </si>
  <si>
    <t>12/10,3</t>
  </si>
  <si>
    <t>Vaccum Turbo</t>
  </si>
  <si>
    <t>F 10,3</t>
  </si>
  <si>
    <t>CRESSBROOKE</t>
  </si>
  <si>
    <t>Agustus</t>
  </si>
  <si>
    <t>September</t>
  </si>
  <si>
    <t>SS</t>
  </si>
  <si>
    <t>PHP PM</t>
  </si>
  <si>
    <t>Electric WPL /ton FG</t>
  </si>
  <si>
    <t>ELECTRIC WPL /ton FG</t>
  </si>
  <si>
    <t>- Change Spool (9x)</t>
  </si>
  <si>
    <t>.10.25</t>
  </si>
  <si>
    <t>OKTOBER</t>
  </si>
  <si>
    <t># cleaning xilo
# cleaning couth pit
# cleaning atap pm dan rewinder</t>
  </si>
  <si>
    <t># cleaning Rewinder
14.30 pm persiapan jalan</t>
  </si>
  <si>
    <t># pm stop lagi, pipa steam ada yang bocor</t>
  </si>
  <si>
    <t>DT Sin</t>
  </si>
  <si>
    <t>- Awal shift pm stop perbaikan jalur pipa steam bocor</t>
  </si>
  <si>
    <t>- 21.00 steam masuk, pm persiapan jalan</t>
  </si>
  <si>
    <t>- 22.30 pm stop turbo vakum sampai akhir shift</t>
  </si>
  <si>
    <t>- 23.33 PM persiapan jalan</t>
  </si>
  <si>
    <t>Awal shift PM stop Turbo vacuum trip#Eid/Med.</t>
  </si>
  <si>
    <t>- 00.30 ON Reel baru 5 mnt speed 1500 Mpm, Turbo vacuum trip lagi</t>
  </si>
  <si>
    <t xml:space="preserve">- 00.40 Vacuum lama ON dan PM langsung start. </t>
  </si>
  <si>
    <t>- Awal Shift PM prod F13 Speed 1700/-24%
- 07:52 pm stop perbaikan jalur pipa steam
# cleaning area pm
# cleaning area hood
# cleaning blowing zone</t>
  </si>
  <si>
    <t>1700/1292</t>
  </si>
  <si>
    <t>1600/1216</t>
  </si>
  <si>
    <t>- 01.00 Kertas ON Reel F 13 HB speed 1650/-24%
- 06.22 Change ke F. 10,3 Gsm LB Speed 1.660 Mpm/-16%</t>
  </si>
  <si>
    <t>- 22.00 on reel F 13 HB speed 1600/-24%</t>
  </si>
  <si>
    <t>1651/1268</t>
  </si>
  <si>
    <t>1653/1267</t>
  </si>
  <si>
    <t>- Change Blade (6x)</t>
  </si>
  <si>
    <t>- Change Spool (1x)</t>
  </si>
  <si>
    <t>- Change Blade (0x)</t>
  </si>
  <si>
    <t>- Change Spool (0x)</t>
  </si>
  <si>
    <t>F 13 VP OW</t>
  </si>
  <si>
    <t>- 07:52  pm stop perbaikan jalur pipa steam</t>
  </si>
  <si>
    <t>- Awal shift PM stop Turbo vacuum trip Eid</t>
  </si>
  <si>
    <t>PM stop perbaikan jalur pipa steam</t>
  </si>
  <si>
    <t>PM stop Turbo vacuum trip Eid</t>
  </si>
  <si>
    <t>Slamet Ariadi</t>
  </si>
  <si>
    <t>Angga Permana</t>
  </si>
  <si>
    <t>Dicky F</t>
  </si>
  <si>
    <t>SN 15 VP OW</t>
  </si>
  <si>
    <t>F 13</t>
  </si>
  <si>
    <t>126+140</t>
  </si>
  <si>
    <t>266*1</t>
  </si>
  <si>
    <t>SN 15</t>
  </si>
  <si>
    <t>Sanitary Napkin</t>
  </si>
  <si>
    <t>- Awal Shift PM prod F10,3 Speed 1660/-16%</t>
  </si>
  <si>
    <t>- 11.30 Change Grade MG 15.5 OW, Speed 1270/-0,35%</t>
  </si>
  <si>
    <t>- Awal Shift PM prod MG 15,5 Speed 1270/-0,35%</t>
  </si>
  <si>
    <t>- 04.30 Change ke MG. 16,5 Gsm Ow Speed 1.270 Mpm/-0,35%</t>
  </si>
  <si>
    <t>1489/1338</t>
  </si>
  <si>
    <t>1270/1265</t>
  </si>
  <si>
    <t>1343/1289</t>
  </si>
  <si>
    <t>- Change Blade (1x)</t>
  </si>
  <si>
    <t>- Change Spool (8x)</t>
  </si>
  <si>
    <t>- Sheet Breaks (6x)</t>
  </si>
  <si>
    <t>- Change Spool (26x)</t>
  </si>
  <si>
    <t>10,3/15,5/16,5</t>
  </si>
  <si>
    <t>Iir Endra</t>
  </si>
  <si>
    <t>MG 15,5 VP OW</t>
  </si>
  <si>
    <t>MG 16,5 VP OW</t>
  </si>
  <si>
    <t>MG 15,5</t>
  </si>
  <si>
    <t>MG 16,5</t>
  </si>
  <si>
    <t>140+126</t>
  </si>
  <si>
    <t>140+122</t>
  </si>
  <si>
    <t>83+102+83</t>
  </si>
  <si>
    <t>59*4+22+14</t>
  </si>
  <si>
    <t>SODIUM HYPOCHLORID</t>
  </si>
  <si>
    <t>CHEMZYME CL</t>
  </si>
  <si>
    <t>- Awal Shift PM prod MG 16,5 Speed 1270/-0,35%</t>
  </si>
  <si>
    <t>- 14.15 change grade MG 21 speed 1010/-0.35%</t>
  </si>
  <si>
    <t>- Awal Shift PM prod MG 21 Speed 1010/-0,35%</t>
  </si>
  <si>
    <t>- kertas sirkulasi nozzle tail buntu</t>
  </si>
  <si>
    <t>1245/1241</t>
  </si>
  <si>
    <t>1010/1006</t>
  </si>
  <si>
    <t>1088/1084</t>
  </si>
  <si>
    <t>- Change Spool (7x)</t>
  </si>
  <si>
    <t>- Change Spool (24x)</t>
  </si>
  <si>
    <t>kertas sirkulasi nozzle tail buntu</t>
  </si>
  <si>
    <t>Facial/MG</t>
  </si>
  <si>
    <t>16,5/21</t>
  </si>
  <si>
    <t>MG 21</t>
  </si>
  <si>
    <t>264*1</t>
  </si>
  <si>
    <t>59*2+22*4+59</t>
  </si>
  <si>
    <t>MG 21 VP OW</t>
  </si>
  <si>
    <t xml:space="preserve">- Awal Shift Kertas Muncul Blowing Sisi Ds 55 Cm. </t>
  </si>
  <si>
    <t>- 08.30 PM Turun Speed 900 Mpm, Ganti Nozle Hpp Felt Yg Spray Dan Treatment Felt Inject Pakai Amiclean</t>
  </si>
  <si>
    <t>- Awal Shift PM prod MG 21 Speed 920/-0,35%</t>
  </si>
  <si>
    <t xml:space="preserve">- speed pm belum maksimal 920 coba naik speed Muncul Blowing Sisi Ds 55 Cm. </t>
  </si>
  <si>
    <t>- Treatment Felt Inject Pakai Amiclean</t>
  </si>
  <si>
    <t>- Sirkulasi utm nozel tail cutter buntu</t>
  </si>
  <si>
    <t>- Speed pm belum maximal rawan blowing</t>
  </si>
  <si>
    <t>- Speed PM Belum Bisa Maksimal  Rawan Muncul Blowing Sisi Ds</t>
  </si>
  <si>
    <t>- Awal Shift PM prod MG 21 Speed 900/-0,35%</t>
  </si>
  <si>
    <t>- Awal Shift PM prod MG 21 Speed 1020/-0,35%</t>
  </si>
  <si>
    <t>922/919</t>
  </si>
  <si>
    <t>920/916</t>
  </si>
  <si>
    <t>920/917</t>
  </si>
  <si>
    <t>- Change Spool (6x)</t>
  </si>
  <si>
    <t>LT</t>
  </si>
  <si>
    <t>Aditya Indra</t>
  </si>
  <si>
    <t>- Awal Shift PM prod MG 21 Speed 930/-0,35%</t>
  </si>
  <si>
    <t xml:space="preserve">- Awal shift pm speed 930 cek Jumbo roll ada blowing sebelah ds pm turun speed 900 cer jumbo roll blowing hilang. </t>
  </si>
  <si>
    <t>901/898</t>
  </si>
  <si>
    <t>900/896</t>
  </si>
  <si>
    <t>907/903</t>
  </si>
  <si>
    <t>- Change Spool (21x)</t>
  </si>
  <si>
    <t>21</t>
  </si>
  <si>
    <t>92,5*2+83</t>
  </si>
  <si>
    <t>1023/1019</t>
  </si>
  <si>
    <t>1150/1145</t>
  </si>
  <si>
    <t>1024/1020</t>
  </si>
  <si>
    <t>- Sheet Breaks (4x)</t>
  </si>
  <si>
    <t>- Sheet Breaks (1x)</t>
  </si>
  <si>
    <t>Dicky Fahrizal</t>
  </si>
  <si>
    <t>- 15.45 Change ke MG 22 Gsm Hw Speed 920 Mpm/-0,35 %</t>
  </si>
  <si>
    <t>- 19.20 Change ke MG 16,5 Gsm Hw Speed 1150 Mpm/-0,35 %</t>
  </si>
  <si>
    <t>- Awal Shift PM prod MG 16,5 Gsm Hw Speed 1150 Mpm/-0,35 %</t>
  </si>
  <si>
    <t>- 03.03 change MG 14HW Speed 1150/-0.35%</t>
  </si>
  <si>
    <t>- Sheet Breaks (5x)</t>
  </si>
  <si>
    <t>21/22/16,5/14</t>
  </si>
  <si>
    <t>271*1</t>
  </si>
  <si>
    <t>83*2+92,5</t>
  </si>
  <si>
    <t>MG 22</t>
  </si>
  <si>
    <t>83*2+102</t>
  </si>
  <si>
    <t>MG 14</t>
  </si>
  <si>
    <t>42*2+61*3</t>
  </si>
  <si>
    <t>61*3+42*2</t>
  </si>
  <si>
    <t>MG 22 VP HW</t>
  </si>
  <si>
    <t>MG 17 VP HW</t>
  </si>
  <si>
    <t>MG 14 VP HW</t>
  </si>
  <si>
    <t>MG 16,5 VP HW</t>
  </si>
  <si>
    <t>- Awal Shift PM prod MG 14 Gsm Hw Speed 1150 Mpm/-0,35 %</t>
  </si>
  <si>
    <t>- 01.20 change F12LB Speed 1660/-20%</t>
  </si>
  <si>
    <t>- Awal Shift PM prod MG 17 Gsm OW Speed 1220 Mpm/-0,35 %</t>
  </si>
  <si>
    <t>- 00.07 change grade F 10.3 LB Speed 1660/-20%</t>
  </si>
  <si>
    <t>- 21.40 Change ke MG 17 Gsm Ow Speed 1.220 Mpm/-0,35%</t>
  </si>
  <si>
    <t>1161/1157</t>
  </si>
  <si>
    <t>1598/1592</t>
  </si>
  <si>
    <t>MG 17 VP OW</t>
  </si>
  <si>
    <t>F 12 VP OW</t>
  </si>
  <si>
    <t>MG 17 VP HW/OW</t>
  </si>
  <si>
    <t>- Change Blade (5x)</t>
  </si>
  <si>
    <t>- Sheet Breaks (2x)</t>
  </si>
  <si>
    <t>High White</t>
  </si>
  <si>
    <t>1303/1205</t>
  </si>
  <si>
    <t>14/17/10,3/12</t>
  </si>
  <si>
    <t>MG 17</t>
  </si>
  <si>
    <t>22+60*4</t>
  </si>
  <si>
    <t>F 12</t>
  </si>
  <si>
    <t>- Awal Shift PM prod F 12 LB Speed 1660/-20%</t>
  </si>
  <si>
    <t>- Awal Shift PM prod F 12 LB Speed 1700/-20%</t>
  </si>
  <si>
    <t>- 21.30 PM Speed turun kerena kertas muncul hole bagian DS.</t>
  </si>
  <si>
    <t>- Awal Shift PM prod F 12 LB Speed 1680/-20%</t>
  </si>
  <si>
    <t>Speed pm belum maximal rawan hole</t>
  </si>
  <si>
    <t>1660/1328</t>
  </si>
  <si>
    <t>1700/1360</t>
  </si>
  <si>
    <t>1680/1344</t>
  </si>
  <si>
    <t>- Change Blade (4x)</t>
  </si>
  <si>
    <t>- Change Blade (3x)</t>
  </si>
  <si>
    <t>- Change Blade (11x)</t>
  </si>
  <si>
    <t>MG/Facial</t>
  </si>
  <si>
    <t>12</t>
  </si>
  <si>
    <t>- 12.10 change grade F 10.3 speed 1730/16%</t>
  </si>
  <si>
    <t>- 04.30 deflaker broke bocor(perbaikan med)</t>
  </si>
  <si>
    <t>- 04.50 deflaker broke jalan lagi</t>
  </si>
  <si>
    <t>- 05.30 deflaker broke bocor lagi(med perbaikan lagi)</t>
  </si>
  <si>
    <t>- Awal Shift PM prod F 10,3 LB Speed 1730/-16%</t>
  </si>
  <si>
    <t>1697/1382</t>
  </si>
  <si>
    <t>1730/1453</t>
  </si>
  <si>
    <t>- Change Blade (8x)</t>
  </si>
  <si>
    <t>- Change Blade (15x)</t>
  </si>
  <si>
    <t>- Change Spool (28x)</t>
  </si>
  <si>
    <t>- 07.30 deflaker broke bocor(perbaikan med)</t>
  </si>
  <si>
    <t xml:space="preserve">- 08.00 deflaker broke jalan lagi (ok) </t>
  </si>
  <si>
    <t>- 10.37 Pm kurang lancar speed consistensi lbkp storage to mixing eror. Terlalu encer( perbaikan Eid )</t>
  </si>
  <si>
    <t>- Pkl 02.45 change grade f 10, 5 speed 1700 kertas ada hole acak felt Qc tidak acc. Pm turun speed 1650 mpm hole acak hilang</t>
  </si>
  <si>
    <t xml:space="preserve">- Pkl. 02.00 Tissu masuk utm 15 menit, angin threading gak keluar gak bisa nyambung. Eid ganti sensor proxy threading. </t>
  </si>
  <si>
    <t>- 02.37 change F12 HB Speed 1700/-24%</t>
  </si>
  <si>
    <t>1713/1364</t>
  </si>
  <si>
    <t>1719/1400</t>
  </si>
  <si>
    <t>1680/1276</t>
  </si>
  <si>
    <t>- 02.50 Change Grade F 10.5, Speed 1650/-24%</t>
  </si>
  <si>
    <t>1664/1265</t>
  </si>
  <si>
    <t>1681/1277</t>
  </si>
  <si>
    <t>- Change Spool (11x)</t>
  </si>
  <si>
    <t>- Sheet Breaks (3x)</t>
  </si>
  <si>
    <t>- Awal Shift PM prod F 12 HB Speed 1700/-24%</t>
  </si>
  <si>
    <t>- Awal Shift PM prod F 12 HB Speed 1680/-24%</t>
  </si>
  <si>
    <t>- Sheet Breaks (11x)</t>
  </si>
  <si>
    <t>- Change Blade (12x)</t>
  </si>
  <si>
    <t>- Change Spool (30x)</t>
  </si>
  <si>
    <t>12/10,5</t>
  </si>
  <si>
    <t>F 10,5 VP OW</t>
  </si>
  <si>
    <t>F 10,5</t>
  </si>
  <si>
    <t>- Awal Shift PM prod F 10.5, Speed 1680/-24%</t>
  </si>
  <si>
    <t>- 13.00 JR turun muncul crushing, speed awal 1680, turun speed 1660.</t>
  </si>
  <si>
    <t>- 13.58 JR turun crushing hilang</t>
  </si>
  <si>
    <t>- Awal Shift PM prod F 10.3 Speed 1650/-16%</t>
  </si>
  <si>
    <t>- 02.00 Change Grade F 12 Speed 1680/-20%</t>
  </si>
  <si>
    <t>- Awal Shift PM prod F 12 Speed 1680/-20%</t>
  </si>
  <si>
    <t>- Pkl 15.50 kertas putus2 susah nyambung, kurangi temperatur yankee baru bisa nyambung</t>
  </si>
  <si>
    <t>- 16.18 mulai lancar</t>
  </si>
  <si>
    <t>- Awal Shift PM prod F 12 Speed 1660/-24%</t>
  </si>
  <si>
    <t>- 18.15 change F12HB Speed Awal 1660/-24%</t>
  </si>
  <si>
    <t>- 21.00 Change ke F.10,3 LB Speed 1.650 Mpm/-16%</t>
  </si>
  <si>
    <t>1675/1273</t>
  </si>
  <si>
    <t>- Awal Shift PM prod F 10.5, Speed 1660/-24%</t>
  </si>
  <si>
    <t>1657/1292</t>
  </si>
  <si>
    <t>1668/1359</t>
  </si>
  <si>
    <t>1667/1308</t>
  </si>
  <si>
    <t>- Change Blade (17x)</t>
  </si>
  <si>
    <t>- Sheet Breaks (8x)</t>
  </si>
  <si>
    <t>1668/1295</t>
  </si>
  <si>
    <t>1669/1300</t>
  </si>
  <si>
    <t>- Sheet Breaks (13x)</t>
  </si>
  <si>
    <t>- Change Blade (16x)</t>
  </si>
  <si>
    <t>- Change Spool (29x)</t>
  </si>
  <si>
    <t>10,5/10,3/12</t>
  </si>
  <si>
    <t>146+126</t>
  </si>
  <si>
    <t>Slamet A</t>
  </si>
  <si>
    <t>- Awal Shift PM prod F 12 HB Speed 1670/-24%</t>
  </si>
  <si>
    <t>1666/1266</t>
  </si>
  <si>
    <t>1660/1261</t>
  </si>
  <si>
    <t>1670/1269</t>
  </si>
  <si>
    <t>140+120</t>
  </si>
  <si>
    <t>- 13.10 Change ke F.12 Gsm HB, Core 12" Speed 1.680 Mpm/-24%</t>
  </si>
  <si>
    <t>- Speed blm target kertas rawan hole acak.</t>
  </si>
  <si>
    <t>- 23.45 Change Grade F 12 Core 12", Speed 1660/-24%</t>
  </si>
  <si>
    <t>- 21.59 change F 12 HB Speed 1680/-24%</t>
  </si>
  <si>
    <t>- Awal Shift PM prod F 12 HB Core 12" Speed 1680/-24%</t>
  </si>
  <si>
    <t>1672/1270</t>
  </si>
  <si>
    <t>1661/1263</t>
  </si>
  <si>
    <t>1671/1270</t>
  </si>
  <si>
    <t>- Change Spool (13x)</t>
  </si>
  <si>
    <t>- Change Blade (10x)</t>
  </si>
  <si>
    <t>- Change Spool (12x)</t>
  </si>
  <si>
    <t>- Change Blade (28x)</t>
  </si>
  <si>
    <t>- Change Spool (35x)</t>
  </si>
  <si>
    <t>277*1</t>
  </si>
  <si>
    <t>- Awal Shift PM prod F 12 Core 12", Speed 1660/-24%</t>
  </si>
  <si>
    <t>- Kertas sering nyelilit fs</t>
  </si>
  <si>
    <t>- Speed belum maksimal rawan hole</t>
  </si>
  <si>
    <t>- Change Blade (26x)</t>
  </si>
  <si>
    <t>150+122</t>
  </si>
  <si>
    <t>17.40 crane tidak bisa jalan ke selatan(cek eid)
19.15 pm sirkulasi di UTM, crane masih dalam perbaikan</t>
  </si>
  <si>
    <t>21.40 pompa coating/release trip semua, pm sirkulasi di UTM
21.55 pompa coating/release ok(jalan manual dulu), pm on reel</t>
  </si>
  <si>
    <t>20.05 crane sudah bisa jalan, pm on reel
21.15 pompa coating/release trip, ganti pompa sper</t>
  </si>
  <si>
    <t>- 01.40 change grade F12.5 HB speed 1660/-24%</t>
  </si>
  <si>
    <t>- Change Blade (2x)</t>
  </si>
  <si>
    <t>- 10.50 Kertas sirkulasi/UTM ganti sloter dan blade Ceramic</t>
  </si>
  <si>
    <t>- Sheet Breaks (12x)</t>
  </si>
  <si>
    <t xml:space="preserve">- 17.40 crane tidak bisa jalan ke selatan(cek eid)
</t>
  </si>
  <si>
    <t>Kertas sirkulasi/UTM ganti sloter dan blade Ceramic</t>
  </si>
  <si>
    <t>Crane tidak bisa jalan ke selatan(cek eid)</t>
  </si>
  <si>
    <t>120+140</t>
  </si>
  <si>
    <t>F 12,5</t>
  </si>
  <si>
    <t>F 12,5 VP OW</t>
  </si>
  <si>
    <t>12/12,5</t>
  </si>
  <si>
    <t>- Awal Shift PM prod F 12,5 HB Speed 1660/-24%</t>
  </si>
  <si>
    <t>- 08.39-08.43 Kertas sirkulas UTM Boost Pump Chemicals Yankee trip Eid</t>
  </si>
  <si>
    <t>- Awal Shift PM prod F.13 Gsm HB Speed 1.690/-24%</t>
  </si>
  <si>
    <t>- 08.40 Change ke F.13 Gsm HB Speed 1.690 Mpm/-24%</t>
  </si>
  <si>
    <t>1683/1279</t>
  </si>
  <si>
    <t>1690/1284</t>
  </si>
  <si>
    <t>1687/1282</t>
  </si>
  <si>
    <t>Kertas sirkulasi UTM Boost Pump Chemicals Yankee trip, Eid</t>
  </si>
  <si>
    <t>12,5/13</t>
  </si>
  <si>
    <t>- 13.00 Change ke F.12 Gsm HB Speed 1.660 Mpm/-24%</t>
  </si>
  <si>
    <t>- Awal Shift PM prod F.12 Gsm HB Speed 1.660/-24%</t>
  </si>
  <si>
    <t>- Speed blm target kertas rawan hole acak</t>
  </si>
  <si>
    <t>- Awal Shift PM prod F.12 Gsm HB Speed 1.670/-24%</t>
  </si>
  <si>
    <t>1682/1278</t>
  </si>
  <si>
    <t>1667/1267</t>
  </si>
  <si>
    <t>1667/1266</t>
  </si>
  <si>
    <t>- Change Spool (40x)</t>
  </si>
  <si>
    <t>- Sheet Breaks (9x)</t>
  </si>
  <si>
    <t>- Change Blade (14x)</t>
  </si>
  <si>
    <t>- Change Spool (27x)</t>
  </si>
  <si>
    <t>13/12</t>
  </si>
  <si>
    <t>- Awal Shift PM prod F.12 Gsm HB Speed 1.680/-24%</t>
  </si>
  <si>
    <t>1676/1274</t>
  </si>
  <si>
    <t>- 09.00 Change Grade SN 15, Speed 1150/-20%</t>
  </si>
  <si>
    <t>- 08:00 Ganti wire sanitary</t>
  </si>
  <si>
    <t>- Awal Shift PM Produksi SN 15, Speed 1150/-20%</t>
  </si>
  <si>
    <t>- Tiap ganti blade sering nyelilit sebelah Fs.</t>
  </si>
  <si>
    <t>- 09 10 Kertas Ada Hole Indikasi Dari  Wire Ngelipat
- 10.30 PM Stop, Ganti Wire
- 11.30 On reel
- 13.00 kertas Acc Qc</t>
  </si>
  <si>
    <t>DT</t>
  </si>
  <si>
    <t>1267/999</t>
  </si>
  <si>
    <t>1150/920</t>
  </si>
  <si>
    <t>1175/937</t>
  </si>
  <si>
    <t>- Change Blade (7x)</t>
  </si>
  <si>
    <t>- Change Spool (25x)</t>
  </si>
  <si>
    <t>Ganti wire sanitary</t>
  </si>
  <si>
    <t>Facial/Sanitary Napkin</t>
  </si>
  <si>
    <t>12/15</t>
  </si>
  <si>
    <t>SN 15,5</t>
  </si>
  <si>
    <t>55*3+53,5*2</t>
  </si>
  <si>
    <t>- Awal Shift PM Produksi SN 15, Speed 1180/-20%</t>
  </si>
  <si>
    <t>1189/951</t>
  </si>
  <si>
    <t>1180/944</t>
  </si>
  <si>
    <t>1173/938</t>
  </si>
  <si>
    <t>- Change Blade (20x)</t>
  </si>
  <si>
    <t>15</t>
  </si>
  <si>
    <t>- Awal Shift PM Produksi SN 15, Speed 1200/-20%</t>
  </si>
  <si>
    <t>- 07.00 PM stop ganti Felt, Wire+Revisi.</t>
  </si>
  <si>
    <t>1200/960</t>
  </si>
  <si>
    <t>1193/954</t>
  </si>
  <si>
    <t>- Change Blade (19x)</t>
  </si>
  <si>
    <t>- Change Spool (20x)</t>
  </si>
  <si>
    <t>Awal shift pm stop persiapan ganti felt dan wire
10.30 ganti felt dan wire selesai
10.36 pm mulai pemanasan dan lanjut precompack felt</t>
  </si>
  <si>
    <t>14.00 pm persiapan jalan</t>
  </si>
  <si>
    <t xml:space="preserve">- Speed blm target felt baru. </t>
  </si>
  <si>
    <t>- Speed naik bertahap.</t>
  </si>
  <si>
    <t>- Speed pm belum maksimal pakai Turbo vakum, rawan blowing.</t>
  </si>
  <si>
    <t>1130/858</t>
  </si>
  <si>
    <t>12.57 pm on reel F 12 speed 1130/-24%
13.48 pm trip, vacuum turbo trip</t>
  </si>
  <si>
    <t>- Awal Shift Prod F.12 Gsm HB Speed 1300 Mpm/-24%</t>
  </si>
  <si>
    <t>14.23 pm on reel speed 1130/-24%</t>
  </si>
  <si>
    <t>- Awal Shift Prod F.12 Gsm HB Speed 1260 Mpm/-24%</t>
  </si>
  <si>
    <t>1267/963</t>
  </si>
  <si>
    <t>- Change Spool (2x)</t>
  </si>
  <si>
    <t>1300/988</t>
  </si>
  <si>
    <t>1260/957</t>
  </si>
  <si>
    <t>- Awal shift pm stop persiapan ganti felt dan wire</t>
  </si>
  <si>
    <t>- 13.48 pm trip, vacuum turbo trip</t>
  </si>
  <si>
    <t>- Speed blm target felt baru dan pakai Turbo Vacuum</t>
  </si>
  <si>
    <t xml:space="preserve">- Awal shift kertas pinhole acak. </t>
  </si>
  <si>
    <t>- 11.40 change F13(trial S&amp;H) Speed 1340/24%</t>
  </si>
  <si>
    <t>- Awal shift Pm prod F13 (trial S&amp;H) speed 1440/24%</t>
  </si>
  <si>
    <t>- Awal Shift Prod  F 12 Gsm HB Speed 1.400 Mpm/-24%</t>
  </si>
  <si>
    <t>1377/1046</t>
  </si>
  <si>
    <t>- 05.30 Change ke F.12 Gsm HB Speed 1.480 Mpm/-24%</t>
  </si>
  <si>
    <t>- Awal Shift Prod F.13,5 Speed 1480 Mpm/-20%</t>
  </si>
  <si>
    <t>- 06:00 Speed PM turun 1.480 ke 1.400 Mpm sambil cleaning/karcher wire pinhole hilang.</t>
  </si>
  <si>
    <t>1470/1117</t>
  </si>
  <si>
    <t>1429/1099</t>
  </si>
  <si>
    <t>- 17.15 change F13,5 speed 1440/20%</t>
  </si>
  <si>
    <t>F 13,5</t>
  </si>
  <si>
    <t>- Change Blade (9x)</t>
  </si>
  <si>
    <t>- Change Spool (31x)</t>
  </si>
  <si>
    <t>1400/1064</t>
  </si>
  <si>
    <t>- 14.45 Change grade F 14 (SnH), speed 1400/-24%</t>
  </si>
  <si>
    <t>- Awal Shift PM Prod F 14 (SnH) speed 1400/-24%</t>
  </si>
  <si>
    <t>F 14 VP OW</t>
  </si>
  <si>
    <t>F 13,5 VP OW</t>
  </si>
  <si>
    <t>- 10.00 On Reel</t>
  </si>
  <si>
    <t>- Komputer DCS OS 1 &amp; 2 Sering Blank
- 09.00 PM Trip Indikasi Dari level oli nipcoflek interlock</t>
  </si>
  <si>
    <t>- 09.00 PM Trip Indikasi Dari level oli nipcoflek interlock</t>
  </si>
  <si>
    <t>PM Trip Indikasi Dari level oli nipcoflek interlock</t>
  </si>
  <si>
    <t>12/13/13,5</t>
  </si>
  <si>
    <t>12/14</t>
  </si>
  <si>
    <t>128,5*2+15</t>
  </si>
  <si>
    <t>47,5*6</t>
  </si>
  <si>
    <t>74*4</t>
  </si>
  <si>
    <t>140*2</t>
  </si>
  <si>
    <t>F 14</t>
  </si>
  <si>
    <t>128,5*2</t>
  </si>
  <si>
    <t>- 08.40 PM Stop kertas ada hole acak, Cleaning Felt</t>
  </si>
  <si>
    <t>- 09.40 On Reel</t>
  </si>
  <si>
    <t>- Awal Shift PM Prod F 14 (SnH) speed 1490/-24%</t>
  </si>
  <si>
    <t xml:space="preserve">- 23.10 tambor Off Reel hole blade bagian center/brosot, PM speed turun dan nambahin panas+setting Chemicals yankee. </t>
  </si>
  <si>
    <t>- 02.44 kertas Oke speed PM naik bertahap.</t>
  </si>
  <si>
    <t>1490/1132</t>
  </si>
  <si>
    <t>14</t>
  </si>
  <si>
    <t>140+128,5</t>
  </si>
  <si>
    <t>- Awal shift jumbo turunan pertama masih ada hole, turun speed pinhole masih ada</t>
  </si>
  <si>
    <t>- 00.22 pm trip, vaccum turbo trip
- 00.28 pm persiapan jalan</t>
  </si>
  <si>
    <t>- 01.01 pm on reel
- speed 1550mpm hole hilang, Qc acc
- Komputer DCS sering ngelag dan lemot</t>
  </si>
  <si>
    <t>1524/1158</t>
  </si>
  <si>
    <t>1567/1191</t>
  </si>
  <si>
    <t>- Awal Shift PM Prod F 13 speed 1580/-24%</t>
  </si>
  <si>
    <t>- 09.30 Change Grade F 13, Speed 1550/-24%</t>
  </si>
  <si>
    <t>- Awal Shift PM Prod F 13 speed 1590/-24%</t>
  </si>
  <si>
    <t>1590/1208</t>
  </si>
  <si>
    <t>1566/1190</t>
  </si>
  <si>
    <t>- Change Blade (18x)</t>
  </si>
  <si>
    <t>- 00.22 pm trip, vaccum turbo trip</t>
  </si>
  <si>
    <t>14/13</t>
  </si>
  <si>
    <t>- Awal Shift PM Prod F 13 speed 1550/-24%</t>
  </si>
  <si>
    <t>- Speed belum maksimal rawan pin hole</t>
  </si>
  <si>
    <t>- Speed masih belum maksimal rawan hole</t>
  </si>
  <si>
    <t>1550/1178</t>
  </si>
  <si>
    <t>1150/1178</t>
  </si>
  <si>
    <t>13</t>
  </si>
  <si>
    <t>- 09.00 Change Grade MG 15.5 OW, Speed 1260/-0,35%</t>
  </si>
  <si>
    <t>- 19.50 Speed turun 880 sambil cleaning/karcher SPR blowing masih ada</t>
  </si>
  <si>
    <t>- 20.30 Speed PM turun lagi 860 Mpm untuk sementara blowing hilang.</t>
  </si>
  <si>
    <t>- 05.00 change MG16.5HW Speed 1150/-0.35%</t>
  </si>
  <si>
    <t>- 04.17 change MG17OW speed 1150/-0,35%</t>
  </si>
  <si>
    <t>- 05.00 cleaning spr blowing hilang</t>
  </si>
  <si>
    <t>- Awal Shift PM Prod MG 15.5 OW, Speed 1260/-0,35%</t>
  </si>
  <si>
    <t>1332/1236</t>
  </si>
  <si>
    <t>- Speed masih belum maksimal ada blowing
- Change MG16.5HW ada blowing</t>
  </si>
  <si>
    <t>958/955</t>
  </si>
  <si>
    <t>1101/1067</t>
  </si>
  <si>
    <t>1038/1034</t>
  </si>
  <si>
    <t>13/15,5/22/17/16,5</t>
  </si>
  <si>
    <t>MG 22 VP OW</t>
  </si>
  <si>
    <t>102+83*2</t>
  </si>
  <si>
    <t>111+92,5+62,5</t>
  </si>
  <si>
    <t>92,5+83*2</t>
  </si>
  <si>
    <t>272*1</t>
  </si>
  <si>
    <t>262*1</t>
  </si>
  <si>
    <t>MG 21,5</t>
  </si>
  <si>
    <t>- 18.20 Change ke MG 21,5 Gsm ow Speed 900 Mpm/-0,35%</t>
  </si>
  <si>
    <t>- 18.20 Change MG 21,5 kertas ada blowing DS</t>
  </si>
  <si>
    <t>- Awal Shift PM Prod MG 21,5 Gsm ow Speed 860 Mpm/-0,35%</t>
  </si>
  <si>
    <t>- Awal Shift PM Prod MG16.5HW Speed 1150/-0.35%</t>
  </si>
  <si>
    <t>- 15.16 Bagian FS Kertas gripis/nglingkap pickup kurang sempurna kertas susah sambung</t>
  </si>
  <si>
    <t>- 16.09 PM speed turun 1180 Mpm kertas baru bisa sambung.</t>
  </si>
  <si>
    <t>- 00.33 change MG14HW Speed 1280/-0.35%</t>
  </si>
  <si>
    <t>- Speed belum max rawan blowing naik bertahap</t>
  </si>
  <si>
    <t>1175/1171</t>
  </si>
  <si>
    <t>1254/1250</t>
  </si>
  <si>
    <t>1193/1189</t>
  </si>
  <si>
    <t>MG 16,5 VP OW/HW</t>
  </si>
  <si>
    <t>- Sheet Breaks (10x)</t>
  </si>
  <si>
    <t>16,5/14</t>
  </si>
  <si>
    <t>22+50+100*2</t>
  </si>
  <si>
    <t>14+76+91*2</t>
  </si>
  <si>
    <t>42*5+61</t>
  </si>
  <si>
    <t>NBKP UPM Conifer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</si>
</sst>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#,##0.000"/>
    <numFmt numFmtId="171" formatCode="_(* #,##0.0_);_(* \(#,##0.0\);_(* &quot;-&quot;??_);_(@_)"/>
    <numFmt numFmtId="172" formatCode="[$-409]d\-mmm\-yy;@"/>
    <numFmt numFmtId="173" formatCode="_(* #,##0.000_);_(* \(#,##0.000\);_(* &quot;-&quot;??_);_(@_)"/>
    <numFmt numFmtId="174" formatCode="#,##0.000_);\(#,##0.000\)"/>
    <numFmt numFmtId="175" formatCode="0.0"/>
    <numFmt numFmtId="176" formatCode="0.000"/>
    <numFmt numFmtId="177" formatCode="0_);[Red]\(0\)"/>
    <numFmt numFmtId="178" formatCode="_(* #,##0.00_);_(* \(#,##0.00\);_(* &quot;-&quot;_);_(@_)"/>
    <numFmt numFmtId="179" formatCode="_(* #,##0.0_);_(* \(#,##0.0\);_(* &quot;-&quot;_);_(@_)"/>
    <numFmt numFmtId="180" formatCode="[$-409]mmm\-yy;@"/>
    <numFmt numFmtId="181" formatCode="_(* #,##0.000_);_(* \(#,##0.000\);_(* &quot;-&quot;_);_(@_)"/>
    <numFmt numFmtId="182" formatCode="_-* #,##0.000_-;\-* #,##0.000_-;_-* &quot;-&quot;???_-;_-@_-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C8E98"/>
        <bgColor indexed="64"/>
      </patternFill>
    </fill>
    <fill>
      <patternFill patternType="solid">
        <fgColor rgb="FF8C91FE"/>
        <bgColor indexed="64"/>
      </patternFill>
    </fill>
    <fill>
      <patternFill patternType="solid">
        <fgColor rgb="FFC9EE9C"/>
        <bgColor indexed="64"/>
      </patternFill>
    </fill>
    <fill>
      <patternFill patternType="solid">
        <fgColor rgb="FFEAA0C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ABF8F"/>
        <bgColor indexed="64"/>
      </patternFill>
    </fill>
  </fills>
  <borders count="10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6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9" fillId="3" borderId="0" applyNumberFormat="0" applyBorder="0" applyAlignment="0" applyProtection="0"/>
    <xf numFmtId="0" fontId="12" fillId="20" borderId="1" applyNumberFormat="0" applyAlignment="0" applyProtection="0"/>
    <xf numFmtId="0" fontId="17" fillId="21" borderId="2" applyNumberFormat="0" applyAlignment="0" applyProtection="0"/>
    <xf numFmtId="165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165" fontId="5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8" fillId="0" borderId="6" applyNumberFormat="0" applyFill="0" applyAlignment="0" applyProtection="0"/>
    <xf numFmtId="0" fontId="3" fillId="22" borderId="0" applyNumberFormat="0" applyBorder="0" applyAlignment="0" applyProtection="0"/>
    <xf numFmtId="0" fontId="48" fillId="0" borderId="0"/>
    <xf numFmtId="0" fontId="48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23" borderId="7" applyNumberFormat="0" applyFont="0" applyAlignment="0" applyProtection="0"/>
    <xf numFmtId="0" fontId="13" fillId="20" borderId="8" applyNumberFormat="0" applyAlignment="0" applyProtection="0"/>
    <xf numFmtId="9" fontId="45" fillId="0" borderId="0" applyFont="0" applyFill="0" applyBorder="0" applyAlignment="0" applyProtection="0"/>
    <xf numFmtId="9" fontId="5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45" fillId="0" borderId="0"/>
    <xf numFmtId="0" fontId="45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032">
    <xf numFmtId="0" fontId="0" fillId="0" borderId="0" xfId="0"/>
    <xf numFmtId="0" fontId="0" fillId="0" borderId="0" xfId="0" applyAlignment="1">
      <alignment horizontal="center"/>
    </xf>
    <xf numFmtId="0" fontId="28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8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8" fillId="0" borderId="18" xfId="0" applyFont="1" applyBorder="1"/>
    <xf numFmtId="165" fontId="28" fillId="0" borderId="18" xfId="28" applyFont="1" applyBorder="1"/>
    <xf numFmtId="165" fontId="0" fillId="0" borderId="0" xfId="0" applyNumberFormat="1"/>
    <xf numFmtId="170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8" fillId="0" borderId="11" xfId="0" applyNumberFormat="1" applyFont="1" applyBorder="1"/>
    <xf numFmtId="165" fontId="28" fillId="0" borderId="0" xfId="0" applyNumberFormat="1" applyFont="1"/>
    <xf numFmtId="165" fontId="28" fillId="0" borderId="18" xfId="28" applyFont="1" applyFill="1" applyBorder="1"/>
    <xf numFmtId="0" fontId="28" fillId="0" borderId="0" xfId="0" applyFont="1"/>
    <xf numFmtId="0" fontId="27" fillId="24" borderId="11" xfId="0" quotePrefix="1" applyFont="1" applyFill="1" applyBorder="1"/>
    <xf numFmtId="0" fontId="27" fillId="24" borderId="13" xfId="0" quotePrefix="1" applyFont="1" applyFill="1" applyBorder="1"/>
    <xf numFmtId="0" fontId="41" fillId="0" borderId="0" xfId="0" applyFont="1"/>
    <xf numFmtId="0" fontId="42" fillId="0" borderId="0" xfId="0" applyFont="1" applyAlignment="1">
      <alignment horizontal="center" vertical="center" wrapText="1"/>
    </xf>
    <xf numFmtId="164" fontId="42" fillId="0" borderId="0" xfId="29" applyFont="1" applyFill="1" applyBorder="1" applyAlignment="1">
      <alignment horizontal="center" vertical="center" wrapText="1"/>
    </xf>
    <xf numFmtId="177" fontId="42" fillId="0" borderId="0" xfId="0" applyNumberFormat="1" applyFont="1" applyAlignment="1">
      <alignment horizontal="center" vertical="center" wrapText="1"/>
    </xf>
    <xf numFmtId="178" fontId="42" fillId="0" borderId="0" xfId="29" applyNumberFormat="1" applyFont="1" applyFill="1" applyBorder="1" applyAlignment="1">
      <alignment horizontal="center" vertical="center" wrapText="1"/>
    </xf>
    <xf numFmtId="166" fontId="42" fillId="0" borderId="0" xfId="52" applyNumberFormat="1" applyFont="1" applyFill="1" applyBorder="1" applyAlignment="1">
      <alignment horizontal="center" vertical="center" wrapText="1"/>
    </xf>
    <xf numFmtId="0" fontId="43" fillId="0" borderId="0" xfId="0" applyFont="1"/>
    <xf numFmtId="0" fontId="43" fillId="0" borderId="14" xfId="0" applyFont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178" fontId="42" fillId="0" borderId="11" xfId="29" applyNumberFormat="1" applyFont="1" applyFill="1" applyBorder="1" applyAlignment="1">
      <alignment horizontal="center"/>
    </xf>
    <xf numFmtId="0" fontId="42" fillId="0" borderId="0" xfId="0" applyFont="1"/>
    <xf numFmtId="0" fontId="43" fillId="25" borderId="14" xfId="0" applyFont="1" applyFill="1" applyBorder="1" applyAlignment="1">
      <alignment horizontal="center" vertical="center" wrapText="1"/>
    </xf>
    <xf numFmtId="177" fontId="43" fillId="0" borderId="14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2" fillId="0" borderId="11" xfId="0" applyFont="1" applyBorder="1"/>
    <xf numFmtId="164" fontId="42" fillId="0" borderId="11" xfId="29" applyFont="1" applyFill="1" applyBorder="1" applyAlignment="1">
      <alignment vertical="center"/>
    </xf>
    <xf numFmtId="177" fontId="42" fillId="0" borderId="11" xfId="0" applyNumberFormat="1" applyFont="1" applyBorder="1"/>
    <xf numFmtId="164" fontId="42" fillId="0" borderId="11" xfId="29" applyFont="1" applyFill="1" applyBorder="1" applyAlignment="1">
      <alignment horizontal="center"/>
    </xf>
    <xf numFmtId="178" fontId="42" fillId="0" borderId="11" xfId="29" applyNumberFormat="1" applyFont="1" applyFill="1" applyBorder="1" applyAlignment="1">
      <alignment vertical="center"/>
    </xf>
    <xf numFmtId="166" fontId="42" fillId="0" borderId="11" xfId="52" applyNumberFormat="1" applyFont="1" applyFill="1" applyBorder="1" applyAlignment="1">
      <alignment vertical="center"/>
    </xf>
    <xf numFmtId="0" fontId="42" fillId="0" borderId="11" xfId="0" applyFont="1" applyBorder="1" applyAlignment="1">
      <alignment wrapText="1"/>
    </xf>
    <xf numFmtId="172" fontId="39" fillId="0" borderId="11" xfId="46" applyNumberFormat="1" applyFont="1" applyBorder="1" applyAlignment="1">
      <alignment horizontal="center"/>
    </xf>
    <xf numFmtId="0" fontId="39" fillId="0" borderId="11" xfId="46" applyFont="1" applyBorder="1" applyAlignment="1">
      <alignment horizontal="center"/>
    </xf>
    <xf numFmtId="0" fontId="39" fillId="0" borderId="11" xfId="31" applyNumberFormat="1" applyFont="1" applyFill="1" applyBorder="1" applyAlignment="1">
      <alignment horizontal="center"/>
    </xf>
    <xf numFmtId="0" fontId="42" fillId="0" borderId="11" xfId="0" applyFont="1" applyBorder="1" applyAlignment="1">
      <alignment horizontal="center" vertical="center" wrapText="1"/>
    </xf>
    <xf numFmtId="9" fontId="42" fillId="0" borderId="11" xfId="0" applyNumberFormat="1" applyFont="1" applyBorder="1" applyAlignment="1">
      <alignment horizontal="center" vertical="center" wrapText="1"/>
    </xf>
    <xf numFmtId="9" fontId="42" fillId="0" borderId="11" xfId="29" applyNumberFormat="1" applyFont="1" applyFill="1" applyBorder="1" applyAlignment="1">
      <alignment vertical="center"/>
    </xf>
    <xf numFmtId="9" fontId="42" fillId="0" borderId="11" xfId="52" applyFont="1" applyFill="1" applyBorder="1" applyAlignment="1">
      <alignment vertical="center"/>
    </xf>
    <xf numFmtId="164" fontId="39" fillId="0" borderId="11" xfId="29" applyFont="1" applyFill="1" applyBorder="1" applyAlignment="1">
      <alignment horizontal="center"/>
    </xf>
    <xf numFmtId="178" fontId="39" fillId="0" borderId="11" xfId="29" applyNumberFormat="1" applyFont="1" applyFill="1" applyBorder="1" applyAlignment="1">
      <alignment horizontal="center"/>
    </xf>
    <xf numFmtId="178" fontId="42" fillId="0" borderId="11" xfId="29" applyNumberFormat="1" applyFont="1" applyBorder="1" applyAlignment="1">
      <alignment vertical="center"/>
    </xf>
    <xf numFmtId="2" fontId="42" fillId="0" borderId="11" xfId="0" applyNumberFormat="1" applyFont="1" applyBorder="1"/>
    <xf numFmtId="2" fontId="39" fillId="0" borderId="11" xfId="48" applyNumberFormat="1" applyFont="1" applyBorder="1"/>
    <xf numFmtId="178" fontId="43" fillId="0" borderId="11" xfId="29" applyNumberFormat="1" applyFont="1" applyFill="1" applyBorder="1" applyAlignment="1">
      <alignment vertical="center"/>
    </xf>
    <xf numFmtId="2" fontId="36" fillId="0" borderId="11" xfId="48" applyNumberFormat="1" applyFont="1" applyBorder="1"/>
    <xf numFmtId="0" fontId="42" fillId="0" borderId="11" xfId="0" applyFont="1" applyBorder="1" applyAlignment="1">
      <alignment horizontal="center" wrapText="1"/>
    </xf>
    <xf numFmtId="9" fontId="42" fillId="0" borderId="11" xfId="0" applyNumberFormat="1" applyFont="1" applyBorder="1" applyAlignment="1">
      <alignment horizontal="center" wrapText="1"/>
    </xf>
    <xf numFmtId="2" fontId="45" fillId="0" borderId="11" xfId="45" applyNumberFormat="1" applyBorder="1"/>
    <xf numFmtId="0" fontId="23" fillId="24" borderId="11" xfId="44" applyFont="1" applyFill="1" applyBorder="1"/>
    <xf numFmtId="178" fontId="42" fillId="0" borderId="0" xfId="29" applyNumberFormat="1" applyFont="1" applyFill="1" applyBorder="1" applyAlignment="1">
      <alignment vertical="center"/>
    </xf>
    <xf numFmtId="0" fontId="42" fillId="0" borderId="0" xfId="0" applyFont="1" applyAlignment="1">
      <alignment horizontal="center"/>
    </xf>
    <xf numFmtId="177" fontId="42" fillId="0" borderId="0" xfId="0" applyNumberFormat="1" applyFont="1"/>
    <xf numFmtId="172" fontId="39" fillId="0" borderId="11" xfId="43" applyNumberFormat="1" applyFont="1" applyBorder="1" applyAlignment="1">
      <alignment horizontal="center"/>
    </xf>
    <xf numFmtId="0" fontId="39" fillId="0" borderId="11" xfId="43" applyFont="1" applyBorder="1" applyAlignment="1">
      <alignment horizontal="center"/>
    </xf>
    <xf numFmtId="0" fontId="39" fillId="0" borderId="11" xfId="30" applyNumberFormat="1" applyFont="1" applyFill="1" applyBorder="1" applyAlignment="1">
      <alignment horizontal="center"/>
    </xf>
    <xf numFmtId="164" fontId="43" fillId="0" borderId="11" xfId="29" applyFont="1" applyFill="1" applyBorder="1" applyAlignment="1">
      <alignment vertical="center"/>
    </xf>
    <xf numFmtId="9" fontId="43" fillId="25" borderId="11" xfId="29" applyNumberFormat="1" applyFont="1" applyFill="1" applyBorder="1" applyAlignment="1">
      <alignment vertical="center"/>
    </xf>
    <xf numFmtId="178" fontId="43" fillId="25" borderId="11" xfId="29" applyNumberFormat="1" applyFont="1" applyFill="1" applyBorder="1" applyAlignment="1">
      <alignment vertical="center"/>
    </xf>
    <xf numFmtId="177" fontId="43" fillId="0" borderId="11" xfId="0" applyNumberFormat="1" applyFont="1" applyBorder="1"/>
    <xf numFmtId="0" fontId="43" fillId="0" borderId="11" xfId="0" applyFont="1" applyBorder="1"/>
    <xf numFmtId="164" fontId="43" fillId="25" borderId="11" xfId="29" applyFont="1" applyFill="1" applyBorder="1" applyAlignment="1">
      <alignment horizontal="center"/>
    </xf>
    <xf numFmtId="0" fontId="42" fillId="0" borderId="11" xfId="49" applyFont="1" applyBorder="1"/>
    <xf numFmtId="10" fontId="43" fillId="25" borderId="11" xfId="52" applyNumberFormat="1" applyFont="1" applyFill="1" applyBorder="1" applyAlignment="1">
      <alignment vertical="center"/>
    </xf>
    <xf numFmtId="166" fontId="43" fillId="25" borderId="11" xfId="52" applyNumberFormat="1" applyFont="1" applyFill="1" applyBorder="1" applyAlignment="1">
      <alignment vertical="center"/>
    </xf>
    <xf numFmtId="165" fontId="43" fillId="0" borderId="11" xfId="0" applyNumberFormat="1" applyFont="1" applyBorder="1" applyAlignment="1">
      <alignment horizontal="right"/>
    </xf>
    <xf numFmtId="172" fontId="39" fillId="0" borderId="0" xfId="43" applyNumberFormat="1" applyFont="1" applyAlignment="1">
      <alignment horizontal="center"/>
    </xf>
    <xf numFmtId="0" fontId="39" fillId="0" borderId="0" xfId="43" applyFont="1" applyAlignment="1">
      <alignment horizontal="center"/>
    </xf>
    <xf numFmtId="0" fontId="39" fillId="0" borderId="0" xfId="30" applyNumberFormat="1" applyFont="1" applyFill="1" applyBorder="1" applyAlignment="1">
      <alignment horizontal="center"/>
    </xf>
    <xf numFmtId="164" fontId="42" fillId="0" borderId="0" xfId="29" applyFont="1" applyFill="1" applyBorder="1" applyAlignment="1">
      <alignment vertical="center"/>
    </xf>
    <xf numFmtId="164" fontId="42" fillId="0" borderId="0" xfId="29" applyFont="1" applyFill="1" applyBorder="1" applyAlignment="1">
      <alignment horizontal="center"/>
    </xf>
    <xf numFmtId="178" fontId="42" fillId="0" borderId="0" xfId="29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right"/>
    </xf>
    <xf numFmtId="178" fontId="43" fillId="0" borderId="0" xfId="29" applyNumberFormat="1" applyFont="1" applyFill="1" applyBorder="1" applyAlignment="1">
      <alignment horizontal="right"/>
    </xf>
    <xf numFmtId="166" fontId="43" fillId="0" borderId="0" xfId="52" applyNumberFormat="1" applyFont="1" applyFill="1" applyBorder="1" applyAlignment="1">
      <alignment vertical="center"/>
    </xf>
    <xf numFmtId="0" fontId="42" fillId="0" borderId="0" xfId="0" applyFont="1" applyAlignment="1">
      <alignment wrapText="1"/>
    </xf>
    <xf numFmtId="0" fontId="43" fillId="0" borderId="0" xfId="52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horizontal="center" vertical="center" wrapText="1"/>
    </xf>
    <xf numFmtId="165" fontId="43" fillId="0" borderId="14" xfId="0" applyNumberFormat="1" applyFont="1" applyBorder="1" applyAlignment="1">
      <alignment horizontal="center" vertical="center" wrapText="1"/>
    </xf>
    <xf numFmtId="165" fontId="42" fillId="0" borderId="11" xfId="29" applyNumberFormat="1" applyFont="1" applyFill="1" applyBorder="1" applyAlignment="1">
      <alignment vertical="center"/>
    </xf>
    <xf numFmtId="165" fontId="42" fillId="0" borderId="0" xfId="0" applyNumberFormat="1" applyFont="1"/>
    <xf numFmtId="165" fontId="43" fillId="25" borderId="11" xfId="29" applyNumberFormat="1" applyFont="1" applyFill="1" applyBorder="1" applyAlignment="1">
      <alignment vertical="center"/>
    </xf>
    <xf numFmtId="165" fontId="43" fillId="0" borderId="11" xfId="29" applyNumberFormat="1" applyFont="1" applyFill="1" applyBorder="1" applyAlignment="1">
      <alignment vertical="center"/>
    </xf>
    <xf numFmtId="165" fontId="42" fillId="0" borderId="0" xfId="29" applyNumberFormat="1" applyFont="1" applyFill="1" applyBorder="1" applyAlignment="1">
      <alignment vertical="center"/>
    </xf>
    <xf numFmtId="179" fontId="50" fillId="0" borderId="11" xfId="29" applyNumberFormat="1" applyFont="1" applyFill="1" applyBorder="1" applyAlignment="1">
      <alignment vertical="center"/>
    </xf>
    <xf numFmtId="166" fontId="50" fillId="0" borderId="0" xfId="53" applyNumberFormat="1" applyFont="1" applyFill="1" applyBorder="1" applyAlignment="1">
      <alignment vertical="center"/>
    </xf>
    <xf numFmtId="178" fontId="49" fillId="0" borderId="11" xfId="29" applyNumberFormat="1" applyFont="1" applyFill="1" applyBorder="1" applyAlignment="1">
      <alignment vertical="center"/>
    </xf>
    <xf numFmtId="10" fontId="50" fillId="25" borderId="11" xfId="52" applyNumberFormat="1" applyFont="1" applyFill="1" applyBorder="1"/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2" fillId="0" borderId="0" xfId="0" applyNumberFormat="1" applyFont="1"/>
    <xf numFmtId="15" fontId="43" fillId="0" borderId="0" xfId="0" applyNumberFormat="1" applyFont="1"/>
    <xf numFmtId="172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7" fillId="24" borderId="33" xfId="28" applyFont="1" applyFill="1" applyBorder="1" applyAlignment="1" applyProtection="1">
      <alignment horizontal="center" vertical="center"/>
    </xf>
    <xf numFmtId="165" fontId="27" fillId="24" borderId="34" xfId="28" applyFont="1" applyFill="1" applyBorder="1" applyAlignment="1" applyProtection="1">
      <alignment horizontal="center" vertical="center"/>
    </xf>
    <xf numFmtId="165" fontId="27" fillId="24" borderId="35" xfId="28" applyFont="1" applyFill="1" applyBorder="1" applyAlignment="1" applyProtection="1">
      <alignment horizontal="center" vertical="center"/>
    </xf>
    <xf numFmtId="165" fontId="27" fillId="24" borderId="36" xfId="28" applyFont="1" applyFill="1" applyBorder="1" applyAlignment="1" applyProtection="1">
      <alignment horizontal="center" vertical="center"/>
    </xf>
    <xf numFmtId="166" fontId="27" fillId="24" borderId="37" xfId="52" applyNumberFormat="1" applyFont="1" applyFill="1" applyBorder="1" applyAlignment="1" applyProtection="1">
      <alignment horizontal="center" vertical="center"/>
    </xf>
    <xf numFmtId="166" fontId="27" fillId="24" borderId="30" xfId="52" applyNumberFormat="1" applyFont="1" applyFill="1" applyBorder="1" applyAlignment="1" applyProtection="1">
      <alignment horizontal="center" vertical="center"/>
    </xf>
    <xf numFmtId="166" fontId="27" fillId="24" borderId="38" xfId="52" applyNumberFormat="1" applyFont="1" applyFill="1" applyBorder="1" applyAlignment="1" applyProtection="1">
      <alignment horizontal="center" vertical="center"/>
    </xf>
    <xf numFmtId="165" fontId="27" fillId="24" borderId="39" xfId="28" applyFont="1" applyFill="1" applyBorder="1" applyAlignment="1" applyProtection="1">
      <alignment horizontal="center" vertical="center"/>
    </xf>
    <xf numFmtId="165" fontId="27" fillId="24" borderId="39" xfId="28" applyFont="1" applyFill="1" applyBorder="1" applyAlignment="1" applyProtection="1">
      <alignment horizontal="center"/>
    </xf>
    <xf numFmtId="165" fontId="27" fillId="24" borderId="40" xfId="28" applyFont="1" applyFill="1" applyBorder="1" applyAlignment="1" applyProtection="1">
      <alignment horizontal="center"/>
    </xf>
    <xf numFmtId="166" fontId="27" fillId="24" borderId="41" xfId="52" applyNumberFormat="1" applyFont="1" applyFill="1" applyBorder="1" applyAlignment="1" applyProtection="1">
      <alignment horizontal="center" vertical="center"/>
    </xf>
    <xf numFmtId="165" fontId="23" fillId="24" borderId="0" xfId="28" applyFont="1" applyFill="1" applyProtection="1"/>
    <xf numFmtId="165" fontId="27" fillId="24" borderId="15" xfId="28" applyFont="1" applyFill="1" applyBorder="1" applyAlignment="1" applyProtection="1">
      <alignment horizontal="center" vertical="center"/>
    </xf>
    <xf numFmtId="165" fontId="27" fillId="24" borderId="42" xfId="28" applyFont="1" applyFill="1" applyBorder="1" applyAlignment="1" applyProtection="1">
      <alignment horizontal="center" vertical="center"/>
    </xf>
    <xf numFmtId="166" fontId="27" fillId="24" borderId="36" xfId="52" applyNumberFormat="1" applyFont="1" applyFill="1" applyBorder="1" applyAlignment="1" applyProtection="1">
      <alignment horizontal="center" vertical="center"/>
    </xf>
    <xf numFmtId="166" fontId="27" fillId="24" borderId="15" xfId="52" applyNumberFormat="1" applyFont="1" applyFill="1" applyBorder="1" applyAlignment="1" applyProtection="1">
      <alignment horizontal="center" vertical="center"/>
    </xf>
    <xf numFmtId="166" fontId="27" fillId="24" borderId="35" xfId="52" applyNumberFormat="1" applyFont="1" applyFill="1" applyBorder="1" applyAlignment="1" applyProtection="1">
      <alignment horizontal="center" vertical="center"/>
    </xf>
    <xf numFmtId="165" fontId="27" fillId="24" borderId="36" xfId="28" applyFont="1" applyFill="1" applyBorder="1" applyAlignment="1" applyProtection="1">
      <alignment horizontal="center"/>
    </xf>
    <xf numFmtId="165" fontId="27" fillId="24" borderId="43" xfId="28" applyFont="1" applyFill="1" applyBorder="1" applyAlignment="1" applyProtection="1">
      <alignment horizontal="center"/>
    </xf>
    <xf numFmtId="165" fontId="27" fillId="24" borderId="11" xfId="28" applyFont="1" applyFill="1" applyBorder="1" applyAlignment="1" applyProtection="1">
      <alignment horizontal="center"/>
    </xf>
    <xf numFmtId="165" fontId="27" fillId="24" borderId="44" xfId="28" applyFont="1" applyFill="1" applyBorder="1" applyAlignment="1" applyProtection="1">
      <alignment horizontal="center"/>
    </xf>
    <xf numFmtId="165" fontId="27" fillId="24" borderId="38" xfId="28" applyFont="1" applyFill="1" applyBorder="1" applyAlignment="1" applyProtection="1">
      <alignment horizontal="center"/>
    </xf>
    <xf numFmtId="0" fontId="27" fillId="24" borderId="45" xfId="0" applyFont="1" applyFill="1" applyBorder="1" applyAlignment="1">
      <alignment horizontal="left"/>
    </xf>
    <xf numFmtId="0" fontId="27" fillId="24" borderId="46" xfId="0" applyFont="1" applyFill="1" applyBorder="1" applyAlignment="1">
      <alignment horizontal="left"/>
    </xf>
    <xf numFmtId="0" fontId="27" fillId="24" borderId="47" xfId="0" applyFont="1" applyFill="1" applyBorder="1" applyAlignment="1">
      <alignment horizontal="left"/>
    </xf>
    <xf numFmtId="165" fontId="27" fillId="24" borderId="27" xfId="0" applyNumberFormat="1" applyFont="1" applyFill="1" applyBorder="1" applyAlignment="1">
      <alignment horizontal="left"/>
    </xf>
    <xf numFmtId="165" fontId="27" fillId="24" borderId="21" xfId="28" applyFont="1" applyFill="1" applyBorder="1" applyAlignment="1" applyProtection="1">
      <alignment horizontal="right" vertical="center"/>
    </xf>
    <xf numFmtId="0" fontId="27" fillId="24" borderId="48" xfId="0" applyFont="1" applyFill="1" applyBorder="1" applyAlignment="1">
      <alignment horizontal="center"/>
    </xf>
    <xf numFmtId="165" fontId="27" fillId="24" borderId="17" xfId="28" applyFont="1" applyFill="1" applyBorder="1" applyAlignment="1" applyProtection="1">
      <alignment horizontal="right" vertical="center"/>
    </xf>
    <xf numFmtId="0" fontId="27" fillId="24" borderId="49" xfId="0" applyFont="1" applyFill="1" applyBorder="1" applyAlignment="1">
      <alignment horizontal="center"/>
    </xf>
    <xf numFmtId="165" fontId="27" fillId="0" borderId="11" xfId="28" applyFont="1" applyFill="1" applyBorder="1" applyAlignment="1" applyProtection="1">
      <alignment horizontal="right"/>
    </xf>
    <xf numFmtId="0" fontId="27" fillId="24" borderId="50" xfId="0" applyFont="1" applyFill="1" applyBorder="1" applyAlignment="1">
      <alignment horizontal="center"/>
    </xf>
    <xf numFmtId="165" fontId="27" fillId="24" borderId="11" xfId="28" applyFont="1" applyFill="1" applyBorder="1" applyAlignment="1" applyProtection="1">
      <alignment horizontal="right" vertical="center"/>
    </xf>
    <xf numFmtId="165" fontId="23" fillId="20" borderId="11" xfId="28" applyFont="1" applyFill="1" applyBorder="1" applyAlignment="1" applyProtection="1">
      <alignment horizontal="right"/>
    </xf>
    <xf numFmtId="165" fontId="27" fillId="24" borderId="11" xfId="28" applyFont="1" applyFill="1" applyBorder="1" applyAlignment="1" applyProtection="1">
      <alignment horizontal="right"/>
    </xf>
    <xf numFmtId="174" fontId="27" fillId="24" borderId="11" xfId="28" applyNumberFormat="1" applyFont="1" applyFill="1" applyBorder="1" applyAlignment="1" applyProtection="1">
      <alignment horizontal="right"/>
    </xf>
    <xf numFmtId="39" fontId="27" fillId="24" borderId="11" xfId="28" applyNumberFormat="1" applyFont="1" applyFill="1" applyBorder="1" applyAlignment="1" applyProtection="1">
      <alignment horizontal="right"/>
    </xf>
    <xf numFmtId="165" fontId="27" fillId="24" borderId="14" xfId="28" applyFont="1" applyFill="1" applyBorder="1" applyAlignment="1" applyProtection="1">
      <alignment horizontal="right"/>
    </xf>
    <xf numFmtId="0" fontId="27" fillId="24" borderId="51" xfId="0" applyFont="1" applyFill="1" applyBorder="1" applyAlignment="1">
      <alignment horizontal="center"/>
    </xf>
    <xf numFmtId="165" fontId="27" fillId="24" borderId="23" xfId="0" applyNumberFormat="1" applyFont="1" applyFill="1" applyBorder="1" applyAlignment="1">
      <alignment horizontal="right"/>
    </xf>
    <xf numFmtId="0" fontId="27" fillId="24" borderId="24" xfId="0" applyFont="1" applyFill="1" applyBorder="1" applyAlignment="1">
      <alignment horizontal="center"/>
    </xf>
    <xf numFmtId="165" fontId="27" fillId="24" borderId="11" xfId="28" applyFont="1" applyFill="1" applyBorder="1" applyProtection="1"/>
    <xf numFmtId="165" fontId="27" fillId="24" borderId="14" xfId="28" applyFont="1" applyFill="1" applyBorder="1" applyProtection="1"/>
    <xf numFmtId="165" fontId="23" fillId="20" borderId="11" xfId="28" applyFont="1" applyFill="1" applyBorder="1" applyProtection="1"/>
    <xf numFmtId="165" fontId="27" fillId="24" borderId="50" xfId="28" applyFont="1" applyFill="1" applyBorder="1" applyAlignment="1" applyProtection="1">
      <alignment horizontal="center"/>
    </xf>
    <xf numFmtId="165" fontId="27" fillId="24" borderId="21" xfId="28" applyFont="1" applyFill="1" applyBorder="1" applyAlignment="1" applyProtection="1">
      <alignment horizontal="center"/>
    </xf>
    <xf numFmtId="165" fontId="27" fillId="24" borderId="48" xfId="28" applyFont="1" applyFill="1" applyBorder="1" applyAlignment="1" applyProtection="1">
      <alignment horizontal="center"/>
    </xf>
    <xf numFmtId="166" fontId="27" fillId="24" borderId="23" xfId="52" applyNumberFormat="1" applyFont="1" applyFill="1" applyBorder="1" applyProtection="1"/>
    <xf numFmtId="166" fontId="27" fillId="24" borderId="24" xfId="52" applyNumberFormat="1" applyFont="1" applyFill="1" applyBorder="1" applyProtection="1"/>
    <xf numFmtId="0" fontId="20" fillId="0" borderId="0" xfId="0" applyFont="1"/>
    <xf numFmtId="0" fontId="23" fillId="24" borderId="0" xfId="0" applyFont="1" applyFill="1"/>
    <xf numFmtId="0" fontId="21" fillId="0" borderId="0" xfId="0" applyFont="1"/>
    <xf numFmtId="0" fontId="22" fillId="0" borderId="0" xfId="0" applyFont="1"/>
    <xf numFmtId="0" fontId="24" fillId="24" borderId="0" xfId="0" applyFont="1" applyFill="1"/>
    <xf numFmtId="165" fontId="25" fillId="24" borderId="0" xfId="28" applyFont="1" applyFill="1" applyAlignment="1" applyProtection="1">
      <alignment horizontal="right"/>
    </xf>
    <xf numFmtId="0" fontId="26" fillId="24" borderId="0" xfId="0" applyFont="1" applyFill="1"/>
    <xf numFmtId="165" fontId="23" fillId="24" borderId="0" xfId="0" applyNumberFormat="1" applyFont="1" applyFill="1"/>
    <xf numFmtId="0" fontId="27" fillId="24" borderId="33" xfId="0" applyFont="1" applyFill="1" applyBorder="1" applyAlignment="1">
      <alignment horizontal="center" vertical="center"/>
    </xf>
    <xf numFmtId="0" fontId="27" fillId="24" borderId="15" xfId="0" applyFont="1" applyFill="1" applyBorder="1" applyAlignment="1">
      <alignment horizontal="center" vertical="center"/>
    </xf>
    <xf numFmtId="0" fontId="27" fillId="24" borderId="42" xfId="0" applyFont="1" applyFill="1" applyBorder="1" applyAlignment="1">
      <alignment horizontal="center" vertical="center"/>
    </xf>
    <xf numFmtId="0" fontId="27" fillId="24" borderId="52" xfId="0" applyFont="1" applyFill="1" applyBorder="1" applyAlignment="1">
      <alignment horizontal="center"/>
    </xf>
    <xf numFmtId="0" fontId="27" fillId="24" borderId="42" xfId="0" applyFont="1" applyFill="1" applyBorder="1" applyAlignment="1">
      <alignment horizontal="center" wrapText="1"/>
    </xf>
    <xf numFmtId="0" fontId="27" fillId="24" borderId="33" xfId="0" applyFont="1" applyFill="1" applyBorder="1" applyAlignment="1">
      <alignment horizontal="center"/>
    </xf>
    <xf numFmtId="0" fontId="27" fillId="24" borderId="15" xfId="0" applyFont="1" applyFill="1" applyBorder="1" applyAlignment="1">
      <alignment horizontal="center"/>
    </xf>
    <xf numFmtId="0" fontId="27" fillId="24" borderId="35" xfId="0" applyFont="1" applyFill="1" applyBorder="1" applyAlignment="1">
      <alignment horizontal="center"/>
    </xf>
    <xf numFmtId="165" fontId="27" fillId="24" borderId="11" xfId="0" applyNumberFormat="1" applyFont="1" applyFill="1" applyBorder="1" applyAlignment="1">
      <alignment horizontal="center"/>
    </xf>
    <xf numFmtId="0" fontId="27" fillId="24" borderId="53" xfId="0" applyFont="1" applyFill="1" applyBorder="1" applyAlignment="1">
      <alignment horizontal="left" vertical="center"/>
    </xf>
    <xf numFmtId="0" fontId="27" fillId="24" borderId="54" xfId="0" quotePrefix="1" applyFont="1" applyFill="1" applyBorder="1"/>
    <xf numFmtId="0" fontId="27" fillId="24" borderId="35" xfId="0" applyFont="1" applyFill="1" applyBorder="1" applyAlignment="1">
      <alignment vertical="center" wrapText="1"/>
    </xf>
    <xf numFmtId="0" fontId="27" fillId="24" borderId="30" xfId="0" applyFont="1" applyFill="1" applyBorder="1" applyAlignment="1">
      <alignment horizontal="left" vertical="center"/>
    </xf>
    <xf numFmtId="0" fontId="27" fillId="24" borderId="41" xfId="0" applyFont="1" applyFill="1" applyBorder="1" applyAlignment="1">
      <alignment vertical="center" wrapText="1"/>
    </xf>
    <xf numFmtId="0" fontId="27" fillId="24" borderId="55" xfId="0" applyFont="1" applyFill="1" applyBorder="1" applyAlignment="1">
      <alignment horizontal="left" vertical="center"/>
    </xf>
    <xf numFmtId="0" fontId="27" fillId="24" borderId="54" xfId="0" applyFont="1" applyFill="1" applyBorder="1" applyAlignment="1">
      <alignment horizontal="center"/>
    </xf>
    <xf numFmtId="0" fontId="27" fillId="24" borderId="54" xfId="0" applyFont="1" applyFill="1" applyBorder="1"/>
    <xf numFmtId="0" fontId="27" fillId="24" borderId="56" xfId="0" applyFont="1" applyFill="1" applyBorder="1" applyAlignment="1">
      <alignment horizontal="center" vertical="center"/>
    </xf>
    <xf numFmtId="0" fontId="27" fillId="24" borderId="46" xfId="0" applyFont="1" applyFill="1" applyBorder="1" applyAlignment="1">
      <alignment horizontal="left" vertical="center"/>
    </xf>
    <xf numFmtId="0" fontId="27" fillId="24" borderId="29" xfId="0" applyFont="1" applyFill="1" applyBorder="1" applyAlignment="1">
      <alignment horizontal="center"/>
    </xf>
    <xf numFmtId="0" fontId="27" fillId="24" borderId="0" xfId="0" applyFont="1" applyFill="1"/>
    <xf numFmtId="0" fontId="27" fillId="24" borderId="0" xfId="0" applyFont="1" applyFill="1" applyAlignment="1">
      <alignment horizontal="center" vertical="center" wrapText="1"/>
    </xf>
    <xf numFmtId="0" fontId="27" fillId="24" borderId="0" xfId="0" applyFont="1" applyFill="1" applyAlignment="1">
      <alignment horizontal="center"/>
    </xf>
    <xf numFmtId="0" fontId="27" fillId="24" borderId="37" xfId="0" applyFont="1" applyFill="1" applyBorder="1" applyAlignment="1">
      <alignment horizontal="center"/>
    </xf>
    <xf numFmtId="0" fontId="27" fillId="24" borderId="41" xfId="0" applyFont="1" applyFill="1" applyBorder="1" applyAlignment="1">
      <alignment horizontal="center"/>
    </xf>
    <xf numFmtId="0" fontId="23" fillId="24" borderId="33" xfId="0" applyFont="1" applyFill="1" applyBorder="1"/>
    <xf numFmtId="0" fontId="23" fillId="24" borderId="42" xfId="0" applyFont="1" applyFill="1" applyBorder="1"/>
    <xf numFmtId="0" fontId="27" fillId="24" borderId="15" xfId="0" applyFont="1" applyFill="1" applyBorder="1"/>
    <xf numFmtId="0" fontId="27" fillId="24" borderId="42" xfId="0" applyFont="1" applyFill="1" applyBorder="1" applyAlignment="1">
      <alignment horizontal="center"/>
    </xf>
    <xf numFmtId="165" fontId="23" fillId="24" borderId="0" xfId="28" applyFont="1" applyFill="1" applyBorder="1" applyProtection="1"/>
    <xf numFmtId="0" fontId="23" fillId="24" borderId="57" xfId="0" applyFont="1" applyFill="1" applyBorder="1" applyAlignment="1">
      <alignment horizontal="center"/>
    </xf>
    <xf numFmtId="0" fontId="23" fillId="24" borderId="10" xfId="0" applyFont="1" applyFill="1" applyBorder="1" applyAlignment="1">
      <alignment horizontal="center"/>
    </xf>
    <xf numFmtId="0" fontId="27" fillId="24" borderId="10" xfId="0" applyFont="1" applyFill="1" applyBorder="1" applyAlignment="1">
      <alignment horizontal="center"/>
    </xf>
    <xf numFmtId="165" fontId="27" fillId="24" borderId="0" xfId="28" applyFont="1" applyFill="1" applyBorder="1" applyProtection="1"/>
    <xf numFmtId="0" fontId="27" fillId="24" borderId="12" xfId="0" applyFont="1" applyFill="1" applyBorder="1" applyAlignment="1">
      <alignment horizontal="center"/>
    </xf>
    <xf numFmtId="0" fontId="27" fillId="24" borderId="58" xfId="0" applyFont="1" applyFill="1" applyBorder="1" applyAlignment="1">
      <alignment horizontal="center"/>
    </xf>
    <xf numFmtId="165" fontId="27" fillId="24" borderId="23" xfId="0" applyNumberFormat="1" applyFont="1" applyFill="1" applyBorder="1"/>
    <xf numFmtId="2" fontId="23" fillId="24" borderId="0" xfId="0" applyNumberFormat="1" applyFont="1" applyFill="1"/>
    <xf numFmtId="0" fontId="27" fillId="24" borderId="59" xfId="0" applyFont="1" applyFill="1" applyBorder="1"/>
    <xf numFmtId="0" fontId="27" fillId="24" borderId="60" xfId="0" applyFont="1" applyFill="1" applyBorder="1" applyAlignment="1">
      <alignment horizontal="left"/>
    </xf>
    <xf numFmtId="0" fontId="23" fillId="24" borderId="60" xfId="0" applyFont="1" applyFill="1" applyBorder="1"/>
    <xf numFmtId="165" fontId="23" fillId="24" borderId="60" xfId="28" applyFont="1" applyFill="1" applyBorder="1" applyProtection="1"/>
    <xf numFmtId="0" fontId="23" fillId="24" borderId="32" xfId="0" applyFont="1" applyFill="1" applyBorder="1"/>
    <xf numFmtId="0" fontId="23" fillId="24" borderId="11" xfId="0" applyFont="1" applyFill="1" applyBorder="1"/>
    <xf numFmtId="165" fontId="23" fillId="24" borderId="11" xfId="0" applyNumberFormat="1" applyFont="1" applyFill="1" applyBorder="1"/>
    <xf numFmtId="166" fontId="23" fillId="24" borderId="11" xfId="52" applyNumberFormat="1" applyFont="1" applyFill="1" applyBorder="1" applyProtection="1"/>
    <xf numFmtId="0" fontId="27" fillId="24" borderId="29" xfId="0" applyFont="1" applyFill="1" applyBorder="1"/>
    <xf numFmtId="0" fontId="27" fillId="24" borderId="0" xfId="0" applyFont="1" applyFill="1" applyAlignment="1">
      <alignment horizontal="left"/>
    </xf>
    <xf numFmtId="0" fontId="23" fillId="24" borderId="61" xfId="0" applyFont="1" applyFill="1" applyBorder="1"/>
    <xf numFmtId="0" fontId="23" fillId="24" borderId="29" xfId="0" applyFont="1" applyFill="1" applyBorder="1"/>
    <xf numFmtId="0" fontId="23" fillId="24" borderId="31" xfId="0" applyFont="1" applyFill="1" applyBorder="1"/>
    <xf numFmtId="0" fontId="27" fillId="24" borderId="62" xfId="0" applyFont="1" applyFill="1" applyBorder="1"/>
    <xf numFmtId="165" fontId="27" fillId="24" borderId="62" xfId="28" applyFont="1" applyFill="1" applyBorder="1" applyProtection="1"/>
    <xf numFmtId="0" fontId="23" fillId="24" borderId="16" xfId="0" applyFont="1" applyFill="1" applyBorder="1"/>
    <xf numFmtId="0" fontId="27" fillId="24" borderId="15" xfId="0" applyFont="1" applyFill="1" applyBorder="1" applyAlignment="1">
      <alignment horizontal="center" wrapText="1"/>
    </xf>
    <xf numFmtId="2" fontId="42" fillId="0" borderId="11" xfId="52" applyNumberFormat="1" applyFont="1" applyFill="1" applyBorder="1" applyAlignment="1">
      <alignment vertical="center"/>
    </xf>
    <xf numFmtId="165" fontId="27" fillId="24" borderId="17" xfId="0" applyNumberFormat="1" applyFont="1" applyFill="1" applyBorder="1" applyAlignment="1">
      <alignment horizontal="left"/>
    </xf>
    <xf numFmtId="0" fontId="27" fillId="24" borderId="14" xfId="0" applyFont="1" applyFill="1" applyBorder="1" applyAlignment="1">
      <alignment horizontal="left"/>
    </xf>
    <xf numFmtId="165" fontId="27" fillId="24" borderId="10" xfId="0" applyNumberFormat="1" applyFont="1" applyFill="1" applyBorder="1" applyAlignment="1">
      <alignment horizontal="left"/>
    </xf>
    <xf numFmtId="0" fontId="27" fillId="24" borderId="63" xfId="0" applyFont="1" applyFill="1" applyBorder="1" applyAlignment="1" applyProtection="1">
      <alignment horizontal="left" vertical="center"/>
      <protection locked="0"/>
    </xf>
    <xf numFmtId="165" fontId="27" fillId="24" borderId="61" xfId="28" applyFont="1" applyFill="1" applyBorder="1" applyAlignment="1" applyProtection="1">
      <alignment horizontal="center" vertical="center"/>
      <protection locked="0"/>
    </xf>
    <xf numFmtId="165" fontId="27" fillId="24" borderId="63" xfId="28" applyFont="1" applyFill="1" applyBorder="1" applyAlignment="1" applyProtection="1">
      <alignment horizontal="center" vertical="center"/>
      <protection locked="0"/>
    </xf>
    <xf numFmtId="165" fontId="27" fillId="24" borderId="43" xfId="28" applyFont="1" applyFill="1" applyBorder="1" applyAlignment="1" applyProtection="1">
      <alignment horizontal="center" vertical="center"/>
      <protection locked="0"/>
    </xf>
    <xf numFmtId="165" fontId="27" fillId="24" borderId="44" xfId="28" applyFont="1" applyFill="1" applyBorder="1" applyAlignment="1" applyProtection="1">
      <protection locked="0"/>
    </xf>
    <xf numFmtId="165" fontId="27" fillId="24" borderId="44" xfId="28" applyFont="1" applyFill="1" applyBorder="1" applyAlignment="1" applyProtection="1">
      <alignment horizontal="center"/>
      <protection locked="0"/>
    </xf>
    <xf numFmtId="165" fontId="27" fillId="24" borderId="56" xfId="52" applyNumberFormat="1" applyFont="1" applyFill="1" applyBorder="1" applyAlignment="1" applyProtection="1">
      <alignment horizontal="center" vertical="center"/>
      <protection locked="0"/>
    </xf>
    <xf numFmtId="165" fontId="27" fillId="24" borderId="55" xfId="52" applyNumberFormat="1" applyFont="1" applyFill="1" applyBorder="1" applyAlignment="1" applyProtection="1">
      <alignment horizontal="center" vertical="center"/>
      <protection locked="0"/>
    </xf>
    <xf numFmtId="165" fontId="27" fillId="24" borderId="65" xfId="52" applyNumberFormat="1" applyFont="1" applyFill="1" applyBorder="1" applyAlignment="1" applyProtection="1">
      <alignment horizontal="center" vertical="center"/>
      <protection locked="0"/>
    </xf>
    <xf numFmtId="165" fontId="27" fillId="24" borderId="44" xfId="28" applyFont="1" applyFill="1" applyBorder="1" applyAlignment="1" applyProtection="1">
      <alignment horizontal="center" vertical="center"/>
      <protection locked="0"/>
    </xf>
    <xf numFmtId="165" fontId="27" fillId="24" borderId="0" xfId="28" applyFont="1" applyFill="1" applyBorder="1" applyAlignment="1" applyProtection="1">
      <alignment horizontal="center" vertical="center"/>
      <protection locked="0"/>
    </xf>
    <xf numFmtId="165" fontId="23" fillId="24" borderId="44" xfId="28" applyFont="1" applyFill="1" applyBorder="1" applyProtection="1">
      <protection locked="0"/>
    </xf>
    <xf numFmtId="165" fontId="27" fillId="24" borderId="10" xfId="28" applyFont="1" applyFill="1" applyBorder="1" applyAlignment="1" applyProtection="1">
      <alignment horizontal="center"/>
      <protection locked="0"/>
    </xf>
    <xf numFmtId="165" fontId="27" fillId="24" borderId="11" xfId="0" applyNumberFormat="1" applyFont="1" applyFill="1" applyBorder="1" applyAlignment="1" applyProtection="1">
      <alignment horizontal="center"/>
      <protection locked="0"/>
    </xf>
    <xf numFmtId="0" fontId="27" fillId="24" borderId="11" xfId="0" quotePrefix="1" applyFont="1" applyFill="1" applyBorder="1" applyAlignment="1" applyProtection="1">
      <alignment wrapText="1"/>
      <protection locked="0"/>
    </xf>
    <xf numFmtId="165" fontId="27" fillId="24" borderId="28" xfId="28" applyFont="1" applyFill="1" applyBorder="1" applyAlignment="1" applyProtection="1">
      <alignment horizontal="center"/>
      <protection locked="0"/>
    </xf>
    <xf numFmtId="0" fontId="27" fillId="24" borderId="14" xfId="0" applyFont="1" applyFill="1" applyBorder="1" applyAlignment="1" applyProtection="1">
      <alignment horizontal="center"/>
      <protection locked="0"/>
    </xf>
    <xf numFmtId="0" fontId="27" fillId="24" borderId="13" xfId="0" quotePrefix="1" applyFont="1" applyFill="1" applyBorder="1" applyAlignment="1" applyProtection="1">
      <alignment wrapText="1"/>
      <protection locked="0"/>
    </xf>
    <xf numFmtId="0" fontId="46" fillId="24" borderId="14" xfId="0" quotePrefix="1" applyFont="1" applyFill="1" applyBorder="1" applyAlignment="1" applyProtection="1">
      <alignment wrapText="1"/>
      <protection locked="0"/>
    </xf>
    <xf numFmtId="2" fontId="27" fillId="24" borderId="0" xfId="0" applyNumberFormat="1" applyFont="1" applyFill="1" applyAlignment="1" applyProtection="1">
      <alignment horizontal="right"/>
      <protection locked="0"/>
    </xf>
    <xf numFmtId="165" fontId="27" fillId="24" borderId="12" xfId="28" applyFont="1" applyFill="1" applyBorder="1" applyAlignment="1" applyProtection="1">
      <alignment horizontal="center"/>
      <protection locked="0"/>
    </xf>
    <xf numFmtId="0" fontId="27" fillId="24" borderId="11" xfId="0" applyFont="1" applyFill="1" applyBorder="1" applyAlignment="1" applyProtection="1">
      <alignment horizontal="center"/>
      <protection locked="0"/>
    </xf>
    <xf numFmtId="165" fontId="27" fillId="24" borderId="2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left"/>
      <protection locked="0"/>
    </xf>
    <xf numFmtId="165" fontId="27" fillId="24" borderId="11" xfId="0" applyNumberFormat="1" applyFont="1" applyFill="1" applyBorder="1" applyAlignment="1" applyProtection="1">
      <alignment horizontal="right"/>
      <protection locked="0"/>
    </xf>
    <xf numFmtId="165" fontId="27" fillId="24" borderId="23" xfId="0" applyNumberFormat="1" applyFont="1" applyFill="1" applyBorder="1" applyAlignment="1" applyProtection="1">
      <alignment horizontal="left"/>
      <protection locked="0"/>
    </xf>
    <xf numFmtId="165" fontId="27" fillId="24" borderId="64" xfId="0" applyNumberFormat="1" applyFont="1" applyFill="1" applyBorder="1" applyAlignment="1" applyProtection="1">
      <alignment horizontal="left"/>
      <protection locked="0"/>
    </xf>
    <xf numFmtId="165" fontId="27" fillId="24" borderId="14" xfId="0" applyNumberFormat="1" applyFont="1" applyFill="1" applyBorder="1" applyAlignment="1" applyProtection="1">
      <alignment horizontal="left"/>
      <protection locked="0"/>
    </xf>
    <xf numFmtId="165" fontId="27" fillId="24" borderId="55" xfId="28" applyFont="1" applyFill="1" applyBorder="1" applyAlignment="1" applyProtection="1">
      <alignment horizontal="center"/>
      <protection locked="0"/>
    </xf>
    <xf numFmtId="165" fontId="27" fillId="24" borderId="11" xfId="28" applyFont="1" applyFill="1" applyBorder="1" applyAlignment="1" applyProtection="1">
      <alignment horizontal="center"/>
      <protection locked="0"/>
    </xf>
    <xf numFmtId="49" fontId="27" fillId="0" borderId="11" xfId="28" applyNumberFormat="1" applyFont="1" applyFill="1" applyBorder="1" applyAlignment="1" applyProtection="1">
      <alignment horizontal="center"/>
      <protection locked="0"/>
    </xf>
    <xf numFmtId="168" fontId="39" fillId="0" borderId="11" xfId="0" applyNumberFormat="1" applyFont="1" applyBorder="1" applyAlignment="1">
      <alignment horizontal="center"/>
    </xf>
    <xf numFmtId="178" fontId="42" fillId="0" borderId="17" xfId="29" applyNumberFormat="1" applyFont="1" applyBorder="1" applyAlignment="1">
      <alignment vertical="center"/>
    </xf>
    <xf numFmtId="178" fontId="42" fillId="0" borderId="17" xfId="29" applyNumberFormat="1" applyFont="1" applyFill="1" applyBorder="1" applyAlignment="1">
      <alignment vertical="center"/>
    </xf>
    <xf numFmtId="0" fontId="27" fillId="24" borderId="10" xfId="0" applyFont="1" applyFill="1" applyBorder="1" applyAlignment="1" applyProtection="1">
      <alignment horizontal="left"/>
      <protection locked="0"/>
    </xf>
    <xf numFmtId="0" fontId="27" fillId="24" borderId="25" xfId="0" applyFont="1" applyFill="1" applyBorder="1" applyAlignment="1" applyProtection="1">
      <alignment horizontal="left"/>
      <protection locked="0"/>
    </xf>
    <xf numFmtId="0" fontId="27" fillId="24" borderId="58" xfId="0" applyFont="1" applyFill="1" applyBorder="1" applyAlignment="1" applyProtection="1">
      <alignment horizontal="left"/>
      <protection locked="0"/>
    </xf>
    <xf numFmtId="165" fontId="34" fillId="0" borderId="0" xfId="28" applyFont="1" applyBorder="1" applyAlignment="1" applyProtection="1">
      <alignment horizontal="center"/>
    </xf>
    <xf numFmtId="0" fontId="29" fillId="0" borderId="0" xfId="0" applyFont="1"/>
    <xf numFmtId="0" fontId="0" fillId="0" borderId="66" xfId="0" applyBorder="1"/>
    <xf numFmtId="165" fontId="0" fillId="0" borderId="66" xfId="0" applyNumberFormat="1" applyBorder="1"/>
    <xf numFmtId="0" fontId="53" fillId="0" borderId="0" xfId="41" applyFont="1"/>
    <xf numFmtId="0" fontId="54" fillId="0" borderId="0" xfId="41" applyFont="1"/>
    <xf numFmtId="0" fontId="54" fillId="0" borderId="0" xfId="41" applyFont="1" applyAlignment="1">
      <alignment horizontal="center"/>
    </xf>
    <xf numFmtId="2" fontId="54" fillId="0" borderId="0" xfId="41" applyNumberFormat="1" applyFont="1" applyAlignment="1">
      <alignment horizontal="center"/>
    </xf>
    <xf numFmtId="0" fontId="48" fillId="0" borderId="0" xfId="41"/>
    <xf numFmtId="0" fontId="48" fillId="0" borderId="0" xfId="41" applyAlignment="1">
      <alignment horizontal="center"/>
    </xf>
    <xf numFmtId="2" fontId="48" fillId="0" borderId="0" xfId="41" applyNumberFormat="1" applyAlignment="1">
      <alignment horizontal="center"/>
    </xf>
    <xf numFmtId="2" fontId="48" fillId="0" borderId="0" xfId="41" applyNumberFormat="1"/>
    <xf numFmtId="0" fontId="55" fillId="0" borderId="0" xfId="41" applyFont="1"/>
    <xf numFmtId="16" fontId="48" fillId="0" borderId="10" xfId="41" applyNumberFormat="1" applyBorder="1"/>
    <xf numFmtId="0" fontId="48" fillId="0" borderId="11" xfId="41" applyBorder="1"/>
    <xf numFmtId="2" fontId="48" fillId="0" borderId="11" xfId="41" applyNumberFormat="1" applyBorder="1" applyAlignment="1">
      <alignment horizontal="center"/>
    </xf>
    <xf numFmtId="165" fontId="48" fillId="11" borderId="11" xfId="28" applyFont="1" applyFill="1" applyBorder="1" applyAlignment="1" applyProtection="1">
      <alignment horizontal="center"/>
    </xf>
    <xf numFmtId="0" fontId="56" fillId="0" borderId="0" xfId="41" applyFont="1"/>
    <xf numFmtId="0" fontId="48" fillId="0" borderId="10" xfId="41" applyBorder="1"/>
    <xf numFmtId="0" fontId="48" fillId="0" borderId="11" xfId="41" applyBorder="1" applyAlignment="1">
      <alignment horizontal="left"/>
    </xf>
    <xf numFmtId="0" fontId="48" fillId="0" borderId="11" xfId="41" applyBorder="1" applyAlignment="1">
      <alignment horizontal="right"/>
    </xf>
    <xf numFmtId="165" fontId="56" fillId="0" borderId="23" xfId="28" applyFont="1" applyBorder="1" applyProtection="1"/>
    <xf numFmtId="0" fontId="48" fillId="0" borderId="0" xfId="42" applyAlignment="1">
      <alignment horizontal="center"/>
    </xf>
    <xf numFmtId="39" fontId="48" fillId="0" borderId="0" xfId="42" quotePrefix="1" applyNumberFormat="1" applyAlignment="1">
      <alignment horizontal="left"/>
    </xf>
    <xf numFmtId="0" fontId="48" fillId="0" borderId="0" xfId="41" quotePrefix="1"/>
    <xf numFmtId="39" fontId="48" fillId="0" borderId="0" xfId="42" applyNumberFormat="1"/>
    <xf numFmtId="39" fontId="48" fillId="0" borderId="0" xfId="42" quotePrefix="1" applyNumberFormat="1"/>
    <xf numFmtId="169" fontId="30" fillId="0" borderId="0" xfId="0" applyNumberFormat="1" applyFont="1"/>
    <xf numFmtId="0" fontId="31" fillId="0" borderId="0" xfId="0" applyFont="1" applyAlignment="1">
      <alignment horizontal="center"/>
    </xf>
    <xf numFmtId="0" fontId="31" fillId="0" borderId="0" xfId="0" applyFont="1"/>
    <xf numFmtId="170" fontId="31" fillId="0" borderId="0" xfId="0" applyNumberFormat="1" applyFont="1"/>
    <xf numFmtId="4" fontId="31" fillId="0" borderId="0" xfId="0" applyNumberFormat="1" applyFont="1"/>
    <xf numFmtId="168" fontId="31" fillId="0" borderId="0" xfId="0" applyNumberFormat="1" applyFont="1"/>
    <xf numFmtId="2" fontId="31" fillId="0" borderId="0" xfId="0" applyNumberFormat="1" applyFont="1"/>
    <xf numFmtId="170" fontId="31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168" fontId="31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170" fontId="33" fillId="0" borderId="0" xfId="0" applyNumberFormat="1" applyFont="1" applyAlignment="1">
      <alignment horizontal="center"/>
    </xf>
    <xf numFmtId="168" fontId="33" fillId="0" borderId="0" xfId="0" applyNumberFormat="1" applyFont="1" applyAlignment="1">
      <alignment horizontal="center"/>
    </xf>
    <xf numFmtId="171" fontId="36" fillId="0" borderId="0" xfId="28" applyNumberFormat="1" applyFont="1" applyBorder="1" applyAlignment="1" applyProtection="1">
      <alignment horizontal="right"/>
    </xf>
    <xf numFmtId="0" fontId="31" fillId="0" borderId="11" xfId="0" applyFont="1" applyBorder="1" applyAlignment="1">
      <alignment horizontal="center"/>
    </xf>
    <xf numFmtId="169" fontId="35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3" fontId="31" fillId="0" borderId="17" xfId="28" applyNumberFormat="1" applyFont="1" applyBorder="1" applyProtection="1"/>
    <xf numFmtId="167" fontId="31" fillId="0" borderId="17" xfId="28" applyNumberFormat="1" applyFont="1" applyBorder="1" applyProtection="1"/>
    <xf numFmtId="171" fontId="31" fillId="0" borderId="17" xfId="28" applyNumberFormat="1" applyFont="1" applyBorder="1" applyProtection="1"/>
    <xf numFmtId="173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1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7" fontId="0" fillId="0" borderId="17" xfId="28" applyNumberFormat="1" applyFont="1" applyBorder="1" applyProtection="1"/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8" fillId="0" borderId="11" xfId="28" applyNumberFormat="1" applyFont="1" applyBorder="1" applyProtection="1"/>
    <xf numFmtId="175" fontId="0" fillId="0" borderId="11" xfId="0" applyNumberFormat="1" applyBorder="1"/>
    <xf numFmtId="171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8" fillId="0" borderId="11" xfId="0" applyNumberFormat="1" applyFont="1" applyBorder="1" applyAlignment="1">
      <alignment horizontal="center"/>
    </xf>
    <xf numFmtId="2" fontId="28" fillId="0" borderId="17" xfId="0" applyNumberFormat="1" applyFont="1" applyBorder="1" applyAlignment="1">
      <alignment horizontal="center"/>
    </xf>
    <xf numFmtId="165" fontId="28" fillId="0" borderId="11" xfId="28" applyFont="1" applyBorder="1" applyProtection="1"/>
    <xf numFmtId="173" fontId="28" fillId="0" borderId="17" xfId="28" applyNumberFormat="1" applyFont="1" applyBorder="1" applyProtection="1"/>
    <xf numFmtId="0" fontId="28" fillId="0" borderId="11" xfId="0" applyFont="1" applyBorder="1"/>
    <xf numFmtId="171" fontId="28" fillId="0" borderId="11" xfId="28" applyNumberFormat="1" applyFont="1" applyBorder="1" applyProtection="1"/>
    <xf numFmtId="38" fontId="28" fillId="0" borderId="11" xfId="28" applyNumberFormat="1" applyFont="1" applyBorder="1" applyProtection="1"/>
    <xf numFmtId="1" fontId="28" fillId="0" borderId="17" xfId="0" applyNumberFormat="1" applyFont="1" applyBorder="1" applyAlignment="1">
      <alignment horizontal="center"/>
    </xf>
    <xf numFmtId="165" fontId="28" fillId="0" borderId="17" xfId="28" applyFont="1" applyBorder="1" applyProtection="1"/>
    <xf numFmtId="177" fontId="0" fillId="0" borderId="0" xfId="0" applyNumberFormat="1"/>
    <xf numFmtId="173" fontId="31" fillId="0" borderId="0" xfId="28" applyNumberFormat="1" applyFont="1" applyBorder="1" applyProtection="1"/>
    <xf numFmtId="173" fontId="0" fillId="0" borderId="0" xfId="0" applyNumberFormat="1"/>
    <xf numFmtId="165" fontId="23" fillId="24" borderId="0" xfId="28" applyFont="1" applyFill="1" applyBorder="1" applyProtection="1">
      <protection locked="0"/>
    </xf>
    <xf numFmtId="0" fontId="23" fillId="24" borderId="0" xfId="0" applyFont="1" applyFill="1" applyProtection="1">
      <protection locked="0"/>
    </xf>
    <xf numFmtId="165" fontId="23" fillId="24" borderId="0" xfId="0" applyNumberFormat="1" applyFont="1" applyFill="1" applyProtection="1">
      <protection locked="0"/>
    </xf>
    <xf numFmtId="0" fontId="27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6" fillId="24" borderId="10" xfId="0" applyNumberFormat="1" applyFont="1" applyFill="1" applyBorder="1" applyAlignment="1">
      <alignment horizontal="left"/>
    </xf>
    <xf numFmtId="172" fontId="47" fillId="0" borderId="11" xfId="46" applyNumberFormat="1" applyFont="1" applyBorder="1" applyAlignment="1">
      <alignment horizontal="center"/>
    </xf>
    <xf numFmtId="0" fontId="53" fillId="0" borderId="0" xfId="0" applyFont="1"/>
    <xf numFmtId="0" fontId="48" fillId="0" borderId="0" xfId="0" applyFont="1"/>
    <xf numFmtId="16" fontId="23" fillId="24" borderId="0" xfId="28" applyNumberFormat="1" applyFont="1" applyFill="1" applyBorder="1" applyProtection="1">
      <protection locked="0"/>
    </xf>
    <xf numFmtId="167" fontId="56" fillId="0" borderId="11" xfId="28" applyNumberFormat="1" applyFont="1" applyBorder="1" applyProtection="1"/>
    <xf numFmtId="164" fontId="42" fillId="0" borderId="11" xfId="29" applyFont="1" applyFill="1" applyBorder="1"/>
    <xf numFmtId="164" fontId="42" fillId="0" borderId="0" xfId="29" applyFont="1" applyFill="1"/>
    <xf numFmtId="164" fontId="43" fillId="25" borderId="11" xfId="29" applyFont="1" applyFill="1" applyBorder="1" applyAlignment="1">
      <alignment vertical="center"/>
    </xf>
    <xf numFmtId="178" fontId="43" fillId="0" borderId="0" xfId="29" applyNumberFormat="1" applyFont="1" applyFill="1" applyBorder="1" applyAlignment="1">
      <alignment vertical="center"/>
    </xf>
    <xf numFmtId="178" fontId="27" fillId="24" borderId="21" xfId="29" applyNumberFormat="1" applyFont="1" applyFill="1" applyBorder="1" applyAlignment="1" applyProtection="1">
      <alignment horizontal="right" vertical="center"/>
    </xf>
    <xf numFmtId="178" fontId="27" fillId="24" borderId="17" xfId="29" applyNumberFormat="1" applyFont="1" applyFill="1" applyBorder="1" applyAlignment="1" applyProtection="1">
      <alignment horizontal="right" vertical="center"/>
    </xf>
    <xf numFmtId="178" fontId="27" fillId="0" borderId="11" xfId="29" applyNumberFormat="1" applyFont="1" applyFill="1" applyBorder="1" applyAlignment="1" applyProtection="1">
      <alignment horizontal="right"/>
    </xf>
    <xf numFmtId="178" fontId="27" fillId="24" borderId="11" xfId="29" applyNumberFormat="1" applyFont="1" applyFill="1" applyBorder="1" applyAlignment="1" applyProtection="1">
      <alignment horizontal="right" vertical="center"/>
    </xf>
    <xf numFmtId="178" fontId="23" fillId="20" borderId="11" xfId="29" applyNumberFormat="1" applyFont="1" applyFill="1" applyBorder="1" applyAlignment="1" applyProtection="1">
      <alignment horizontal="right"/>
    </xf>
    <xf numFmtId="178" fontId="27" fillId="24" borderId="11" xfId="29" applyNumberFormat="1" applyFont="1" applyFill="1" applyBorder="1" applyAlignment="1" applyProtection="1">
      <alignment horizontal="right"/>
    </xf>
    <xf numFmtId="178" fontId="27" fillId="24" borderId="14" xfId="29" applyNumberFormat="1" applyFont="1" applyFill="1" applyBorder="1" applyAlignment="1" applyProtection="1">
      <alignment horizontal="right"/>
    </xf>
    <xf numFmtId="178" fontId="27" fillId="24" borderId="23" xfId="29" applyNumberFormat="1" applyFont="1" applyFill="1" applyBorder="1" applyAlignment="1" applyProtection="1">
      <alignment horizontal="right"/>
    </xf>
    <xf numFmtId="10" fontId="42" fillId="0" borderId="0" xfId="52" applyNumberFormat="1" applyFont="1" applyFill="1" applyBorder="1"/>
    <xf numFmtId="10" fontId="43" fillId="0" borderId="11" xfId="52" applyNumberFormat="1" applyFont="1" applyFill="1" applyBorder="1"/>
    <xf numFmtId="10" fontId="42" fillId="0" borderId="0" xfId="52" applyNumberFormat="1" applyFont="1" applyFill="1" applyBorder="1" applyAlignment="1">
      <alignment vertical="center"/>
    </xf>
    <xf numFmtId="10" fontId="43" fillId="27" borderId="0" xfId="52" applyNumberFormat="1" applyFont="1" applyFill="1" applyBorder="1"/>
    <xf numFmtId="10" fontId="43" fillId="0" borderId="11" xfId="52" applyNumberFormat="1" applyFont="1" applyFill="1" applyBorder="1" applyAlignment="1">
      <alignment vertical="center"/>
    </xf>
    <xf numFmtId="0" fontId="42" fillId="28" borderId="0" xfId="0" applyFont="1" applyFill="1"/>
    <xf numFmtId="0" fontId="52" fillId="28" borderId="0" xfId="0" applyFont="1" applyFill="1"/>
    <xf numFmtId="178" fontId="42" fillId="28" borderId="0" xfId="29" applyNumberFormat="1" applyFont="1" applyFill="1" applyBorder="1" applyAlignment="1">
      <alignment vertical="center"/>
    </xf>
    <xf numFmtId="0" fontId="42" fillId="28" borderId="0" xfId="0" applyFont="1" applyFill="1" applyAlignment="1">
      <alignment horizontal="right"/>
    </xf>
    <xf numFmtId="166" fontId="42" fillId="28" borderId="0" xfId="0" applyNumberFormat="1" applyFont="1" applyFill="1" applyAlignment="1">
      <alignment horizontal="right"/>
    </xf>
    <xf numFmtId="166" fontId="42" fillId="28" borderId="0" xfId="0" applyNumberFormat="1" applyFont="1" applyFill="1"/>
    <xf numFmtId="10" fontId="42" fillId="28" borderId="0" xfId="0" applyNumberFormat="1" applyFont="1" applyFill="1"/>
    <xf numFmtId="10" fontId="42" fillId="28" borderId="0" xfId="0" applyNumberFormat="1" applyFont="1" applyFill="1" applyAlignment="1">
      <alignment horizontal="right"/>
    </xf>
    <xf numFmtId="165" fontId="43" fillId="28" borderId="0" xfId="0" applyNumberFormat="1" applyFont="1" applyFill="1" applyAlignment="1">
      <alignment horizontal="right"/>
    </xf>
    <xf numFmtId="166" fontId="43" fillId="28" borderId="0" xfId="52" applyNumberFormat="1" applyFont="1" applyFill="1" applyBorder="1" applyAlignment="1">
      <alignment vertical="center"/>
    </xf>
    <xf numFmtId="178" fontId="43" fillId="25" borderId="13" xfId="29" applyNumberFormat="1" applyFont="1" applyFill="1" applyBorder="1" applyAlignment="1">
      <alignment vertical="center"/>
    </xf>
    <xf numFmtId="178" fontId="43" fillId="25" borderId="19" xfId="29" applyNumberFormat="1" applyFont="1" applyFill="1" applyBorder="1" applyAlignment="1">
      <alignment vertical="center"/>
    </xf>
    <xf numFmtId="166" fontId="43" fillId="25" borderId="19" xfId="52" applyNumberFormat="1" applyFont="1" applyFill="1" applyBorder="1" applyAlignment="1">
      <alignment vertical="center"/>
    </xf>
    <xf numFmtId="0" fontId="42" fillId="0" borderId="17" xfId="0" applyFont="1" applyBorder="1"/>
    <xf numFmtId="10" fontId="50" fillId="29" borderId="11" xfId="52" applyNumberFormat="1" applyFont="1" applyFill="1" applyBorder="1" applyAlignment="1">
      <alignment vertical="center"/>
    </xf>
    <xf numFmtId="178" fontId="43" fillId="4" borderId="11" xfId="29" applyNumberFormat="1" applyFont="1" applyFill="1" applyBorder="1" applyAlignment="1">
      <alignment horizontal="center"/>
    </xf>
    <xf numFmtId="10" fontId="50" fillId="4" borderId="11" xfId="52" applyNumberFormat="1" applyFont="1" applyFill="1" applyBorder="1" applyAlignment="1">
      <alignment vertical="center"/>
    </xf>
    <xf numFmtId="0" fontId="45" fillId="0" borderId="0" xfId="0" applyFont="1"/>
    <xf numFmtId="0" fontId="0" fillId="0" borderId="68" xfId="0" applyBorder="1"/>
    <xf numFmtId="0" fontId="0" fillId="0" borderId="27" xfId="0" applyBorder="1"/>
    <xf numFmtId="0" fontId="45" fillId="0" borderId="27" xfId="0" applyFont="1" applyBorder="1"/>
    <xf numFmtId="167" fontId="33" fillId="30" borderId="13" xfId="28" applyNumberFormat="1" applyFont="1" applyFill="1" applyBorder="1" applyAlignment="1" applyProtection="1">
      <alignment horizontal="center"/>
    </xf>
    <xf numFmtId="167" fontId="33" fillId="30" borderId="11" xfId="28" applyNumberFormat="1" applyFont="1" applyFill="1" applyBorder="1" applyAlignment="1" applyProtection="1">
      <alignment horizontal="center"/>
    </xf>
    <xf numFmtId="168" fontId="37" fillId="30" borderId="13" xfId="0" applyNumberFormat="1" applyFont="1" applyFill="1" applyBorder="1" applyAlignment="1">
      <alignment horizontal="center" vertical="center" wrapText="1"/>
    </xf>
    <xf numFmtId="167" fontId="33" fillId="31" borderId="13" xfId="28" applyNumberFormat="1" applyFont="1" applyFill="1" applyBorder="1" applyAlignment="1" applyProtection="1">
      <alignment horizontal="center"/>
    </xf>
    <xf numFmtId="167" fontId="33" fillId="31" borderId="11" xfId="28" applyNumberFormat="1" applyFont="1" applyFill="1" applyBorder="1" applyAlignment="1" applyProtection="1">
      <alignment horizontal="center"/>
    </xf>
    <xf numFmtId="168" fontId="37" fillId="31" borderId="13" xfId="0" applyNumberFormat="1" applyFont="1" applyFill="1" applyBorder="1" applyAlignment="1">
      <alignment horizontal="center" vertical="center" wrapText="1"/>
    </xf>
    <xf numFmtId="167" fontId="33" fillId="32" borderId="13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168" fontId="37" fillId="32" borderId="13" xfId="0" applyNumberFormat="1" applyFont="1" applyFill="1" applyBorder="1" applyAlignment="1">
      <alignment horizontal="center" vertical="center" wrapText="1"/>
    </xf>
    <xf numFmtId="167" fontId="33" fillId="33" borderId="13" xfId="28" applyNumberFormat="1" applyFont="1" applyFill="1" applyBorder="1" applyAlignment="1" applyProtection="1">
      <alignment horizontal="center"/>
    </xf>
    <xf numFmtId="167" fontId="33" fillId="33" borderId="11" xfId="28" applyNumberFormat="1" applyFont="1" applyFill="1" applyBorder="1" applyAlignment="1" applyProtection="1">
      <alignment horizontal="center"/>
    </xf>
    <xf numFmtId="168" fontId="37" fillId="33" borderId="13" xfId="0" applyNumberFormat="1" applyFont="1" applyFill="1" applyBorder="1" applyAlignment="1">
      <alignment horizontal="center" vertical="center" wrapText="1"/>
    </xf>
    <xf numFmtId="167" fontId="33" fillId="34" borderId="11" xfId="28" applyNumberFormat="1" applyFont="1" applyFill="1" applyBorder="1" applyAlignment="1" applyProtection="1">
      <alignment horizontal="center"/>
    </xf>
    <xf numFmtId="167" fontId="33" fillId="35" borderId="13" xfId="28" applyNumberFormat="1" applyFont="1" applyFill="1" applyBorder="1" applyAlignment="1" applyProtection="1">
      <alignment horizontal="center"/>
    </xf>
    <xf numFmtId="167" fontId="33" fillId="35" borderId="11" xfId="28" applyNumberFormat="1" applyFont="1" applyFill="1" applyBorder="1" applyAlignment="1" applyProtection="1">
      <alignment horizontal="center"/>
    </xf>
    <xf numFmtId="168" fontId="37" fillId="35" borderId="13" xfId="0" applyNumberFormat="1" applyFont="1" applyFill="1" applyBorder="1" applyAlignment="1">
      <alignment horizontal="center" vertical="center" wrapText="1"/>
    </xf>
    <xf numFmtId="167" fontId="33" fillId="36" borderId="11" xfId="28" applyNumberFormat="1" applyFont="1" applyFill="1" applyBorder="1" applyAlignment="1" applyProtection="1">
      <alignment horizontal="center"/>
    </xf>
    <xf numFmtId="167" fontId="33" fillId="27" borderId="11" xfId="28" applyNumberFormat="1" applyFont="1" applyFill="1" applyBorder="1" applyAlignment="1" applyProtection="1">
      <alignment horizontal="center"/>
    </xf>
    <xf numFmtId="167" fontId="33" fillId="37" borderId="11" xfId="28" applyNumberFormat="1" applyFont="1" applyFill="1" applyBorder="1" applyAlignment="1" applyProtection="1">
      <alignment horizontal="center"/>
    </xf>
    <xf numFmtId="167" fontId="33" fillId="38" borderId="11" xfId="28" applyNumberFormat="1" applyFont="1" applyFill="1" applyBorder="1" applyAlignment="1" applyProtection="1">
      <alignment horizontal="center"/>
    </xf>
    <xf numFmtId="167" fontId="33" fillId="27" borderId="17" xfId="28" applyNumberFormat="1" applyFont="1" applyFill="1" applyBorder="1" applyAlignment="1" applyProtection="1">
      <alignment horizontal="center"/>
    </xf>
    <xf numFmtId="0" fontId="28" fillId="27" borderId="11" xfId="0" applyFont="1" applyFill="1" applyBorder="1"/>
    <xf numFmtId="0" fontId="28" fillId="0" borderId="11" xfId="28" applyNumberFormat="1" applyFont="1" applyBorder="1" applyProtection="1"/>
    <xf numFmtId="178" fontId="58" fillId="0" borderId="0" xfId="29" applyNumberFormat="1" applyFont="1" applyProtection="1"/>
    <xf numFmtId="9" fontId="0" fillId="0" borderId="0" xfId="52" applyFont="1" applyProtection="1"/>
    <xf numFmtId="172" fontId="48" fillId="0" borderId="69" xfId="0" applyNumberFormat="1" applyFont="1" applyBorder="1"/>
    <xf numFmtId="0" fontId="45" fillId="0" borderId="70" xfId="0" applyFont="1" applyBorder="1"/>
    <xf numFmtId="0" fontId="45" fillId="0" borderId="37" xfId="0" applyFont="1" applyBorder="1"/>
    <xf numFmtId="2" fontId="0" fillId="0" borderId="71" xfId="0" applyNumberFormat="1" applyBorder="1" applyAlignment="1">
      <alignment vertical="center"/>
    </xf>
    <xf numFmtId="2" fontId="0" fillId="0" borderId="41" xfId="0" applyNumberFormat="1" applyBorder="1" applyAlignment="1">
      <alignment vertical="center"/>
    </xf>
    <xf numFmtId="10" fontId="42" fillId="0" borderId="11" xfId="52" applyNumberFormat="1" applyFont="1" applyFill="1" applyBorder="1" applyAlignment="1">
      <alignment vertical="center"/>
    </xf>
    <xf numFmtId="16" fontId="48" fillId="0" borderId="11" xfId="41" applyNumberFormat="1" applyBorder="1"/>
    <xf numFmtId="0" fontId="0" fillId="0" borderId="17" xfId="28" applyNumberFormat="1" applyFont="1" applyBorder="1" applyProtection="1"/>
    <xf numFmtId="2" fontId="39" fillId="0" borderId="11" xfId="47" applyNumberFormat="1" applyFont="1" applyBorder="1" applyAlignment="1">
      <alignment horizontal="center"/>
    </xf>
    <xf numFmtId="2" fontId="42" fillId="0" borderId="0" xfId="0" applyNumberFormat="1" applyFont="1"/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5" fillId="0" borderId="11" xfId="0" quotePrefix="1" applyFont="1" applyBorder="1" applyAlignment="1" applyProtection="1">
      <alignment horizontal="center" vertical="center"/>
      <protection locked="0"/>
    </xf>
    <xf numFmtId="0" fontId="0" fillId="0" borderId="63" xfId="0" applyBorder="1" applyAlignment="1">
      <alignment horizontal="center" vertical="center"/>
    </xf>
    <xf numFmtId="4" fontId="0" fillId="0" borderId="63" xfId="0" applyNumberFormat="1" applyBorder="1" applyAlignment="1">
      <alignment vertical="center" wrapText="1"/>
    </xf>
    <xf numFmtId="4" fontId="0" fillId="0" borderId="63" xfId="0" applyNumberFormat="1" applyBorder="1" applyAlignment="1">
      <alignment vertical="center"/>
    </xf>
    <xf numFmtId="168" fontId="0" fillId="0" borderId="63" xfId="0" applyNumberFormat="1" applyBorder="1" applyAlignment="1">
      <alignment vertical="center"/>
    </xf>
    <xf numFmtId="2" fontId="0" fillId="0" borderId="63" xfId="0" applyNumberFormat="1" applyBorder="1" applyAlignment="1">
      <alignment vertical="center" wrapText="1"/>
    </xf>
    <xf numFmtId="16" fontId="28" fillId="0" borderId="67" xfId="0" applyNumberFormat="1" applyFont="1" applyBorder="1" applyAlignment="1">
      <alignment vertical="center"/>
    </xf>
    <xf numFmtId="0" fontId="28" fillId="0" borderId="67" xfId="0" applyFont="1" applyBorder="1" applyAlignment="1">
      <alignment horizontal="center" vertical="center"/>
    </xf>
    <xf numFmtId="4" fontId="28" fillId="0" borderId="67" xfId="0" applyNumberFormat="1" applyFont="1" applyBorder="1" applyAlignment="1">
      <alignment vertical="center"/>
    </xf>
    <xf numFmtId="170" fontId="28" fillId="0" borderId="67" xfId="0" applyNumberFormat="1" applyFont="1" applyBorder="1" applyAlignment="1">
      <alignment vertical="center"/>
    </xf>
    <xf numFmtId="168" fontId="28" fillId="0" borderId="67" xfId="0" applyNumberFormat="1" applyFont="1" applyBorder="1" applyAlignment="1">
      <alignment vertical="center"/>
    </xf>
    <xf numFmtId="2" fontId="28" fillId="0" borderId="67" xfId="0" applyNumberFormat="1" applyFont="1" applyBorder="1" applyAlignment="1">
      <alignment vertical="center" wrapText="1"/>
    </xf>
    <xf numFmtId="4" fontId="28" fillId="0" borderId="67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2" applyFont="1" applyBorder="1" applyAlignment="1" applyProtection="1">
      <alignment horizontal="center" vertical="center"/>
      <protection locked="0"/>
    </xf>
    <xf numFmtId="9" fontId="0" fillId="0" borderId="63" xfId="52" applyFont="1" applyBorder="1" applyAlignment="1" applyProtection="1">
      <alignment horizontal="center" vertical="center"/>
    </xf>
    <xf numFmtId="9" fontId="28" fillId="0" borderId="67" xfId="52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2" fontId="0" fillId="0" borderId="17" xfId="28" applyNumberFormat="1" applyFont="1" applyBorder="1" applyProtection="1"/>
    <xf numFmtId="10" fontId="45" fillId="0" borderId="11" xfId="52" applyNumberFormat="1" applyFont="1" applyFill="1" applyBorder="1" applyAlignment="1" applyProtection="1">
      <alignment horizontal="center" vertical="center"/>
      <protection locked="0"/>
    </xf>
    <xf numFmtId="10" fontId="45" fillId="27" borderId="11" xfId="52" applyNumberFormat="1" applyFont="1" applyFill="1" applyBorder="1" applyAlignment="1" applyProtection="1">
      <alignment horizontal="center" vertical="center"/>
      <protection locked="0"/>
    </xf>
    <xf numFmtId="2" fontId="39" fillId="0" borderId="11" xfId="46" applyNumberFormat="1" applyFont="1" applyBorder="1" applyAlignment="1">
      <alignment horizontal="center"/>
    </xf>
    <xf numFmtId="165" fontId="43" fillId="33" borderId="11" xfId="29" applyNumberFormat="1" applyFont="1" applyFill="1" applyBorder="1" applyAlignment="1">
      <alignment vertical="center"/>
    </xf>
    <xf numFmtId="0" fontId="45" fillId="0" borderId="11" xfId="0" applyFont="1" applyBorder="1" applyAlignment="1" applyProtection="1">
      <alignment horizontal="center" vertical="center"/>
      <protection locked="0"/>
    </xf>
    <xf numFmtId="0" fontId="38" fillId="27" borderId="11" xfId="0" applyFont="1" applyFill="1" applyBorder="1" applyAlignment="1">
      <alignment horizontal="center" vertical="center" wrapText="1"/>
    </xf>
    <xf numFmtId="10" fontId="45" fillId="27" borderId="63" xfId="52" applyNumberFormat="1" applyFont="1" applyFill="1" applyBorder="1" applyAlignment="1" applyProtection="1">
      <alignment horizontal="center" vertical="center"/>
      <protection locked="0"/>
    </xf>
    <xf numFmtId="0" fontId="38" fillId="27" borderId="11" xfId="0" applyFont="1" applyFill="1" applyBorder="1" applyAlignment="1">
      <alignment vertical="center" wrapText="1"/>
    </xf>
    <xf numFmtId="0" fontId="59" fillId="0" borderId="0" xfId="0" applyFont="1"/>
    <xf numFmtId="178" fontId="43" fillId="0" borderId="17" xfId="29" applyNumberFormat="1" applyFont="1" applyFill="1" applyBorder="1" applyAlignment="1">
      <alignment horizontal="center" vertical="center" wrapText="1"/>
    </xf>
    <xf numFmtId="178" fontId="43" fillId="0" borderId="17" xfId="29" applyNumberFormat="1" applyFont="1" applyFill="1" applyBorder="1" applyAlignment="1">
      <alignment vertical="center" wrapText="1"/>
    </xf>
    <xf numFmtId="178" fontId="42" fillId="0" borderId="19" xfId="29" applyNumberFormat="1" applyFont="1" applyFill="1" applyBorder="1" applyAlignment="1">
      <alignment vertical="center"/>
    </xf>
    <xf numFmtId="0" fontId="60" fillId="41" borderId="0" xfId="0" applyFont="1" applyFill="1"/>
    <xf numFmtId="0" fontId="61" fillId="41" borderId="0" xfId="0" applyFont="1" applyFill="1"/>
    <xf numFmtId="181" fontId="43" fillId="25" borderId="11" xfId="29" applyNumberFormat="1" applyFont="1" applyFill="1" applyBorder="1" applyAlignment="1">
      <alignment vertical="center"/>
    </xf>
    <xf numFmtId="177" fontId="42" fillId="0" borderId="11" xfId="0" applyNumberFormat="1" applyFont="1" applyBorder="1" applyAlignment="1">
      <alignment horizontal="center" vertical="center" wrapText="1"/>
    </xf>
    <xf numFmtId="0" fontId="27" fillId="24" borderId="14" xfId="0" quotePrefix="1" applyFont="1" applyFill="1" applyBorder="1" applyAlignment="1" applyProtection="1">
      <alignment wrapText="1"/>
      <protection locked="0"/>
    </xf>
    <xf numFmtId="3" fontId="60" fillId="41" borderId="0" xfId="0" applyNumberFormat="1" applyFont="1" applyFill="1"/>
    <xf numFmtId="3" fontId="61" fillId="41" borderId="0" xfId="0" applyNumberFormat="1" applyFont="1" applyFill="1"/>
    <xf numFmtId="17" fontId="0" fillId="0" borderId="11" xfId="0" quotePrefix="1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2" fontId="59" fillId="27" borderId="11" xfId="0" applyNumberFormat="1" applyFont="1" applyFill="1" applyBorder="1" applyAlignment="1">
      <alignment horizontal="center" vertical="center" wrapText="1"/>
    </xf>
    <xf numFmtId="0" fontId="59" fillId="27" borderId="11" xfId="0" applyFont="1" applyFill="1" applyBorder="1" applyAlignment="1">
      <alignment horizontal="center" vertical="center" wrapText="1"/>
    </xf>
    <xf numFmtId="9" fontId="59" fillId="27" borderId="11" xfId="52" applyFont="1" applyFill="1" applyBorder="1" applyAlignment="1">
      <alignment horizontal="center" vertical="center" wrapText="1"/>
    </xf>
    <xf numFmtId="10" fontId="0" fillId="0" borderId="11" xfId="52" applyNumberFormat="1" applyFont="1" applyFill="1" applyBorder="1" applyAlignment="1">
      <alignment horizontal="center" vertical="center"/>
    </xf>
    <xf numFmtId="0" fontId="59" fillId="0" borderId="61" xfId="0" applyFont="1" applyBorder="1" applyAlignment="1">
      <alignment vertical="center"/>
    </xf>
    <xf numFmtId="10" fontId="0" fillId="0" borderId="11" xfId="52" applyNumberFormat="1" applyFont="1" applyBorder="1" applyAlignment="1">
      <alignment horizontal="center"/>
    </xf>
    <xf numFmtId="10" fontId="59" fillId="0" borderId="11" xfId="52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1" xfId="0" applyNumberFormat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14" fontId="59" fillId="0" borderId="0" xfId="0" applyNumberFormat="1" applyFont="1" applyAlignment="1">
      <alignment horizontal="center" vertical="center"/>
    </xf>
    <xf numFmtId="2" fontId="59" fillId="0" borderId="0" xfId="0" applyNumberFormat="1" applyFont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0" fillId="27" borderId="11" xfId="0" applyFill="1" applyBorder="1"/>
    <xf numFmtId="10" fontId="0" fillId="0" borderId="11" xfId="52" applyNumberFormat="1" applyFont="1" applyBorder="1"/>
    <xf numFmtId="10" fontId="0" fillId="0" borderId="11" xfId="0" applyNumberFormat="1" applyBorder="1" applyAlignment="1">
      <alignment horizontal="right"/>
    </xf>
    <xf numFmtId="2" fontId="59" fillId="39" borderId="11" xfId="0" applyNumberFormat="1" applyFont="1" applyFill="1" applyBorder="1" applyAlignment="1">
      <alignment horizontal="center"/>
    </xf>
    <xf numFmtId="10" fontId="59" fillId="39" borderId="11" xfId="52" applyNumberFormat="1" applyFont="1" applyFill="1" applyBorder="1" applyAlignment="1">
      <alignment horizontal="center"/>
    </xf>
    <xf numFmtId="0" fontId="28" fillId="39" borderId="11" xfId="0" applyFont="1" applyFill="1" applyBorder="1"/>
    <xf numFmtId="0" fontId="39" fillId="0" borderId="11" xfId="58" applyFont="1" applyBorder="1" applyAlignment="1">
      <alignment horizontal="left"/>
    </xf>
    <xf numFmtId="0" fontId="45" fillId="0" borderId="11" xfId="0" applyFont="1" applyBorder="1"/>
    <xf numFmtId="0" fontId="39" fillId="50" borderId="11" xfId="58" applyFont="1" applyFill="1" applyBorder="1" applyAlignment="1">
      <alignment horizontal="left"/>
    </xf>
    <xf numFmtId="0" fontId="0" fillId="51" borderId="11" xfId="0" applyFill="1" applyBorder="1"/>
    <xf numFmtId="0" fontId="45" fillId="51" borderId="11" xfId="0" applyFont="1" applyFill="1" applyBorder="1"/>
    <xf numFmtId="10" fontId="0" fillId="50" borderId="17" xfId="52" applyNumberFormat="1" applyFont="1" applyFill="1" applyBorder="1"/>
    <xf numFmtId="10" fontId="0" fillId="0" borderId="17" xfId="52" applyNumberFormat="1" applyFont="1" applyBorder="1"/>
    <xf numFmtId="0" fontId="39" fillId="0" borderId="19" xfId="58" applyFont="1" applyBorder="1" applyAlignment="1">
      <alignment horizontal="left"/>
    </xf>
    <xf numFmtId="0" fontId="31" fillId="0" borderId="11" xfId="58" applyFont="1" applyBorder="1" applyAlignment="1">
      <alignment horizontal="left"/>
    </xf>
    <xf numFmtId="0" fontId="65" fillId="0" borderId="11" xfId="58" applyFont="1" applyBorder="1" applyAlignment="1">
      <alignment horizontal="left"/>
    </xf>
    <xf numFmtId="10" fontId="64" fillId="27" borderId="11" xfId="52" applyNumberFormat="1" applyFont="1" applyFill="1" applyBorder="1"/>
    <xf numFmtId="10" fontId="28" fillId="0" borderId="11" xfId="0" applyNumberFormat="1" applyFont="1" applyBorder="1"/>
    <xf numFmtId="0" fontId="45" fillId="0" borderId="0" xfId="0" quotePrefix="1" applyFont="1"/>
    <xf numFmtId="0" fontId="68" fillId="24" borderId="13" xfId="0" quotePrefix="1" applyFont="1" applyFill="1" applyBorder="1" applyAlignment="1" applyProtection="1">
      <alignment wrapText="1"/>
      <protection locked="0"/>
    </xf>
    <xf numFmtId="16" fontId="45" fillId="0" borderId="11" xfId="0" quotePrefix="1" applyNumberFormat="1" applyFont="1" applyBorder="1" applyAlignment="1" applyProtection="1">
      <alignment horizontal="center" vertical="center"/>
      <protection locked="0"/>
    </xf>
    <xf numFmtId="0" fontId="0" fillId="0" borderId="0" xfId="0" quotePrefix="1"/>
    <xf numFmtId="0" fontId="0" fillId="0" borderId="11" xfId="0" applyBorder="1" applyAlignment="1">
      <alignment horizontal="center" vertical="center"/>
    </xf>
    <xf numFmtId="0" fontId="0" fillId="41" borderId="11" xfId="0" applyFill="1" applyBorder="1"/>
    <xf numFmtId="0" fontId="45" fillId="0" borderId="58" xfId="57" applyBorder="1"/>
    <xf numFmtId="0" fontId="45" fillId="0" borderId="23" xfId="57" applyBorder="1"/>
    <xf numFmtId="0" fontId="45" fillId="0" borderId="24" xfId="57" applyBorder="1"/>
    <xf numFmtId="165" fontId="0" fillId="0" borderId="11" xfId="52" applyNumberFormat="1" applyFont="1" applyFill="1" applyBorder="1"/>
    <xf numFmtId="165" fontId="0" fillId="0" borderId="50" xfId="52" applyNumberFormat="1" applyFont="1" applyFill="1" applyBorder="1"/>
    <xf numFmtId="10" fontId="45" fillId="0" borderId="10" xfId="57" applyNumberFormat="1" applyBorder="1"/>
    <xf numFmtId="10" fontId="45" fillId="0" borderId="11" xfId="57" applyNumberFormat="1" applyBorder="1"/>
    <xf numFmtId="165" fontId="45" fillId="0" borderId="11" xfId="52" applyNumberFormat="1" applyFont="1" applyFill="1" applyBorder="1"/>
    <xf numFmtId="165" fontId="45" fillId="0" borderId="50" xfId="52" applyNumberFormat="1" applyFont="1" applyFill="1" applyBorder="1"/>
    <xf numFmtId="0" fontId="22" fillId="0" borderId="0" xfId="41" applyFont="1"/>
    <xf numFmtId="178" fontId="43" fillId="4" borderId="14" xfId="29" applyNumberFormat="1" applyFont="1" applyFill="1" applyBorder="1" applyAlignment="1">
      <alignment horizontal="center" vertical="center" wrapText="1"/>
    </xf>
    <xf numFmtId="10" fontId="45" fillId="0" borderId="57" xfId="57" applyNumberFormat="1" applyBorder="1"/>
    <xf numFmtId="10" fontId="45" fillId="0" borderId="21" xfId="57" applyNumberFormat="1" applyBorder="1"/>
    <xf numFmtId="165" fontId="0" fillId="0" borderId="21" xfId="52" applyNumberFormat="1" applyFont="1" applyFill="1" applyBorder="1"/>
    <xf numFmtId="165" fontId="45" fillId="0" borderId="21" xfId="52" applyNumberFormat="1" applyFont="1" applyFill="1" applyBorder="1"/>
    <xf numFmtId="165" fontId="45" fillId="0" borderId="48" xfId="52" applyNumberFormat="1" applyFont="1" applyFill="1" applyBorder="1"/>
    <xf numFmtId="0" fontId="45" fillId="0" borderId="11" xfId="0" applyFon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0" fontId="0" fillId="27" borderId="0" xfId="0" applyNumberFormat="1" applyFill="1"/>
    <xf numFmtId="178" fontId="43" fillId="42" borderId="11" xfId="59" applyNumberFormat="1" applyFont="1" applyFill="1" applyBorder="1" applyAlignment="1">
      <alignment horizontal="center" vertical="center" wrapText="1"/>
    </xf>
    <xf numFmtId="178" fontId="43" fillId="26" borderId="14" xfId="59" applyNumberFormat="1" applyFont="1" applyFill="1" applyBorder="1" applyAlignment="1">
      <alignment horizontal="center" vertical="center" wrapText="1"/>
    </xf>
    <xf numFmtId="178" fontId="43" fillId="26" borderId="11" xfId="59" applyNumberFormat="1" applyFont="1" applyFill="1" applyBorder="1" applyAlignment="1">
      <alignment horizontal="center" vertical="center" wrapText="1"/>
    </xf>
    <xf numFmtId="178" fontId="43" fillId="42" borderId="14" xfId="59" applyNumberFormat="1" applyFont="1" applyFill="1" applyBorder="1" applyAlignment="1">
      <alignment horizontal="center" vertical="center" wrapText="1"/>
    </xf>
    <xf numFmtId="10" fontId="43" fillId="28" borderId="0" xfId="0" applyNumberFormat="1" applyFont="1" applyFill="1"/>
    <xf numFmtId="2" fontId="0" fillId="0" borderId="0" xfId="28" applyNumberFormat="1" applyFont="1" applyAlignment="1"/>
    <xf numFmtId="2" fontId="28" fillId="0" borderId="86" xfId="28" applyNumberFormat="1" applyFont="1" applyFill="1" applyBorder="1" applyAlignment="1" applyProtection="1">
      <alignment horizontal="center" vertical="center"/>
    </xf>
    <xf numFmtId="2" fontId="28" fillId="0" borderId="88" xfId="28" applyNumberFormat="1" applyFont="1" applyBorder="1" applyAlignment="1">
      <alignment horizontal="center" vertical="center"/>
    </xf>
    <xf numFmtId="2" fontId="28" fillId="0" borderId="88" xfId="28" applyNumberFormat="1" applyFont="1" applyFill="1" applyBorder="1" applyAlignment="1" applyProtection="1">
      <alignment horizontal="center" vertical="center"/>
    </xf>
    <xf numFmtId="2" fontId="0" fillId="0" borderId="89" xfId="28" applyNumberFormat="1" applyFont="1" applyBorder="1" applyAlignment="1"/>
    <xf numFmtId="2" fontId="0" fillId="0" borderId="89" xfId="28" applyNumberFormat="1" applyFont="1" applyBorder="1" applyAlignment="1" applyProtection="1">
      <alignment horizontal="center" vertical="center"/>
      <protection hidden="1"/>
    </xf>
    <xf numFmtId="2" fontId="28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178" fontId="43" fillId="4" borderId="14" xfId="29" applyNumberFormat="1" applyFont="1" applyFill="1" applyBorder="1" applyAlignment="1">
      <alignment horizontal="center" vertical="center" wrapText="1"/>
    </xf>
    <xf numFmtId="178" fontId="43" fillId="0" borderId="17" xfId="29" applyNumberFormat="1" applyFont="1" applyFill="1" applyBorder="1" applyAlignment="1">
      <alignment horizontal="center" vertical="center" wrapText="1"/>
    </xf>
    <xf numFmtId="0" fontId="59" fillId="0" borderId="11" xfId="0" applyFont="1" applyBorder="1" applyAlignment="1">
      <alignment horizontal="left" vertical="center"/>
    </xf>
    <xf numFmtId="0" fontId="59" fillId="27" borderId="1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2" applyNumberFormat="1" applyFont="1" applyFill="1" applyBorder="1" applyAlignment="1">
      <alignment horizontal="center" vertical="center"/>
    </xf>
    <xf numFmtId="0" fontId="45" fillId="0" borderId="11" xfId="0" applyFont="1" applyBorder="1" applyAlignment="1">
      <alignment vertical="top" wrapText="1"/>
    </xf>
    <xf numFmtId="0" fontId="45" fillId="0" borderId="88" xfId="57" applyBorder="1"/>
    <xf numFmtId="0" fontId="45" fillId="0" borderId="91" xfId="57" applyBorder="1"/>
    <xf numFmtId="165" fontId="0" fillId="0" borderId="48" xfId="52" applyNumberFormat="1" applyFont="1" applyFill="1" applyBorder="1"/>
    <xf numFmtId="173" fontId="27" fillId="24" borderId="11" xfId="28" applyNumberFormat="1" applyFont="1" applyFill="1" applyBorder="1" applyAlignment="1" applyProtection="1">
      <alignment horizontal="center"/>
      <protection locked="0"/>
    </xf>
    <xf numFmtId="0" fontId="45" fillId="0" borderId="0" xfId="0" applyFont="1" applyFill="1" applyBorder="1"/>
    <xf numFmtId="172" fontId="45" fillId="0" borderId="69" xfId="0" applyNumberFormat="1" applyFont="1" applyBorder="1"/>
    <xf numFmtId="0" fontId="0" fillId="0" borderId="0" xfId="0" applyBorder="1"/>
    <xf numFmtId="0" fontId="45" fillId="0" borderId="0" xfId="0" applyFont="1" applyBorder="1"/>
    <xf numFmtId="0" fontId="48" fillId="0" borderId="0" xfId="0" applyFont="1" applyBorder="1"/>
    <xf numFmtId="172" fontId="45" fillId="0" borderId="36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5" fillId="0" borderId="36" xfId="0" applyFont="1" applyBorder="1" applyAlignment="1">
      <alignment horizontal="center" vertical="center" wrapText="1"/>
    </xf>
    <xf numFmtId="1" fontId="48" fillId="0" borderId="40" xfId="0" applyNumberFormat="1" applyFont="1" applyBorder="1" applyAlignment="1">
      <alignment horizontal="center" vertical="center"/>
    </xf>
    <xf numFmtId="0" fontId="0" fillId="0" borderId="71" xfId="0" applyBorder="1"/>
    <xf numFmtId="165" fontId="0" fillId="0" borderId="75" xfId="52" applyNumberFormat="1" applyFont="1" applyFill="1" applyBorder="1"/>
    <xf numFmtId="0" fontId="45" fillId="0" borderId="93" xfId="57" applyBorder="1"/>
    <xf numFmtId="173" fontId="23" fillId="24" borderId="0" xfId="0" applyNumberFormat="1" applyFont="1" applyFill="1"/>
    <xf numFmtId="16" fontId="45" fillId="0" borderId="96" xfId="57" applyNumberFormat="1" applyBorder="1" applyAlignment="1">
      <alignment horizontal="center"/>
    </xf>
    <xf numFmtId="16" fontId="45" fillId="0" borderId="97" xfId="57" applyNumberFormat="1" applyBorder="1" applyAlignment="1">
      <alignment horizontal="center"/>
    </xf>
    <xf numFmtId="0" fontId="28" fillId="49" borderId="97" xfId="57" applyFont="1" applyFill="1" applyBorder="1" applyAlignment="1"/>
    <xf numFmtId="16" fontId="28" fillId="34" borderId="97" xfId="57" applyNumberFormat="1" applyFont="1" applyFill="1" applyBorder="1" applyAlignment="1"/>
    <xf numFmtId="16" fontId="28" fillId="44" borderId="97" xfId="57" applyNumberFormat="1" applyFont="1" applyFill="1" applyBorder="1" applyAlignment="1"/>
    <xf numFmtId="16" fontId="28" fillId="40" borderId="97" xfId="57" applyNumberFormat="1" applyFont="1" applyFill="1" applyBorder="1" applyAlignment="1"/>
    <xf numFmtId="16" fontId="28" fillId="35" borderId="97" xfId="57" applyNumberFormat="1" applyFont="1" applyFill="1" applyBorder="1" applyAlignment="1"/>
    <xf numFmtId="0" fontId="28" fillId="45" borderId="97" xfId="57" applyFont="1" applyFill="1" applyBorder="1" applyAlignment="1"/>
    <xf numFmtId="0" fontId="28" fillId="46" borderId="97" xfId="57" applyFont="1" applyFill="1" applyBorder="1" applyAlignment="1"/>
    <xf numFmtId="0" fontId="28" fillId="47" borderId="97" xfId="57" applyFont="1" applyFill="1" applyBorder="1" applyAlignment="1"/>
    <xf numFmtId="0" fontId="28" fillId="48" borderId="97" xfId="57" applyFont="1" applyFill="1" applyBorder="1" applyAlignment="1"/>
    <xf numFmtId="0" fontId="28" fillId="40" borderId="97" xfId="57" applyFont="1" applyFill="1" applyBorder="1" applyAlignment="1"/>
    <xf numFmtId="0" fontId="28" fillId="44" borderId="98" xfId="57" applyFont="1" applyFill="1" applyBorder="1" applyAlignment="1"/>
    <xf numFmtId="170" fontId="0" fillId="0" borderId="11" xfId="0" applyNumberFormat="1" applyBorder="1" applyAlignment="1" applyProtection="1">
      <alignment vertical="center" wrapText="1"/>
      <protection locked="0"/>
    </xf>
    <xf numFmtId="0" fontId="0" fillId="0" borderId="11" xfId="0" applyBorder="1" applyAlignment="1">
      <alignment horizontal="center"/>
    </xf>
    <xf numFmtId="0" fontId="45" fillId="0" borderId="11" xfId="0" applyFont="1" applyBorder="1" applyAlignment="1">
      <alignment wrapText="1"/>
    </xf>
    <xf numFmtId="0" fontId="28" fillId="24" borderId="13" xfId="0" quotePrefix="1" applyFont="1" applyFill="1" applyBorder="1" applyAlignment="1" applyProtection="1">
      <alignment wrapText="1"/>
      <protection locked="0"/>
    </xf>
    <xf numFmtId="0" fontId="28" fillId="24" borderId="100" xfId="0" quotePrefix="1" applyFont="1" applyFill="1" applyBorder="1" applyAlignment="1" applyProtection="1">
      <alignment wrapText="1"/>
      <protection locked="0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176" fontId="23" fillId="24" borderId="0" xfId="0" applyNumberFormat="1" applyFont="1" applyFill="1"/>
    <xf numFmtId="0" fontId="45" fillId="0" borderId="90" xfId="57" applyBorder="1"/>
    <xf numFmtId="165" fontId="0" fillId="0" borderId="100" xfId="52" applyNumberFormat="1" applyFont="1" applyFill="1" applyBorder="1"/>
    <xf numFmtId="0" fontId="0" fillId="0" borderId="11" xfId="0" applyBorder="1" applyAlignment="1">
      <alignment horizontal="center" vertical="center"/>
    </xf>
    <xf numFmtId="170" fontId="0" fillId="0" borderId="11" xfId="0" applyNumberFormat="1" applyBorder="1" applyAlignment="1">
      <alignment vertical="justify"/>
    </xf>
    <xf numFmtId="0" fontId="45" fillId="0" borderId="0" xfId="57"/>
    <xf numFmtId="0" fontId="45" fillId="0" borderId="11" xfId="57" applyBorder="1"/>
    <xf numFmtId="0" fontId="45" fillId="0" borderId="0" xfId="57" applyFont="1" applyAlignment="1"/>
    <xf numFmtId="0" fontId="45" fillId="0" borderId="0" xfId="57" quotePrefix="1" applyFont="1"/>
    <xf numFmtId="0" fontId="45" fillId="0" borderId="0" xfId="57" applyAlignment="1"/>
    <xf numFmtId="1" fontId="45" fillId="27" borderId="40" xfId="0" applyNumberFormat="1" applyFont="1" applyFill="1" applyBorder="1" applyAlignment="1">
      <alignment horizontal="center" vertical="center"/>
    </xf>
    <xf numFmtId="0" fontId="27" fillId="24" borderId="100" xfId="0" quotePrefix="1" applyFont="1" applyFill="1" applyBorder="1" applyAlignment="1" applyProtection="1">
      <alignment wrapText="1"/>
      <protection locked="0"/>
    </xf>
    <xf numFmtId="0" fontId="45" fillId="0" borderId="26" xfId="57" applyBorder="1"/>
    <xf numFmtId="165" fontId="0" fillId="0" borderId="17" xfId="52" applyNumberFormat="1" applyFont="1" applyFill="1" applyBorder="1"/>
    <xf numFmtId="165" fontId="0" fillId="0" borderId="31" xfId="52" applyNumberFormat="1" applyFont="1" applyFill="1" applyBorder="1"/>
    <xf numFmtId="0" fontId="45" fillId="0" borderId="14" xfId="57" applyBorder="1"/>
    <xf numFmtId="0" fontId="45" fillId="0" borderId="51" xfId="57" applyBorder="1"/>
    <xf numFmtId="10" fontId="45" fillId="0" borderId="25" xfId="57" applyNumberFormat="1" applyBorder="1"/>
    <xf numFmtId="10" fontId="45" fillId="0" borderId="17" xfId="57" applyNumberFormat="1" applyBorder="1"/>
    <xf numFmtId="165" fontId="45" fillId="0" borderId="17" xfId="52" applyNumberFormat="1" applyFont="1" applyFill="1" applyBorder="1"/>
    <xf numFmtId="165" fontId="45" fillId="0" borderId="49" xfId="52" applyNumberFormat="1" applyFont="1" applyFill="1" applyBorder="1"/>
    <xf numFmtId="9" fontId="42" fillId="27" borderId="11" xfId="0" applyNumberFormat="1" applyFont="1" applyFill="1" applyBorder="1" applyAlignment="1">
      <alignment horizontal="center" vertical="center" wrapText="1"/>
    </xf>
    <xf numFmtId="178" fontId="42" fillId="0" borderId="102" xfId="29" applyNumberFormat="1" applyFont="1" applyFill="1" applyBorder="1" applyAlignment="1">
      <alignment vertical="center"/>
    </xf>
    <xf numFmtId="0" fontId="43" fillId="0" borderId="14" xfId="0" applyFont="1" applyBorder="1" applyAlignment="1">
      <alignment horizontal="center" vertical="center" wrapText="1"/>
    </xf>
    <xf numFmtId="182" fontId="23" fillId="24" borderId="0" xfId="0" applyNumberFormat="1" applyFont="1" applyFill="1"/>
    <xf numFmtId="0" fontId="0" fillId="0" borderId="0" xfId="0" applyFill="1" applyBorder="1"/>
    <xf numFmtId="172" fontId="45" fillId="0" borderId="0" xfId="0" applyNumberFormat="1" applyFont="1" applyBorder="1"/>
    <xf numFmtId="0" fontId="45" fillId="0" borderId="70" xfId="0" applyFont="1" applyFill="1" applyBorder="1"/>
    <xf numFmtId="0" fontId="68" fillId="24" borderId="100" xfId="0" quotePrefix="1" applyFont="1" applyFill="1" applyBorder="1" applyAlignment="1" applyProtection="1">
      <alignment wrapText="1"/>
      <protection locked="0"/>
    </xf>
    <xf numFmtId="0" fontId="43" fillId="0" borderId="14" xfId="0" applyFont="1" applyBorder="1" applyAlignment="1">
      <alignment horizontal="center" vertical="center" wrapText="1"/>
    </xf>
    <xf numFmtId="164" fontId="43" fillId="0" borderId="14" xfId="29" applyFont="1" applyFill="1" applyBorder="1" applyAlignment="1">
      <alignment horizontal="center" vertical="center" wrapText="1"/>
    </xf>
    <xf numFmtId="0" fontId="45" fillId="27" borderId="11" xfId="0" quotePrefix="1" applyFont="1" applyFill="1" applyBorder="1" applyAlignment="1" applyProtection="1">
      <alignment horizontal="center" vertical="center"/>
      <protection locked="0"/>
    </xf>
    <xf numFmtId="0" fontId="0" fillId="27" borderId="11" xfId="0" quotePrefix="1" applyFill="1" applyBorder="1" applyAlignment="1" applyProtection="1">
      <alignment horizontal="center" vertical="center"/>
      <protection locked="0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43" fillId="24" borderId="11" xfId="0" quotePrefix="1" applyFont="1" applyFill="1" applyBorder="1" applyAlignment="1" applyProtection="1">
      <alignment wrapText="1"/>
      <protection locked="0"/>
    </xf>
    <xf numFmtId="0" fontId="39" fillId="0" borderId="11" xfId="0" applyFont="1" applyBorder="1" applyAlignment="1">
      <alignment horizontal="center"/>
    </xf>
    <xf numFmtId="0" fontId="43" fillId="24" borderId="11" xfId="0" quotePrefix="1" applyFont="1" applyFill="1" applyBorder="1"/>
    <xf numFmtId="178" fontId="42" fillId="0" borderId="100" xfId="29" applyNumberFormat="1" applyFont="1" applyFill="1" applyBorder="1" applyAlignment="1">
      <alignment vertical="center"/>
    </xf>
    <xf numFmtId="2" fontId="42" fillId="0" borderId="102" xfId="52" applyNumberFormat="1" applyFont="1" applyFill="1" applyBorder="1" applyAlignment="1">
      <alignment vertical="center"/>
    </xf>
    <xf numFmtId="1" fontId="43" fillId="0" borderId="0" xfId="52" applyNumberFormat="1" applyFont="1" applyFill="1" applyBorder="1" applyAlignment="1">
      <alignment vertical="center"/>
    </xf>
    <xf numFmtId="0" fontId="45" fillId="0" borderId="0" xfId="57" applyFill="1"/>
    <xf numFmtId="2" fontId="28" fillId="49" borderId="100" xfId="57" applyNumberFormat="1" applyFont="1" applyFill="1" applyBorder="1" applyAlignment="1">
      <alignment horizontal="center"/>
    </xf>
    <xf numFmtId="2" fontId="28" fillId="49" borderId="102" xfId="57" applyNumberFormat="1" applyFont="1" applyFill="1" applyBorder="1" applyAlignment="1">
      <alignment horizontal="center"/>
    </xf>
    <xf numFmtId="2" fontId="28" fillId="49" borderId="11" xfId="57" applyNumberFormat="1" applyFont="1" applyFill="1" applyBorder="1" applyAlignment="1">
      <alignment horizontal="center"/>
    </xf>
    <xf numFmtId="10" fontId="28" fillId="49" borderId="28" xfId="57" applyNumberFormat="1" applyFont="1" applyFill="1" applyBorder="1" applyAlignment="1">
      <alignment horizontal="center"/>
    </xf>
    <xf numFmtId="10" fontId="28" fillId="49" borderId="102" xfId="57" applyNumberFormat="1" applyFont="1" applyFill="1" applyBorder="1" applyAlignment="1">
      <alignment horizontal="center"/>
    </xf>
    <xf numFmtId="10" fontId="28" fillId="49" borderId="100" xfId="57" applyNumberFormat="1" applyFont="1" applyFill="1" applyBorder="1" applyAlignment="1">
      <alignment horizontal="center"/>
    </xf>
    <xf numFmtId="10" fontId="28" fillId="34" borderId="100" xfId="57" applyNumberFormat="1" applyFont="1" applyFill="1" applyBorder="1" applyAlignment="1">
      <alignment horizontal="center"/>
    </xf>
    <xf numFmtId="10" fontId="28" fillId="34" borderId="102" xfId="57" applyNumberFormat="1" applyFont="1" applyFill="1" applyBorder="1" applyAlignment="1">
      <alignment horizontal="center"/>
    </xf>
    <xf numFmtId="0" fontId="45" fillId="0" borderId="94" xfId="57" applyBorder="1" applyAlignment="1">
      <alignment horizontal="center" vertical="center"/>
    </xf>
    <xf numFmtId="0" fontId="45" fillId="0" borderId="69" xfId="57" applyBorder="1" applyAlignment="1">
      <alignment horizontal="center" vertical="center"/>
    </xf>
    <xf numFmtId="0" fontId="45" fillId="0" borderId="95" xfId="57" applyBorder="1" applyAlignment="1">
      <alignment horizontal="center" vertical="center"/>
    </xf>
    <xf numFmtId="0" fontId="28" fillId="42" borderId="36" xfId="57" applyFont="1" applyFill="1" applyBorder="1" applyAlignment="1">
      <alignment horizontal="center" vertical="center"/>
    </xf>
    <xf numFmtId="0" fontId="28" fillId="42" borderId="54" xfId="57" applyFont="1" applyFill="1" applyBorder="1" applyAlignment="1">
      <alignment horizontal="center" vertical="center"/>
    </xf>
    <xf numFmtId="0" fontId="28" fillId="42" borderId="35" xfId="57" applyFont="1" applyFill="1" applyBorder="1" applyAlignment="1">
      <alignment horizontal="center" vertical="center"/>
    </xf>
    <xf numFmtId="0" fontId="28" fillId="43" borderId="36" xfId="57" applyFont="1" applyFill="1" applyBorder="1" applyAlignment="1">
      <alignment horizontal="center" vertical="center"/>
    </xf>
    <xf numFmtId="0" fontId="28" fillId="43" borderId="54" xfId="57" applyFont="1" applyFill="1" applyBorder="1" applyAlignment="1">
      <alignment horizontal="center" vertical="center"/>
    </xf>
    <xf numFmtId="0" fontId="28" fillId="43" borderId="35" xfId="57" applyFont="1" applyFill="1" applyBorder="1" applyAlignment="1">
      <alignment horizontal="center" vertical="center"/>
    </xf>
    <xf numFmtId="0" fontId="28" fillId="32" borderId="36" xfId="57" applyFont="1" applyFill="1" applyBorder="1" applyAlignment="1">
      <alignment horizontal="center" vertical="center" wrapText="1"/>
    </xf>
    <xf numFmtId="0" fontId="28" fillId="32" borderId="54" xfId="57" applyFont="1" applyFill="1" applyBorder="1" applyAlignment="1">
      <alignment horizontal="center" vertical="center" wrapText="1"/>
    </xf>
    <xf numFmtId="0" fontId="28" fillId="32" borderId="35" xfId="57" applyFont="1" applyFill="1" applyBorder="1" applyAlignment="1">
      <alignment horizontal="center" vertical="center" wrapText="1"/>
    </xf>
    <xf numFmtId="0" fontId="45" fillId="0" borderId="75" xfId="57" applyBorder="1" applyAlignment="1">
      <alignment horizontal="center"/>
    </xf>
    <xf numFmtId="0" fontId="45" fillId="0" borderId="77" xfId="57" applyBorder="1" applyAlignment="1">
      <alignment horizontal="center"/>
    </xf>
    <xf numFmtId="0" fontId="45" fillId="0" borderId="76" xfId="57" applyBorder="1" applyAlignment="1">
      <alignment horizontal="center"/>
    </xf>
    <xf numFmtId="0" fontId="45" fillId="0" borderId="78" xfId="57" applyBorder="1" applyAlignment="1">
      <alignment horizontal="center"/>
    </xf>
    <xf numFmtId="4" fontId="28" fillId="49" borderId="100" xfId="57" applyNumberFormat="1" applyFont="1" applyFill="1" applyBorder="1" applyAlignment="1">
      <alignment horizontal="center"/>
    </xf>
    <xf numFmtId="4" fontId="28" fillId="49" borderId="102" xfId="57" applyNumberFormat="1" applyFont="1" applyFill="1" applyBorder="1" applyAlignment="1">
      <alignment horizontal="center"/>
    </xf>
    <xf numFmtId="165" fontId="28" fillId="49" borderId="100" xfId="57" applyNumberFormat="1" applyFont="1" applyFill="1" applyBorder="1" applyAlignment="1">
      <alignment horizontal="center"/>
    </xf>
    <xf numFmtId="0" fontId="28" fillId="49" borderId="102" xfId="57" applyFont="1" applyFill="1" applyBorder="1" applyAlignment="1">
      <alignment horizontal="center"/>
    </xf>
    <xf numFmtId="0" fontId="28" fillId="49" borderId="101" xfId="57" applyFont="1" applyFill="1" applyBorder="1" applyAlignment="1">
      <alignment horizontal="center"/>
    </xf>
    <xf numFmtId="0" fontId="45" fillId="0" borderId="21" xfId="57" applyBorder="1" applyAlignment="1">
      <alignment horizontal="center"/>
    </xf>
    <xf numFmtId="10" fontId="28" fillId="40" borderId="100" xfId="57" applyNumberFormat="1" applyFont="1" applyFill="1" applyBorder="1" applyAlignment="1">
      <alignment horizontal="center"/>
    </xf>
    <xf numFmtId="10" fontId="28" fillId="40" borderId="102" xfId="57" applyNumberFormat="1" applyFont="1" applyFill="1" applyBorder="1" applyAlignment="1">
      <alignment horizontal="center"/>
    </xf>
    <xf numFmtId="4" fontId="28" fillId="40" borderId="100" xfId="57" applyNumberFormat="1" applyFont="1" applyFill="1" applyBorder="1" applyAlignment="1">
      <alignment horizontal="center"/>
    </xf>
    <xf numFmtId="4" fontId="28" fillId="40" borderId="102" xfId="57" applyNumberFormat="1" applyFont="1" applyFill="1" applyBorder="1" applyAlignment="1">
      <alignment horizontal="center"/>
    </xf>
    <xf numFmtId="4" fontId="28" fillId="49" borderId="11" xfId="57" applyNumberFormat="1" applyFont="1" applyFill="1" applyBorder="1" applyAlignment="1">
      <alignment horizontal="center"/>
    </xf>
    <xf numFmtId="10" fontId="28" fillId="49" borderId="10" xfId="57" applyNumberFormat="1" applyFont="1" applyFill="1" applyBorder="1" applyAlignment="1">
      <alignment horizontal="center"/>
    </xf>
    <xf numFmtId="10" fontId="28" fillId="49" borderId="11" xfId="57" applyNumberFormat="1" applyFont="1" applyFill="1" applyBorder="1" applyAlignment="1">
      <alignment horizontal="center"/>
    </xf>
    <xf numFmtId="2" fontId="28" fillId="49" borderId="103" xfId="57" applyNumberFormat="1" applyFont="1" applyFill="1" applyBorder="1" applyAlignment="1">
      <alignment horizontal="center"/>
    </xf>
    <xf numFmtId="10" fontId="28" fillId="34" borderId="10" xfId="57" applyNumberFormat="1" applyFont="1" applyFill="1" applyBorder="1" applyAlignment="1">
      <alignment horizontal="center"/>
    </xf>
    <xf numFmtId="10" fontId="28" fillId="34" borderId="11" xfId="57" applyNumberFormat="1" applyFont="1" applyFill="1" applyBorder="1" applyAlignment="1">
      <alignment horizontal="center"/>
    </xf>
    <xf numFmtId="4" fontId="28" fillId="34" borderId="11" xfId="57" applyNumberFormat="1" applyFont="1" applyFill="1" applyBorder="1" applyAlignment="1">
      <alignment horizontal="center"/>
    </xf>
    <xf numFmtId="2" fontId="28" fillId="34" borderId="11" xfId="57" applyNumberFormat="1" applyFont="1" applyFill="1" applyBorder="1" applyAlignment="1">
      <alignment horizontal="center"/>
    </xf>
    <xf numFmtId="2" fontId="28" fillId="34" borderId="100" xfId="57" applyNumberFormat="1" applyFont="1" applyFill="1" applyBorder="1" applyAlignment="1">
      <alignment horizontal="center"/>
    </xf>
    <xf numFmtId="2" fontId="28" fillId="34" borderId="102" xfId="57" applyNumberFormat="1" applyFont="1" applyFill="1" applyBorder="1" applyAlignment="1">
      <alignment horizontal="center"/>
    </xf>
    <xf numFmtId="10" fontId="28" fillId="34" borderId="28" xfId="57" applyNumberFormat="1" applyFont="1" applyFill="1" applyBorder="1" applyAlignment="1">
      <alignment horizontal="center"/>
    </xf>
    <xf numFmtId="2" fontId="28" fillId="49" borderId="101" xfId="57" applyNumberFormat="1" applyFont="1" applyFill="1" applyBorder="1" applyAlignment="1">
      <alignment horizontal="center"/>
    </xf>
    <xf numFmtId="0" fontId="45" fillId="0" borderId="29" xfId="57" applyBorder="1" applyAlignment="1">
      <alignment horizontal="center"/>
    </xf>
    <xf numFmtId="0" fontId="45" fillId="0" borderId="0" xfId="57" applyAlignment="1">
      <alignment horizontal="center"/>
    </xf>
    <xf numFmtId="4" fontId="28" fillId="34" borderId="100" xfId="57" applyNumberFormat="1" applyFont="1" applyFill="1" applyBorder="1" applyAlignment="1">
      <alignment horizontal="center"/>
    </xf>
    <xf numFmtId="4" fontId="28" fillId="34" borderId="102" xfId="57" applyNumberFormat="1" applyFont="1" applyFill="1" applyBorder="1" applyAlignment="1">
      <alignment horizontal="center"/>
    </xf>
    <xf numFmtId="165" fontId="28" fillId="34" borderId="100" xfId="57" applyNumberFormat="1" applyFont="1" applyFill="1" applyBorder="1" applyAlignment="1">
      <alignment horizontal="center"/>
    </xf>
    <xf numFmtId="0" fontId="28" fillId="34" borderId="102" xfId="57" applyFont="1" applyFill="1" applyBorder="1" applyAlignment="1">
      <alignment horizontal="center"/>
    </xf>
    <xf numFmtId="0" fontId="28" fillId="34" borderId="101" xfId="57" applyFont="1" applyFill="1" applyBorder="1" applyAlignment="1">
      <alignment horizontal="center"/>
    </xf>
    <xf numFmtId="2" fontId="28" fillId="34" borderId="101" xfId="57" applyNumberFormat="1" applyFont="1" applyFill="1" applyBorder="1" applyAlignment="1">
      <alignment horizontal="center"/>
    </xf>
    <xf numFmtId="4" fontId="28" fillId="44" borderId="100" xfId="57" applyNumberFormat="1" applyFont="1" applyFill="1" applyBorder="1" applyAlignment="1">
      <alignment horizontal="center"/>
    </xf>
    <xf numFmtId="4" fontId="28" fillId="44" borderId="102" xfId="57" applyNumberFormat="1" applyFont="1" applyFill="1" applyBorder="1" applyAlignment="1">
      <alignment horizontal="center"/>
    </xf>
    <xf numFmtId="2" fontId="28" fillId="44" borderId="100" xfId="57" applyNumberFormat="1" applyFont="1" applyFill="1" applyBorder="1" applyAlignment="1">
      <alignment horizontal="center"/>
    </xf>
    <xf numFmtId="2" fontId="28" fillId="44" borderId="102" xfId="57" applyNumberFormat="1" applyFont="1" applyFill="1" applyBorder="1" applyAlignment="1">
      <alignment horizontal="center"/>
    </xf>
    <xf numFmtId="4" fontId="28" fillId="44" borderId="101" xfId="57" applyNumberFormat="1" applyFont="1" applyFill="1" applyBorder="1" applyAlignment="1">
      <alignment horizontal="center"/>
    </xf>
    <xf numFmtId="10" fontId="28" fillId="44" borderId="28" xfId="57" applyNumberFormat="1" applyFont="1" applyFill="1" applyBorder="1" applyAlignment="1">
      <alignment horizontal="center"/>
    </xf>
    <xf numFmtId="10" fontId="28" fillId="44" borderId="102" xfId="57" applyNumberFormat="1" applyFont="1" applyFill="1" applyBorder="1" applyAlignment="1">
      <alignment horizontal="center"/>
    </xf>
    <xf numFmtId="2" fontId="28" fillId="44" borderId="11" xfId="57" applyNumberFormat="1" applyFont="1" applyFill="1" applyBorder="1" applyAlignment="1">
      <alignment horizontal="center"/>
    </xf>
    <xf numFmtId="10" fontId="28" fillId="44" borderId="100" xfId="57" applyNumberFormat="1" applyFont="1" applyFill="1" applyBorder="1" applyAlignment="1">
      <alignment horizontal="center"/>
    </xf>
    <xf numFmtId="4" fontId="28" fillId="44" borderId="11" xfId="57" applyNumberFormat="1" applyFont="1" applyFill="1" applyBorder="1" applyAlignment="1">
      <alignment horizontal="center"/>
    </xf>
    <xf numFmtId="2" fontId="28" fillId="34" borderId="50" xfId="57" applyNumberFormat="1" applyFont="1" applyFill="1" applyBorder="1" applyAlignment="1">
      <alignment horizontal="center"/>
    </xf>
    <xf numFmtId="2" fontId="28" fillId="34" borderId="103" xfId="57" applyNumberFormat="1" applyFont="1" applyFill="1" applyBorder="1" applyAlignment="1">
      <alignment horizontal="center"/>
    </xf>
    <xf numFmtId="2" fontId="28" fillId="44" borderId="101" xfId="57" applyNumberFormat="1" applyFont="1" applyFill="1" applyBorder="1" applyAlignment="1">
      <alignment horizontal="center"/>
    </xf>
    <xf numFmtId="175" fontId="28" fillId="44" borderId="100" xfId="57" applyNumberFormat="1" applyFont="1" applyFill="1" applyBorder="1" applyAlignment="1">
      <alignment horizontal="center"/>
    </xf>
    <xf numFmtId="175" fontId="28" fillId="44" borderId="102" xfId="57" applyNumberFormat="1" applyFont="1" applyFill="1" applyBorder="1" applyAlignment="1">
      <alignment horizontal="center"/>
    </xf>
    <xf numFmtId="10" fontId="28" fillId="40" borderId="28" xfId="57" applyNumberFormat="1" applyFont="1" applyFill="1" applyBorder="1" applyAlignment="1">
      <alignment horizontal="center"/>
    </xf>
    <xf numFmtId="2" fontId="28" fillId="40" borderId="100" xfId="57" applyNumberFormat="1" applyFont="1" applyFill="1" applyBorder="1" applyAlignment="1">
      <alignment horizontal="center"/>
    </xf>
    <xf numFmtId="2" fontId="28" fillId="40" borderId="102" xfId="57" applyNumberFormat="1" applyFont="1" applyFill="1" applyBorder="1" applyAlignment="1">
      <alignment horizontal="center"/>
    </xf>
    <xf numFmtId="2" fontId="28" fillId="40" borderId="101" xfId="57" applyNumberFormat="1" applyFont="1" applyFill="1" applyBorder="1" applyAlignment="1">
      <alignment horizontal="center"/>
    </xf>
    <xf numFmtId="175" fontId="28" fillId="53" borderId="100" xfId="57" applyNumberFormat="1" applyFont="1" applyFill="1" applyBorder="1" applyAlignment="1">
      <alignment horizontal="center"/>
    </xf>
    <xf numFmtId="175" fontId="28" fillId="53" borderId="102" xfId="57" applyNumberFormat="1" applyFont="1" applyFill="1" applyBorder="1" applyAlignment="1">
      <alignment horizontal="center"/>
    </xf>
    <xf numFmtId="4" fontId="28" fillId="40" borderId="101" xfId="57" applyNumberFormat="1" applyFont="1" applyFill="1" applyBorder="1" applyAlignment="1">
      <alignment horizontal="center"/>
    </xf>
    <xf numFmtId="2" fontId="28" fillId="53" borderId="100" xfId="57" applyNumberFormat="1" applyFont="1" applyFill="1" applyBorder="1" applyAlignment="1">
      <alignment horizontal="center"/>
    </xf>
    <xf numFmtId="2" fontId="28" fillId="53" borderId="102" xfId="57" applyNumberFormat="1" applyFont="1" applyFill="1" applyBorder="1" applyAlignment="1">
      <alignment horizontal="center"/>
    </xf>
    <xf numFmtId="4" fontId="28" fillId="53" borderId="100" xfId="57" applyNumberFormat="1" applyFont="1" applyFill="1" applyBorder="1" applyAlignment="1">
      <alignment horizontal="center"/>
    </xf>
    <xf numFmtId="4" fontId="28" fillId="53" borderId="102" xfId="57" applyNumberFormat="1" applyFont="1" applyFill="1" applyBorder="1" applyAlignment="1">
      <alignment horizontal="center"/>
    </xf>
    <xf numFmtId="4" fontId="28" fillId="40" borderId="11" xfId="57" applyNumberFormat="1" applyFont="1" applyFill="1" applyBorder="1" applyAlignment="1">
      <alignment horizontal="center"/>
    </xf>
    <xf numFmtId="2" fontId="28" fillId="40" borderId="11" xfId="57" applyNumberFormat="1" applyFont="1" applyFill="1" applyBorder="1" applyAlignment="1">
      <alignment horizontal="center"/>
    </xf>
    <xf numFmtId="2" fontId="28" fillId="53" borderId="101" xfId="57" applyNumberFormat="1" applyFont="1" applyFill="1" applyBorder="1" applyAlignment="1">
      <alignment horizontal="center"/>
    </xf>
    <xf numFmtId="10" fontId="28" fillId="35" borderId="28" xfId="57" applyNumberFormat="1" applyFont="1" applyFill="1" applyBorder="1" applyAlignment="1">
      <alignment horizontal="center"/>
    </xf>
    <xf numFmtId="10" fontId="28" fillId="35" borderId="102" xfId="57" applyNumberFormat="1" applyFont="1" applyFill="1" applyBorder="1" applyAlignment="1">
      <alignment horizontal="center"/>
    </xf>
    <xf numFmtId="2" fontId="28" fillId="35" borderId="100" xfId="57" applyNumberFormat="1" applyFont="1" applyFill="1" applyBorder="1" applyAlignment="1">
      <alignment horizontal="center"/>
    </xf>
    <xf numFmtId="2" fontId="28" fillId="35" borderId="102" xfId="57" applyNumberFormat="1" applyFont="1" applyFill="1" applyBorder="1" applyAlignment="1">
      <alignment horizontal="center"/>
    </xf>
    <xf numFmtId="2" fontId="28" fillId="35" borderId="101" xfId="57" applyNumberFormat="1" applyFont="1" applyFill="1" applyBorder="1" applyAlignment="1">
      <alignment horizontal="center"/>
    </xf>
    <xf numFmtId="4" fontId="28" fillId="35" borderId="100" xfId="57" applyNumberFormat="1" applyFont="1" applyFill="1" applyBorder="1" applyAlignment="1">
      <alignment horizontal="center"/>
    </xf>
    <xf numFmtId="4" fontId="28" fillId="35" borderId="102" xfId="57" applyNumberFormat="1" applyFont="1" applyFill="1" applyBorder="1" applyAlignment="1">
      <alignment horizontal="center"/>
    </xf>
    <xf numFmtId="10" fontId="28" fillId="35" borderId="100" xfId="57" applyNumberFormat="1" applyFont="1" applyFill="1" applyBorder="1" applyAlignment="1">
      <alignment horizontal="center"/>
    </xf>
    <xf numFmtId="175" fontId="28" fillId="35" borderId="100" xfId="57" applyNumberFormat="1" applyFont="1" applyFill="1" applyBorder="1" applyAlignment="1">
      <alignment horizontal="center"/>
    </xf>
    <xf numFmtId="175" fontId="28" fillId="35" borderId="102" xfId="57" applyNumberFormat="1" applyFont="1" applyFill="1" applyBorder="1" applyAlignment="1">
      <alignment horizontal="center"/>
    </xf>
    <xf numFmtId="10" fontId="28" fillId="35" borderId="101" xfId="57" applyNumberFormat="1" applyFont="1" applyFill="1" applyBorder="1" applyAlignment="1">
      <alignment horizontal="center"/>
    </xf>
    <xf numFmtId="4" fontId="28" fillId="45" borderId="100" xfId="57" applyNumberFormat="1" applyFont="1" applyFill="1" applyBorder="1" applyAlignment="1">
      <alignment horizontal="center"/>
    </xf>
    <xf numFmtId="4" fontId="28" fillId="45" borderId="102" xfId="57" applyNumberFormat="1" applyFont="1" applyFill="1" applyBorder="1" applyAlignment="1">
      <alignment horizontal="center"/>
    </xf>
    <xf numFmtId="2" fontId="28" fillId="45" borderId="100" xfId="57" applyNumberFormat="1" applyFont="1" applyFill="1" applyBorder="1" applyAlignment="1">
      <alignment horizontal="center"/>
    </xf>
    <xf numFmtId="2" fontId="28" fillId="45" borderId="102" xfId="57" applyNumberFormat="1" applyFont="1" applyFill="1" applyBorder="1" applyAlignment="1">
      <alignment horizontal="center"/>
    </xf>
    <xf numFmtId="2" fontId="28" fillId="45" borderId="101" xfId="57" applyNumberFormat="1" applyFont="1" applyFill="1" applyBorder="1" applyAlignment="1">
      <alignment horizontal="center"/>
    </xf>
    <xf numFmtId="10" fontId="28" fillId="45" borderId="28" xfId="57" applyNumberFormat="1" applyFont="1" applyFill="1" applyBorder="1" applyAlignment="1">
      <alignment horizontal="center"/>
    </xf>
    <xf numFmtId="10" fontId="28" fillId="45" borderId="102" xfId="57" applyNumberFormat="1" applyFont="1" applyFill="1" applyBorder="1" applyAlignment="1">
      <alignment horizontal="center"/>
    </xf>
    <xf numFmtId="10" fontId="28" fillId="45" borderId="100" xfId="57" applyNumberFormat="1" applyFont="1" applyFill="1" applyBorder="1" applyAlignment="1">
      <alignment horizontal="center"/>
    </xf>
    <xf numFmtId="2" fontId="28" fillId="35" borderId="11" xfId="57" applyNumberFormat="1" applyFont="1" applyFill="1" applyBorder="1" applyAlignment="1">
      <alignment horizontal="center"/>
    </xf>
    <xf numFmtId="2" fontId="28" fillId="52" borderId="100" xfId="57" applyNumberFormat="1" applyFont="1" applyFill="1" applyBorder="1" applyAlignment="1">
      <alignment horizontal="center"/>
    </xf>
    <xf numFmtId="2" fontId="28" fillId="52" borderId="102" xfId="57" applyNumberFormat="1" applyFont="1" applyFill="1" applyBorder="1" applyAlignment="1">
      <alignment horizontal="center"/>
    </xf>
    <xf numFmtId="175" fontId="28" fillId="52" borderId="100" xfId="57" applyNumberFormat="1" applyFont="1" applyFill="1" applyBorder="1" applyAlignment="1">
      <alignment horizontal="center"/>
    </xf>
    <xf numFmtId="175" fontId="28" fillId="52" borderId="102" xfId="57" applyNumberFormat="1" applyFont="1" applyFill="1" applyBorder="1" applyAlignment="1">
      <alignment horizontal="center"/>
    </xf>
    <xf numFmtId="2" fontId="28" fillId="46" borderId="100" xfId="57" applyNumberFormat="1" applyFont="1" applyFill="1" applyBorder="1" applyAlignment="1">
      <alignment horizontal="center"/>
    </xf>
    <xf numFmtId="2" fontId="28" fillId="46" borderId="102" xfId="57" applyNumberFormat="1" applyFont="1" applyFill="1" applyBorder="1" applyAlignment="1">
      <alignment horizontal="center"/>
    </xf>
    <xf numFmtId="4" fontId="28" fillId="46" borderId="100" xfId="57" applyNumberFormat="1" applyFont="1" applyFill="1" applyBorder="1" applyAlignment="1">
      <alignment horizontal="center"/>
    </xf>
    <xf numFmtId="4" fontId="28" fillId="46" borderId="102" xfId="57" applyNumberFormat="1" applyFont="1" applyFill="1" applyBorder="1" applyAlignment="1">
      <alignment horizontal="center"/>
    </xf>
    <xf numFmtId="2" fontId="28" fillId="45" borderId="11" xfId="57" applyNumberFormat="1" applyFont="1" applyFill="1" applyBorder="1" applyAlignment="1">
      <alignment horizontal="center"/>
    </xf>
    <xf numFmtId="10" fontId="28" fillId="46" borderId="28" xfId="57" applyNumberFormat="1" applyFont="1" applyFill="1" applyBorder="1" applyAlignment="1">
      <alignment horizontal="center"/>
    </xf>
    <xf numFmtId="10" fontId="28" fillId="46" borderId="102" xfId="57" applyNumberFormat="1" applyFont="1" applyFill="1" applyBorder="1" applyAlignment="1">
      <alignment horizontal="center"/>
    </xf>
    <xf numFmtId="10" fontId="28" fillId="46" borderId="100" xfId="57" applyNumberFormat="1" applyFont="1" applyFill="1" applyBorder="1" applyAlignment="1">
      <alignment horizontal="center"/>
    </xf>
    <xf numFmtId="2" fontId="28" fillId="46" borderId="101" xfId="57" applyNumberFormat="1" applyFont="1" applyFill="1" applyBorder="1" applyAlignment="1">
      <alignment horizontal="center"/>
    </xf>
    <xf numFmtId="10" fontId="28" fillId="52" borderId="100" xfId="57" applyNumberFormat="1" applyFont="1" applyFill="1" applyBorder="1" applyAlignment="1">
      <alignment horizontal="center"/>
    </xf>
    <xf numFmtId="10" fontId="28" fillId="52" borderId="102" xfId="57" applyNumberFormat="1" applyFont="1" applyFill="1" applyBorder="1" applyAlignment="1">
      <alignment horizontal="center"/>
    </xf>
    <xf numFmtId="2" fontId="28" fillId="47" borderId="100" xfId="57" applyNumberFormat="1" applyFont="1" applyFill="1" applyBorder="1" applyAlignment="1">
      <alignment horizontal="center"/>
    </xf>
    <xf numFmtId="2" fontId="28" fillId="47" borderId="101" xfId="57" applyNumberFormat="1" applyFont="1" applyFill="1" applyBorder="1" applyAlignment="1">
      <alignment horizontal="center"/>
    </xf>
    <xf numFmtId="10" fontId="28" fillId="47" borderId="100" xfId="57" applyNumberFormat="1" applyFont="1" applyFill="1" applyBorder="1" applyAlignment="1">
      <alignment horizontal="center"/>
    </xf>
    <xf numFmtId="10" fontId="28" fillId="47" borderId="102" xfId="57" applyNumberFormat="1" applyFont="1" applyFill="1" applyBorder="1" applyAlignment="1">
      <alignment horizontal="center"/>
    </xf>
    <xf numFmtId="2" fontId="28" fillId="47" borderId="102" xfId="57" applyNumberFormat="1" applyFont="1" applyFill="1" applyBorder="1" applyAlignment="1">
      <alignment horizontal="center"/>
    </xf>
    <xf numFmtId="10" fontId="28" fillId="47" borderId="28" xfId="57" applyNumberFormat="1" applyFont="1" applyFill="1" applyBorder="1" applyAlignment="1">
      <alignment horizontal="center"/>
    </xf>
    <xf numFmtId="4" fontId="28" fillId="47" borderId="100" xfId="57" applyNumberFormat="1" applyFont="1" applyFill="1" applyBorder="1" applyAlignment="1">
      <alignment horizontal="center"/>
    </xf>
    <xf numFmtId="4" fontId="28" fillId="47" borderId="102" xfId="57" applyNumberFormat="1" applyFont="1" applyFill="1" applyBorder="1" applyAlignment="1">
      <alignment horizontal="center"/>
    </xf>
    <xf numFmtId="175" fontId="28" fillId="46" borderId="100" xfId="57" applyNumberFormat="1" applyFont="1" applyFill="1" applyBorder="1" applyAlignment="1">
      <alignment horizontal="center"/>
    </xf>
    <xf numFmtId="175" fontId="28" fillId="46" borderId="102" xfId="57" applyNumberFormat="1" applyFont="1" applyFill="1" applyBorder="1" applyAlignment="1">
      <alignment horizontal="center"/>
    </xf>
    <xf numFmtId="4" fontId="28" fillId="48" borderId="100" xfId="57" applyNumberFormat="1" applyFont="1" applyFill="1" applyBorder="1" applyAlignment="1">
      <alignment horizontal="center"/>
    </xf>
    <xf numFmtId="4" fontId="28" fillId="48" borderId="102" xfId="57" applyNumberFormat="1" applyFont="1" applyFill="1" applyBorder="1" applyAlignment="1">
      <alignment horizontal="center"/>
    </xf>
    <xf numFmtId="10" fontId="28" fillId="48" borderId="28" xfId="57" applyNumberFormat="1" applyFont="1" applyFill="1" applyBorder="1" applyAlignment="1">
      <alignment horizontal="center"/>
    </xf>
    <xf numFmtId="10" fontId="28" fillId="48" borderId="102" xfId="57" applyNumberFormat="1" applyFont="1" applyFill="1" applyBorder="1" applyAlignment="1">
      <alignment horizontal="center"/>
    </xf>
    <xf numFmtId="10" fontId="28" fillId="48" borderId="100" xfId="57" applyNumberFormat="1" applyFont="1" applyFill="1" applyBorder="1" applyAlignment="1">
      <alignment horizontal="center"/>
    </xf>
    <xf numFmtId="2" fontId="28" fillId="48" borderId="100" xfId="57" applyNumberFormat="1" applyFont="1" applyFill="1" applyBorder="1" applyAlignment="1">
      <alignment horizontal="center"/>
    </xf>
    <xf numFmtId="2" fontId="28" fillId="48" borderId="102" xfId="57" applyNumberFormat="1" applyFont="1" applyFill="1" applyBorder="1" applyAlignment="1">
      <alignment horizontal="center"/>
    </xf>
    <xf numFmtId="175" fontId="28" fillId="47" borderId="100" xfId="57" applyNumberFormat="1" applyFont="1" applyFill="1" applyBorder="1" applyAlignment="1">
      <alignment horizontal="center"/>
    </xf>
    <xf numFmtId="175" fontId="28" fillId="47" borderId="102" xfId="57" applyNumberFormat="1" applyFont="1" applyFill="1" applyBorder="1" applyAlignment="1">
      <alignment horizontal="center"/>
    </xf>
    <xf numFmtId="2" fontId="28" fillId="46" borderId="11" xfId="57" applyNumberFormat="1" applyFont="1" applyFill="1" applyBorder="1" applyAlignment="1">
      <alignment horizontal="center"/>
    </xf>
    <xf numFmtId="2" fontId="28" fillId="48" borderId="101" xfId="57" applyNumberFormat="1" applyFont="1" applyFill="1" applyBorder="1" applyAlignment="1">
      <alignment horizontal="center"/>
    </xf>
    <xf numFmtId="4" fontId="28" fillId="48" borderId="101" xfId="57" applyNumberFormat="1" applyFont="1" applyFill="1" applyBorder="1" applyAlignment="1">
      <alignment horizontal="center"/>
    </xf>
    <xf numFmtId="4" fontId="28" fillId="48" borderId="11" xfId="57" applyNumberFormat="1" applyFont="1" applyFill="1" applyBorder="1" applyAlignment="1">
      <alignment horizontal="center"/>
    </xf>
    <xf numFmtId="2" fontId="28" fillId="48" borderId="11" xfId="57" applyNumberFormat="1" applyFont="1" applyFill="1" applyBorder="1" applyAlignment="1">
      <alignment horizontal="center"/>
    </xf>
    <xf numFmtId="2" fontId="28" fillId="48" borderId="50" xfId="57" applyNumberFormat="1" applyFont="1" applyFill="1" applyBorder="1" applyAlignment="1">
      <alignment horizontal="center"/>
    </xf>
    <xf numFmtId="10" fontId="28" fillId="48" borderId="10" xfId="57" applyNumberFormat="1" applyFont="1" applyFill="1" applyBorder="1" applyAlignment="1">
      <alignment horizontal="center"/>
    </xf>
    <xf numFmtId="10" fontId="28" fillId="48" borderId="11" xfId="57" applyNumberFormat="1" applyFont="1" applyFill="1" applyBorder="1" applyAlignment="1">
      <alignment horizontal="center"/>
    </xf>
    <xf numFmtId="175" fontId="28" fillId="48" borderId="100" xfId="57" applyNumberFormat="1" applyFont="1" applyFill="1" applyBorder="1" applyAlignment="1">
      <alignment horizontal="center"/>
    </xf>
    <xf numFmtId="175" fontId="28" fillId="48" borderId="102" xfId="57" applyNumberFormat="1" applyFont="1" applyFill="1" applyBorder="1" applyAlignment="1">
      <alignment horizontal="center"/>
    </xf>
    <xf numFmtId="4" fontId="28" fillId="49" borderId="50" xfId="57" applyNumberFormat="1" applyFont="1" applyFill="1" applyBorder="1" applyAlignment="1">
      <alignment horizontal="center"/>
    </xf>
    <xf numFmtId="4" fontId="28" fillId="49" borderId="101" xfId="57" applyNumberFormat="1" applyFont="1" applyFill="1" applyBorder="1" applyAlignment="1">
      <alignment horizontal="center"/>
    </xf>
    <xf numFmtId="175" fontId="28" fillId="49" borderId="100" xfId="57" applyNumberFormat="1" applyFont="1" applyFill="1" applyBorder="1" applyAlignment="1">
      <alignment horizontal="center"/>
    </xf>
    <xf numFmtId="175" fontId="28" fillId="49" borderId="102" xfId="57" applyNumberFormat="1" applyFont="1" applyFill="1" applyBorder="1" applyAlignment="1">
      <alignment horizontal="center"/>
    </xf>
    <xf numFmtId="2" fontId="28" fillId="40" borderId="50" xfId="57" applyNumberFormat="1" applyFont="1" applyFill="1" applyBorder="1" applyAlignment="1">
      <alignment horizontal="center"/>
    </xf>
    <xf numFmtId="10" fontId="28" fillId="40" borderId="10" xfId="57" applyNumberFormat="1" applyFont="1" applyFill="1" applyBorder="1" applyAlignment="1">
      <alignment horizontal="center"/>
    </xf>
    <xf numFmtId="10" fontId="28" fillId="40" borderId="11" xfId="57" applyNumberFormat="1" applyFont="1" applyFill="1" applyBorder="1" applyAlignment="1">
      <alignment horizontal="center"/>
    </xf>
    <xf numFmtId="10" fontId="28" fillId="44" borderId="26" xfId="57" applyNumberFormat="1" applyFont="1" applyFill="1" applyBorder="1" applyAlignment="1">
      <alignment horizontal="center"/>
    </xf>
    <xf numFmtId="10" fontId="28" fillId="44" borderId="22" xfId="57" applyNumberFormat="1" applyFont="1" applyFill="1" applyBorder="1" applyAlignment="1">
      <alignment horizontal="center"/>
    </xf>
    <xf numFmtId="2" fontId="28" fillId="44" borderId="26" xfId="57" applyNumberFormat="1" applyFont="1" applyFill="1" applyBorder="1" applyAlignment="1">
      <alignment horizontal="center"/>
    </xf>
    <xf numFmtId="2" fontId="28" fillId="44" borderId="22" xfId="57" applyNumberFormat="1" applyFont="1" applyFill="1" applyBorder="1" applyAlignment="1">
      <alignment horizontal="center"/>
    </xf>
    <xf numFmtId="4" fontId="28" fillId="44" borderId="26" xfId="57" applyNumberFormat="1" applyFont="1" applyFill="1" applyBorder="1" applyAlignment="1">
      <alignment horizontal="center"/>
    </xf>
    <xf numFmtId="4" fontId="28" fillId="44" borderId="22" xfId="57" applyNumberFormat="1" applyFont="1" applyFill="1" applyBorder="1" applyAlignment="1">
      <alignment horizontal="center"/>
    </xf>
    <xf numFmtId="4" fontId="28" fillId="44" borderId="99" xfId="57" applyNumberFormat="1" applyFont="1" applyFill="1" applyBorder="1" applyAlignment="1">
      <alignment horizontal="center"/>
    </xf>
    <xf numFmtId="10" fontId="28" fillId="44" borderId="79" xfId="57" applyNumberFormat="1" applyFont="1" applyFill="1" applyBorder="1" applyAlignment="1">
      <alignment horizontal="center"/>
    </xf>
    <xf numFmtId="2" fontId="28" fillId="44" borderId="99" xfId="57" applyNumberFormat="1" applyFont="1" applyFill="1" applyBorder="1" applyAlignment="1">
      <alignment horizontal="center"/>
    </xf>
    <xf numFmtId="10" fontId="28" fillId="44" borderId="58" xfId="57" applyNumberFormat="1" applyFont="1" applyFill="1" applyBorder="1" applyAlignment="1">
      <alignment horizontal="center"/>
    </xf>
    <xf numFmtId="10" fontId="28" fillId="44" borderId="23" xfId="57" applyNumberFormat="1" applyFont="1" applyFill="1" applyBorder="1" applyAlignment="1">
      <alignment horizontal="center"/>
    </xf>
    <xf numFmtId="175" fontId="28" fillId="44" borderId="26" xfId="57" applyNumberFormat="1" applyFont="1" applyFill="1" applyBorder="1" applyAlignment="1">
      <alignment horizontal="center"/>
    </xf>
    <xf numFmtId="175" fontId="28" fillId="44" borderId="22" xfId="57" applyNumberFormat="1" applyFont="1" applyFill="1" applyBorder="1" applyAlignment="1">
      <alignment horizontal="center"/>
    </xf>
    <xf numFmtId="0" fontId="28" fillId="27" borderId="36" xfId="57" applyFont="1" applyFill="1" applyBorder="1" applyAlignment="1">
      <alignment horizontal="center" vertical="center" wrapText="1"/>
    </xf>
    <xf numFmtId="0" fontId="28" fillId="27" borderId="54" xfId="57" applyFont="1" applyFill="1" applyBorder="1" applyAlignment="1">
      <alignment horizontal="center" vertical="center" wrapText="1"/>
    </xf>
    <xf numFmtId="0" fontId="28" fillId="27" borderId="35" xfId="57" applyFont="1" applyFill="1" applyBorder="1" applyAlignment="1">
      <alignment horizontal="center" vertical="center" wrapText="1"/>
    </xf>
    <xf numFmtId="0" fontId="45" fillId="0" borderId="48" xfId="57" applyBorder="1" applyAlignment="1">
      <alignment horizontal="center"/>
    </xf>
    <xf numFmtId="2" fontId="28" fillId="49" borderId="50" xfId="57" applyNumberFormat="1" applyFont="1" applyFill="1" applyBorder="1" applyAlignment="1">
      <alignment horizontal="center"/>
    </xf>
    <xf numFmtId="2" fontId="28" fillId="47" borderId="28" xfId="57" applyNumberFormat="1" applyFont="1" applyFill="1" applyBorder="1" applyAlignment="1">
      <alignment horizontal="center"/>
    </xf>
    <xf numFmtId="2" fontId="28" fillId="48" borderId="28" xfId="57" applyNumberFormat="1" applyFont="1" applyFill="1" applyBorder="1" applyAlignment="1">
      <alignment horizontal="center"/>
    </xf>
    <xf numFmtId="2" fontId="28" fillId="49" borderId="28" xfId="57" applyNumberFormat="1" applyFont="1" applyFill="1" applyBorder="1" applyAlignment="1">
      <alignment horizontal="center"/>
    </xf>
    <xf numFmtId="2" fontId="28" fillId="40" borderId="28" xfId="57" applyNumberFormat="1" applyFont="1" applyFill="1" applyBorder="1" applyAlignment="1">
      <alignment horizontal="center"/>
    </xf>
    <xf numFmtId="2" fontId="28" fillId="44" borderId="79" xfId="57" applyNumberFormat="1" applyFont="1" applyFill="1" applyBorder="1" applyAlignment="1">
      <alignment horizontal="center"/>
    </xf>
    <xf numFmtId="0" fontId="28" fillId="35" borderId="36" xfId="57" applyFont="1" applyFill="1" applyBorder="1" applyAlignment="1">
      <alignment horizontal="center" vertical="center" wrapText="1"/>
    </xf>
    <xf numFmtId="0" fontId="28" fillId="35" borderId="54" xfId="57" applyFont="1" applyFill="1" applyBorder="1" applyAlignment="1">
      <alignment horizontal="center" vertical="center" wrapText="1"/>
    </xf>
    <xf numFmtId="0" fontId="28" fillId="35" borderId="35" xfId="57" applyFont="1" applyFill="1" applyBorder="1" applyAlignment="1">
      <alignment horizontal="center" vertical="center" wrapText="1"/>
    </xf>
    <xf numFmtId="175" fontId="28" fillId="40" borderId="100" xfId="57" applyNumberFormat="1" applyFont="1" applyFill="1" applyBorder="1" applyAlignment="1">
      <alignment horizontal="center"/>
    </xf>
    <xf numFmtId="175" fontId="28" fillId="40" borderId="102" xfId="57" applyNumberFormat="1" applyFont="1" applyFill="1" applyBorder="1" applyAlignment="1">
      <alignment horizontal="center"/>
    </xf>
    <xf numFmtId="2" fontId="28" fillId="44" borderId="24" xfId="57" applyNumberFormat="1" applyFont="1" applyFill="1" applyBorder="1" applyAlignment="1">
      <alignment horizontal="center"/>
    </xf>
    <xf numFmtId="0" fontId="28" fillId="33" borderId="56" xfId="57" applyFont="1" applyFill="1" applyBorder="1" applyAlignment="1">
      <alignment horizontal="center" vertical="center" wrapText="1"/>
    </xf>
    <xf numFmtId="0" fontId="28" fillId="33" borderId="46" xfId="57" applyFont="1" applyFill="1" applyBorder="1" applyAlignment="1">
      <alignment horizontal="center" vertical="center" wrapText="1"/>
    </xf>
    <xf numFmtId="0" fontId="28" fillId="33" borderId="65" xfId="57" applyFont="1" applyFill="1" applyBorder="1" applyAlignment="1">
      <alignment horizontal="center" vertical="center" wrapText="1"/>
    </xf>
    <xf numFmtId="2" fontId="28" fillId="44" borderId="50" xfId="57" applyNumberFormat="1" applyFont="1" applyFill="1" applyBorder="1" applyAlignment="1">
      <alignment horizontal="center"/>
    </xf>
    <xf numFmtId="2" fontId="28" fillId="35" borderId="50" xfId="57" applyNumberFormat="1" applyFont="1" applyFill="1" applyBorder="1" applyAlignment="1">
      <alignment horizontal="center"/>
    </xf>
    <xf numFmtId="2" fontId="28" fillId="45" borderId="50" xfId="57" applyNumberFormat="1" applyFont="1" applyFill="1" applyBorder="1" applyAlignment="1">
      <alignment horizontal="center"/>
    </xf>
    <xf numFmtId="2" fontId="28" fillId="46" borderId="50" xfId="57" applyNumberFormat="1" applyFont="1" applyFill="1" applyBorder="1" applyAlignment="1">
      <alignment horizontal="center"/>
    </xf>
    <xf numFmtId="4" fontId="28" fillId="44" borderId="23" xfId="57" applyNumberFormat="1" applyFont="1" applyFill="1" applyBorder="1" applyAlignment="1">
      <alignment horizontal="center"/>
    </xf>
    <xf numFmtId="2" fontId="28" fillId="44" borderId="23" xfId="57" applyNumberFormat="1" applyFont="1" applyFill="1" applyBorder="1" applyAlignment="1">
      <alignment horizontal="center"/>
    </xf>
    <xf numFmtId="170" fontId="38" fillId="0" borderId="11" xfId="0" applyNumberFormat="1" applyFont="1" applyBorder="1" applyAlignment="1">
      <alignment horizontal="center" vertical="center" wrapText="1"/>
    </xf>
    <xf numFmtId="0" fontId="38" fillId="27" borderId="90" xfId="0" applyFont="1" applyFill="1" applyBorder="1" applyAlignment="1">
      <alignment horizontal="center" vertical="center" wrapText="1"/>
    </xf>
    <xf numFmtId="0" fontId="38" fillId="27" borderId="92" xfId="0" applyFont="1" applyFill="1" applyBorder="1" applyAlignment="1">
      <alignment horizontal="center" vertical="center" wrapText="1"/>
    </xf>
    <xf numFmtId="0" fontId="38" fillId="27" borderId="29" xfId="0" applyFont="1" applyFill="1" applyBorder="1" applyAlignment="1">
      <alignment horizontal="center" vertical="center" wrapText="1"/>
    </xf>
    <xf numFmtId="0" fontId="38" fillId="27" borderId="61" xfId="0" applyFont="1" applyFill="1" applyBorder="1" applyAlignment="1">
      <alignment horizontal="center" vertical="center" wrapText="1"/>
    </xf>
    <xf numFmtId="169" fontId="35" fillId="0" borderId="0" xfId="0" applyNumberFormat="1" applyFont="1" applyAlignment="1">
      <alignment horizontal="center" vertical="center"/>
    </xf>
    <xf numFmtId="168" fontId="38" fillId="0" borderId="11" xfId="0" applyNumberFormat="1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 wrapText="1"/>
    </xf>
    <xf numFmtId="0" fontId="38" fillId="0" borderId="72" xfId="0" applyFont="1" applyBorder="1" applyAlignment="1">
      <alignment horizontal="center" vertical="center" wrapText="1"/>
    </xf>
    <xf numFmtId="0" fontId="38" fillId="0" borderId="73" xfId="0" applyFont="1" applyBorder="1" applyAlignment="1">
      <alignment horizontal="center" vertical="center" wrapText="1"/>
    </xf>
    <xf numFmtId="0" fontId="38" fillId="0" borderId="74" xfId="0" applyFont="1" applyBorder="1" applyAlignment="1">
      <alignment horizontal="center" vertical="center" wrapText="1"/>
    </xf>
    <xf numFmtId="0" fontId="38" fillId="27" borderId="59" xfId="0" applyFont="1" applyFill="1" applyBorder="1" applyAlignment="1">
      <alignment horizontal="center" vertical="center" wrapText="1"/>
    </xf>
    <xf numFmtId="0" fontId="38" fillId="27" borderId="32" xfId="0" applyFont="1" applyFill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45" fillId="0" borderId="61" xfId="0" applyFont="1" applyBorder="1" applyAlignment="1">
      <alignment horizontal="center" vertical="center"/>
    </xf>
    <xf numFmtId="2" fontId="38" fillId="0" borderId="11" xfId="0" applyNumberFormat="1" applyFont="1" applyBorder="1" applyAlignment="1">
      <alignment horizontal="center" vertical="center" wrapText="1"/>
    </xf>
    <xf numFmtId="4" fontId="38" fillId="0" borderId="11" xfId="0" applyNumberFormat="1" applyFont="1" applyBorder="1" applyAlignment="1">
      <alignment horizontal="center" vertical="center" wrapText="1"/>
    </xf>
    <xf numFmtId="169" fontId="35" fillId="0" borderId="0" xfId="0" applyNumberFormat="1" applyFont="1" applyAlignment="1">
      <alignment horizontal="center" vertical="justify" wrapText="1"/>
    </xf>
    <xf numFmtId="0" fontId="40" fillId="4" borderId="14" xfId="0" applyFont="1" applyFill="1" applyBorder="1" applyAlignment="1">
      <alignment horizontal="center" vertical="center"/>
    </xf>
    <xf numFmtId="0" fontId="40" fillId="4" borderId="63" xfId="0" applyFont="1" applyFill="1" applyBorder="1" applyAlignment="1">
      <alignment horizontal="center" vertical="center"/>
    </xf>
    <xf numFmtId="0" fontId="40" fillId="4" borderId="17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 wrapText="1"/>
    </xf>
    <xf numFmtId="0" fontId="33" fillId="4" borderId="63" xfId="0" applyFont="1" applyFill="1" applyBorder="1" applyAlignment="1">
      <alignment horizontal="center" vertical="center" wrapText="1"/>
    </xf>
    <xf numFmtId="0" fontId="33" fillId="4" borderId="17" xfId="0" applyFont="1" applyFill="1" applyBorder="1" applyAlignment="1">
      <alignment horizontal="center" vertical="center" wrapText="1"/>
    </xf>
    <xf numFmtId="167" fontId="33" fillId="30" borderId="13" xfId="28" applyNumberFormat="1" applyFont="1" applyFill="1" applyBorder="1" applyAlignment="1" applyProtection="1">
      <alignment horizontal="center"/>
    </xf>
    <xf numFmtId="167" fontId="57" fillId="30" borderId="20" xfId="28" applyNumberFormat="1" applyFont="1" applyFill="1" applyBorder="1" applyAlignment="1" applyProtection="1">
      <alignment horizontal="center"/>
    </xf>
    <xf numFmtId="167" fontId="57" fillId="30" borderId="19" xfId="28" applyNumberFormat="1" applyFont="1" applyFill="1" applyBorder="1" applyAlignment="1" applyProtection="1">
      <alignment horizontal="center"/>
    </xf>
    <xf numFmtId="167" fontId="33" fillId="34" borderId="13" xfId="28" applyNumberFormat="1" applyFont="1" applyFill="1" applyBorder="1" applyAlignment="1" applyProtection="1">
      <alignment horizontal="center"/>
    </xf>
    <xf numFmtId="167" fontId="57" fillId="34" borderId="20" xfId="28" applyNumberFormat="1" applyFont="1" applyFill="1" applyBorder="1" applyAlignment="1" applyProtection="1">
      <alignment horizontal="center"/>
    </xf>
    <xf numFmtId="167" fontId="57" fillId="34" borderId="19" xfId="28" applyNumberFormat="1" applyFont="1" applyFill="1" applyBorder="1" applyAlignment="1" applyProtection="1">
      <alignment horizontal="center"/>
    </xf>
    <xf numFmtId="167" fontId="33" fillId="36" borderId="13" xfId="28" applyNumberFormat="1" applyFont="1" applyFill="1" applyBorder="1" applyAlignment="1" applyProtection="1">
      <alignment horizontal="center"/>
    </xf>
    <xf numFmtId="167" fontId="57" fillId="36" borderId="20" xfId="28" applyNumberFormat="1" applyFont="1" applyFill="1" applyBorder="1" applyAlignment="1" applyProtection="1">
      <alignment horizontal="center"/>
    </xf>
    <xf numFmtId="167" fontId="57" fillId="36" borderId="19" xfId="28" applyNumberFormat="1" applyFont="1" applyFill="1" applyBorder="1" applyAlignment="1" applyProtection="1">
      <alignment horizontal="center"/>
    </xf>
    <xf numFmtId="167" fontId="33" fillId="38" borderId="13" xfId="28" applyNumberFormat="1" applyFont="1" applyFill="1" applyBorder="1" applyAlignment="1" applyProtection="1">
      <alignment horizontal="center"/>
    </xf>
    <xf numFmtId="167" fontId="57" fillId="38" borderId="20" xfId="28" applyNumberFormat="1" applyFont="1" applyFill="1" applyBorder="1" applyAlignment="1" applyProtection="1">
      <alignment horizontal="center"/>
    </xf>
    <xf numFmtId="167" fontId="57" fillId="38" borderId="19" xfId="28" applyNumberFormat="1" applyFont="1" applyFill="1" applyBorder="1" applyAlignment="1" applyProtection="1">
      <alignment horizontal="center"/>
    </xf>
    <xf numFmtId="167" fontId="33" fillId="31" borderId="13" xfId="28" applyNumberFormat="1" applyFont="1" applyFill="1" applyBorder="1" applyAlignment="1" applyProtection="1">
      <alignment horizontal="center"/>
    </xf>
    <xf numFmtId="167" fontId="57" fillId="31" borderId="20" xfId="28" applyNumberFormat="1" applyFont="1" applyFill="1" applyBorder="1" applyAlignment="1" applyProtection="1">
      <alignment horizontal="center"/>
    </xf>
    <xf numFmtId="167" fontId="57" fillId="31" borderId="19" xfId="28" applyNumberFormat="1" applyFont="1" applyFill="1" applyBorder="1" applyAlignment="1" applyProtection="1">
      <alignment horizontal="center"/>
    </xf>
    <xf numFmtId="167" fontId="33" fillId="27" borderId="90" xfId="28" applyNumberFormat="1" applyFont="1" applyFill="1" applyBorder="1" applyAlignment="1" applyProtection="1">
      <alignment horizontal="center" vertical="center"/>
    </xf>
    <xf numFmtId="167" fontId="33" fillId="27" borderId="104" xfId="28" applyNumberFormat="1" applyFont="1" applyFill="1" applyBorder="1" applyAlignment="1" applyProtection="1">
      <alignment horizontal="center" vertical="center"/>
    </xf>
    <xf numFmtId="167" fontId="33" fillId="27" borderId="92" xfId="28" applyNumberFormat="1" applyFont="1" applyFill="1" applyBorder="1" applyAlignment="1" applyProtection="1">
      <alignment horizontal="center" vertical="center"/>
    </xf>
    <xf numFmtId="167" fontId="33" fillId="27" borderId="31" xfId="28" applyNumberFormat="1" applyFont="1" applyFill="1" applyBorder="1" applyAlignment="1" applyProtection="1">
      <alignment horizontal="center" vertical="center"/>
    </xf>
    <xf numFmtId="167" fontId="33" fillId="27" borderId="62" xfId="28" applyNumberFormat="1" applyFont="1" applyFill="1" applyBorder="1" applyAlignment="1" applyProtection="1">
      <alignment horizontal="center" vertical="center"/>
    </xf>
    <xf numFmtId="167" fontId="33" fillId="27" borderId="16" xfId="28" applyNumberFormat="1" applyFont="1" applyFill="1" applyBorder="1" applyAlignment="1" applyProtection="1">
      <alignment horizontal="center" vertical="center"/>
    </xf>
    <xf numFmtId="167" fontId="33" fillId="33" borderId="13" xfId="28" applyNumberFormat="1" applyFont="1" applyFill="1" applyBorder="1" applyAlignment="1" applyProtection="1">
      <alignment horizontal="center"/>
    </xf>
    <xf numFmtId="167" fontId="57" fillId="33" borderId="20" xfId="28" applyNumberFormat="1" applyFont="1" applyFill="1" applyBorder="1" applyAlignment="1" applyProtection="1">
      <alignment horizontal="center"/>
    </xf>
    <xf numFmtId="167" fontId="57" fillId="33" borderId="19" xfId="28" applyNumberFormat="1" applyFont="1" applyFill="1" applyBorder="1" applyAlignment="1" applyProtection="1">
      <alignment horizontal="center"/>
    </xf>
    <xf numFmtId="167" fontId="33" fillId="35" borderId="13" xfId="28" applyNumberFormat="1" applyFont="1" applyFill="1" applyBorder="1" applyAlignment="1" applyProtection="1">
      <alignment horizontal="center"/>
    </xf>
    <xf numFmtId="167" fontId="57" fillId="35" borderId="20" xfId="28" applyNumberFormat="1" applyFont="1" applyFill="1" applyBorder="1" applyAlignment="1" applyProtection="1">
      <alignment horizontal="center"/>
    </xf>
    <xf numFmtId="167" fontId="57" fillId="35" borderId="19" xfId="28" applyNumberFormat="1" applyFont="1" applyFill="1" applyBorder="1" applyAlignment="1" applyProtection="1">
      <alignment horizontal="center"/>
    </xf>
    <xf numFmtId="167" fontId="33" fillId="32" borderId="11" xfId="28" applyNumberFormat="1" applyFont="1" applyFill="1" applyBorder="1" applyAlignment="1" applyProtection="1">
      <alignment horizontal="center"/>
    </xf>
    <xf numFmtId="167" fontId="57" fillId="32" borderId="11" xfId="28" applyNumberFormat="1" applyFont="1" applyFill="1" applyBorder="1" applyAlignment="1" applyProtection="1">
      <alignment horizontal="center"/>
    </xf>
    <xf numFmtId="167" fontId="33" fillId="27" borderId="13" xfId="28" applyNumberFormat="1" applyFont="1" applyFill="1" applyBorder="1" applyAlignment="1" applyProtection="1">
      <alignment horizontal="center"/>
    </xf>
    <xf numFmtId="167" fontId="57" fillId="27" borderId="20" xfId="28" applyNumberFormat="1" applyFont="1" applyFill="1" applyBorder="1" applyAlignment="1" applyProtection="1">
      <alignment horizontal="center"/>
    </xf>
    <xf numFmtId="167" fontId="57" fillId="27" borderId="19" xfId="28" applyNumberFormat="1" applyFont="1" applyFill="1" applyBorder="1" applyAlignment="1" applyProtection="1">
      <alignment horizontal="center"/>
    </xf>
    <xf numFmtId="167" fontId="33" fillId="37" borderId="13" xfId="28" applyNumberFormat="1" applyFont="1" applyFill="1" applyBorder="1" applyAlignment="1" applyProtection="1">
      <alignment horizontal="center"/>
    </xf>
    <xf numFmtId="167" fontId="57" fillId="37" borderId="20" xfId="28" applyNumberFormat="1" applyFont="1" applyFill="1" applyBorder="1" applyAlignment="1" applyProtection="1">
      <alignment horizontal="center"/>
    </xf>
    <xf numFmtId="167" fontId="57" fillId="37" borderId="19" xfId="28" applyNumberFormat="1" applyFont="1" applyFill="1" applyBorder="1" applyAlignment="1" applyProtection="1">
      <alignment horizontal="center"/>
    </xf>
    <xf numFmtId="167" fontId="57" fillId="0" borderId="13" xfId="28" applyNumberFormat="1" applyFont="1" applyFill="1" applyBorder="1" applyAlignment="1" applyProtection="1">
      <alignment horizontal="center"/>
    </xf>
    <xf numFmtId="167" fontId="57" fillId="0" borderId="20" xfId="28" applyNumberFormat="1" applyFont="1" applyFill="1" applyBorder="1" applyAlignment="1" applyProtection="1">
      <alignment horizontal="center"/>
    </xf>
    <xf numFmtId="167" fontId="57" fillId="0" borderId="19" xfId="28" applyNumberFormat="1" applyFont="1" applyFill="1" applyBorder="1" applyAlignment="1" applyProtection="1">
      <alignment horizontal="center"/>
    </xf>
    <xf numFmtId="0" fontId="43" fillId="0" borderId="11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178" fontId="43" fillId="0" borderId="11" xfId="29" applyNumberFormat="1" applyFont="1" applyFill="1" applyBorder="1" applyAlignment="1">
      <alignment horizontal="center" vertical="center" wrapText="1"/>
    </xf>
    <xf numFmtId="178" fontId="43" fillId="0" borderId="14" xfId="29" applyNumberFormat="1" applyFont="1" applyFill="1" applyBorder="1" applyAlignment="1">
      <alignment horizontal="center" vertical="center" wrapText="1"/>
    </xf>
    <xf numFmtId="178" fontId="43" fillId="25" borderId="11" xfId="29" applyNumberFormat="1" applyFont="1" applyFill="1" applyBorder="1" applyAlignment="1">
      <alignment horizontal="center" vertical="center" wrapText="1"/>
    </xf>
    <xf numFmtId="178" fontId="43" fillId="25" borderId="14" xfId="29" applyNumberFormat="1" applyFont="1" applyFill="1" applyBorder="1" applyAlignment="1">
      <alignment horizontal="center" vertical="center" wrapText="1"/>
    </xf>
    <xf numFmtId="178" fontId="44" fillId="25" borderId="11" xfId="29" applyNumberFormat="1" applyFont="1" applyFill="1" applyBorder="1" applyAlignment="1">
      <alignment horizontal="center"/>
    </xf>
    <xf numFmtId="178" fontId="43" fillId="4" borderId="11" xfId="29" applyNumberFormat="1" applyFont="1" applyFill="1" applyBorder="1" applyAlignment="1">
      <alignment horizontal="center" vertical="center" wrapText="1"/>
    </xf>
    <xf numFmtId="178" fontId="43" fillId="4" borderId="14" xfId="29" applyNumberFormat="1" applyFont="1" applyFill="1" applyBorder="1" applyAlignment="1">
      <alignment horizontal="center" vertical="center" wrapText="1"/>
    </xf>
    <xf numFmtId="178" fontId="43" fillId="4" borderId="59" xfId="29" applyNumberFormat="1" applyFont="1" applyFill="1" applyBorder="1" applyAlignment="1">
      <alignment horizontal="center" vertical="center" wrapText="1"/>
    </xf>
    <xf numFmtId="178" fontId="43" fillId="4" borderId="32" xfId="29" applyNumberFormat="1" applyFont="1" applyFill="1" applyBorder="1" applyAlignment="1">
      <alignment horizontal="center" vertical="center" wrapText="1"/>
    </xf>
    <xf numFmtId="178" fontId="43" fillId="4" borderId="31" xfId="29" applyNumberFormat="1" applyFont="1" applyFill="1" applyBorder="1" applyAlignment="1">
      <alignment horizontal="center" vertical="center" wrapText="1"/>
    </xf>
    <xf numFmtId="178" fontId="43" fillId="4" borderId="16" xfId="29" applyNumberFormat="1" applyFont="1" applyFill="1" applyBorder="1" applyAlignment="1">
      <alignment horizontal="center" vertical="center" wrapText="1"/>
    </xf>
    <xf numFmtId="178" fontId="43" fillId="42" borderId="59" xfId="59" applyNumberFormat="1" applyFont="1" applyFill="1" applyBorder="1" applyAlignment="1">
      <alignment horizontal="center" vertical="center" wrapText="1"/>
    </xf>
    <xf numFmtId="178" fontId="43" fillId="42" borderId="32" xfId="59" applyNumberFormat="1" applyFont="1" applyFill="1" applyBorder="1" applyAlignment="1">
      <alignment horizontal="center" vertical="center" wrapText="1"/>
    </xf>
    <xf numFmtId="178" fontId="43" fillId="26" borderId="13" xfId="59" applyNumberFormat="1" applyFont="1" applyFill="1" applyBorder="1" applyAlignment="1">
      <alignment horizontal="center" vertical="center" wrapText="1"/>
    </xf>
    <xf numFmtId="178" fontId="43" fillId="26" borderId="19" xfId="59" applyNumberFormat="1" applyFont="1" applyFill="1" applyBorder="1" applyAlignment="1">
      <alignment horizontal="center" vertical="center" wrapText="1"/>
    </xf>
    <xf numFmtId="178" fontId="43" fillId="26" borderId="14" xfId="29" applyNumberFormat="1" applyFont="1" applyFill="1" applyBorder="1" applyAlignment="1">
      <alignment horizontal="center" vertical="center" wrapText="1"/>
    </xf>
    <xf numFmtId="178" fontId="43" fillId="26" borderId="63" xfId="29" applyNumberFormat="1" applyFont="1" applyFill="1" applyBorder="1" applyAlignment="1">
      <alignment horizontal="center" vertical="center" wrapText="1"/>
    </xf>
    <xf numFmtId="178" fontId="43" fillId="26" borderId="17" xfId="29" applyNumberFormat="1" applyFont="1" applyFill="1" applyBorder="1" applyAlignment="1">
      <alignment horizontal="center" vertical="center" wrapText="1"/>
    </xf>
    <xf numFmtId="178" fontId="43" fillId="0" borderId="13" xfId="29" applyNumberFormat="1" applyFont="1" applyFill="1" applyBorder="1" applyAlignment="1">
      <alignment horizontal="right"/>
    </xf>
    <xf numFmtId="178" fontId="43" fillId="0" borderId="19" xfId="29" applyNumberFormat="1" applyFont="1" applyFill="1" applyBorder="1" applyAlignment="1">
      <alignment horizontal="right"/>
    </xf>
    <xf numFmtId="0" fontId="43" fillId="0" borderId="63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52" fillId="22" borderId="11" xfId="0" applyFont="1" applyFill="1" applyBorder="1" applyAlignment="1">
      <alignment horizontal="center"/>
    </xf>
    <xf numFmtId="178" fontId="43" fillId="0" borderId="63" xfId="29" applyNumberFormat="1" applyFont="1" applyFill="1" applyBorder="1" applyAlignment="1">
      <alignment horizontal="center" vertical="center" wrapText="1"/>
    </xf>
    <xf numFmtId="178" fontId="43" fillId="0" borderId="17" xfId="29" applyNumberFormat="1" applyFont="1" applyFill="1" applyBorder="1" applyAlignment="1">
      <alignment horizontal="center" vertical="center" wrapText="1"/>
    </xf>
    <xf numFmtId="178" fontId="43" fillId="25" borderId="63" xfId="29" applyNumberFormat="1" applyFont="1" applyFill="1" applyBorder="1" applyAlignment="1">
      <alignment horizontal="center" vertical="center" wrapText="1"/>
    </xf>
    <xf numFmtId="166" fontId="43" fillId="25" borderId="14" xfId="52" applyNumberFormat="1" applyFont="1" applyFill="1" applyBorder="1" applyAlignment="1">
      <alignment horizontal="center" vertical="center" wrapText="1"/>
    </xf>
    <xf numFmtId="166" fontId="43" fillId="25" borderId="63" xfId="52" applyNumberFormat="1" applyFont="1" applyFill="1" applyBorder="1" applyAlignment="1">
      <alignment horizontal="center" vertical="center" wrapText="1"/>
    </xf>
    <xf numFmtId="178" fontId="43" fillId="42" borderId="88" xfId="59" applyNumberFormat="1" applyFont="1" applyFill="1" applyBorder="1" applyAlignment="1">
      <alignment horizontal="center" vertical="center" wrapText="1"/>
    </xf>
    <xf numFmtId="178" fontId="43" fillId="42" borderId="63" xfId="59" applyNumberFormat="1" applyFont="1" applyFill="1" applyBorder="1" applyAlignment="1">
      <alignment horizontal="center" vertical="center" wrapText="1"/>
    </xf>
    <xf numFmtId="178" fontId="43" fillId="42" borderId="17" xfId="59" applyNumberFormat="1" applyFont="1" applyFill="1" applyBorder="1" applyAlignment="1">
      <alignment horizontal="center" vertical="center" wrapText="1"/>
    </xf>
    <xf numFmtId="178" fontId="43" fillId="26" borderId="88" xfId="59" applyNumberFormat="1" applyFont="1" applyFill="1" applyBorder="1" applyAlignment="1">
      <alignment horizontal="center" vertical="center" wrapText="1"/>
    </xf>
    <xf numFmtId="178" fontId="43" fillId="26" borderId="63" xfId="59" applyNumberFormat="1" applyFont="1" applyFill="1" applyBorder="1" applyAlignment="1">
      <alignment horizontal="center" vertical="center" wrapText="1"/>
    </xf>
    <xf numFmtId="178" fontId="43" fillId="26" borderId="17" xfId="59" applyNumberFormat="1" applyFont="1" applyFill="1" applyBorder="1" applyAlignment="1">
      <alignment horizontal="center" vertical="center" wrapText="1"/>
    </xf>
    <xf numFmtId="0" fontId="43" fillId="0" borderId="88" xfId="0" applyFont="1" applyBorder="1" applyAlignment="1">
      <alignment horizontal="center" vertical="center" wrapText="1"/>
    </xf>
    <xf numFmtId="166" fontId="43" fillId="25" borderId="17" xfId="52" applyNumberFormat="1" applyFont="1" applyFill="1" applyBorder="1" applyAlignment="1">
      <alignment horizontal="center" vertical="center" wrapText="1"/>
    </xf>
    <xf numFmtId="177" fontId="43" fillId="0" borderId="59" xfId="0" applyNumberFormat="1" applyFont="1" applyBorder="1" applyAlignment="1">
      <alignment horizontal="center" vertical="center"/>
    </xf>
    <xf numFmtId="177" fontId="43" fillId="0" borderId="60" xfId="0" applyNumberFormat="1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177" fontId="43" fillId="0" borderId="31" xfId="0" applyNumberFormat="1" applyFont="1" applyBorder="1" applyAlignment="1">
      <alignment horizontal="center" vertical="center"/>
    </xf>
    <xf numFmtId="177" fontId="43" fillId="0" borderId="62" xfId="0" applyNumberFormat="1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164" fontId="43" fillId="0" borderId="14" xfId="29" applyFont="1" applyFill="1" applyBorder="1" applyAlignment="1">
      <alignment horizontal="center" vertical="center" wrapText="1"/>
    </xf>
    <xf numFmtId="164" fontId="43" fillId="0" borderId="63" xfId="29" applyFont="1" applyFill="1" applyBorder="1" applyAlignment="1">
      <alignment horizontal="center" vertical="center" wrapText="1"/>
    </xf>
    <xf numFmtId="178" fontId="43" fillId="22" borderId="14" xfId="29" applyNumberFormat="1" applyFont="1" applyFill="1" applyBorder="1" applyAlignment="1">
      <alignment horizontal="center" vertical="center" wrapText="1"/>
    </xf>
    <xf numFmtId="178" fontId="43" fillId="22" borderId="63" xfId="29" applyNumberFormat="1" applyFont="1" applyFill="1" applyBorder="1" applyAlignment="1">
      <alignment horizontal="center" vertical="center" wrapText="1"/>
    </xf>
    <xf numFmtId="178" fontId="43" fillId="22" borderId="17" xfId="29" applyNumberFormat="1" applyFont="1" applyFill="1" applyBorder="1" applyAlignment="1">
      <alignment horizontal="center" vertical="center" wrapText="1"/>
    </xf>
    <xf numFmtId="178" fontId="43" fillId="0" borderId="13" xfId="29" applyNumberFormat="1" applyFont="1" applyFill="1" applyBorder="1" applyAlignment="1">
      <alignment horizontal="center" vertical="center" wrapText="1"/>
    </xf>
    <xf numFmtId="178" fontId="43" fillId="0" borderId="20" xfId="29" applyNumberFormat="1" applyFont="1" applyFill="1" applyBorder="1" applyAlignment="1">
      <alignment horizontal="center" vertical="center" wrapText="1"/>
    </xf>
    <xf numFmtId="178" fontId="43" fillId="0" borderId="19" xfId="29" applyNumberFormat="1" applyFont="1" applyFill="1" applyBorder="1" applyAlignment="1">
      <alignment horizontal="center" vertical="center" wrapText="1"/>
    </xf>
    <xf numFmtId="164" fontId="43" fillId="0" borderId="59" xfId="29" applyFont="1" applyFill="1" applyBorder="1" applyAlignment="1">
      <alignment horizontal="center" vertical="center"/>
    </xf>
    <xf numFmtId="164" fontId="43" fillId="0" borderId="60" xfId="29" applyFont="1" applyFill="1" applyBorder="1" applyAlignment="1">
      <alignment horizontal="center" vertical="center"/>
    </xf>
    <xf numFmtId="164" fontId="43" fillId="0" borderId="32" xfId="29" applyFont="1" applyFill="1" applyBorder="1" applyAlignment="1">
      <alignment horizontal="center" vertical="center"/>
    </xf>
    <xf numFmtId="164" fontId="43" fillId="0" borderId="31" xfId="29" applyFont="1" applyFill="1" applyBorder="1" applyAlignment="1">
      <alignment horizontal="center" vertical="center"/>
    </xf>
    <xf numFmtId="164" fontId="43" fillId="0" borderId="62" xfId="29" applyFont="1" applyFill="1" applyBorder="1" applyAlignment="1">
      <alignment horizontal="center" vertical="center"/>
    </xf>
    <xf numFmtId="164" fontId="43" fillId="0" borderId="16" xfId="29" applyFont="1" applyFill="1" applyBorder="1" applyAlignment="1">
      <alignment horizontal="center" vertical="center"/>
    </xf>
    <xf numFmtId="0" fontId="28" fillId="0" borderId="82" xfId="0" applyFont="1" applyBorder="1" applyAlignment="1">
      <alignment horizontal="center" vertical="center" wrapText="1"/>
    </xf>
    <xf numFmtId="0" fontId="28" fillId="0" borderId="83" xfId="0" applyFont="1" applyBorder="1" applyAlignment="1">
      <alignment horizontal="center" vertical="center" wrapText="1"/>
    </xf>
    <xf numFmtId="0" fontId="28" fillId="0" borderId="84" xfId="0" applyFont="1" applyBorder="1" applyAlignment="1">
      <alignment horizontal="center" vertical="center" wrapText="1"/>
    </xf>
    <xf numFmtId="0" fontId="28" fillId="0" borderId="100" xfId="0" applyFont="1" applyBorder="1" applyAlignment="1">
      <alignment horizontal="center" vertical="center" wrapText="1"/>
    </xf>
    <xf numFmtId="0" fontId="28" fillId="0" borderId="103" xfId="0" applyFont="1" applyBorder="1" applyAlignment="1">
      <alignment horizontal="center" vertical="center" wrapText="1"/>
    </xf>
    <xf numFmtId="0" fontId="28" fillId="0" borderId="102" xfId="0" applyFont="1" applyBorder="1" applyAlignment="1">
      <alignment horizontal="center" vertical="center" wrapText="1"/>
    </xf>
    <xf numFmtId="0" fontId="28" fillId="0" borderId="85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85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2" fontId="28" fillId="0" borderId="13" xfId="28" applyNumberFormat="1" applyFont="1" applyBorder="1" applyAlignment="1">
      <alignment horizontal="center" vertical="center"/>
    </xf>
    <xf numFmtId="2" fontId="28" fillId="0" borderId="87" xfId="28" applyNumberFormat="1" applyFont="1" applyBorder="1" applyAlignment="1">
      <alignment horizontal="center" vertical="center"/>
    </xf>
    <xf numFmtId="2" fontId="28" fillId="0" borderId="11" xfId="28" applyNumberFormat="1" applyFont="1" applyBorder="1" applyAlignment="1">
      <alignment horizontal="center" vertical="center"/>
    </xf>
    <xf numFmtId="2" fontId="28" fillId="0" borderId="31" xfId="28" applyNumberFormat="1" applyFont="1" applyBorder="1" applyAlignment="1">
      <alignment horizontal="center" vertical="center"/>
    </xf>
    <xf numFmtId="2" fontId="28" fillId="0" borderId="62" xfId="28" applyNumberFormat="1" applyFont="1" applyBorder="1" applyAlignment="1">
      <alignment horizontal="center" vertical="center"/>
    </xf>
    <xf numFmtId="2" fontId="28" fillId="0" borderId="16" xfId="28" applyNumberFormat="1" applyFont="1" applyBorder="1" applyAlignment="1">
      <alignment horizontal="center" vertical="center"/>
    </xf>
    <xf numFmtId="2" fontId="28" fillId="0" borderId="31" xfId="28" quotePrefix="1" applyNumberFormat="1" applyFont="1" applyBorder="1" applyAlignment="1">
      <alignment horizontal="center" vertical="center"/>
    </xf>
    <xf numFmtId="2" fontId="0" fillId="0" borderId="11" xfId="28" applyNumberFormat="1" applyFont="1" applyBorder="1" applyAlignment="1">
      <alignment horizontal="center" vertical="center"/>
    </xf>
    <xf numFmtId="2" fontId="28" fillId="0" borderId="86" xfId="28" applyNumberFormat="1" applyFont="1" applyBorder="1" applyAlignment="1">
      <alignment horizontal="center" vertical="center"/>
    </xf>
    <xf numFmtId="0" fontId="56" fillId="0" borderId="79" xfId="41" applyFont="1" applyBorder="1" applyAlignment="1">
      <alignment horizontal="center"/>
    </xf>
    <xf numFmtId="0" fontId="56" fillId="0" borderId="80" xfId="41" applyFont="1" applyBorder="1" applyAlignment="1">
      <alignment horizontal="center"/>
    </xf>
    <xf numFmtId="0" fontId="56" fillId="0" borderId="22" xfId="41" applyFont="1" applyBorder="1" applyAlignment="1">
      <alignment horizontal="center"/>
    </xf>
    <xf numFmtId="0" fontId="56" fillId="0" borderId="55" xfId="41" applyFont="1" applyBorder="1" applyAlignment="1">
      <alignment horizontal="center" vertical="center"/>
    </xf>
    <xf numFmtId="0" fontId="56" fillId="0" borderId="63" xfId="41" applyFont="1" applyBorder="1" applyAlignment="1">
      <alignment horizontal="center" vertical="center"/>
    </xf>
    <xf numFmtId="0" fontId="56" fillId="0" borderId="30" xfId="41" applyFont="1" applyBorder="1" applyAlignment="1">
      <alignment horizontal="center" vertical="center"/>
    </xf>
    <xf numFmtId="0" fontId="56" fillId="11" borderId="55" xfId="41" applyFont="1" applyFill="1" applyBorder="1" applyAlignment="1">
      <alignment horizontal="center" vertical="center" wrapText="1"/>
    </xf>
    <xf numFmtId="0" fontId="56" fillId="11" borderId="63" xfId="41" applyFont="1" applyFill="1" applyBorder="1" applyAlignment="1">
      <alignment horizontal="center" vertical="center" wrapText="1"/>
    </xf>
    <xf numFmtId="0" fontId="56" fillId="11" borderId="30" xfId="41" applyFont="1" applyFill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56" fillId="0" borderId="45" xfId="41" applyFont="1" applyBorder="1" applyAlignment="1">
      <alignment horizontal="center" vertical="center"/>
    </xf>
    <xf numFmtId="0" fontId="56" fillId="0" borderId="81" xfId="41" applyFont="1" applyBorder="1" applyAlignment="1">
      <alignment horizontal="center" vertical="center"/>
    </xf>
    <xf numFmtId="0" fontId="56" fillId="0" borderId="47" xfId="41" applyFont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86" xfId="28" applyNumberFormat="1" applyFont="1" applyBorder="1" applyAlignment="1">
      <alignment horizontal="center"/>
    </xf>
    <xf numFmtId="2" fontId="0" fillId="0" borderId="87" xfId="28" applyNumberFormat="1" applyFont="1" applyBorder="1" applyAlignment="1">
      <alignment horizontal="center"/>
    </xf>
    <xf numFmtId="10" fontId="64" fillId="27" borderId="11" xfId="0" applyNumberFormat="1" applyFont="1" applyFill="1" applyBorder="1" applyAlignment="1">
      <alignment horizontal="center" vertical="center"/>
    </xf>
    <xf numFmtId="0" fontId="64" fillId="27" borderId="11" xfId="0" applyFont="1" applyFill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10" fontId="62" fillId="0" borderId="11" xfId="0" applyNumberFormat="1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59" fillId="0" borderId="88" xfId="0" applyFont="1" applyBorder="1" applyAlignment="1">
      <alignment horizontal="center" vertical="center"/>
    </xf>
    <xf numFmtId="0" fontId="59" fillId="0" borderId="63" xfId="0" applyFont="1" applyBorder="1" applyAlignment="1">
      <alignment horizontal="center" vertical="center"/>
    </xf>
    <xf numFmtId="10" fontId="63" fillId="0" borderId="11" xfId="0" applyNumberFormat="1" applyFont="1" applyBorder="1" applyAlignment="1">
      <alignment horizontal="center" vertical="center"/>
    </xf>
    <xf numFmtId="0" fontId="59" fillId="0" borderId="11" xfId="0" applyFont="1" applyBorder="1" applyAlignment="1">
      <alignment horizontal="left" vertical="center"/>
    </xf>
    <xf numFmtId="10" fontId="1" fillId="0" borderId="11" xfId="52" applyNumberFormat="1" applyFont="1" applyFill="1" applyBorder="1" applyAlignment="1">
      <alignment horizontal="center" vertical="center"/>
    </xf>
    <xf numFmtId="0" fontId="59" fillId="0" borderId="88" xfId="0" applyFont="1" applyBorder="1" applyAlignment="1">
      <alignment horizontal="left" vertical="center"/>
    </xf>
    <xf numFmtId="0" fontId="59" fillId="0" borderId="63" xfId="0" applyFont="1" applyBorder="1" applyAlignment="1">
      <alignment horizontal="left" vertical="center"/>
    </xf>
    <xf numFmtId="0" fontId="59" fillId="0" borderId="17" xfId="0" applyFont="1" applyBorder="1" applyAlignment="1">
      <alignment horizontal="left" vertical="center"/>
    </xf>
    <xf numFmtId="10" fontId="1" fillId="0" borderId="88" xfId="52" applyNumberFormat="1" applyFont="1" applyFill="1" applyBorder="1" applyAlignment="1">
      <alignment horizontal="center" vertical="center"/>
    </xf>
    <xf numFmtId="10" fontId="1" fillId="0" borderId="17" xfId="52" applyNumberFormat="1" applyFont="1" applyFill="1" applyBorder="1" applyAlignment="1">
      <alignment horizontal="center" vertical="center"/>
    </xf>
    <xf numFmtId="10" fontId="59" fillId="0" borderId="11" xfId="0" applyNumberFormat="1" applyFont="1" applyBorder="1" applyAlignment="1">
      <alignment horizontal="center" vertical="center"/>
    </xf>
    <xf numFmtId="10" fontId="1" fillId="0" borderId="63" xfId="52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/>
    </xf>
    <xf numFmtId="10" fontId="59" fillId="0" borderId="88" xfId="52" applyNumberFormat="1" applyFont="1" applyFill="1" applyBorder="1" applyAlignment="1">
      <alignment horizontal="center" vertical="center"/>
    </xf>
    <xf numFmtId="10" fontId="59" fillId="0" borderId="17" xfId="52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top" wrapText="1"/>
    </xf>
    <xf numFmtId="0" fontId="59" fillId="27" borderId="88" xfId="0" applyFont="1" applyFill="1" applyBorder="1" applyAlignment="1">
      <alignment horizontal="center" vertical="center" wrapText="1"/>
    </xf>
    <xf numFmtId="0" fontId="59" fillId="27" borderId="17" xfId="0" applyFont="1" applyFill="1" applyBorder="1" applyAlignment="1">
      <alignment horizontal="center" vertical="center" wrapText="1"/>
    </xf>
    <xf numFmtId="0" fontId="23" fillId="24" borderId="79" xfId="0" applyFont="1" applyFill="1" applyBorder="1" applyAlignment="1">
      <alignment horizontal="center"/>
    </xf>
    <xf numFmtId="0" fontId="23" fillId="24" borderId="22" xfId="0" applyFont="1" applyFill="1" applyBorder="1" applyAlignment="1">
      <alignment horizontal="center"/>
    </xf>
    <xf numFmtId="0" fontId="27" fillId="24" borderId="28" xfId="0" applyFont="1" applyFill="1" applyBorder="1" applyAlignment="1">
      <alignment horizontal="center"/>
    </xf>
    <xf numFmtId="0" fontId="27" fillId="24" borderId="19" xfId="0" applyFont="1" applyFill="1" applyBorder="1" applyAlignment="1">
      <alignment horizontal="center"/>
    </xf>
    <xf numFmtId="0" fontId="27" fillId="24" borderId="79" xfId="0" applyFont="1" applyFill="1" applyBorder="1" applyAlignment="1">
      <alignment horizontal="center"/>
    </xf>
    <xf numFmtId="0" fontId="27" fillId="24" borderId="22" xfId="0" applyFont="1" applyFill="1" applyBorder="1" applyAlignment="1">
      <alignment horizontal="center"/>
    </xf>
    <xf numFmtId="0" fontId="27" fillId="24" borderId="78" xfId="0" applyFont="1" applyFill="1" applyBorder="1" applyAlignment="1">
      <alignment horizontal="center"/>
    </xf>
    <xf numFmtId="0" fontId="27" fillId="24" borderId="77" xfId="0" applyFont="1" applyFill="1" applyBorder="1" applyAlignment="1">
      <alignment horizontal="center"/>
    </xf>
    <xf numFmtId="0" fontId="27" fillId="24" borderId="45" xfId="0" applyFont="1" applyFill="1" applyBorder="1" applyAlignment="1" applyProtection="1">
      <alignment horizontal="center" vertical="center" textRotation="180" wrapText="1"/>
      <protection locked="0"/>
    </xf>
    <xf numFmtId="0" fontId="45" fillId="0" borderId="81" xfId="0" applyFont="1" applyBorder="1" applyAlignment="1" applyProtection="1">
      <alignment horizontal="center" vertical="center" textRotation="180" wrapText="1"/>
      <protection locked="0"/>
    </xf>
    <xf numFmtId="0" fontId="45" fillId="0" borderId="47" xfId="0" applyFont="1" applyBorder="1" applyAlignment="1" applyProtection="1">
      <alignment horizontal="center" vertical="center" textRotation="180" wrapText="1"/>
      <protection locked="0"/>
    </xf>
    <xf numFmtId="0" fontId="27" fillId="24" borderId="43" xfId="0" applyFont="1" applyFill="1" applyBorder="1" applyAlignment="1" applyProtection="1">
      <alignment horizontal="center" vertical="center" wrapText="1"/>
      <protection locked="0"/>
    </xf>
    <xf numFmtId="0" fontId="0" fillId="0" borderId="44" xfId="0" applyBorder="1" applyAlignment="1" applyProtection="1">
      <alignment horizontal="center" vertical="center" wrapText="1"/>
      <protection locked="0"/>
    </xf>
    <xf numFmtId="0" fontId="0" fillId="0" borderId="38" xfId="0" applyBorder="1" applyAlignment="1" applyProtection="1">
      <alignment horizontal="center" vertical="center" wrapText="1"/>
      <protection locked="0"/>
    </xf>
    <xf numFmtId="0" fontId="0" fillId="0" borderId="81" xfId="0" applyBorder="1" applyAlignment="1" applyProtection="1">
      <alignment horizontal="center" vertical="center" textRotation="180" wrapText="1"/>
      <protection locked="0"/>
    </xf>
    <xf numFmtId="0" fontId="0" fillId="0" borderId="47" xfId="0" applyBorder="1" applyAlignment="1" applyProtection="1">
      <alignment horizontal="center" vertical="center" textRotation="180" wrapText="1"/>
      <protection locked="0"/>
    </xf>
    <xf numFmtId="0" fontId="27" fillId="24" borderId="70" xfId="0" applyFont="1" applyFill="1" applyBorder="1" applyAlignment="1">
      <alignment horizontal="center"/>
    </xf>
    <xf numFmtId="0" fontId="27" fillId="24" borderId="71" xfId="0" applyFont="1" applyFill="1" applyBorder="1" applyAlignment="1">
      <alignment horizontal="center"/>
    </xf>
    <xf numFmtId="0" fontId="27" fillId="24" borderId="36" xfId="0" applyFont="1" applyFill="1" applyBorder="1" applyAlignment="1">
      <alignment horizontal="center"/>
    </xf>
    <xf numFmtId="0" fontId="27" fillId="24" borderId="34" xfId="0" applyFont="1" applyFill="1" applyBorder="1" applyAlignment="1">
      <alignment horizontal="center"/>
    </xf>
    <xf numFmtId="0" fontId="46" fillId="24" borderId="28" xfId="0" applyFont="1" applyFill="1" applyBorder="1" applyAlignment="1">
      <alignment horizontal="center"/>
    </xf>
    <xf numFmtId="0" fontId="27" fillId="24" borderId="44" xfId="0" applyFont="1" applyFill="1" applyBorder="1" applyAlignment="1" applyProtection="1">
      <alignment horizontal="center" vertical="center" wrapText="1"/>
      <protection locked="0"/>
    </xf>
    <xf numFmtId="0" fontId="27" fillId="24" borderId="38" xfId="0" applyFont="1" applyFill="1" applyBorder="1" applyAlignment="1" applyProtection="1">
      <alignment horizontal="center" vertical="center" wrapText="1"/>
      <protection locked="0"/>
    </xf>
    <xf numFmtId="2" fontId="0" fillId="0" borderId="100" xfId="28" applyNumberFormat="1" applyFont="1" applyBorder="1" applyAlignment="1">
      <alignment horizontal="center"/>
    </xf>
    <xf numFmtId="2" fontId="0" fillId="0" borderId="103" xfId="28" applyNumberFormat="1" applyFont="1" applyBorder="1" applyAlignment="1">
      <alignment horizontal="center"/>
    </xf>
    <xf numFmtId="2" fontId="0" fillId="0" borderId="102" xfId="28" applyNumberFormat="1" applyFont="1" applyBorder="1" applyAlignment="1">
      <alignment horizontal="center"/>
    </xf>
  </cellXfs>
  <cellStyles count="6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9"/>
    <cellStyle name="Comma 2" xfId="60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7"/>
    <cellStyle name="Normal 5" xfId="61"/>
    <cellStyle name="Normal_April_3" xfId="43"/>
    <cellStyle name="Normal_DES 11_1" xfId="58"/>
    <cellStyle name="Normal_Juli_37" xfId="44"/>
    <cellStyle name="Normal_Juli_9" xfId="45"/>
    <cellStyle name="Normal_Juni" xfId="46"/>
    <cellStyle name="Normal_Juni_4" xfId="47"/>
    <cellStyle name="Normal_Mar_18" xfId="48"/>
    <cellStyle name="Normal_Mar_6" xfId="49"/>
    <cellStyle name="Note" xfId="50" builtinId="10" customBuiltin="1"/>
    <cellStyle name="Output" xfId="51" builtinId="21" customBuiltin="1"/>
    <cellStyle name="Percent" xfId="52" builtinId="5"/>
    <cellStyle name="Percent 2" xfId="62"/>
    <cellStyle name="Percent_Okt_6" xfId="53"/>
    <cellStyle name="Title" xfId="54" builtinId="15" customBuiltin="1"/>
    <cellStyle name="Total" xfId="55" builtinId="25" customBuiltin="1"/>
    <cellStyle name="Warning Text" xfId="56" builtinId="11" customBuiltin="1"/>
  </cellStyles>
  <dxfs count="3345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</dxfs>
  <tableStyles count="0" defaultTableStyle="TableStyleMedium9" defaultPivotStyle="PivotStyleLight16"/>
  <colors>
    <mruColors>
      <color rgb="FFEAA0C1"/>
      <color rgb="FFFABF8F"/>
      <color rgb="FF9BBB59"/>
      <color rgb="FF8C91FE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4.xml"/><Relationship Id="rId50" Type="http://schemas.openxmlformats.org/officeDocument/2006/relationships/externalLink" Target="externalLinks/externalLink7.xml"/><Relationship Id="rId55" Type="http://schemas.openxmlformats.org/officeDocument/2006/relationships/externalLink" Target="externalLinks/externalLink12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1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3" Type="http://schemas.openxmlformats.org/officeDocument/2006/relationships/externalLink" Target="externalLinks/externalLink10.xml"/><Relationship Id="rId58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6.xml"/><Relationship Id="rId57" Type="http://schemas.openxmlformats.org/officeDocument/2006/relationships/externalLink" Target="externalLinks/externalLink14.xml"/><Relationship Id="rId61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52" Type="http://schemas.openxmlformats.org/officeDocument/2006/relationships/externalLink" Target="externalLinks/externalLink9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5.xml"/><Relationship Id="rId56" Type="http://schemas.openxmlformats.org/officeDocument/2006/relationships/externalLink" Target="externalLinks/externalLink1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3.xml"/><Relationship Id="rId59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Report1!$A$9:$A$39</c:f>
              <c:numCache>
                <c:formatCode>d\-mmm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17.940999999999999</c:v>
                </c:pt>
                <c:pt idx="1">
                  <c:v>55.192</c:v>
                </c:pt>
                <c:pt idx="2">
                  <c:v>84.813000000000002</c:v>
                </c:pt>
                <c:pt idx="3">
                  <c:v>60.372999999999998</c:v>
                </c:pt>
                <c:pt idx="4">
                  <c:v>70.710999999999999</c:v>
                </c:pt>
                <c:pt idx="5">
                  <c:v>63.195</c:v>
                </c:pt>
                <c:pt idx="6">
                  <c:v>57.293999999999997</c:v>
                </c:pt>
                <c:pt idx="7">
                  <c:v>61.23</c:v>
                </c:pt>
                <c:pt idx="8">
                  <c:v>56.420999999999999</c:v>
                </c:pt>
                <c:pt idx="9">
                  <c:v>48.959000000000003</c:v>
                </c:pt>
                <c:pt idx="10">
                  <c:v>49.890999999999998</c:v>
                </c:pt>
                <c:pt idx="11">
                  <c:v>48.902999999999999</c:v>
                </c:pt>
                <c:pt idx="12">
                  <c:v>55.070999999999998</c:v>
                </c:pt>
                <c:pt idx="13">
                  <c:v>60.683</c:v>
                </c:pt>
                <c:pt idx="14">
                  <c:v>55.631</c:v>
                </c:pt>
                <c:pt idx="15">
                  <c:v>45.04</c:v>
                </c:pt>
                <c:pt idx="16">
                  <c:v>59.747</c:v>
                </c:pt>
                <c:pt idx="17">
                  <c:v>54.112000000000002</c:v>
                </c:pt>
                <c:pt idx="18">
                  <c:v>53.927</c:v>
                </c:pt>
                <c:pt idx="19">
                  <c:v>55.262999999999998</c:v>
                </c:pt>
                <c:pt idx="20">
                  <c:v>40.225999999999999</c:v>
                </c:pt>
                <c:pt idx="21">
                  <c:v>52.610999999999997</c:v>
                </c:pt>
                <c:pt idx="22">
                  <c:v>53.991999999999997</c:v>
                </c:pt>
                <c:pt idx="23">
                  <c:v>29.25</c:v>
                </c:pt>
                <c:pt idx="24">
                  <c:v>45.805</c:v>
                </c:pt>
                <c:pt idx="25">
                  <c:v>43.750999999999998</c:v>
                </c:pt>
                <c:pt idx="26">
                  <c:v>51.003999999999998</c:v>
                </c:pt>
                <c:pt idx="27">
                  <c:v>48.39</c:v>
                </c:pt>
                <c:pt idx="28">
                  <c:v>61.749000000000002</c:v>
                </c:pt>
                <c:pt idx="29">
                  <c:v>53.747</c:v>
                </c:pt>
                <c:pt idx="30">
                  <c:v>60.962000000000003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C6D-4B8B-91BF-BF47FD5D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688064"/>
        <c:axId val="465689600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FC6D-4B8B-91BF-BF47FD5D2F2B}"/>
              </c:ext>
            </c:extLst>
          </c:dPt>
          <c:cat>
            <c:numRef>
              <c:f>Report1!$A$9</c:f>
              <c:numCache>
                <c:formatCode>d\-mmm</c:formatCode>
                <c:ptCount val="1"/>
                <c:pt idx="0">
                  <c:v>45931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0.27966993876808283</c:v>
                </c:pt>
                <c:pt idx="1">
                  <c:v>0.7590810231266012</c:v>
                </c:pt>
                <c:pt idx="2">
                  <c:v>1.0496100485747695</c:v>
                </c:pt>
                <c:pt idx="3">
                  <c:v>0.76859271805135254</c:v>
                </c:pt>
                <c:pt idx="4">
                  <c:v>0.89031629590950334</c:v>
                </c:pt>
                <c:pt idx="5">
                  <c:v>0.82304458553932547</c:v>
                </c:pt>
                <c:pt idx="6">
                  <c:v>0.851429032019965</c:v>
                </c:pt>
                <c:pt idx="7">
                  <c:v>0.9794899319376873</c:v>
                </c:pt>
                <c:pt idx="8">
                  <c:v>0.94994401801247519</c:v>
                </c:pt>
                <c:pt idx="9">
                  <c:v>0.80516096591570174</c:v>
                </c:pt>
                <c:pt idx="10">
                  <c:v>0.89387041756401464</c:v>
                </c:pt>
                <c:pt idx="11">
                  <c:v>0.80351983008855832</c:v>
                </c:pt>
                <c:pt idx="12">
                  <c:v>0.92987400806071141</c:v>
                </c:pt>
                <c:pt idx="13">
                  <c:v>1.0189127140142467</c:v>
                </c:pt>
                <c:pt idx="14">
                  <c:v>0.9112013660383923</c:v>
                </c:pt>
                <c:pt idx="15">
                  <c:v>0.74194393845244266</c:v>
                </c:pt>
                <c:pt idx="16">
                  <c:v>0.93396511391766379</c:v>
                </c:pt>
                <c:pt idx="17">
                  <c:v>0.87887573724610002</c:v>
                </c:pt>
                <c:pt idx="18">
                  <c:v>0.88803708994347652</c:v>
                </c:pt>
                <c:pt idx="19">
                  <c:v>0.91003752668508053</c:v>
                </c:pt>
                <c:pt idx="20">
                  <c:v>0.74059237433392344</c:v>
                </c:pt>
                <c:pt idx="21">
                  <c:v>0.95425820406309725</c:v>
                </c:pt>
                <c:pt idx="22">
                  <c:v>0.9626202669149595</c:v>
                </c:pt>
                <c:pt idx="23">
                  <c:v>0.49253600332099595</c:v>
                </c:pt>
                <c:pt idx="24">
                  <c:v>0.67129498069958682</c:v>
                </c:pt>
                <c:pt idx="25">
                  <c:v>0.66534898440076218</c:v>
                </c:pt>
                <c:pt idx="26">
                  <c:v>0.72930116213233642</c:v>
                </c:pt>
                <c:pt idx="27">
                  <c:v>0.7313933022456568</c:v>
                </c:pt>
                <c:pt idx="28">
                  <c:v>0.94014828377734716</c:v>
                </c:pt>
                <c:pt idx="29">
                  <c:v>0.70458464433047752</c:v>
                </c:pt>
                <c:pt idx="30">
                  <c:v>0.79466554557845026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C6D-4B8B-91BF-BF47FD5D2F2B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Report1!$A$9</c:f>
              <c:numCache>
                <c:formatCode>d\-mmm</c:formatCode>
                <c:ptCount val="1"/>
                <c:pt idx="0">
                  <c:v>45931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0.27966993876808283</c:v>
                </c:pt>
                <c:pt idx="1">
                  <c:v>0.53436518019394696</c:v>
                </c:pt>
                <c:pt idx="2">
                  <c:v>0.72564173557081124</c:v>
                </c:pt>
                <c:pt idx="3">
                  <c:v>0.73703148317544442</c:v>
                </c:pt>
                <c:pt idx="4">
                  <c:v>0.7694411269134559</c:v>
                </c:pt>
                <c:pt idx="5">
                  <c:v>0.77853841689111136</c:v>
                </c:pt>
                <c:pt idx="6">
                  <c:v>0.78797622982582805</c:v>
                </c:pt>
                <c:pt idx="7">
                  <c:v>0.80853871239552189</c:v>
                </c:pt>
                <c:pt idx="8">
                  <c:v>0.82162852082026039</c:v>
                </c:pt>
                <c:pt idx="9">
                  <c:v>0.82020297706668377</c:v>
                </c:pt>
                <c:pt idx="10">
                  <c:v>0.8256257101164387</c:v>
                </c:pt>
                <c:pt idx="11">
                  <c:v>0.82398318947921234</c:v>
                </c:pt>
                <c:pt idx="12">
                  <c:v>0.83112327334542857</c:v>
                </c:pt>
                <c:pt idx="13">
                  <c:v>0.84304816694164642</c:v>
                </c:pt>
                <c:pt idx="14">
                  <c:v>0.84721353314679637</c:v>
                </c:pt>
                <c:pt idx="15">
                  <c:v>0.84118275561384037</c:v>
                </c:pt>
                <c:pt idx="16">
                  <c:v>0.84646521385609053</c:v>
                </c:pt>
                <c:pt idx="17">
                  <c:v>0.8481489295855662</c:v>
                </c:pt>
                <c:pt idx="18">
                  <c:v>0.85009310185886</c:v>
                </c:pt>
                <c:pt idx="19">
                  <c:v>0.85287903994443404</c:v>
                </c:pt>
                <c:pt idx="20">
                  <c:v>0.8483976262268661</c:v>
                </c:pt>
                <c:pt idx="21">
                  <c:v>0.85251914800085171</c:v>
                </c:pt>
                <c:pt idx="22">
                  <c:v>0.85671392674254199</c:v>
                </c:pt>
                <c:pt idx="23">
                  <c:v>0.8425928011410283</c:v>
                </c:pt>
                <c:pt idx="24">
                  <c:v>0.83528664300508237</c:v>
                </c:pt>
                <c:pt idx="25">
                  <c:v>0.82857742267349421</c:v>
                </c:pt>
                <c:pt idx="26">
                  <c:v>0.82457683940231963</c:v>
                </c:pt>
                <c:pt idx="27">
                  <c:v>0.8211548736172527</c:v>
                </c:pt>
                <c:pt idx="28">
                  <c:v>0.82534027937267795</c:v>
                </c:pt>
                <c:pt idx="29">
                  <c:v>0.82060090513527884</c:v>
                </c:pt>
                <c:pt idx="30">
                  <c:v>0.81961610597326295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C6D-4B8B-91BF-BF47FD5D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770752"/>
        <c:axId val="465769216"/>
      </c:lineChart>
      <c:dateAx>
        <c:axId val="46568806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crossAx val="465689600"/>
        <c:crosses val="autoZero"/>
        <c:auto val="1"/>
        <c:lblOffset val="100"/>
        <c:baseTimeUnit val="days"/>
      </c:dateAx>
      <c:valAx>
        <c:axId val="465689600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465688064"/>
        <c:crosses val="autoZero"/>
        <c:crossBetween val="between"/>
      </c:valAx>
      <c:valAx>
        <c:axId val="4657692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465770752"/>
        <c:crosses val="max"/>
        <c:crossBetween val="between"/>
      </c:valAx>
      <c:dateAx>
        <c:axId val="465770752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one"/>
        <c:crossAx val="465769216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504824</xdr:colOff>
      <xdr:row>25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2%20OKTOBER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4%20OKTO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1.%20JANUARI\DAILY%20REPORT%20PM%2014%20JANUARI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5%20OKTOBE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6%20OKTOBE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7%20OKTOBER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9.%20SEPTEMBER\DAILY%20REPORT%20PM%2011%20SEPTEMBER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8.%20AGUSTUS\DAILY%20REPORT%20PM%2011%20AGUSTUS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7.%20JULI\DAILY%20REPORT%20PM%2011%20JULI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6.%20JUNI\DAILY%20REPORT%20PM%2011%20JUNI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5.%20MEI\DAILY%20REPORT%20PM%2011%20MEI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4.%20APRIL\DAILY%20REPORT%20PM%2011%20APRIL%20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3.%20MARET\DAILY%20REPORT%20PM%2011%20MARET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2.%20FEBRUARI\DAILY%20REPORT%20PM%2011%20FEBRUARI%20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1.%20JANUARI\DAILY%20REPORT%20PM%2011%20JANUARI%2020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</v>
          </cell>
          <cell r="K9">
            <v>0</v>
          </cell>
          <cell r="R9">
            <v>0</v>
          </cell>
          <cell r="S9">
            <v>0</v>
          </cell>
          <cell r="AL9">
            <v>0</v>
          </cell>
          <cell r="AM9">
            <v>0</v>
          </cell>
          <cell r="AR9">
            <v>0</v>
          </cell>
          <cell r="AS9">
            <v>0</v>
          </cell>
          <cell r="AX9">
            <v>0</v>
          </cell>
          <cell r="AY9">
            <v>0</v>
          </cell>
          <cell r="BD9">
            <v>0</v>
          </cell>
          <cell r="BE9">
            <v>0</v>
          </cell>
          <cell r="BJ9" t="e">
            <v>#DIV/0!</v>
          </cell>
          <cell r="BK9" t="e">
            <v>#DIV/0!</v>
          </cell>
        </row>
        <row r="10">
          <cell r="J10">
            <v>0.63705351537759047</v>
          </cell>
          <cell r="K10">
            <v>0.28260253000851043</v>
          </cell>
          <cell r="R10">
            <v>35.399000000000001</v>
          </cell>
          <cell r="S10">
            <v>35.399000000000001</v>
          </cell>
          <cell r="AL10">
            <v>4.1513602079154772</v>
          </cell>
          <cell r="AM10">
            <v>4.2126331252295257</v>
          </cell>
          <cell r="AR10">
            <v>0.42939066075312859</v>
          </cell>
          <cell r="AS10">
            <v>0.42939066075312859</v>
          </cell>
          <cell r="AX10">
            <v>942.90714426963234</v>
          </cell>
          <cell r="AY10">
            <v>1207.4414531483785</v>
          </cell>
          <cell r="BD10">
            <v>981.29890674877822</v>
          </cell>
          <cell r="BE10">
            <v>1224.526116556965</v>
          </cell>
          <cell r="BJ10">
            <v>0.76446421845310863</v>
          </cell>
          <cell r="BK10">
            <v>0.76446421845310863</v>
          </cell>
        </row>
        <row r="11">
          <cell r="J11">
            <v>0.89617873934365733</v>
          </cell>
          <cell r="K11">
            <v>0.47947610364694826</v>
          </cell>
          <cell r="R11">
            <v>53.036000000000001</v>
          </cell>
          <cell r="S11">
            <v>88.435000000000002</v>
          </cell>
          <cell r="AL11">
            <v>2.5553963345652009</v>
          </cell>
          <cell r="AM11">
            <v>3.2187595409057494</v>
          </cell>
          <cell r="AR11">
            <v>0.19043668451617768</v>
          </cell>
          <cell r="AS11">
            <v>0.28608582574772429</v>
          </cell>
          <cell r="AX11">
            <v>680.19326495210532</v>
          </cell>
          <cell r="AY11">
            <v>891.24158986825705</v>
          </cell>
          <cell r="BD11">
            <v>513.56060034693417</v>
          </cell>
          <cell r="BE11">
            <v>798.14779216373597</v>
          </cell>
          <cell r="BJ11">
            <v>0.89617873934365733</v>
          </cell>
          <cell r="BK11">
            <v>0.83835934762910425</v>
          </cell>
        </row>
        <row r="12">
          <cell r="J12">
            <v>0.55182441112425584</v>
          </cell>
          <cell r="K12">
            <v>0.49705655581465241</v>
          </cell>
          <cell r="R12">
            <v>32.670999999999999</v>
          </cell>
          <cell r="S12">
            <v>121.10599999999999</v>
          </cell>
          <cell r="AL12">
            <v>3.7707753053166417</v>
          </cell>
          <cell r="AM12">
            <v>3.3676779020032037</v>
          </cell>
          <cell r="AR12">
            <v>0.2571087508799853</v>
          </cell>
          <cell r="AS12">
            <v>0.27826862418046999</v>
          </cell>
          <cell r="AX12">
            <v>906.68666401397093</v>
          </cell>
          <cell r="AY12">
            <v>895.40823741185216</v>
          </cell>
          <cell r="BD12">
            <v>688.39337638884638</v>
          </cell>
          <cell r="BE12">
            <v>768.53913100919863</v>
          </cell>
          <cell r="BJ12">
            <v>0.55182441112425584</v>
          </cell>
          <cell r="BK12">
            <v>0.73535189296905434</v>
          </cell>
        </row>
        <row r="13">
          <cell r="J13">
            <v>0.7189052644259194</v>
          </cell>
          <cell r="K13">
            <v>0.54222786384390609</v>
          </cell>
          <cell r="R13">
            <v>44.783000000000001</v>
          </cell>
          <cell r="S13">
            <v>165.88900000000001</v>
          </cell>
          <cell r="AL13">
            <v>2.7971105106848579</v>
          </cell>
          <cell r="AM13">
            <v>3.2136488857006786</v>
          </cell>
          <cell r="AR13">
            <v>0.23669696090034165</v>
          </cell>
          <cell r="AS13">
            <v>0.26704603680774491</v>
          </cell>
          <cell r="AX13">
            <v>701.3625706183152</v>
          </cell>
          <cell r="AY13">
            <v>843.02413059334708</v>
          </cell>
          <cell r="BD13">
            <v>578.13545318536069</v>
          </cell>
          <cell r="BE13">
            <v>717.13820687327063</v>
          </cell>
          <cell r="BJ13">
            <v>0.7189052644259194</v>
          </cell>
          <cell r="BK13">
            <v>0.73083830288620588</v>
          </cell>
        </row>
        <row r="14">
          <cell r="J14">
            <v>0.92244267783725575</v>
          </cell>
          <cell r="K14">
            <v>0.60950088604074548</v>
          </cell>
          <cell r="R14">
            <v>60.667000000000002</v>
          </cell>
          <cell r="S14">
            <v>226.55600000000001</v>
          </cell>
          <cell r="AL14">
            <v>2.2418118581766033</v>
          </cell>
          <cell r="AM14">
            <v>2.9534110771729725</v>
          </cell>
          <cell r="AR14">
            <v>0.16977928692699493</v>
          </cell>
          <cell r="AS14">
            <v>0.24100001765567891</v>
          </cell>
          <cell r="AX14">
            <v>594.68261163399814</v>
          </cell>
          <cell r="AY14">
            <v>776.52342025812391</v>
          </cell>
          <cell r="BD14">
            <v>432.94377503420304</v>
          </cell>
          <cell r="BE14">
            <v>641.03682974628782</v>
          </cell>
          <cell r="BJ14">
            <v>0.92244267783725575</v>
          </cell>
          <cell r="BK14">
            <v>0.77388285672509383</v>
          </cell>
        </row>
        <row r="15">
          <cell r="J15">
            <v>1.0472504372215941</v>
          </cell>
          <cell r="K15">
            <v>0.67572564579765559</v>
          </cell>
          <cell r="R15">
            <v>69.388000000000005</v>
          </cell>
          <cell r="S15">
            <v>295.94400000000002</v>
          </cell>
          <cell r="AL15">
            <v>1.7545252781460769</v>
          </cell>
          <cell r="AM15">
            <v>2.6723163841807906</v>
          </cell>
          <cell r="AR15">
            <v>0.18879345131723063</v>
          </cell>
          <cell r="AS15">
            <v>0.22875949503960202</v>
          </cell>
          <cell r="AX15">
            <v>518.71000749409768</v>
          </cell>
          <cell r="AY15">
            <v>716.07564268915735</v>
          </cell>
          <cell r="BD15">
            <v>502.37216809823025</v>
          </cell>
          <cell r="BE15">
            <v>608.52505879490718</v>
          </cell>
          <cell r="BJ15">
            <v>1.0472504372215941</v>
          </cell>
          <cell r="BK15">
            <v>0.82433443180859289</v>
          </cell>
        </row>
        <row r="16">
          <cell r="J16">
            <v>0.94454587196052375</v>
          </cell>
          <cell r="K16">
            <v>0.71156212654994078</v>
          </cell>
          <cell r="R16">
            <v>63.63</v>
          </cell>
          <cell r="S16">
            <v>359.57400000000001</v>
          </cell>
          <cell r="AL16">
            <v>1.9104667609618105</v>
          </cell>
          <cell r="AM16">
            <v>2.5374999304732819</v>
          </cell>
          <cell r="AR16">
            <v>0.16658808738016659</v>
          </cell>
          <cell r="AS16">
            <v>0.21775767992124007</v>
          </cell>
          <cell r="AX16">
            <v>510.78720729216064</v>
          </cell>
          <cell r="AY16">
            <v>679.74792393220912</v>
          </cell>
          <cell r="BD16">
            <v>423.43862957724428</v>
          </cell>
          <cell r="BE16">
            <v>575.7722749698255</v>
          </cell>
          <cell r="BJ16">
            <v>0.94454587196052375</v>
          </cell>
          <cell r="BK16">
            <v>0.84332738916023986</v>
          </cell>
        </row>
        <row r="17">
          <cell r="J17">
            <v>0.98030034084786566</v>
          </cell>
          <cell r="K17">
            <v>0.74353555073886479</v>
          </cell>
          <cell r="R17">
            <v>66.897000000000006</v>
          </cell>
          <cell r="S17">
            <v>426.471</v>
          </cell>
          <cell r="AL17">
            <v>1.8717281791410676</v>
          </cell>
          <cell r="AM17">
            <v>2.4330657887640661</v>
          </cell>
          <cell r="AR17">
            <v>0.21077178348804876</v>
          </cell>
          <cell r="AS17">
            <v>0.21666185977475602</v>
          </cell>
          <cell r="AX17">
            <v>461.21335784862481</v>
          </cell>
          <cell r="AY17">
            <v>645.46820299621686</v>
          </cell>
          <cell r="BD17">
            <v>552.15032064218053</v>
          </cell>
          <cell r="BE17">
            <v>572.06689317679286</v>
          </cell>
          <cell r="BJ17">
            <v>0.98030034084786566</v>
          </cell>
          <cell r="BK17">
            <v>0.86222528955193989</v>
          </cell>
        </row>
        <row r="18">
          <cell r="J18">
            <v>0.96058493115280974</v>
          </cell>
          <cell r="K18">
            <v>0.76704967223829401</v>
          </cell>
          <cell r="R18">
            <v>66.941000000000003</v>
          </cell>
          <cell r="S18">
            <v>493.41200000000003</v>
          </cell>
          <cell r="AL18">
            <v>2.0442180427540668</v>
          </cell>
          <cell r="AM18">
            <v>2.3803109774387328</v>
          </cell>
          <cell r="AR18">
            <v>0.18225004108095186</v>
          </cell>
          <cell r="AS18">
            <v>0.21199322270232579</v>
          </cell>
          <cell r="AX18">
            <v>482.91794266593462</v>
          </cell>
          <cell r="AY18">
            <v>623.41507705528022</v>
          </cell>
          <cell r="BD18">
            <v>466.54217893368832</v>
          </cell>
          <cell r="BE18">
            <v>557.75039926065847</v>
          </cell>
          <cell r="BJ18">
            <v>0.96058493115280974</v>
          </cell>
          <cell r="BK18">
            <v>0.87437203457940704</v>
          </cell>
        </row>
        <row r="19">
          <cell r="J19">
            <v>0.90271028045520296</v>
          </cell>
          <cell r="K19">
            <v>0.77990833074190624</v>
          </cell>
          <cell r="R19">
            <v>60.802999999999997</v>
          </cell>
          <cell r="S19">
            <v>554.21500000000003</v>
          </cell>
          <cell r="AL19">
            <v>2.2938177392562871</v>
          </cell>
          <cell r="AM19">
            <v>2.3708217929864763</v>
          </cell>
          <cell r="AR19">
            <v>0.18913540450306729</v>
          </cell>
          <cell r="AS19">
            <v>0.20948548848371115</v>
          </cell>
          <cell r="AX19">
            <v>583.7897801095296</v>
          </cell>
          <cell r="AY19">
            <v>619.06778055447739</v>
          </cell>
          <cell r="BD19">
            <v>472.20443070243249</v>
          </cell>
          <cell r="BE19">
            <v>548.36513988253671</v>
          </cell>
          <cell r="BJ19">
            <v>0.90271028045520296</v>
          </cell>
          <cell r="BK19">
            <v>0.8773938357591381</v>
          </cell>
        </row>
        <row r="20">
          <cell r="J20">
            <v>0.75947246589182571</v>
          </cell>
          <cell r="K20">
            <v>0.77813980472477973</v>
          </cell>
          <cell r="R20">
            <v>51.13</v>
          </cell>
          <cell r="S20">
            <v>605.34500000000003</v>
          </cell>
          <cell r="AL20">
            <v>2.4602777234500293</v>
          </cell>
          <cell r="AM20">
            <v>2.3783776193740764</v>
          </cell>
          <cell r="AR20">
            <v>0.19949149227459415</v>
          </cell>
          <cell r="AS20">
            <v>0.20864135327788283</v>
          </cell>
          <cell r="AX20">
            <v>658.86211617445122</v>
          </cell>
          <cell r="AY20">
            <v>622.42897851638224</v>
          </cell>
          <cell r="BD20">
            <v>555.87134754547219</v>
          </cell>
          <cell r="BE20">
            <v>548.99914594157065</v>
          </cell>
          <cell r="BJ20">
            <v>0.75947246589182571</v>
          </cell>
          <cell r="BK20">
            <v>0.86603616323194743</v>
          </cell>
        </row>
        <row r="21">
          <cell r="J21">
            <v>0.81169826659739297</v>
          </cell>
          <cell r="K21">
            <v>0.78081265503044217</v>
          </cell>
          <cell r="R21">
            <v>54.646000000000001</v>
          </cell>
          <cell r="S21">
            <v>659.99099999999999</v>
          </cell>
          <cell r="AL21">
            <v>2.4825604801815322</v>
          </cell>
          <cell r="AM21">
            <v>2.3870037621725149</v>
          </cell>
          <cell r="AR21">
            <v>0.18665593090070634</v>
          </cell>
          <cell r="AS21">
            <v>0.2068210021045741</v>
          </cell>
          <cell r="AX21">
            <v>595.07393038833004</v>
          </cell>
          <cell r="AY21">
            <v>620.16403253983788</v>
          </cell>
          <cell r="BD21">
            <v>482.10848003513524</v>
          </cell>
          <cell r="BE21">
            <v>543.46072597959676</v>
          </cell>
          <cell r="BJ21">
            <v>0.81169826659739297</v>
          </cell>
          <cell r="BK21">
            <v>0.8612623652182807</v>
          </cell>
        </row>
        <row r="22">
          <cell r="J22">
            <v>1.055614176867316</v>
          </cell>
          <cell r="K22">
            <v>0.80080352282001854</v>
          </cell>
          <cell r="R22">
            <v>70.001999999999995</v>
          </cell>
          <cell r="S22">
            <v>729.99299999999994</v>
          </cell>
          <cell r="AL22">
            <v>2.0351275677837775</v>
          </cell>
          <cell r="AM22">
            <v>2.3532609216800715</v>
          </cell>
          <cell r="AR22">
            <v>0.23713608182623358</v>
          </cell>
          <cell r="AS22">
            <v>0.20972803848804028</v>
          </cell>
          <cell r="AX22">
            <v>482.06622667923557</v>
          </cell>
          <cell r="AY22">
            <v>606.92127184781225</v>
          </cell>
          <cell r="BD22">
            <v>547.41864518156581</v>
          </cell>
          <cell r="BE22">
            <v>543.84026696146407</v>
          </cell>
          <cell r="BJ22">
            <v>1.055614176867316</v>
          </cell>
          <cell r="BK22">
            <v>0.87674150050881572</v>
          </cell>
        </row>
        <row r="23">
          <cell r="J23">
            <v>0.89034242852245338</v>
          </cell>
          <cell r="K23">
            <v>0.80598669319466654</v>
          </cell>
          <cell r="R23">
            <v>49.869</v>
          </cell>
          <cell r="S23">
            <v>779.86199999999997</v>
          </cell>
          <cell r="AL23">
            <v>2.5088331428342259</v>
          </cell>
          <cell r="AM23">
            <v>2.3632091318720496</v>
          </cell>
          <cell r="AR23">
            <v>0.33688263249714251</v>
          </cell>
          <cell r="AS23">
            <v>0.21785905711523318</v>
          </cell>
          <cell r="AX23">
            <v>714.64837875234764</v>
          </cell>
          <cell r="AY23">
            <v>613.80998176600576</v>
          </cell>
          <cell r="BD23">
            <v>518.79925404559947</v>
          </cell>
          <cell r="BE23">
            <v>542.2389961300845</v>
          </cell>
          <cell r="BJ23">
            <v>0.89034242852245338</v>
          </cell>
          <cell r="BK23">
            <v>0.87759877594802538</v>
          </cell>
        </row>
        <row r="24">
          <cell r="J24">
            <v>0.46310174493534839</v>
          </cell>
          <cell r="K24">
            <v>0.78819439093348731</v>
          </cell>
          <cell r="R24">
            <v>24.524000000000001</v>
          </cell>
          <cell r="S24">
            <v>804.38599999999997</v>
          </cell>
          <cell r="AL24">
            <v>5.2697357690425708</v>
          </cell>
          <cell r="AM24">
            <v>2.4518228810546185</v>
          </cell>
          <cell r="AR24">
            <v>0.55455879954330445</v>
          </cell>
          <cell r="AS24">
            <v>0.22812430847876514</v>
          </cell>
          <cell r="AX24">
            <v>1259.8107975859455</v>
          </cell>
          <cell r="AY24">
            <v>633.50515797141986</v>
          </cell>
          <cell r="BD24">
            <v>1005.0154950252814</v>
          </cell>
          <cell r="BE24">
            <v>556.34805677871066</v>
          </cell>
          <cell r="BJ24">
            <v>0.46310174493534839</v>
          </cell>
          <cell r="BK24">
            <v>0.85428698703684336</v>
          </cell>
        </row>
        <row r="25">
          <cell r="J25">
            <v>0.81809221905780738</v>
          </cell>
          <cell r="K25">
            <v>0.78965831964460775</v>
          </cell>
          <cell r="R25">
            <v>42.984999999999999</v>
          </cell>
          <cell r="S25">
            <v>847.37099999999998</v>
          </cell>
          <cell r="AL25">
            <v>2.4458997324648135</v>
          </cell>
          <cell r="AM25">
            <v>2.4515224146212233</v>
          </cell>
          <cell r="AR25">
            <v>0.19774339886006748</v>
          </cell>
          <cell r="AS25">
            <v>0.22658316133075121</v>
          </cell>
          <cell r="AX25">
            <v>780.44527160640394</v>
          </cell>
          <cell r="AY25">
            <v>640.95906043515743</v>
          </cell>
          <cell r="BD25">
            <v>403.18715831103873</v>
          </cell>
          <cell r="BE25">
            <v>548.57858954342305</v>
          </cell>
          <cell r="BJ25">
            <v>0.81809221905780738</v>
          </cell>
          <cell r="BK25">
            <v>0.85237397786684244</v>
          </cell>
        </row>
        <row r="26">
          <cell r="J26">
            <v>0.46954830222551791</v>
          </cell>
          <cell r="K26">
            <v>0.77475031092943591</v>
          </cell>
          <cell r="R26">
            <v>24.611999999999998</v>
          </cell>
          <cell r="S26">
            <v>871.98299999999995</v>
          </cell>
          <cell r="AL26">
            <v>3.2520315293352837</v>
          </cell>
          <cell r="AM26">
            <v>2.4741170412725948</v>
          </cell>
          <cell r="AR26">
            <v>0.45099951243295955</v>
          </cell>
          <cell r="AS26">
            <v>0.23291738485727356</v>
          </cell>
          <cell r="AX26">
            <v>855.11417194867101</v>
          </cell>
          <cell r="AY26">
            <v>647.00365718139051</v>
          </cell>
          <cell r="BD26">
            <v>703.11230294165455</v>
          </cell>
          <cell r="BE26">
            <v>552.94035319495902</v>
          </cell>
          <cell r="BJ26">
            <v>0.46954830222551791</v>
          </cell>
          <cell r="BK26">
            <v>0.83320014194286229</v>
          </cell>
        </row>
        <row r="27">
          <cell r="J27">
            <v>0.93570071635595453</v>
          </cell>
          <cell r="K27">
            <v>0.78191246299180694</v>
          </cell>
          <cell r="R27">
            <v>49.045999999999999</v>
          </cell>
          <cell r="S27">
            <v>921.029</v>
          </cell>
          <cell r="AL27">
            <v>2.4711495330913835</v>
          </cell>
          <cell r="AM27">
            <v>2.4739590175770805</v>
          </cell>
          <cell r="AR27">
            <v>0.24466827060310728</v>
          </cell>
          <cell r="AS27">
            <v>0.23354313490671844</v>
          </cell>
          <cell r="AX27">
            <v>764.68152346774866</v>
          </cell>
          <cell r="AY27">
            <v>653.27015761718656</v>
          </cell>
          <cell r="BD27">
            <v>393.36541206214577</v>
          </cell>
          <cell r="BE27">
            <v>544.44277867472147</v>
          </cell>
          <cell r="BJ27">
            <v>0.93570071635595453</v>
          </cell>
          <cell r="BK27">
            <v>0.83808902647970596</v>
          </cell>
        </row>
        <row r="28">
          <cell r="J28">
            <v>0.94678504772248417</v>
          </cell>
          <cell r="K28">
            <v>0.78893658147763324</v>
          </cell>
          <cell r="R28">
            <v>49.627000000000002</v>
          </cell>
          <cell r="S28">
            <v>970.65599999999995</v>
          </cell>
          <cell r="AL28">
            <v>2.4346222822254013</v>
          </cell>
          <cell r="AM28">
            <v>2.4719478373388726</v>
          </cell>
          <cell r="AR28">
            <v>0.29016462812581861</v>
          </cell>
          <cell r="AS28">
            <v>0.23643803778063494</v>
          </cell>
          <cell r="AX28">
            <v>710.17248675114706</v>
          </cell>
          <cell r="AY28">
            <v>656.17941886723906</v>
          </cell>
          <cell r="BD28">
            <v>461.38190904144921</v>
          </cell>
          <cell r="BE28">
            <v>540.19610242969702</v>
          </cell>
          <cell r="BJ28">
            <v>0.94678504772248417</v>
          </cell>
          <cell r="BK28">
            <v>0.84303739201452055</v>
          </cell>
        </row>
        <row r="29">
          <cell r="J29">
            <v>0.89679113892552753</v>
          </cell>
          <cell r="K29">
            <v>0.79359268112004044</v>
          </cell>
          <cell r="R29">
            <v>49.780999999999999</v>
          </cell>
          <cell r="S29">
            <v>1020.4369999999999</v>
          </cell>
          <cell r="AL29">
            <v>2.5716237118579377</v>
          </cell>
          <cell r="AM29">
            <v>2.4768104253373808</v>
          </cell>
          <cell r="AR29">
            <v>0.24306462304895443</v>
          </cell>
          <cell r="AS29">
            <v>0.23676130912540411</v>
          </cell>
          <cell r="AX29">
            <v>743.27333721702144</v>
          </cell>
          <cell r="AY29">
            <v>660.42820869882166</v>
          </cell>
          <cell r="BD29">
            <v>389.14445270283841</v>
          </cell>
          <cell r="BE29">
            <v>532.82719854336926</v>
          </cell>
          <cell r="BJ29">
            <v>0.89679113892552753</v>
          </cell>
          <cell r="BK29">
            <v>0.84550976209433193</v>
          </cell>
        </row>
        <row r="30">
          <cell r="J30">
            <v>0.81392113754927475</v>
          </cell>
          <cell r="K30">
            <v>0.79454384876481365</v>
          </cell>
          <cell r="R30">
            <v>51.372999999999998</v>
          </cell>
          <cell r="S30">
            <v>1071.81</v>
          </cell>
          <cell r="AL30">
            <v>2.5981741381659629</v>
          </cell>
          <cell r="AM30">
            <v>2.4826275179369484</v>
          </cell>
          <cell r="AR30">
            <v>0.34259241235668547</v>
          </cell>
          <cell r="AS30">
            <v>0.24183390712906205</v>
          </cell>
          <cell r="AX30">
            <v>713.39263815622644</v>
          </cell>
          <cell r="AY30">
            <v>662.96685046789946</v>
          </cell>
          <cell r="BD30">
            <v>537.03307184707921</v>
          </cell>
          <cell r="BE30">
            <v>533.02879055056394</v>
          </cell>
          <cell r="BJ30">
            <v>0.81392113754927475</v>
          </cell>
          <cell r="BK30">
            <v>0.84393984397142885</v>
          </cell>
        </row>
        <row r="31">
          <cell r="J31">
            <v>1.0250072621696076</v>
          </cell>
          <cell r="K31">
            <v>0.80570668371982901</v>
          </cell>
          <cell r="R31">
            <v>70.382000000000005</v>
          </cell>
          <cell r="S31">
            <v>1142.192</v>
          </cell>
          <cell r="AL31">
            <v>1.9997584609701344</v>
          </cell>
          <cell r="AM31">
            <v>2.452873072127979</v>
          </cell>
          <cell r="AR31">
            <v>0.2386973942201131</v>
          </cell>
          <cell r="AS31">
            <v>0.24164063484948239</v>
          </cell>
          <cell r="AX31">
            <v>520.80659827797592</v>
          </cell>
          <cell r="AY31">
            <v>654.20691967725202</v>
          </cell>
          <cell r="BD31">
            <v>373.2204256770197</v>
          </cell>
          <cell r="BE31">
            <v>523.1813810637791</v>
          </cell>
          <cell r="BJ31">
            <v>1.0250072621696076</v>
          </cell>
          <cell r="BK31">
            <v>0.85322738277724575</v>
          </cell>
        </row>
        <row r="32">
          <cell r="J32">
            <v>0.98454249440749664</v>
          </cell>
          <cell r="K32">
            <v>0.81418748443585043</v>
          </cell>
          <cell r="R32">
            <v>69.483000000000004</v>
          </cell>
          <cell r="S32">
            <v>1211.675</v>
          </cell>
          <cell r="AL32">
            <v>1.8538491429558308</v>
          </cell>
          <cell r="AM32">
            <v>2.4185222935193025</v>
          </cell>
          <cell r="AR32">
            <v>0.26481297583581592</v>
          </cell>
          <cell r="AS32">
            <v>0.24296944312625085</v>
          </cell>
          <cell r="AX32">
            <v>464.11625865319559</v>
          </cell>
          <cell r="AY32">
            <v>643.30624961313868</v>
          </cell>
          <cell r="BD32">
            <v>403.10579566224828</v>
          </cell>
          <cell r="BE32">
            <v>516.29569645325682</v>
          </cell>
          <cell r="BJ32">
            <v>0.98454249440749664</v>
          </cell>
          <cell r="BK32">
            <v>0.85980353536926135</v>
          </cell>
        </row>
        <row r="33">
          <cell r="J33">
            <v>0.97513906297977015</v>
          </cell>
          <cell r="K33">
            <v>0.82116510293691014</v>
          </cell>
          <cell r="R33">
            <v>65.763999999999996</v>
          </cell>
          <cell r="S33">
            <v>1277.4389999999999</v>
          </cell>
          <cell r="AL33">
            <v>1.8971017578006204</v>
          </cell>
          <cell r="AM33">
            <v>2.3916789764521051</v>
          </cell>
          <cell r="AR33">
            <v>0.29195304421872148</v>
          </cell>
          <cell r="AS33">
            <v>0.2454911741382563</v>
          </cell>
          <cell r="AX33">
            <v>471.32412870263062</v>
          </cell>
          <cell r="AY33">
            <v>634.45241612319626</v>
          </cell>
          <cell r="BD33">
            <v>448.11751110029803</v>
          </cell>
          <cell r="BE33">
            <v>512.78580660211571</v>
          </cell>
          <cell r="BJ33">
            <v>0.97513906297977015</v>
          </cell>
          <cell r="BK33">
            <v>0.865070935658247</v>
          </cell>
        </row>
        <row r="34">
          <cell r="J34">
            <v>0.97980613190252985</v>
          </cell>
          <cell r="K34">
            <v>0.82770200876517019</v>
          </cell>
          <cell r="R34">
            <v>65.506</v>
          </cell>
          <cell r="S34">
            <v>1342.9449999999999</v>
          </cell>
          <cell r="AL34">
            <v>1.8967728147039966</v>
          </cell>
          <cell r="AM34">
            <v>2.3675385067891841</v>
          </cell>
          <cell r="AR34">
            <v>0.19540194791316826</v>
          </cell>
          <cell r="AS34">
            <v>0.24304792824724764</v>
          </cell>
          <cell r="AX34">
            <v>499.03413427777895</v>
          </cell>
          <cell r="AY34">
            <v>627.84700043560963</v>
          </cell>
          <cell r="BD34">
            <v>307.13217109883061</v>
          </cell>
          <cell r="BE34">
            <v>502.75445978800326</v>
          </cell>
          <cell r="BJ34">
            <v>0.97026283953750847</v>
          </cell>
          <cell r="BK34">
            <v>0.86967000824856766</v>
          </cell>
        </row>
        <row r="35">
          <cell r="J35">
            <v>0.90811978066880017</v>
          </cell>
          <cell r="K35">
            <v>0.83081240986881533</v>
          </cell>
          <cell r="R35">
            <v>59.281999999999996</v>
          </cell>
          <cell r="S35">
            <v>1402.2269999999999</v>
          </cell>
          <cell r="AL35">
            <v>1.9202962113289026</v>
          </cell>
          <cell r="AM35">
            <v>2.3486304285967972</v>
          </cell>
          <cell r="AR35">
            <v>0.32387571269525323</v>
          </cell>
          <cell r="AS35">
            <v>0.24646508732181024</v>
          </cell>
          <cell r="AX35">
            <v>494.61944603758582</v>
          </cell>
          <cell r="AY35">
            <v>622.21453445126929</v>
          </cell>
          <cell r="BD35">
            <v>486.94376033197261</v>
          </cell>
          <cell r="BE35">
            <v>502.08603029324075</v>
          </cell>
          <cell r="BJ35">
            <v>0.90811978066880017</v>
          </cell>
          <cell r="BK35">
            <v>0.87122951672795923</v>
          </cell>
        </row>
        <row r="36">
          <cell r="J36">
            <v>0.97036088299112544</v>
          </cell>
          <cell r="K36">
            <v>0.83605348193671636</v>
          </cell>
          <cell r="R36">
            <v>63.91</v>
          </cell>
          <cell r="S36">
            <v>1466.1369999999999</v>
          </cell>
          <cell r="AL36">
            <v>1.8992332968236583</v>
          </cell>
          <cell r="AM36">
            <v>2.3290408740792987</v>
          </cell>
          <cell r="AR36">
            <v>0.28321076513847604</v>
          </cell>
          <cell r="AS36">
            <v>0.24806685869055894</v>
          </cell>
          <cell r="AX36">
            <v>420.42356438741388</v>
          </cell>
          <cell r="AY36">
            <v>613.41831629649857</v>
          </cell>
          <cell r="BD36">
            <v>461.86825222969804</v>
          </cell>
          <cell r="BE36">
            <v>500.33290749773039</v>
          </cell>
          <cell r="BJ36">
            <v>0.97036088299112544</v>
          </cell>
          <cell r="BK36">
            <v>0.87512662950424813</v>
          </cell>
        </row>
        <row r="37">
          <cell r="J37">
            <v>0.98321760510606426</v>
          </cell>
          <cell r="K37">
            <v>0.84202816349355303</v>
          </cell>
          <cell r="R37">
            <v>72.962999999999994</v>
          </cell>
          <cell r="S37">
            <v>1539.1</v>
          </cell>
          <cell r="AL37">
            <v>1.98750051395913</v>
          </cell>
          <cell r="AM37">
            <v>2.3128497173672931</v>
          </cell>
          <cell r="AR37">
            <v>0.17406082534983486</v>
          </cell>
          <cell r="AS37">
            <v>0.24455850821908909</v>
          </cell>
          <cell r="AX37">
            <v>567.89523457095231</v>
          </cell>
          <cell r="AY37">
            <v>611.26023650185164</v>
          </cell>
          <cell r="BD37">
            <v>314.1181146608555</v>
          </cell>
          <cell r="BE37">
            <v>491.50515755961277</v>
          </cell>
          <cell r="BJ37">
            <v>0.98321760510606426</v>
          </cell>
          <cell r="BK37">
            <v>0.87971138147126959</v>
          </cell>
        </row>
        <row r="38">
          <cell r="J38">
            <v>0.91218582770484657</v>
          </cell>
          <cell r="K38">
            <v>0.84479646872284542</v>
          </cell>
          <cell r="R38">
            <v>68.492999999999995</v>
          </cell>
          <cell r="S38">
            <v>1607.5929999999998</v>
          </cell>
          <cell r="AL38">
            <v>2.0809425780736714</v>
          </cell>
          <cell r="AM38">
            <v>2.3029690972777321</v>
          </cell>
          <cell r="AR38">
            <v>0.23360051392113065</v>
          </cell>
          <cell r="AS38">
            <v>0.24409163264582517</v>
          </cell>
          <cell r="AX38">
            <v>552.68421590527578</v>
          </cell>
          <cell r="AY38">
            <v>608.76455048012781</v>
          </cell>
          <cell r="BD38">
            <v>348.09396580672473</v>
          </cell>
          <cell r="BE38">
            <v>485.39498990105091</v>
          </cell>
          <cell r="BJ38">
            <v>0.91218582770484657</v>
          </cell>
          <cell r="BK38">
            <v>0.88104775530928203</v>
          </cell>
        </row>
        <row r="39">
          <cell r="J39">
            <v>0.73917937601684491</v>
          </cell>
          <cell r="K39">
            <v>0.84175524031029192</v>
          </cell>
          <cell r="R39">
            <v>41.704000000000001</v>
          </cell>
          <cell r="S39">
            <v>1649.2969999999998</v>
          </cell>
          <cell r="AL39">
            <v>2.9641521197007483</v>
          </cell>
          <cell r="AM39">
            <v>2.3196877214958866</v>
          </cell>
          <cell r="AR39">
            <v>0.32610780740456552</v>
          </cell>
          <cell r="AS39">
            <v>0.24616548747739192</v>
          </cell>
          <cell r="AX39">
            <v>898.98259159794077</v>
          </cell>
          <cell r="AY39">
            <v>616.10298205841684</v>
          </cell>
          <cell r="BD39">
            <v>525.58507577210821</v>
          </cell>
          <cell r="BE39">
            <v>486.41123339216654</v>
          </cell>
          <cell r="BJ39">
            <v>0.73917937601684491</v>
          </cell>
          <cell r="BK39">
            <v>0.87679263832975451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0.20473999820231253</v>
          </cell>
          <cell r="K9">
            <v>0.20473999820231253</v>
          </cell>
          <cell r="R9">
            <v>8.9130000000000003</v>
          </cell>
          <cell r="S9">
            <v>8.9130000000000003</v>
          </cell>
          <cell r="X9">
            <v>244.31698453349279</v>
          </cell>
          <cell r="Y9">
            <v>244.31698453349279</v>
          </cell>
          <cell r="AD9">
            <v>4.3980702344889488</v>
          </cell>
          <cell r="AE9">
            <v>4.3980702344889488</v>
          </cell>
          <cell r="AJ9">
            <v>2759.7105351733426</v>
          </cell>
          <cell r="AK9">
            <v>2759.7105351733426</v>
          </cell>
          <cell r="BC9">
            <v>0.40947999640462507</v>
          </cell>
          <cell r="BD9">
            <v>0.40947999640462507</v>
          </cell>
        </row>
        <row r="10">
          <cell r="J10">
            <v>0.84868927408601358</v>
          </cell>
          <cell r="K10">
            <v>0.52514177755980551</v>
          </cell>
          <cell r="R10">
            <v>36.587000000000003</v>
          </cell>
          <cell r="S10">
            <v>45.5</v>
          </cell>
          <cell r="X10">
            <v>125.28723767154268</v>
          </cell>
          <cell r="Y10">
            <v>148.60398786452205</v>
          </cell>
          <cell r="AD10">
            <v>1.6563260174378878</v>
          </cell>
          <cell r="AE10">
            <v>2.1934065934065936</v>
          </cell>
          <cell r="AJ10">
            <v>1112.8045480635299</v>
          </cell>
          <cell r="AK10">
            <v>1435.417142857151</v>
          </cell>
          <cell r="BC10">
            <v>0.84868927408601358</v>
          </cell>
          <cell r="BD10">
            <v>0.70133104652711342</v>
          </cell>
        </row>
        <row r="11">
          <cell r="J11">
            <v>0.85738843360794581</v>
          </cell>
          <cell r="K11">
            <v>0.63456997773466162</v>
          </cell>
          <cell r="R11">
            <v>36.482999999999997</v>
          </cell>
          <cell r="S11">
            <v>81.983000000000004</v>
          </cell>
          <cell r="X11">
            <v>123.8480351696997</v>
          </cell>
          <cell r="Y11">
            <v>137.58741830540365</v>
          </cell>
          <cell r="AD11">
            <v>1.5267384809363267</v>
          </cell>
          <cell r="AE11">
            <v>1.8967346888989181</v>
          </cell>
          <cell r="AJ11">
            <v>1072.6151906366949</v>
          </cell>
          <cell r="AK11">
            <v>1273.9677738067514</v>
          </cell>
          <cell r="BC11">
            <v>0.85738843360794581</v>
          </cell>
          <cell r="BD11">
            <v>0.76314406914685895</v>
          </cell>
        </row>
        <row r="12">
          <cell r="J12">
            <v>0.91146147535282618</v>
          </cell>
          <cell r="K12">
            <v>0.70620875216277046</v>
          </cell>
          <cell r="R12">
            <v>41.1</v>
          </cell>
          <cell r="S12">
            <v>123.083</v>
          </cell>
          <cell r="X12">
            <v>108.17044823150538</v>
          </cell>
          <cell r="Y12">
            <v>127.76447386923279</v>
          </cell>
          <cell r="AD12">
            <v>1.4793187347931873</v>
          </cell>
          <cell r="AE12">
            <v>1.7573507308076666</v>
          </cell>
          <cell r="AJ12">
            <v>902.34647201948246</v>
          </cell>
          <cell r="AK12">
            <v>1149.8756123916351</v>
          </cell>
          <cell r="BC12">
            <v>0.91146147535282618</v>
          </cell>
          <cell r="BD12">
            <v>0.80699388751026191</v>
          </cell>
        </row>
        <row r="13">
          <cell r="J13">
            <v>0.92939544766787285</v>
          </cell>
          <cell r="K13">
            <v>0.75069483195417153</v>
          </cell>
          <cell r="R13">
            <v>40.323999999999998</v>
          </cell>
          <cell r="S13">
            <v>163.40699999999998</v>
          </cell>
          <cell r="X13">
            <v>105.11704360375536</v>
          </cell>
          <cell r="Y13">
            <v>122.17575993393558</v>
          </cell>
          <cell r="AD13">
            <v>1.5003471877789902</v>
          </cell>
          <cell r="AE13">
            <v>1.6939298806048704</v>
          </cell>
          <cell r="AJ13">
            <v>976.60152762622761</v>
          </cell>
          <cell r="AK13">
            <v>1107.1167085865334</v>
          </cell>
          <cell r="BC13">
            <v>0.92939544766787285</v>
          </cell>
          <cell r="BD13">
            <v>0.83410195130341991</v>
          </cell>
        </row>
        <row r="14">
          <cell r="J14">
            <v>0.95068273527083169</v>
          </cell>
          <cell r="K14">
            <v>0.78424809578128274</v>
          </cell>
          <cell r="R14">
            <v>41.719000000000001</v>
          </cell>
          <cell r="S14">
            <v>205.12599999999998</v>
          </cell>
          <cell r="X14">
            <v>107.09364206627737</v>
          </cell>
          <cell r="Y14">
            <v>119.1083239418096</v>
          </cell>
          <cell r="AD14">
            <v>1.4166207243701909</v>
          </cell>
          <cell r="AE14">
            <v>1.6375301034486125</v>
          </cell>
          <cell r="AJ14">
            <v>897.06704379299595</v>
          </cell>
          <cell r="AK14">
            <v>1064.3963222604627</v>
          </cell>
          <cell r="BC14">
            <v>0.95068273527083169</v>
          </cell>
          <cell r="BD14">
            <v>0.85543694636033862</v>
          </cell>
        </row>
        <row r="15">
          <cell r="J15">
            <v>0.96700039420516659</v>
          </cell>
          <cell r="K15">
            <v>0.81047100981936437</v>
          </cell>
          <cell r="R15">
            <v>42.372</v>
          </cell>
          <cell r="S15">
            <v>247.49799999999999</v>
          </cell>
          <cell r="X15">
            <v>99.457189199466839</v>
          </cell>
          <cell r="Y15">
            <v>115.74402248764615</v>
          </cell>
          <cell r="AD15">
            <v>1.3900689134333994</v>
          </cell>
          <cell r="AE15">
            <v>1.5951644053689324</v>
          </cell>
          <cell r="AJ15">
            <v>930.64523742093843</v>
          </cell>
          <cell r="AK15">
            <v>1041.4979514985964</v>
          </cell>
          <cell r="BC15">
            <v>0.96700039420516659</v>
          </cell>
          <cell r="BD15">
            <v>0.87267365787385931</v>
          </cell>
        </row>
        <row r="16">
          <cell r="J16">
            <v>0.98571546801593302</v>
          </cell>
          <cell r="K16">
            <v>0.83245902365817026</v>
          </cell>
          <cell r="R16">
            <v>43.186999999999998</v>
          </cell>
          <cell r="S16">
            <v>290.685</v>
          </cell>
          <cell r="X16">
            <v>103.0017428962049</v>
          </cell>
          <cell r="Y16">
            <v>113.85090509694633</v>
          </cell>
          <cell r="AD16">
            <v>1.3707828744761157</v>
          </cell>
          <cell r="AE16">
            <v>1.5618280957049728</v>
          </cell>
          <cell r="AJ16">
            <v>875.36203024059853</v>
          </cell>
          <cell r="AK16">
            <v>1016.8151779417593</v>
          </cell>
          <cell r="BC16">
            <v>0.98571546801593302</v>
          </cell>
          <cell r="BD16">
            <v>0.88779997052742021</v>
          </cell>
        </row>
        <row r="17">
          <cell r="J17">
            <v>0.83407044591442425</v>
          </cell>
          <cell r="K17">
            <v>0.83263866940567333</v>
          </cell>
          <cell r="R17">
            <v>36.542999999999999</v>
          </cell>
          <cell r="S17">
            <v>327.22800000000001</v>
          </cell>
          <cell r="X17">
            <v>118.16662973507682</v>
          </cell>
          <cell r="Y17">
            <v>114.33286118093424</v>
          </cell>
          <cell r="AD17">
            <v>1.5953807842815313</v>
          </cell>
          <cell r="AE17">
            <v>1.5655750730377593</v>
          </cell>
          <cell r="AJ17">
            <v>1029.4682976219697</v>
          </cell>
          <cell r="AK17">
            <v>1018.2282078550735</v>
          </cell>
          <cell r="BC17">
            <v>0.83407044591442425</v>
          </cell>
          <cell r="BD17">
            <v>0.8814588494257305</v>
          </cell>
        </row>
        <row r="18">
          <cell r="J18">
            <v>0.82035300788266541</v>
          </cell>
          <cell r="K18">
            <v>0.83140640639654106</v>
          </cell>
          <cell r="R18">
            <v>35.942</v>
          </cell>
          <cell r="S18">
            <v>363.17</v>
          </cell>
          <cell r="X18">
            <v>116.37519055397277</v>
          </cell>
          <cell r="Y18">
            <v>114.53498526146335</v>
          </cell>
          <cell r="AD18">
            <v>1.6387513215736464</v>
          </cell>
          <cell r="AE18">
            <v>1.5728171379794584</v>
          </cell>
          <cell r="AJ18">
            <v>1084.4510600411775</v>
          </cell>
          <cell r="AK18">
            <v>1024.7821130599993</v>
          </cell>
          <cell r="BC18">
            <v>0.82035300788266541</v>
          </cell>
          <cell r="BD18">
            <v>0.87500845195396648</v>
          </cell>
        </row>
        <row r="19">
          <cell r="J19">
            <v>0.91753522389796827</v>
          </cell>
          <cell r="K19">
            <v>0.8392586297168001</v>
          </cell>
          <cell r="R19">
            <v>40.204999999999998</v>
          </cell>
          <cell r="S19">
            <v>403.375</v>
          </cell>
          <cell r="X19">
            <v>102.55969455379909</v>
          </cell>
          <cell r="Y19">
            <v>113.34138981578219</v>
          </cell>
          <cell r="AD19">
            <v>1.4699664220868052</v>
          </cell>
          <cell r="AE19">
            <v>1.5625658506352649</v>
          </cell>
          <cell r="AJ19">
            <v>967.61049620694848</v>
          </cell>
          <cell r="AK19">
            <v>1019.0837310195237</v>
          </cell>
          <cell r="BC19">
            <v>0.91753522389796827</v>
          </cell>
          <cell r="BD19">
            <v>0.87906946096754845</v>
          </cell>
        </row>
        <row r="20">
          <cell r="J20">
            <v>0.87740189909938582</v>
          </cell>
          <cell r="K20">
            <v>0.84261756093813134</v>
          </cell>
          <cell r="R20">
            <v>40.722000000000001</v>
          </cell>
          <cell r="S20">
            <v>444.09699999999998</v>
          </cell>
          <cell r="X20">
            <v>102.71236554443426</v>
          </cell>
          <cell r="Y20">
            <v>112.36674885586166</v>
          </cell>
          <cell r="AD20">
            <v>1.4832277393055351</v>
          </cell>
          <cell r="AE20">
            <v>1.5552908486209094</v>
          </cell>
          <cell r="AJ20">
            <v>930.48180344775892</v>
          </cell>
          <cell r="AK20">
            <v>1010.9592724112073</v>
          </cell>
          <cell r="BC20">
            <v>0.87740189909938582</v>
          </cell>
          <cell r="BD20">
            <v>0.87891628798864918</v>
          </cell>
        </row>
        <row r="21">
          <cell r="J21">
            <v>0.85364740091566238</v>
          </cell>
          <cell r="K21">
            <v>0.84350837338063034</v>
          </cell>
          <cell r="R21">
            <v>39.529000000000003</v>
          </cell>
          <cell r="S21">
            <v>483.62599999999998</v>
          </cell>
          <cell r="X21">
            <v>107.56070984325689</v>
          </cell>
          <cell r="Y21">
            <v>111.97392895757403</v>
          </cell>
          <cell r="AD21">
            <v>1.5431708366009764</v>
          </cell>
          <cell r="AE21">
            <v>1.5543002237265986</v>
          </cell>
          <cell r="AJ21">
            <v>950.76880265121815</v>
          </cell>
          <cell r="AK21">
            <v>1006.0396256611515</v>
          </cell>
          <cell r="BC21">
            <v>0.85364740091566238</v>
          </cell>
          <cell r="BD21">
            <v>0.87679494049977957</v>
          </cell>
        </row>
        <row r="22">
          <cell r="J22">
            <v>0.74835821284914428</v>
          </cell>
          <cell r="K22">
            <v>0.83636387529272782</v>
          </cell>
          <cell r="R22">
            <v>34.832999999999998</v>
          </cell>
          <cell r="S22">
            <v>518.45899999999995</v>
          </cell>
          <cell r="X22">
            <v>117.4128187457826</v>
          </cell>
          <cell r="Y22">
            <v>112.33934425172973</v>
          </cell>
          <cell r="AD22">
            <v>1.7138919989664974</v>
          </cell>
          <cell r="AE22">
            <v>1.5650224993683204</v>
          </cell>
          <cell r="AJ22">
            <v>1070.0312921654754</v>
          </cell>
          <cell r="AK22">
            <v>1010.3389467633895</v>
          </cell>
          <cell r="BC22">
            <v>0.74835821284914428</v>
          </cell>
          <cell r="BD22">
            <v>0.86680011707468763</v>
          </cell>
        </row>
        <row r="23">
          <cell r="J23">
            <v>0.77149255241027948</v>
          </cell>
          <cell r="K23">
            <v>0.83197872851952948</v>
          </cell>
          <cell r="R23">
            <v>34.671999999999997</v>
          </cell>
          <cell r="S23">
            <v>553.13099999999997</v>
          </cell>
          <cell r="X23">
            <v>103.40786054954407</v>
          </cell>
          <cell r="Y23">
            <v>111.77949061322062</v>
          </cell>
          <cell r="AD23">
            <v>1.6526303645592986</v>
          </cell>
          <cell r="AE23">
            <v>1.5705140373618545</v>
          </cell>
          <cell r="AJ23">
            <v>1122.7272727272516</v>
          </cell>
          <cell r="AK23">
            <v>1017.383802390391</v>
          </cell>
          <cell r="BC23">
            <v>0.77149255241027948</v>
          </cell>
          <cell r="BD23">
            <v>0.86013948546296204</v>
          </cell>
        </row>
        <row r="24">
          <cell r="J24">
            <v>0.84942606328376835</v>
          </cell>
          <cell r="K24">
            <v>0.83309034735560317</v>
          </cell>
          <cell r="R24">
            <v>38.429000000000002</v>
          </cell>
          <cell r="S24">
            <v>591.55999999999995</v>
          </cell>
          <cell r="X24">
            <v>92.76214505899658</v>
          </cell>
          <cell r="Y24">
            <v>110.54408326265047</v>
          </cell>
          <cell r="AD24">
            <v>1.6289781154857008</v>
          </cell>
          <cell r="AE24">
            <v>1.5743119886402057</v>
          </cell>
          <cell r="AJ24">
            <v>905.31629758777819</v>
          </cell>
          <cell r="AK24">
            <v>1010.1036581242818</v>
          </cell>
          <cell r="BC24">
            <v>0.84942606328376835</v>
          </cell>
          <cell r="BD24">
            <v>0.85943531773638726</v>
          </cell>
        </row>
        <row r="25">
          <cell r="J25">
            <v>0.86844313177403898</v>
          </cell>
          <cell r="K25">
            <v>0.83503482959920494</v>
          </cell>
          <cell r="R25">
            <v>35.892000000000003</v>
          </cell>
          <cell r="S25">
            <v>627.452</v>
          </cell>
          <cell r="X25">
            <v>92.78774098012525</v>
          </cell>
          <cell r="Y25">
            <v>109.52837108513826</v>
          </cell>
          <cell r="AD25">
            <v>1.6521787584977152</v>
          </cell>
          <cell r="AE25">
            <v>1.5787661845049501</v>
          </cell>
          <cell r="AJ25">
            <v>1106.6187451242617</v>
          </cell>
          <cell r="AK25">
            <v>1015.624589610042</v>
          </cell>
          <cell r="BC25">
            <v>0.86844313177403898</v>
          </cell>
          <cell r="BD25">
            <v>0.8599455479011644</v>
          </cell>
        </row>
        <row r="26">
          <cell r="J26">
            <v>0.83094229705022715</v>
          </cell>
          <cell r="K26">
            <v>0.83481596307228922</v>
          </cell>
          <cell r="R26">
            <v>35.277999999999999</v>
          </cell>
          <cell r="S26">
            <v>662.73</v>
          </cell>
          <cell r="X26">
            <v>89.860944163747604</v>
          </cell>
          <cell r="Y26">
            <v>108.48144777257836</v>
          </cell>
          <cell r="AD26">
            <v>1.7149498270877035</v>
          </cell>
          <cell r="AE26">
            <v>1.5860154210613673</v>
          </cell>
          <cell r="AJ26">
            <v>1057.2589149044629</v>
          </cell>
          <cell r="AK26">
            <v>1017.8408401611512</v>
          </cell>
          <cell r="BC26">
            <v>0.83094229705022715</v>
          </cell>
          <cell r="BD26">
            <v>0.85835074166619774</v>
          </cell>
        </row>
        <row r="27">
          <cell r="J27">
            <v>6.5665038564767561E-2</v>
          </cell>
          <cell r="K27">
            <v>0.79532967621636808</v>
          </cell>
          <cell r="R27">
            <v>2.8210000000000002</v>
          </cell>
          <cell r="S27">
            <v>665.55100000000004</v>
          </cell>
          <cell r="X27">
            <v>0</v>
          </cell>
          <cell r="Y27">
            <v>108.02163903640871</v>
          </cell>
          <cell r="AD27">
            <v>5.9198865650478547</v>
          </cell>
          <cell r="AE27">
            <v>1.6043849381940676</v>
          </cell>
          <cell r="AJ27">
            <v>2894.9237858917859</v>
          </cell>
          <cell r="AK27">
            <v>1025.7970313319347</v>
          </cell>
          <cell r="BC27">
            <v>3.6368329051255883</v>
          </cell>
          <cell r="BD27">
            <v>0.86113929798363087</v>
          </cell>
        </row>
        <row r="28">
          <cell r="J28">
            <v>0</v>
          </cell>
          <cell r="K28">
            <v>0.75649320505378692</v>
          </cell>
          <cell r="R28">
            <v>0</v>
          </cell>
          <cell r="S28">
            <v>665.55100000000004</v>
          </cell>
          <cell r="X28">
            <v>0</v>
          </cell>
          <cell r="Y28">
            <v>108.02163903640871</v>
          </cell>
          <cell r="AD28">
            <v>0</v>
          </cell>
          <cell r="AE28">
            <v>1.6557709326557994</v>
          </cell>
          <cell r="AJ28">
            <v>0</v>
          </cell>
          <cell r="AK28">
            <v>1033.3174467471304</v>
          </cell>
          <cell r="BC28" t="e">
            <v>#DIV/0!</v>
          </cell>
          <cell r="BD28">
            <v>0.86113929798363087</v>
          </cell>
        </row>
        <row r="29">
          <cell r="J29">
            <v>0</v>
          </cell>
          <cell r="K29">
            <v>0.72127297148871838</v>
          </cell>
          <cell r="R29">
            <v>0</v>
          </cell>
          <cell r="S29">
            <v>665.55100000000004</v>
          </cell>
          <cell r="X29">
            <v>0</v>
          </cell>
          <cell r="Y29">
            <v>108.02163903640871</v>
          </cell>
          <cell r="AD29">
            <v>0</v>
          </cell>
          <cell r="AE29">
            <v>1.7112137161539838</v>
          </cell>
          <cell r="AJ29">
            <v>0</v>
          </cell>
          <cell r="AK29">
            <v>1042.6403386066568</v>
          </cell>
          <cell r="BC29" t="e">
            <v>#DIV/0!</v>
          </cell>
          <cell r="BD29">
            <v>0.86113929798363087</v>
          </cell>
        </row>
        <row r="30">
          <cell r="J30">
            <v>0</v>
          </cell>
          <cell r="K30">
            <v>0.68918635873105194</v>
          </cell>
          <cell r="R30">
            <v>0</v>
          </cell>
          <cell r="S30">
            <v>665.55100000000004</v>
          </cell>
          <cell r="X30">
            <v>0</v>
          </cell>
          <cell r="Y30">
            <v>108.02163903640871</v>
          </cell>
          <cell r="AD30">
            <v>0</v>
          </cell>
          <cell r="AE30">
            <v>1.7366062104932607</v>
          </cell>
          <cell r="AJ30">
            <v>0</v>
          </cell>
          <cell r="AK30">
            <v>1051.7718401745306</v>
          </cell>
          <cell r="BC30" t="e">
            <v>#DIV/0!</v>
          </cell>
          <cell r="BD30">
            <v>0.86113929798363087</v>
          </cell>
        </row>
        <row r="31">
          <cell r="J31">
            <v>0</v>
          </cell>
          <cell r="K31">
            <v>0.65983297122143314</v>
          </cell>
          <cell r="R31">
            <v>0</v>
          </cell>
          <cell r="S31">
            <v>665.55100000000004</v>
          </cell>
          <cell r="X31">
            <v>0</v>
          </cell>
          <cell r="Y31">
            <v>108.02163903640871</v>
          </cell>
          <cell r="AD31">
            <v>0</v>
          </cell>
          <cell r="AE31">
            <v>1.7624494591699211</v>
          </cell>
          <cell r="AJ31">
            <v>0</v>
          </cell>
          <cell r="AK31">
            <v>1058.5991757205679</v>
          </cell>
          <cell r="BC31" t="e">
            <v>#DIV/0!</v>
          </cell>
          <cell r="BD31">
            <v>0.86113929798363087</v>
          </cell>
        </row>
        <row r="32">
          <cell r="J32">
            <v>0</v>
          </cell>
          <cell r="K32">
            <v>0.63287784035049799</v>
          </cell>
          <cell r="R32">
            <v>0</v>
          </cell>
          <cell r="S32">
            <v>665.55100000000004</v>
          </cell>
          <cell r="X32">
            <v>0</v>
          </cell>
          <cell r="Y32">
            <v>108.02163903640871</v>
          </cell>
          <cell r="AD32">
            <v>0</v>
          </cell>
          <cell r="AE32">
            <v>1.7882927078465816</v>
          </cell>
          <cell r="AJ32">
            <v>0</v>
          </cell>
          <cell r="AK32">
            <v>1069.3954332575549</v>
          </cell>
          <cell r="BC32" t="e">
            <v>#DIV/0!</v>
          </cell>
          <cell r="BD32">
            <v>0.86113929798363087</v>
          </cell>
        </row>
        <row r="33">
          <cell r="J33">
            <v>0</v>
          </cell>
          <cell r="K33">
            <v>0.60803858504017794</v>
          </cell>
          <cell r="R33">
            <v>0</v>
          </cell>
          <cell r="S33">
            <v>665.55100000000004</v>
          </cell>
          <cell r="X33">
            <v>0</v>
          </cell>
          <cell r="Y33">
            <v>108.02163903640871</v>
          </cell>
          <cell r="AD33">
            <v>0</v>
          </cell>
          <cell r="AE33">
            <v>1.8088771559204333</v>
          </cell>
          <cell r="AJ33">
            <v>0</v>
          </cell>
          <cell r="AK33">
            <v>1078.3363558915846</v>
          </cell>
          <cell r="BC33" t="e">
            <v>#DIV/0!</v>
          </cell>
          <cell r="BD33">
            <v>0.86113929798363087</v>
          </cell>
        </row>
        <row r="34">
          <cell r="J34">
            <v>0</v>
          </cell>
          <cell r="K34">
            <v>0.58507548167555523</v>
          </cell>
          <cell r="R34">
            <v>0</v>
          </cell>
          <cell r="S34">
            <v>665.55100000000004</v>
          </cell>
          <cell r="X34">
            <v>0</v>
          </cell>
          <cell r="Y34">
            <v>108.15280690087724</v>
          </cell>
          <cell r="AD34">
            <v>0</v>
          </cell>
          <cell r="AE34">
            <v>1.8494450462849583</v>
          </cell>
          <cell r="AJ34">
            <v>0</v>
          </cell>
          <cell r="AK34">
            <v>1085.3985043971074</v>
          </cell>
          <cell r="BC34" t="e">
            <v>#DIV/0!</v>
          </cell>
          <cell r="BD34">
            <v>0.86113929798363087</v>
          </cell>
        </row>
        <row r="35">
          <cell r="J35">
            <v>0.27892518175260894</v>
          </cell>
          <cell r="K35">
            <v>0.57172778935844437</v>
          </cell>
          <cell r="R35">
            <v>14.464</v>
          </cell>
          <cell r="S35">
            <v>680.0150000000001</v>
          </cell>
          <cell r="X35">
            <v>191.76796484896425</v>
          </cell>
          <cell r="Y35">
            <v>109.93131126410617</v>
          </cell>
          <cell r="AD35">
            <v>3.2148783185840708</v>
          </cell>
          <cell r="AE35">
            <v>1.8784879745299738</v>
          </cell>
          <cell r="AJ35">
            <v>1643.5163163717568</v>
          </cell>
          <cell r="AK35">
            <v>1097.2697366969851</v>
          </cell>
          <cell r="BC35">
            <v>0.44040818171464569</v>
          </cell>
          <cell r="BD35">
            <v>0.84398960799525446</v>
          </cell>
        </row>
        <row r="36">
          <cell r="J36">
            <v>0.2042365760857677</v>
          </cell>
          <cell r="K36">
            <v>0.55695656792940307</v>
          </cell>
          <cell r="R36">
            <v>10.173</v>
          </cell>
          <cell r="S36">
            <v>690.1880000000001</v>
          </cell>
          <cell r="X36">
            <v>191.48266055033284</v>
          </cell>
          <cell r="Y36">
            <v>111.13333430172604</v>
          </cell>
          <cell r="AD36">
            <v>3.6862282512533175</v>
          </cell>
          <cell r="AE36">
            <v>1.9051330941714433</v>
          </cell>
          <cell r="AJ36">
            <v>1898.041875552791</v>
          </cell>
          <cell r="AK36">
            <v>1109.072687441681</v>
          </cell>
          <cell r="BC36">
            <v>0.2042365760857677</v>
          </cell>
          <cell r="BD36">
            <v>0.80674226632022272</v>
          </cell>
        </row>
        <row r="37">
          <cell r="J37">
            <v>0.23000544920340599</v>
          </cell>
          <cell r="K37">
            <v>0.54544356618776801</v>
          </cell>
          <cell r="R37">
            <v>10.403</v>
          </cell>
          <cell r="S37">
            <v>700.59100000000012</v>
          </cell>
          <cell r="X37">
            <v>56.619495384260659</v>
          </cell>
          <cell r="Y37">
            <v>110.32386420254063</v>
          </cell>
          <cell r="AD37">
            <v>1.3361530327790061</v>
          </cell>
          <cell r="AE37">
            <v>1.8966843707669669</v>
          </cell>
          <cell r="AJ37">
            <v>1347.6074209363733</v>
          </cell>
          <cell r="AK37">
            <v>1112.6146639051885</v>
          </cell>
          <cell r="BC37">
            <v>0.86028012169585621</v>
          </cell>
          <cell r="BD37">
            <v>0.80748845980230732</v>
          </cell>
        </row>
        <row r="38">
          <cell r="J38">
            <v>0</v>
          </cell>
          <cell r="K38">
            <v>0.52756301818136786</v>
          </cell>
          <cell r="R38">
            <v>0</v>
          </cell>
          <cell r="S38">
            <v>700.59100000000012</v>
          </cell>
          <cell r="X38">
            <v>0</v>
          </cell>
          <cell r="Y38">
            <v>110.32386420254063</v>
          </cell>
          <cell r="AD38">
            <v>0</v>
          </cell>
          <cell r="AE38">
            <v>1.9172384458264526</v>
          </cell>
          <cell r="AJ38">
            <v>0</v>
          </cell>
          <cell r="AK38">
            <v>1119.8522675855097</v>
          </cell>
          <cell r="BC38" t="e">
            <v>#DIV/0!</v>
          </cell>
          <cell r="BD38">
            <v>0.80748845980230732</v>
          </cell>
        </row>
        <row r="39">
          <cell r="J39">
            <v>0</v>
          </cell>
          <cell r="K39">
            <v>0.51081756803054779</v>
          </cell>
          <cell r="R39">
            <v>0</v>
          </cell>
          <cell r="S39">
            <v>700.59100000000012</v>
          </cell>
          <cell r="X39">
            <v>0</v>
          </cell>
          <cell r="Y39">
            <v>110.32386420254063</v>
          </cell>
          <cell r="AD39">
            <v>0</v>
          </cell>
          <cell r="AE39">
            <v>1.9417891465919492</v>
          </cell>
          <cell r="AJ39">
            <v>0</v>
          </cell>
          <cell r="AK39">
            <v>1127.8883114399123</v>
          </cell>
          <cell r="BC39" t="e">
            <v>#DIV/0!</v>
          </cell>
          <cell r="BD39">
            <v>0.80748845980230732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 refreshError="1">
        <row r="9">
          <cell r="J9">
            <v>0.94257305293041049</v>
          </cell>
          <cell r="AP9">
            <v>0</v>
          </cell>
          <cell r="AQ9">
            <v>0</v>
          </cell>
        </row>
        <row r="10">
          <cell r="AP10">
            <v>0</v>
          </cell>
          <cell r="AQ10">
            <v>0</v>
          </cell>
        </row>
        <row r="11">
          <cell r="AP11">
            <v>0</v>
          </cell>
          <cell r="AQ11">
            <v>0</v>
          </cell>
        </row>
        <row r="12">
          <cell r="AP12">
            <v>0</v>
          </cell>
          <cell r="AQ12">
            <v>0</v>
          </cell>
        </row>
        <row r="13">
          <cell r="AP13">
            <v>0</v>
          </cell>
          <cell r="AQ13">
            <v>0</v>
          </cell>
        </row>
        <row r="14">
          <cell r="AP14">
            <v>0</v>
          </cell>
          <cell r="AQ14">
            <v>0</v>
          </cell>
        </row>
        <row r="15">
          <cell r="AP15">
            <v>0</v>
          </cell>
          <cell r="AQ15">
            <v>0</v>
          </cell>
        </row>
        <row r="16">
          <cell r="AP16">
            <v>0</v>
          </cell>
          <cell r="AQ16">
            <v>0</v>
          </cell>
        </row>
        <row r="17">
          <cell r="AP17">
            <v>0</v>
          </cell>
          <cell r="AQ17">
            <v>0</v>
          </cell>
        </row>
        <row r="18">
          <cell r="AP18">
            <v>0</v>
          </cell>
          <cell r="AQ18">
            <v>0</v>
          </cell>
        </row>
        <row r="19">
          <cell r="AP19">
            <v>0</v>
          </cell>
          <cell r="AQ19">
            <v>0</v>
          </cell>
        </row>
        <row r="20">
          <cell r="AP20">
            <v>0</v>
          </cell>
          <cell r="AQ20">
            <v>0</v>
          </cell>
        </row>
        <row r="21">
          <cell r="AP21">
            <v>0</v>
          </cell>
          <cell r="AQ21">
            <v>0</v>
          </cell>
        </row>
        <row r="22">
          <cell r="AP22">
            <v>0</v>
          </cell>
          <cell r="AQ22">
            <v>0</v>
          </cell>
        </row>
        <row r="23">
          <cell r="AP23">
            <v>0</v>
          </cell>
          <cell r="AQ23">
            <v>0</v>
          </cell>
        </row>
        <row r="24">
          <cell r="AP24">
            <v>0</v>
          </cell>
          <cell r="AQ24">
            <v>0</v>
          </cell>
        </row>
        <row r="25">
          <cell r="AP25">
            <v>0</v>
          </cell>
          <cell r="AQ25">
            <v>0</v>
          </cell>
        </row>
        <row r="26">
          <cell r="AP26">
            <v>0</v>
          </cell>
          <cell r="AQ26">
            <v>0</v>
          </cell>
        </row>
        <row r="27">
          <cell r="AP27">
            <v>0</v>
          </cell>
          <cell r="AQ27">
            <v>0</v>
          </cell>
        </row>
        <row r="28">
          <cell r="AP28">
            <v>0</v>
          </cell>
          <cell r="AQ28">
            <v>0</v>
          </cell>
        </row>
        <row r="29">
          <cell r="AP29">
            <v>0</v>
          </cell>
          <cell r="AQ29">
            <v>0</v>
          </cell>
        </row>
        <row r="30">
          <cell r="AP30">
            <v>0</v>
          </cell>
          <cell r="AQ30">
            <v>0</v>
          </cell>
        </row>
        <row r="31">
          <cell r="AP31">
            <v>0</v>
          </cell>
          <cell r="AQ31">
            <v>0</v>
          </cell>
        </row>
        <row r="32">
          <cell r="AP32">
            <v>0</v>
          </cell>
          <cell r="AQ32">
            <v>0</v>
          </cell>
        </row>
        <row r="33">
          <cell r="AP33">
            <v>0</v>
          </cell>
          <cell r="AQ33">
            <v>0</v>
          </cell>
        </row>
        <row r="34">
          <cell r="AP34">
            <v>0</v>
          </cell>
          <cell r="AQ34">
            <v>0</v>
          </cell>
        </row>
        <row r="35">
          <cell r="AP35">
            <v>0</v>
          </cell>
          <cell r="AQ35">
            <v>0</v>
          </cell>
        </row>
        <row r="36">
          <cell r="AP36">
            <v>0</v>
          </cell>
          <cell r="AQ36">
            <v>0</v>
          </cell>
        </row>
        <row r="37">
          <cell r="AP37">
            <v>0</v>
          </cell>
          <cell r="AQ37">
            <v>0</v>
          </cell>
        </row>
        <row r="38">
          <cell r="AP38">
            <v>0</v>
          </cell>
          <cell r="AQ38">
            <v>0</v>
          </cell>
        </row>
        <row r="39">
          <cell r="AP39">
            <v>0</v>
          </cell>
          <cell r="AQ3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0.57523912351677342</v>
          </cell>
          <cell r="K9">
            <v>0.57523912351677342</v>
          </cell>
          <cell r="R9">
            <v>29.349</v>
          </cell>
          <cell r="S9">
            <v>29.349</v>
          </cell>
          <cell r="AF9">
            <v>137.80376560881047</v>
          </cell>
          <cell r="AG9">
            <v>137.80376560881047</v>
          </cell>
          <cell r="AL9">
            <v>1.6457119492998056</v>
          </cell>
          <cell r="AM9">
            <v>1.6457119492998056</v>
          </cell>
          <cell r="AR9">
            <v>0</v>
          </cell>
          <cell r="AS9">
            <v>0</v>
          </cell>
          <cell r="AX9">
            <v>1246.9692323418176</v>
          </cell>
          <cell r="AY9">
            <v>1246.9692323418176</v>
          </cell>
          <cell r="BD9">
            <v>0</v>
          </cell>
          <cell r="BE9">
            <v>0</v>
          </cell>
          <cell r="BJ9">
            <v>0</v>
          </cell>
          <cell r="BK9">
            <v>0</v>
          </cell>
          <cell r="BN9">
            <v>0.65489844880765469</v>
          </cell>
          <cell r="BO9">
            <v>0.65489844880765469</v>
          </cell>
        </row>
        <row r="10">
          <cell r="J10">
            <v>0.91422026194723494</v>
          </cell>
          <cell r="K10">
            <v>0.74490575453886332</v>
          </cell>
          <cell r="R10">
            <v>46.741</v>
          </cell>
          <cell r="S10">
            <v>76.09</v>
          </cell>
          <cell r="AF10">
            <v>119.51211645688512</v>
          </cell>
          <cell r="AG10">
            <v>126.56746684405634</v>
          </cell>
          <cell r="AL10">
            <v>1.4312915855458805</v>
          </cell>
          <cell r="AM10">
            <v>1.5139965829938231</v>
          </cell>
          <cell r="AR10">
            <v>0</v>
          </cell>
          <cell r="AS10">
            <v>0</v>
          </cell>
          <cell r="AX10">
            <v>958.56271795639918</v>
          </cell>
          <cell r="AY10">
            <v>1069.8052306479176</v>
          </cell>
          <cell r="BD10">
            <v>0</v>
          </cell>
          <cell r="BE10">
            <v>0</v>
          </cell>
          <cell r="BJ10">
            <v>0</v>
          </cell>
          <cell r="BK10">
            <v>0</v>
          </cell>
          <cell r="BN10">
            <v>0.91422026194723494</v>
          </cell>
          <cell r="BO10">
            <v>0.79308984771505819</v>
          </cell>
        </row>
        <row r="11">
          <cell r="J11">
            <v>0.91821353625182112</v>
          </cell>
          <cell r="K11">
            <v>0.80302507046506699</v>
          </cell>
          <cell r="R11">
            <v>47.323999999999998</v>
          </cell>
          <cell r="S11">
            <v>123.414</v>
          </cell>
          <cell r="AF11">
            <v>130.72969598731817</v>
          </cell>
          <cell r="AG11">
            <v>128.16350401954472</v>
          </cell>
          <cell r="AL11">
            <v>1.4516947003634522</v>
          </cell>
          <cell r="AM11">
            <v>1.4901064709028149</v>
          </cell>
          <cell r="AR11">
            <v>0.18595215958076242</v>
          </cell>
          <cell r="AS11">
            <v>7.130471421394656E-2</v>
          </cell>
          <cell r="AX11">
            <v>894.30775082410537</v>
          </cell>
          <cell r="AY11">
            <v>1002.5094397718251</v>
          </cell>
          <cell r="BD11">
            <v>485.05620826641871</v>
          </cell>
          <cell r="BE11">
            <v>185.99834702707957</v>
          </cell>
          <cell r="BJ11">
            <v>4.0148761727664617</v>
          </cell>
          <cell r="BK11">
            <v>1.5395336023465733</v>
          </cell>
          <cell r="BN11">
            <v>0.91821353625182112</v>
          </cell>
          <cell r="BO11">
            <v>0.83681616755519628</v>
          </cell>
        </row>
        <row r="12">
          <cell r="J12">
            <v>0.79414900930348009</v>
          </cell>
          <cell r="K12">
            <v>0.80079736505456522</v>
          </cell>
          <cell r="R12">
            <v>40.896000000000001</v>
          </cell>
          <cell r="S12">
            <v>164.31</v>
          </cell>
          <cell r="AF12">
            <v>143.42709745904332</v>
          </cell>
          <cell r="AG12">
            <v>131.96254191925706</v>
          </cell>
          <cell r="AL12">
            <v>1.5038145539906103</v>
          </cell>
          <cell r="AM12">
            <v>1.493518349461384</v>
          </cell>
          <cell r="AR12">
            <v>0.21273474178403753</v>
          </cell>
          <cell r="AS12">
            <v>0.10650599476599111</v>
          </cell>
          <cell r="AX12">
            <v>934.23415492957599</v>
          </cell>
          <cell r="AY12">
            <v>985.51603675978311</v>
          </cell>
          <cell r="BD12">
            <v>540.60299295774655</v>
          </cell>
          <cell r="BE12">
            <v>274.25780536790217</v>
          </cell>
          <cell r="BJ12">
            <v>3.6678403755868545</v>
          </cell>
          <cell r="BK12">
            <v>2.0692593268821131</v>
          </cell>
          <cell r="BN12">
            <v>0.79414900930348009</v>
          </cell>
          <cell r="BO12">
            <v>0.82577361289161777</v>
          </cell>
        </row>
        <row r="13">
          <cell r="J13">
            <v>0.61549655220273636</v>
          </cell>
          <cell r="K13">
            <v>0.76362118518078903</v>
          </cell>
          <cell r="R13">
            <v>31.696000000000002</v>
          </cell>
          <cell r="S13">
            <v>196.006</v>
          </cell>
          <cell r="AF13">
            <v>154.55452844908407</v>
          </cell>
          <cell r="AG13">
            <v>135.61587704700517</v>
          </cell>
          <cell r="AL13">
            <v>2.1012115093387176</v>
          </cell>
          <cell r="AM13">
            <v>1.5917880064895973</v>
          </cell>
          <cell r="AR13">
            <v>0.29025744573447748</v>
          </cell>
          <cell r="AS13">
            <v>0.136220319786129</v>
          </cell>
          <cell r="AX13">
            <v>1215.3104492680498</v>
          </cell>
          <cell r="AY13">
            <v>1022.6759384916791</v>
          </cell>
          <cell r="BD13">
            <v>662.74482584553255</v>
          </cell>
          <cell r="BE13">
            <v>337.07978327194064</v>
          </cell>
          <cell r="BJ13">
            <v>3.8175164058556286</v>
          </cell>
          <cell r="BK13">
            <v>2.351968817281104</v>
          </cell>
          <cell r="BN13">
            <v>0.61549655220273636</v>
          </cell>
          <cell r="BO13">
            <v>0.78254128467538631</v>
          </cell>
        </row>
        <row r="14">
          <cell r="J14">
            <v>0.60328659142430663</v>
          </cell>
          <cell r="K14">
            <v>0.73598062523412833</v>
          </cell>
          <cell r="R14">
            <v>32.256</v>
          </cell>
          <cell r="S14">
            <v>228.262</v>
          </cell>
          <cell r="AF14">
            <v>155.07999586548448</v>
          </cell>
          <cell r="AG14">
            <v>138.36637698395865</v>
          </cell>
          <cell r="AL14">
            <v>1.8446180555555556</v>
          </cell>
          <cell r="AM14">
            <v>1.6275157494458123</v>
          </cell>
          <cell r="AR14">
            <v>0.21081349206349206</v>
          </cell>
          <cell r="AS14">
            <v>0.14676117794464255</v>
          </cell>
          <cell r="AX14">
            <v>1128.3091517857115</v>
          </cell>
          <cell r="AY14">
            <v>1037.6031052036694</v>
          </cell>
          <cell r="BD14">
            <v>515.5505952380953</v>
          </cell>
          <cell r="BE14">
            <v>362.29972575373915</v>
          </cell>
          <cell r="BJ14">
            <v>3.0691964285714284</v>
          </cell>
          <cell r="BK14">
            <v>2.4533211835522337</v>
          </cell>
          <cell r="BN14">
            <v>0.60328659142430663</v>
          </cell>
          <cell r="BO14">
            <v>0.75100806227117223</v>
          </cell>
        </row>
        <row r="15">
          <cell r="J15">
            <v>0.82758585572673593</v>
          </cell>
          <cell r="K15">
            <v>0.74965269582029903</v>
          </cell>
          <cell r="R15">
            <v>45.029000000000003</v>
          </cell>
          <cell r="S15">
            <v>273.291</v>
          </cell>
          <cell r="AF15">
            <v>110.61315994670527</v>
          </cell>
          <cell r="AG15">
            <v>133.79359701692539</v>
          </cell>
          <cell r="AL15">
            <v>1.3813320304692531</v>
          </cell>
          <cell r="AM15">
            <v>1.586953101273002</v>
          </cell>
          <cell r="AR15">
            <v>0.14879300006662372</v>
          </cell>
          <cell r="AS15">
            <v>0.14709595266583972</v>
          </cell>
          <cell r="AX15">
            <v>851.30249394834641</v>
          </cell>
          <cell r="AY15">
            <v>1006.9071429355523</v>
          </cell>
          <cell r="BD15">
            <v>384.40560527659954</v>
          </cell>
          <cell r="BE15">
            <v>365.94201784910592</v>
          </cell>
          <cell r="BJ15">
            <v>2.6649492549246041</v>
          </cell>
          <cell r="BK15">
            <v>2.4881902440987811</v>
          </cell>
          <cell r="BN15">
            <v>0.82758585572673593</v>
          </cell>
          <cell r="BO15">
            <v>0.76263522150269536</v>
          </cell>
        </row>
        <row r="16">
          <cell r="J16">
            <v>0.89908566958558589</v>
          </cell>
          <cell r="K16">
            <v>0.76876773720162528</v>
          </cell>
          <cell r="R16">
            <v>48.076999999999998</v>
          </cell>
          <cell r="S16">
            <v>321.36799999999999</v>
          </cell>
          <cell r="AF16">
            <v>122.3800097664496</v>
          </cell>
          <cell r="AG16">
            <v>132.08611203322718</v>
          </cell>
          <cell r="AL16">
            <v>1.364477816835493</v>
          </cell>
          <cell r="AM16">
            <v>1.5536705583629982</v>
          </cell>
          <cell r="AR16">
            <v>0.17263972377644199</v>
          </cell>
          <cell r="AS16">
            <v>0.15091732842100022</v>
          </cell>
          <cell r="AX16">
            <v>846.0232543627917</v>
          </cell>
          <cell r="AY16">
            <v>982.83873938911154</v>
          </cell>
          <cell r="BD16">
            <v>419.5270087567867</v>
          </cell>
          <cell r="BE16">
            <v>373.95839038112081</v>
          </cell>
          <cell r="BJ16">
            <v>2.7039956736069222</v>
          </cell>
          <cell r="BK16">
            <v>2.5204749695053645</v>
          </cell>
          <cell r="BN16">
            <v>0.89908566958558589</v>
          </cell>
          <cell r="BO16">
            <v>0.78035260163200815</v>
          </cell>
        </row>
        <row r="17">
          <cell r="J17">
            <v>0.56729199153931853</v>
          </cell>
          <cell r="K17">
            <v>0.74634941887020168</v>
          </cell>
          <cell r="R17">
            <v>29.690999999999999</v>
          </cell>
          <cell r="S17">
            <v>351.05899999999997</v>
          </cell>
          <cell r="AF17">
            <v>151.50503187453262</v>
          </cell>
          <cell r="AG17">
            <v>133.72847741627734</v>
          </cell>
          <cell r="AL17">
            <v>1.788420733555623</v>
          </cell>
          <cell r="AM17">
            <v>1.573524678187997</v>
          </cell>
          <cell r="AR17">
            <v>0.23576167862315181</v>
          </cell>
          <cell r="AS17">
            <v>0.15809308406848993</v>
          </cell>
          <cell r="AX17">
            <v>1108.7487790913087</v>
          </cell>
          <cell r="AY17">
            <v>993.48764737551267</v>
          </cell>
          <cell r="BD17">
            <v>589.73426290795078</v>
          </cell>
          <cell r="BE17">
            <v>392.2077485550862</v>
          </cell>
          <cell r="BJ17">
            <v>3.3680239803307401</v>
          </cell>
          <cell r="BK17">
            <v>2.5921568739157808</v>
          </cell>
          <cell r="BN17">
            <v>0.56729199153931853</v>
          </cell>
          <cell r="BO17">
            <v>0.75632825677364934</v>
          </cell>
        </row>
        <row r="18">
          <cell r="J18">
            <v>0.79855670533403555</v>
          </cell>
          <cell r="K18">
            <v>0.7515099431319574</v>
          </cell>
          <cell r="R18">
            <v>41.201000000000001</v>
          </cell>
          <cell r="S18">
            <v>392.26</v>
          </cell>
          <cell r="AF18">
            <v>125.67449225117583</v>
          </cell>
          <cell r="AG18">
            <v>132.88252768194974</v>
          </cell>
          <cell r="AL18">
            <v>1.4854008397854421</v>
          </cell>
          <cell r="AM18">
            <v>1.5642685973588948</v>
          </cell>
          <cell r="AR18">
            <v>0.18446154219557775</v>
          </cell>
          <cell r="AS18">
            <v>0.16086269311171164</v>
          </cell>
          <cell r="AX18">
            <v>1001.8528676488423</v>
          </cell>
          <cell r="AY18">
            <v>994.36628766634374</v>
          </cell>
          <cell r="BD18">
            <v>444.92123977573397</v>
          </cell>
          <cell r="BE18">
            <v>397.74450619487078</v>
          </cell>
          <cell r="BJ18">
            <v>2.8882794106939151</v>
          </cell>
          <cell r="BK18">
            <v>2.6232600825982768</v>
          </cell>
          <cell r="BN18">
            <v>0.79855670533403555</v>
          </cell>
          <cell r="BO18">
            <v>0.76055263087464942</v>
          </cell>
        </row>
        <row r="19">
          <cell r="J19">
            <v>0.86145438064165158</v>
          </cell>
          <cell r="K19">
            <v>0.7613829543496774</v>
          </cell>
          <cell r="R19">
            <v>44.362000000000002</v>
          </cell>
          <cell r="S19">
            <v>436.62200000000001</v>
          </cell>
          <cell r="AF19">
            <v>122.18345207177428</v>
          </cell>
          <cell r="AG19">
            <v>131.79547207728803</v>
          </cell>
          <cell r="AL19">
            <v>1.4426761642847481</v>
          </cell>
          <cell r="AM19">
            <v>1.5519144706405084</v>
          </cell>
          <cell r="AR19">
            <v>0.1870970650556783</v>
          </cell>
          <cell r="AS19">
            <v>0.16352817769145853</v>
          </cell>
          <cell r="AX19">
            <v>950.65100761913368</v>
          </cell>
          <cell r="AY19">
            <v>989.92469458708001</v>
          </cell>
          <cell r="BD19">
            <v>444.86844596726951</v>
          </cell>
          <cell r="BE19">
            <v>402.53242850795431</v>
          </cell>
          <cell r="BJ19">
            <v>2.6914927189942586</v>
          </cell>
          <cell r="BK19">
            <v>2.6301927067349409</v>
          </cell>
          <cell r="BN19">
            <v>0.86145438064165158</v>
          </cell>
          <cell r="BO19">
            <v>0.76971273880408997</v>
          </cell>
        </row>
        <row r="20">
          <cell r="J20">
            <v>0.83798892214390186</v>
          </cell>
          <cell r="K20">
            <v>0.76770865847960823</v>
          </cell>
          <cell r="R20">
            <v>43.253</v>
          </cell>
          <cell r="S20">
            <v>479.875</v>
          </cell>
          <cell r="AF20">
            <v>121.73825402856171</v>
          </cell>
          <cell r="AG20">
            <v>130.88897590169736</v>
          </cell>
          <cell r="AL20">
            <v>1.5027859339236584</v>
          </cell>
          <cell r="AM20">
            <v>1.5474863245636885</v>
          </cell>
          <cell r="AR20">
            <v>0.20114211730978196</v>
          </cell>
          <cell r="AS20">
            <v>0.16691846835113314</v>
          </cell>
          <cell r="AX20">
            <v>970.82468268097011</v>
          </cell>
          <cell r="AY20">
            <v>988.20313623339416</v>
          </cell>
          <cell r="BD20">
            <v>534.95937854021668</v>
          </cell>
          <cell r="BE20">
            <v>414.46858452722068</v>
          </cell>
          <cell r="BJ20">
            <v>2.8113656856166442</v>
          </cell>
          <cell r="BK20">
            <v>2.6465225319093513</v>
          </cell>
          <cell r="BN20">
            <v>0.83798892214390186</v>
          </cell>
          <cell r="BO20">
            <v>0.77540715059851373</v>
          </cell>
        </row>
        <row r="21">
          <cell r="J21">
            <v>0.65129982659244623</v>
          </cell>
          <cell r="K21">
            <v>0.7584916204685016</v>
          </cell>
          <cell r="R21">
            <v>35.006</v>
          </cell>
          <cell r="S21">
            <v>514.88099999999997</v>
          </cell>
          <cell r="AF21">
            <v>134.85413111011059</v>
          </cell>
          <cell r="AG21">
            <v>131.1585609577117</v>
          </cell>
          <cell r="AL21">
            <v>1.6025824144432383</v>
          </cell>
          <cell r="AM21">
            <v>1.5512322264756324</v>
          </cell>
          <cell r="AR21">
            <v>0.19710906701708281</v>
          </cell>
          <cell r="AS21">
            <v>0.16897108263851263</v>
          </cell>
          <cell r="AX21">
            <v>935.63789064731645</v>
          </cell>
          <cell r="AY21">
            <v>984.62930269324363</v>
          </cell>
          <cell r="BD21">
            <v>496.2492144203851</v>
          </cell>
          <cell r="BE21">
            <v>420.02872896844133</v>
          </cell>
          <cell r="BJ21">
            <v>3.1423184596926239</v>
          </cell>
          <cell r="BK21">
            <v>2.6802309659901997</v>
          </cell>
          <cell r="BN21">
            <v>0.65129982659244623</v>
          </cell>
          <cell r="BO21">
            <v>0.76548989438961834</v>
          </cell>
        </row>
        <row r="22">
          <cell r="J22">
            <v>0.87682703784411364</v>
          </cell>
          <cell r="K22">
            <v>0.7670764405273538</v>
          </cell>
          <cell r="R22">
            <v>46.558</v>
          </cell>
          <cell r="S22">
            <v>561.43899999999996</v>
          </cell>
          <cell r="AF22">
            <v>114.47302957648822</v>
          </cell>
          <cell r="AG22">
            <v>129.77489332855342</v>
          </cell>
          <cell r="AL22">
            <v>1.3402637570342368</v>
          </cell>
          <cell r="AM22">
            <v>1.5337374140378564</v>
          </cell>
          <cell r="AR22">
            <v>0.18471583830920571</v>
          </cell>
          <cell r="AS22">
            <v>0.17027673531763918</v>
          </cell>
          <cell r="AX22">
            <v>865.20898664032188</v>
          </cell>
          <cell r="AY22">
            <v>974.72623027612985</v>
          </cell>
          <cell r="BD22">
            <v>481.54130332058901</v>
          </cell>
          <cell r="BE22">
            <v>425.12973270471059</v>
          </cell>
          <cell r="BJ22">
            <v>3.0070020189870701</v>
          </cell>
          <cell r="BK22">
            <v>2.7073288460545135</v>
          </cell>
          <cell r="BN22">
            <v>0.87682703784411364</v>
          </cell>
          <cell r="BO22">
            <v>0.77363608558089947</v>
          </cell>
        </row>
        <row r="23">
          <cell r="J23">
            <v>0.49950639028801003</v>
          </cell>
          <cell r="K23">
            <v>0.7486610267583178</v>
          </cell>
          <cell r="R23">
            <v>27.021999999999998</v>
          </cell>
          <cell r="S23">
            <v>588.46100000000001</v>
          </cell>
          <cell r="AF23">
            <v>111.14337625539872</v>
          </cell>
          <cell r="AG23">
            <v>128.91933815267805</v>
          </cell>
          <cell r="AL23">
            <v>1.5357856561320407</v>
          </cell>
          <cell r="AM23">
            <v>1.5338314688653965</v>
          </cell>
          <cell r="AR23">
            <v>0.36636814447487237</v>
          </cell>
          <cell r="AS23">
            <v>0.17928120979979983</v>
          </cell>
          <cell r="AX23">
            <v>1081.9776478424947</v>
          </cell>
          <cell r="AY23">
            <v>979.65119183769184</v>
          </cell>
          <cell r="BD23">
            <v>895.56657538302795</v>
          </cell>
          <cell r="BE23">
            <v>446.73208929733693</v>
          </cell>
          <cell r="BJ23">
            <v>2.5904818296203094</v>
          </cell>
          <cell r="BK23">
            <v>2.7019632566984049</v>
          </cell>
          <cell r="BN23">
            <v>0.49950639028801003</v>
          </cell>
          <cell r="BO23">
            <v>0.75461905920763817</v>
          </cell>
        </row>
        <row r="24">
          <cell r="J24">
            <v>0.64699367035031441</v>
          </cell>
          <cell r="K24">
            <v>0.74200664432572949</v>
          </cell>
          <cell r="R24">
            <v>35.616999999999997</v>
          </cell>
          <cell r="S24">
            <v>624.07799999999997</v>
          </cell>
          <cell r="AF24">
            <v>114.70880255823872</v>
          </cell>
          <cell r="AG24">
            <v>128.10832310925858</v>
          </cell>
          <cell r="AL24">
            <v>1.6003593789482551</v>
          </cell>
          <cell r="AM24">
            <v>1.5376283092818528</v>
          </cell>
          <cell r="AR24">
            <v>0.22741949069264678</v>
          </cell>
          <cell r="AS24">
            <v>0.18202852848522141</v>
          </cell>
          <cell r="AX24">
            <v>931.86961282533684</v>
          </cell>
          <cell r="AY24">
            <v>976.92423062501814</v>
          </cell>
          <cell r="BD24">
            <v>576.12937642137183</v>
          </cell>
          <cell r="BE24">
            <v>454.11697255791773</v>
          </cell>
          <cell r="BJ24">
            <v>2.8076480332425526</v>
          </cell>
          <cell r="BK24">
            <v>2.707994833979086</v>
          </cell>
          <cell r="BN24">
            <v>0.64699367035031441</v>
          </cell>
          <cell r="BO24">
            <v>0.74752234454745936</v>
          </cell>
        </row>
        <row r="25">
          <cell r="J25">
            <v>0.73755848014438041</v>
          </cell>
          <cell r="K25">
            <v>0.74173332686755777</v>
          </cell>
          <cell r="R25">
            <v>40.612000000000002</v>
          </cell>
          <cell r="S25">
            <v>664.68999999999994</v>
          </cell>
          <cell r="AF25">
            <v>109.2805830117926</v>
          </cell>
          <cell r="AG25">
            <v>126.95796402331132</v>
          </cell>
          <cell r="AL25">
            <v>1.4773958435930266</v>
          </cell>
          <cell r="AM25">
            <v>1.5339481562833803</v>
          </cell>
          <cell r="AR25">
            <v>0.22160937653895399</v>
          </cell>
          <cell r="AS25">
            <v>0.18444688501406672</v>
          </cell>
          <cell r="AX25">
            <v>955.35211267605746</v>
          </cell>
          <cell r="AY25">
            <v>975.6061923603487</v>
          </cell>
          <cell r="BD25">
            <v>547.12892741061762</v>
          </cell>
          <cell r="BE25">
            <v>459.79992477696408</v>
          </cell>
          <cell r="BJ25">
            <v>3.2010243277848911</v>
          </cell>
          <cell r="BK25">
            <v>2.7381185214159989</v>
          </cell>
          <cell r="BN25">
            <v>0.73755848014438041</v>
          </cell>
          <cell r="BO25">
            <v>0.74690584545905725</v>
          </cell>
        </row>
        <row r="26">
          <cell r="J26">
            <v>0.79962302060702928</v>
          </cell>
          <cell r="K26">
            <v>0.74508771586096323</v>
          </cell>
          <cell r="R26">
            <v>44.075000000000003</v>
          </cell>
          <cell r="S26">
            <v>708.76499999999999</v>
          </cell>
          <cell r="AF26">
            <v>97.561036475996829</v>
          </cell>
          <cell r="AG26">
            <v>125.129897482712</v>
          </cell>
          <cell r="AL26">
            <v>1.3998865570051049</v>
          </cell>
          <cell r="AM26">
            <v>1.5256114509040373</v>
          </cell>
          <cell r="AR26">
            <v>0.21554169030062392</v>
          </cell>
          <cell r="AS26">
            <v>0.18638053515622247</v>
          </cell>
          <cell r="AX26">
            <v>826.0460578559273</v>
          </cell>
          <cell r="AY26">
            <v>966.30570076118329</v>
          </cell>
          <cell r="BD26">
            <v>577.87861599545909</v>
          </cell>
          <cell r="BE26">
            <v>467.1427229053354</v>
          </cell>
          <cell r="BJ26">
            <v>2.949517867271696</v>
          </cell>
          <cell r="BK26">
            <v>2.7512645235021482</v>
          </cell>
          <cell r="BN26">
            <v>0.79962302060702928</v>
          </cell>
          <cell r="BO26">
            <v>0.74998057495874293</v>
          </cell>
        </row>
        <row r="27">
          <cell r="J27">
            <v>0.87991102737070404</v>
          </cell>
          <cell r="K27">
            <v>0.75245188354108128</v>
          </cell>
          <cell r="R27">
            <v>48.36</v>
          </cell>
          <cell r="S27">
            <v>757.125</v>
          </cell>
          <cell r="AF27">
            <v>113.2691803261843</v>
          </cell>
          <cell r="AG27">
            <v>124.37231546958381</v>
          </cell>
          <cell r="AL27">
            <v>1.317204301075269</v>
          </cell>
          <cell r="AM27">
            <v>1.5122998183919432</v>
          </cell>
          <cell r="AR27">
            <v>0.17783291976840362</v>
          </cell>
          <cell r="AS27">
            <v>0.18583457157008423</v>
          </cell>
          <cell r="AX27">
            <v>747.86145574855345</v>
          </cell>
          <cell r="AY27">
            <v>952.35296681525517</v>
          </cell>
          <cell r="BD27">
            <v>480.76923076923265</v>
          </cell>
          <cell r="BE27">
            <v>468.01309162951981</v>
          </cell>
          <cell r="BJ27">
            <v>2.688172043010753</v>
          </cell>
          <cell r="BK27">
            <v>2.7472346045897309</v>
          </cell>
          <cell r="BN27">
            <v>0.87991102737070404</v>
          </cell>
          <cell r="BO27">
            <v>0.75712153320566267</v>
          </cell>
        </row>
        <row r="28">
          <cell r="J28">
            <v>1.0228372712514033</v>
          </cell>
          <cell r="K28">
            <v>0.7665394413062202</v>
          </cell>
          <cell r="R28">
            <v>56.57</v>
          </cell>
          <cell r="S28">
            <v>813.69500000000005</v>
          </cell>
          <cell r="AF28">
            <v>98.749055339009274</v>
          </cell>
          <cell r="AG28">
            <v>122.59092585113143</v>
          </cell>
          <cell r="AL28">
            <v>1.1967473926109247</v>
          </cell>
          <cell r="AM28">
            <v>1.4903618677760093</v>
          </cell>
          <cell r="AR28">
            <v>0.17500441930351776</v>
          </cell>
          <cell r="AS28">
            <v>0.18508163378169956</v>
          </cell>
          <cell r="AX28">
            <v>618.61799540392337</v>
          </cell>
          <cell r="AY28">
            <v>929.15092264300517</v>
          </cell>
          <cell r="BD28">
            <v>499.20452536680062</v>
          </cell>
          <cell r="BE28">
            <v>470.18159384044401</v>
          </cell>
          <cell r="BJ28">
            <v>3.0051263920806077</v>
          </cell>
          <cell r="BK28">
            <v>2.7651638513202119</v>
          </cell>
          <cell r="BN28">
            <v>1.0228372712514033</v>
          </cell>
          <cell r="BO28">
            <v>0.77104720749091249</v>
          </cell>
        </row>
        <row r="29">
          <cell r="J29">
            <v>0.85285087255454772</v>
          </cell>
          <cell r="K29">
            <v>0.77060678562481499</v>
          </cell>
          <cell r="R29">
            <v>44.771999999999998</v>
          </cell>
          <cell r="S29">
            <v>858.4670000000001</v>
          </cell>
          <cell r="AF29">
            <v>129.46024022603922</v>
          </cell>
          <cell r="AG29">
            <v>122.94918416879929</v>
          </cell>
          <cell r="AL29">
            <v>1.516572858036273</v>
          </cell>
          <cell r="AM29">
            <v>1.4917288608647741</v>
          </cell>
          <cell r="AR29">
            <v>0.22112034307156259</v>
          </cell>
          <cell r="AS29">
            <v>0.18696117614305502</v>
          </cell>
          <cell r="AX29">
            <v>850.86348610738776</v>
          </cell>
          <cell r="AY29">
            <v>925.06796417334613</v>
          </cell>
          <cell r="BD29">
            <v>606.40578933262066</v>
          </cell>
          <cell r="BE29">
            <v>477.28615310780742</v>
          </cell>
          <cell r="BJ29">
            <v>3.3503082283570089</v>
          </cell>
          <cell r="BK29">
            <v>2.7956811385877378</v>
          </cell>
          <cell r="BN29">
            <v>0.85285087255454772</v>
          </cell>
          <cell r="BO29">
            <v>0.77492372285689293</v>
          </cell>
        </row>
        <row r="30">
          <cell r="J30">
            <v>0.96970922546271421</v>
          </cell>
          <cell r="K30">
            <v>0.77940576858532828</v>
          </cell>
          <cell r="R30">
            <v>49.948</v>
          </cell>
          <cell r="S30">
            <v>908.41500000000008</v>
          </cell>
          <cell r="AF30">
            <v>114.21301051796424</v>
          </cell>
          <cell r="AG30">
            <v>122.46883718915683</v>
          </cell>
          <cell r="AL30">
            <v>1.4074637623128052</v>
          </cell>
          <cell r="AM30">
            <v>1.4870956556199535</v>
          </cell>
          <cell r="AR30">
            <v>0.19019780571794667</v>
          </cell>
          <cell r="AS30">
            <v>0.18713913794906514</v>
          </cell>
          <cell r="AX30">
            <v>792.77408504845232</v>
          </cell>
          <cell r="AY30">
            <v>917.79395980911818</v>
          </cell>
          <cell r="BD30">
            <v>510.73116040682396</v>
          </cell>
          <cell r="BE30">
            <v>479.12508269898689</v>
          </cell>
          <cell r="BJ30">
            <v>2.8029150316328981</v>
          </cell>
          <cell r="BK30">
            <v>2.7960788846507376</v>
          </cell>
          <cell r="BN30">
            <v>0.96970922546271421</v>
          </cell>
          <cell r="BO30">
            <v>0.78357800694030377</v>
          </cell>
        </row>
        <row r="31">
          <cell r="J31">
            <v>0.9739415593129358</v>
          </cell>
          <cell r="K31">
            <v>0.78763907976127889</v>
          </cell>
          <cell r="R31">
            <v>50.165999999999997</v>
          </cell>
          <cell r="S31">
            <v>958.58100000000013</v>
          </cell>
          <cell r="AF31">
            <v>114.1190442624054</v>
          </cell>
          <cell r="AG31">
            <v>122.03186241919641</v>
          </cell>
          <cell r="AL31">
            <v>1.3973607622692661</v>
          </cell>
          <cell r="AM31">
            <v>1.4823995051018117</v>
          </cell>
          <cell r="AR31">
            <v>0.18937128732607744</v>
          </cell>
          <cell r="AS31">
            <v>0.18725595437422607</v>
          </cell>
          <cell r="AX31">
            <v>772.11537694853064</v>
          </cell>
          <cell r="AY31">
            <v>910.17007430775277</v>
          </cell>
          <cell r="BD31">
            <v>484.98983375193995</v>
          </cell>
          <cell r="BE31">
            <v>479.43200626759761</v>
          </cell>
          <cell r="BJ31">
            <v>2.7907347605948249</v>
          </cell>
          <cell r="BK31">
            <v>2.7957992073700604</v>
          </cell>
          <cell r="BN31">
            <v>0.9739415593129358</v>
          </cell>
          <cell r="BO31">
            <v>0.79167603087244942</v>
          </cell>
        </row>
        <row r="32">
          <cell r="J32">
            <v>0.93084164579232986</v>
          </cell>
          <cell r="K32">
            <v>0.79345372941085435</v>
          </cell>
          <cell r="R32">
            <v>47.945999999999998</v>
          </cell>
          <cell r="S32">
            <v>1006.5270000000002</v>
          </cell>
          <cell r="AF32">
            <v>111.57051764572327</v>
          </cell>
          <cell r="AG32">
            <v>121.53353536338078</v>
          </cell>
          <cell r="AL32">
            <v>1.4495474075001042</v>
          </cell>
          <cell r="AM32">
            <v>1.4808345926140081</v>
          </cell>
          <cell r="AR32">
            <v>0.20648229257915157</v>
          </cell>
          <cell r="AS32">
            <v>0.18817180264414168</v>
          </cell>
          <cell r="AX32">
            <v>864.83669127768576</v>
          </cell>
          <cell r="AY32">
            <v>908.01061471773721</v>
          </cell>
          <cell r="BD32">
            <v>533.30830517665709</v>
          </cell>
          <cell r="BE32">
            <v>481.99840838844858</v>
          </cell>
          <cell r="BJ32">
            <v>3.128519584532599</v>
          </cell>
          <cell r="BK32">
            <v>2.8116483710819478</v>
          </cell>
          <cell r="BN32">
            <v>0.93084164579232986</v>
          </cell>
          <cell r="BO32">
            <v>0.79735454306174236</v>
          </cell>
        </row>
        <row r="33">
          <cell r="J33">
            <v>0.8343555785071024</v>
          </cell>
          <cell r="K33">
            <v>0.79508764768484597</v>
          </cell>
          <cell r="R33">
            <v>44.04</v>
          </cell>
          <cell r="S33">
            <v>1050.5670000000002</v>
          </cell>
          <cell r="AF33">
            <v>83.64112792172709</v>
          </cell>
          <cell r="AG33">
            <v>119.94507729861152</v>
          </cell>
          <cell r="AL33">
            <v>1.530426884650318</v>
          </cell>
          <cell r="AM33">
            <v>1.4829135124175801</v>
          </cell>
          <cell r="AR33">
            <v>0.22479564032697549</v>
          </cell>
          <cell r="AS33">
            <v>0.18970708198525177</v>
          </cell>
          <cell r="AX33">
            <v>866.49954586739307</v>
          </cell>
          <cell r="AY33">
            <v>906.27046156979986</v>
          </cell>
          <cell r="BD33">
            <v>535.87647593097188</v>
          </cell>
          <cell r="BE33">
            <v>484.25698884507125</v>
          </cell>
          <cell r="BJ33">
            <v>2.7247956403269753</v>
          </cell>
          <cell r="BK33">
            <v>2.8080074854816486</v>
          </cell>
          <cell r="BN33">
            <v>0.8343555785071024</v>
          </cell>
          <cell r="BO33">
            <v>0.79883960938519316</v>
          </cell>
        </row>
        <row r="34">
          <cell r="J34">
            <v>0.32501563337149919</v>
          </cell>
          <cell r="K34">
            <v>0.77689869989566374</v>
          </cell>
          <cell r="R34">
            <v>17.286000000000001</v>
          </cell>
          <cell r="S34">
            <v>1067.8530000000003</v>
          </cell>
          <cell r="AF34">
            <v>106.76847015210043</v>
          </cell>
          <cell r="AG34">
            <v>119.73177937171091</v>
          </cell>
          <cell r="AL34">
            <v>3.5346523197963666</v>
          </cell>
          <cell r="AM34">
            <v>1.5161262832992926</v>
          </cell>
          <cell r="AR34">
            <v>0.30082147402522269</v>
          </cell>
          <cell r="AS34">
            <v>0.1915057596878971</v>
          </cell>
          <cell r="AX34">
            <v>1938.5757260210582</v>
          </cell>
          <cell r="AY34">
            <v>922.98102828760125</v>
          </cell>
          <cell r="BD34">
            <v>670.48478537544827</v>
          </cell>
          <cell r="BE34">
            <v>487.27157389640706</v>
          </cell>
          <cell r="BJ34">
            <v>4.0495198426472285</v>
          </cell>
          <cell r="BK34">
            <v>2.8281046173958395</v>
          </cell>
          <cell r="BN34">
            <v>0.6056308259807226</v>
          </cell>
          <cell r="BO34">
            <v>0.79473544720239964</v>
          </cell>
        </row>
        <row r="35">
          <cell r="J35">
            <v>0.91180863207174212</v>
          </cell>
          <cell r="K35">
            <v>0.78205065864074841</v>
          </cell>
          <cell r="R35">
            <v>49.761000000000003</v>
          </cell>
          <cell r="S35">
            <v>1117.6140000000003</v>
          </cell>
          <cell r="AF35">
            <v>114.200154893877</v>
          </cell>
          <cell r="AG35">
            <v>119.48548757003208</v>
          </cell>
          <cell r="AL35">
            <v>1.2459556680934869</v>
          </cell>
          <cell r="AM35">
            <v>1.5040971211885317</v>
          </cell>
          <cell r="AR35">
            <v>0.1728261088000643</v>
          </cell>
          <cell r="AS35">
            <v>0.19067406099064613</v>
          </cell>
          <cell r="AX35">
            <v>784.18480336006235</v>
          </cell>
          <cell r="AY35">
            <v>916.80122117296298</v>
          </cell>
          <cell r="BD35">
            <v>445.73059223086631</v>
          </cell>
          <cell r="BE35">
            <v>485.42199006096934</v>
          </cell>
          <cell r="BJ35">
            <v>2.8134482827917444</v>
          </cell>
          <cell r="BK35">
            <v>2.8274520541081261</v>
          </cell>
          <cell r="BN35">
            <v>0.91180863207174212</v>
          </cell>
          <cell r="BO35">
            <v>0.79930489237715385</v>
          </cell>
        </row>
        <row r="36">
          <cell r="J36">
            <v>0.88749759282178886</v>
          </cell>
          <cell r="K36">
            <v>0.78592278373794733</v>
          </cell>
          <cell r="R36">
            <v>48.348999999999997</v>
          </cell>
          <cell r="S36">
            <v>1165.9630000000002</v>
          </cell>
          <cell r="AF36">
            <v>120.94420605671908</v>
          </cell>
          <cell r="AG36">
            <v>119.54597626488162</v>
          </cell>
          <cell r="AL36">
            <v>1.2761380793811663</v>
          </cell>
          <cell r="AM36">
            <v>1.4946443412012214</v>
          </cell>
          <cell r="AR36">
            <v>0.17787337897371197</v>
          </cell>
          <cell r="AS36">
            <v>0.19014325497464327</v>
          </cell>
          <cell r="AX36">
            <v>811.16010672402717</v>
          </cell>
          <cell r="AY36">
            <v>912.42059996758042</v>
          </cell>
          <cell r="BD36">
            <v>467.0210345612121</v>
          </cell>
          <cell r="BE36">
            <v>484.65895744547652</v>
          </cell>
          <cell r="BJ36">
            <v>2.8956131460836834</v>
          </cell>
          <cell r="BK36">
            <v>2.8302784908268954</v>
          </cell>
          <cell r="BN36">
            <v>0.88749759282178886</v>
          </cell>
          <cell r="BO36">
            <v>0.80261219502265613</v>
          </cell>
        </row>
        <row r="37">
          <cell r="J37">
            <v>0.84773450984723719</v>
          </cell>
          <cell r="K37">
            <v>0.78803843059556644</v>
          </cell>
          <cell r="R37">
            <v>44.572000000000003</v>
          </cell>
          <cell r="S37">
            <v>1210.5350000000003</v>
          </cell>
          <cell r="AF37">
            <v>124.64298229155791</v>
          </cell>
          <cell r="AG37">
            <v>119.73364845331153</v>
          </cell>
          <cell r="AL37">
            <v>1.4201741003320469</v>
          </cell>
          <cell r="AM37">
            <v>1.4919023407005989</v>
          </cell>
          <cell r="AR37">
            <v>0.24230458583864309</v>
          </cell>
          <cell r="AS37">
            <v>0.19206383954202066</v>
          </cell>
          <cell r="AX37">
            <v>917.37323880462986</v>
          </cell>
          <cell r="AY37">
            <v>912.60295654400727</v>
          </cell>
          <cell r="BD37">
            <v>608.67809387059049</v>
          </cell>
          <cell r="BE37">
            <v>489.22535242681965</v>
          </cell>
          <cell r="BJ37">
            <v>2.9166292739836668</v>
          </cell>
          <cell r="BK37">
            <v>2.8334579338887349</v>
          </cell>
          <cell r="BN37">
            <v>0.84773450984723719</v>
          </cell>
          <cell r="BO37">
            <v>0.80418825959973583</v>
          </cell>
        </row>
        <row r="38">
          <cell r="J38">
            <v>0.82012367549707033</v>
          </cell>
          <cell r="K38">
            <v>0.78914349694359243</v>
          </cell>
          <cell r="R38">
            <v>44.938000000000002</v>
          </cell>
          <cell r="S38">
            <v>1255.4730000000004</v>
          </cell>
          <cell r="AF38">
            <v>124.21549961800871</v>
          </cell>
          <cell r="AG38">
            <v>119.89407040395415</v>
          </cell>
          <cell r="AL38">
            <v>1.4108327028350169</v>
          </cell>
          <cell r="AM38">
            <v>1.4890005599483218</v>
          </cell>
          <cell r="AR38">
            <v>0.26480929280341803</v>
          </cell>
          <cell r="AS38">
            <v>0.19466766708642874</v>
          </cell>
          <cell r="AX38">
            <v>912.82656103965553</v>
          </cell>
          <cell r="AY38">
            <v>912.6109601719827</v>
          </cell>
          <cell r="BD38">
            <v>600.0756597979431</v>
          </cell>
          <cell r="BE38">
            <v>493.19309296177613</v>
          </cell>
          <cell r="BJ38">
            <v>5.1181628020828693</v>
          </cell>
          <cell r="BK38">
            <v>2.9152359309997098</v>
          </cell>
          <cell r="BN38">
            <v>0.82012367549707033</v>
          </cell>
          <cell r="BO38">
            <v>0.80474795314266201</v>
          </cell>
        </row>
        <row r="39">
          <cell r="J39">
            <v>0.78131922183136659</v>
          </cell>
          <cell r="K39">
            <v>0.78888926318585439</v>
          </cell>
          <cell r="R39">
            <v>41.746000000000002</v>
          </cell>
          <cell r="S39">
            <v>1297.2190000000005</v>
          </cell>
          <cell r="AF39">
            <v>124.92287478783395</v>
          </cell>
          <cell r="AG39">
            <v>120.055903115169</v>
          </cell>
          <cell r="AL39">
            <v>1.4779859148181862</v>
          </cell>
          <cell r="AM39">
            <v>1.4886460959945849</v>
          </cell>
          <cell r="AR39">
            <v>0.21319407847458438</v>
          </cell>
          <cell r="AS39">
            <v>0.19526386832138592</v>
          </cell>
          <cell r="AX39">
            <v>931.10669285680035</v>
          </cell>
          <cell r="AY39">
            <v>913.20617413096761</v>
          </cell>
          <cell r="BD39">
            <v>501.86365160733959</v>
          </cell>
          <cell r="BE39">
            <v>493.47212151533398</v>
          </cell>
          <cell r="BJ39">
            <v>5.5095098931634165</v>
          </cell>
          <cell r="BK39">
            <v>2.9987226520733956</v>
          </cell>
          <cell r="BN39">
            <v>0.78131922183136659</v>
          </cell>
          <cell r="BO39">
            <v>0.80397212983171706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0.37609655412551918</v>
          </cell>
          <cell r="K9">
            <v>0.37609655412551918</v>
          </cell>
          <cell r="R9">
            <v>18.686</v>
          </cell>
          <cell r="S9">
            <v>18.686</v>
          </cell>
          <cell r="AD9">
            <v>4.2598737022369688</v>
          </cell>
          <cell r="AE9">
            <v>4.2598737022369688</v>
          </cell>
          <cell r="AJ9">
            <v>2001.7446216418912</v>
          </cell>
          <cell r="AK9">
            <v>2001.7446216418912</v>
          </cell>
          <cell r="AN9">
            <v>0.48285259576940398</v>
          </cell>
          <cell r="AO9">
            <v>0.48285259576940398</v>
          </cell>
        </row>
        <row r="10">
          <cell r="J10">
            <v>0.95144340626518653</v>
          </cell>
          <cell r="K10">
            <v>0.67262166811495938</v>
          </cell>
          <cell r="R10">
            <v>50.273000000000003</v>
          </cell>
          <cell r="S10">
            <v>68.959000000000003</v>
          </cell>
          <cell r="AD10">
            <v>2.335249537525113</v>
          </cell>
          <cell r="AE10">
            <v>2.85676996476167</v>
          </cell>
          <cell r="AJ10">
            <v>877.5756370218528</v>
          </cell>
          <cell r="AK10">
            <v>1182.1946373932335</v>
          </cell>
          <cell r="AN10">
            <v>0.95144340626518653</v>
          </cell>
          <cell r="AO10">
            <v>0.75333867407072286</v>
          </cell>
        </row>
        <row r="11">
          <cell r="J11">
            <v>0.79954858172156829</v>
          </cell>
          <cell r="K11">
            <v>0.71604176544575815</v>
          </cell>
          <cell r="R11">
            <v>42.622</v>
          </cell>
          <cell r="S11">
            <v>111.581</v>
          </cell>
          <cell r="AD11">
            <v>2.9327577307493784</v>
          </cell>
          <cell r="AE11">
            <v>2.8857959688477428</v>
          </cell>
          <cell r="AJ11">
            <v>1059.4162639012723</v>
          </cell>
          <cell r="AK11">
            <v>1135.2954356028358</v>
          </cell>
          <cell r="AN11">
            <v>0.79954858172156829</v>
          </cell>
          <cell r="AO11">
            <v>0.77034534391841258</v>
          </cell>
        </row>
        <row r="12">
          <cell r="J12">
            <v>0.88507614153115599</v>
          </cell>
          <cell r="K12">
            <v>0.75890215850378762</v>
          </cell>
          <cell r="R12">
            <v>46.850999999999999</v>
          </cell>
          <cell r="S12">
            <v>158.43200000000002</v>
          </cell>
          <cell r="AD12">
            <v>2.7021835179611959</v>
          </cell>
          <cell r="AE12">
            <v>2.8314986871339123</v>
          </cell>
          <cell r="AJ12">
            <v>1068.1283217007065</v>
          </cell>
          <cell r="AK12">
            <v>1115.4329933346785</v>
          </cell>
          <cell r="AN12">
            <v>0.88507614153115599</v>
          </cell>
          <cell r="AO12">
            <v>0.80105225906011923</v>
          </cell>
        </row>
        <row r="13">
          <cell r="J13">
            <v>0.8686689062107863</v>
          </cell>
          <cell r="K13">
            <v>0.77983073900478805</v>
          </cell>
          <cell r="R13">
            <v>42.722000000000001</v>
          </cell>
          <cell r="S13">
            <v>201.15400000000002</v>
          </cell>
          <cell r="AD13">
            <v>2.88610083797575</v>
          </cell>
          <cell r="AE13">
            <v>2.843095339888841</v>
          </cell>
          <cell r="AJ13">
            <v>1140.8866626094368</v>
          </cell>
          <cell r="AK13">
            <v>1120.8389592053857</v>
          </cell>
          <cell r="AN13">
            <v>0.8686689062107863</v>
          </cell>
          <cell r="AO13">
            <v>0.81451776951987642</v>
          </cell>
        </row>
        <row r="14">
          <cell r="J14">
            <v>0.87306104100585646</v>
          </cell>
          <cell r="K14">
            <v>0.79531403765496866</v>
          </cell>
          <cell r="R14">
            <v>44.848999999999997</v>
          </cell>
          <cell r="S14">
            <v>246.00300000000001</v>
          </cell>
          <cell r="AD14">
            <v>2.7782113313563293</v>
          </cell>
          <cell r="AE14">
            <v>2.8312662853705035</v>
          </cell>
          <cell r="AJ14">
            <v>1130.448393498179</v>
          </cell>
          <cell r="AK14">
            <v>1122.5908627130564</v>
          </cell>
          <cell r="AN14">
            <v>0.87306104100585646</v>
          </cell>
          <cell r="AO14">
            <v>0.82459838900179572</v>
          </cell>
        </row>
        <row r="15">
          <cell r="J15">
            <v>0.87556478294184226</v>
          </cell>
          <cell r="K15">
            <v>0.80655069326450646</v>
          </cell>
          <cell r="R15">
            <v>44.094999999999999</v>
          </cell>
          <cell r="S15">
            <v>290.09800000000001</v>
          </cell>
          <cell r="AD15">
            <v>2.7985032316589185</v>
          </cell>
          <cell r="AE15">
            <v>2.8262862894608025</v>
          </cell>
          <cell r="AJ15">
            <v>1250.0646331783682</v>
          </cell>
          <cell r="AK15">
            <v>1141.966921523072</v>
          </cell>
          <cell r="AN15">
            <v>0.87556478294184226</v>
          </cell>
          <cell r="AO15">
            <v>0.8319594838005735</v>
          </cell>
        </row>
        <row r="16">
          <cell r="J16">
            <v>0.87151233144856644</v>
          </cell>
          <cell r="K16">
            <v>0.81515145495298824</v>
          </cell>
          <cell r="R16">
            <v>47.835000000000001</v>
          </cell>
          <cell r="S16">
            <v>337.93299999999999</v>
          </cell>
          <cell r="AD16">
            <v>2.5817915752064389</v>
          </cell>
          <cell r="AE16">
            <v>2.7916776402422965</v>
          </cell>
          <cell r="AJ16">
            <v>1012.9302811748767</v>
          </cell>
          <cell r="AK16">
            <v>1123.7015621439764</v>
          </cell>
          <cell r="AN16">
            <v>0.87151233144856644</v>
          </cell>
          <cell r="AO16">
            <v>0.8373387194300822</v>
          </cell>
        </row>
        <row r="17">
          <cell r="J17">
            <v>0.99998577545127387</v>
          </cell>
          <cell r="K17">
            <v>0.83747378998608968</v>
          </cell>
          <cell r="R17">
            <v>56.942999999999998</v>
          </cell>
          <cell r="S17">
            <v>394.87599999999998</v>
          </cell>
          <cell r="AD17">
            <v>2.1899092074530673</v>
          </cell>
          <cell r="AE17">
            <v>2.7048997660024918</v>
          </cell>
          <cell r="AJ17">
            <v>1038.9287533147146</v>
          </cell>
          <cell r="AK17">
            <v>1111.4769193367035</v>
          </cell>
          <cell r="AN17">
            <v>0.99998577545127387</v>
          </cell>
          <cell r="AO17">
            <v>0.85745005071465608</v>
          </cell>
        </row>
        <row r="18">
          <cell r="J18">
            <v>0.71953196799091435</v>
          </cell>
          <cell r="K18">
            <v>0.82500005518797526</v>
          </cell>
          <cell r="R18">
            <v>40.125</v>
          </cell>
          <cell r="S18">
            <v>435.00099999999998</v>
          </cell>
          <cell r="AD18">
            <v>3.1102803738317757</v>
          </cell>
          <cell r="AE18">
            <v>2.7422925464539158</v>
          </cell>
          <cell r="AJ18">
            <v>1295.3130866043507</v>
          </cell>
          <cell r="AK18">
            <v>1128.4341819903857</v>
          </cell>
          <cell r="AN18">
            <v>0.71953196799091435</v>
          </cell>
          <cell r="AO18">
            <v>0.84255324131963039</v>
          </cell>
        </row>
        <row r="19">
          <cell r="J19">
            <v>0.97475648960176264</v>
          </cell>
          <cell r="K19">
            <v>0.83913282875750539</v>
          </cell>
          <cell r="R19">
            <v>53.558</v>
          </cell>
          <cell r="S19">
            <v>488.55899999999997</v>
          </cell>
          <cell r="AD19">
            <v>2.259232981067254</v>
          </cell>
          <cell r="AE19">
            <v>2.6893374188173791</v>
          </cell>
          <cell r="AJ19">
            <v>910.47406549908487</v>
          </cell>
          <cell r="AK19">
            <v>1104.540429303318</v>
          </cell>
          <cell r="AN19">
            <v>0.97475648960176264</v>
          </cell>
          <cell r="AO19">
            <v>0.85526940948150421</v>
          </cell>
        </row>
        <row r="20">
          <cell r="J20">
            <v>0.91862460150190139</v>
          </cell>
          <cell r="K20">
            <v>0.84603596192248465</v>
          </cell>
          <cell r="R20">
            <v>50.863</v>
          </cell>
          <cell r="S20">
            <v>539.42200000000003</v>
          </cell>
          <cell r="AD20">
            <v>2.4084304897469675</v>
          </cell>
          <cell r="AE20">
            <v>2.6628502359933406</v>
          </cell>
          <cell r="AJ20">
            <v>982.53386548178696</v>
          </cell>
          <cell r="AK20">
            <v>1093.0362269243742</v>
          </cell>
          <cell r="AN20">
            <v>0.91862460150190139</v>
          </cell>
          <cell r="AO20">
            <v>0.86086767973304945</v>
          </cell>
        </row>
        <row r="21">
          <cell r="J21">
            <v>0.88299529872078708</v>
          </cell>
          <cell r="K21">
            <v>0.84889086658475921</v>
          </cell>
          <cell r="R21">
            <v>47.128</v>
          </cell>
          <cell r="S21">
            <v>586.55000000000007</v>
          </cell>
          <cell r="AD21">
            <v>2.595060261415719</v>
          </cell>
          <cell r="AE21">
            <v>2.6574034609155222</v>
          </cell>
          <cell r="AJ21">
            <v>947.30117976575184</v>
          </cell>
          <cell r="AK21">
            <v>1081.3267370215669</v>
          </cell>
          <cell r="AN21">
            <v>0.88299529872078708</v>
          </cell>
          <cell r="AO21">
            <v>0.86260452847271474</v>
          </cell>
        </row>
        <row r="22">
          <cell r="J22">
            <v>0.78521739195970297</v>
          </cell>
          <cell r="K22">
            <v>0.84429088868958402</v>
          </cell>
          <cell r="R22">
            <v>42.247999999999998</v>
          </cell>
          <cell r="S22">
            <v>628.79800000000012</v>
          </cell>
          <cell r="AD22">
            <v>3.0604999053209623</v>
          </cell>
          <cell r="AE22">
            <v>2.6844869099456417</v>
          </cell>
          <cell r="AJ22">
            <v>1034.5720507479562</v>
          </cell>
          <cell r="AK22">
            <v>1078.185359368191</v>
          </cell>
          <cell r="AN22">
            <v>0.78521739195970297</v>
          </cell>
          <cell r="AO22">
            <v>0.85693013710340848</v>
          </cell>
        </row>
        <row r="23">
          <cell r="J23">
            <v>0.87302044167031734</v>
          </cell>
          <cell r="K23">
            <v>0.84623166893951685</v>
          </cell>
          <cell r="R23">
            <v>47.104999999999997</v>
          </cell>
          <cell r="S23">
            <v>675.90300000000013</v>
          </cell>
          <cell r="AD23">
            <v>2.7767752892474262</v>
          </cell>
          <cell r="AE23">
            <v>2.6909186673235648</v>
          </cell>
          <cell r="AJ23">
            <v>939.19541449952305</v>
          </cell>
          <cell r="AK23">
            <v>1068.4988786852548</v>
          </cell>
          <cell r="AN23">
            <v>0.87302044167031734</v>
          </cell>
          <cell r="AO23">
            <v>0.8580322500335219</v>
          </cell>
        </row>
        <row r="24">
          <cell r="J24">
            <v>0.95223504770126577</v>
          </cell>
          <cell r="K24">
            <v>0.85300467534243063</v>
          </cell>
          <cell r="R24">
            <v>51.912999999999997</v>
          </cell>
          <cell r="S24">
            <v>727.81600000000014</v>
          </cell>
          <cell r="AD24">
            <v>2.5041897020014257</v>
          </cell>
          <cell r="AE24">
            <v>2.6775998329248041</v>
          </cell>
          <cell r="AJ24">
            <v>952.75942442162807</v>
          </cell>
          <cell r="AK24">
            <v>1060.2435197907159</v>
          </cell>
          <cell r="AN24">
            <v>0.95223504770126577</v>
          </cell>
          <cell r="AO24">
            <v>0.86412976863281843</v>
          </cell>
        </row>
        <row r="25">
          <cell r="J25">
            <v>0.89401389437451462</v>
          </cell>
          <cell r="K25">
            <v>0.85537787286234113</v>
          </cell>
          <cell r="R25">
            <v>46.854999999999997</v>
          </cell>
          <cell r="S25">
            <v>774.67100000000016</v>
          </cell>
          <cell r="AD25">
            <v>2.7745171273076514</v>
          </cell>
          <cell r="AE25">
            <v>2.6834617534411374</v>
          </cell>
          <cell r="AJ25">
            <v>1083.9428022622949</v>
          </cell>
          <cell r="AK25">
            <v>1061.6769410498127</v>
          </cell>
          <cell r="AN25">
            <v>0.89401389437451462</v>
          </cell>
          <cell r="AO25">
            <v>0.86588039246242343</v>
          </cell>
        </row>
        <row r="26">
          <cell r="J26">
            <v>0.87901943184681275</v>
          </cell>
          <cell r="K26">
            <v>0.85663362666432008</v>
          </cell>
          <cell r="R26">
            <v>44.656999999999996</v>
          </cell>
          <cell r="S26">
            <v>819.3280000000002</v>
          </cell>
          <cell r="AD26">
            <v>2.837181181001859</v>
          </cell>
          <cell r="AE26">
            <v>2.6918401421652853</v>
          </cell>
          <cell r="AJ26">
            <v>1173.2084555612741</v>
          </cell>
          <cell r="AK26">
            <v>1067.7559019098569</v>
          </cell>
          <cell r="AN26">
            <v>0.87901943184681275</v>
          </cell>
          <cell r="AO26">
            <v>0.86658639905218848</v>
          </cell>
        </row>
        <row r="27">
          <cell r="J27">
            <v>0.9208868732678257</v>
          </cell>
          <cell r="K27">
            <v>0.85987438840450869</v>
          </cell>
          <cell r="R27">
            <v>46.783999999999999</v>
          </cell>
          <cell r="S27">
            <v>866.11200000000019</v>
          </cell>
          <cell r="AD27">
            <v>2.7466655266757867</v>
          </cell>
          <cell r="AE27">
            <v>2.6948015960984248</v>
          </cell>
          <cell r="AJ27">
            <v>1160.7573101915339</v>
          </cell>
          <cell r="AK27">
            <v>1072.7794760954703</v>
          </cell>
          <cell r="AN27">
            <v>0.9208868732678257</v>
          </cell>
          <cell r="AO27">
            <v>0.86935536729506502</v>
          </cell>
        </row>
        <row r="28">
          <cell r="J28">
            <v>1.006362058993638</v>
          </cell>
          <cell r="K28">
            <v>0.86677509103043548</v>
          </cell>
          <cell r="R28">
            <v>50.112000000000002</v>
          </cell>
          <cell r="S28">
            <v>916.22400000000016</v>
          </cell>
          <cell r="AD28">
            <v>2.5762292464878676</v>
          </cell>
          <cell r="AE28">
            <v>2.6883163942442012</v>
          </cell>
          <cell r="AJ28">
            <v>1025.2600175606613</v>
          </cell>
          <cell r="AK28">
            <v>1070.1804445201174</v>
          </cell>
          <cell r="AN28">
            <v>1.006362058993638</v>
          </cell>
          <cell r="AO28">
            <v>0.87587721761002035</v>
          </cell>
        </row>
        <row r="29">
          <cell r="J29">
            <v>0.81316847105021561</v>
          </cell>
          <cell r="K29">
            <v>0.86425918758821818</v>
          </cell>
          <cell r="R29">
            <v>42.328000000000003</v>
          </cell>
          <cell r="S29">
            <v>958.55200000000013</v>
          </cell>
          <cell r="AD29">
            <v>3.113778113778114</v>
          </cell>
          <cell r="AE29">
            <v>2.7071040486066478</v>
          </cell>
          <cell r="AJ29">
            <v>1136.8902381402249</v>
          </cell>
          <cell r="AK29">
            <v>1073.1262337358842</v>
          </cell>
          <cell r="AN29">
            <v>0.81316847105021561</v>
          </cell>
          <cell r="AO29">
            <v>0.87290468598092164</v>
          </cell>
        </row>
        <row r="30">
          <cell r="J30">
            <v>0.9509244795551024</v>
          </cell>
          <cell r="K30">
            <v>0.86842517031950572</v>
          </cell>
          <cell r="R30">
            <v>53.258000000000003</v>
          </cell>
          <cell r="S30">
            <v>1011.8100000000002</v>
          </cell>
          <cell r="AD30">
            <v>2.5198092305381348</v>
          </cell>
          <cell r="AE30">
            <v>2.6972455302873057</v>
          </cell>
          <cell r="AJ30">
            <v>830.03905516542068</v>
          </cell>
          <cell r="AK30">
            <v>1060.3310083909028</v>
          </cell>
          <cell r="AN30">
            <v>0.9509244795551024</v>
          </cell>
          <cell r="AO30">
            <v>0.87669077737378776</v>
          </cell>
        </row>
        <row r="31">
          <cell r="J31">
            <v>0.67091061566078947</v>
          </cell>
          <cell r="K31">
            <v>0.85930990015527031</v>
          </cell>
          <cell r="R31">
            <v>37.82</v>
          </cell>
          <cell r="S31">
            <v>1049.6300000000001</v>
          </cell>
          <cell r="AD31">
            <v>3.4082496033844527</v>
          </cell>
          <cell r="AE31">
            <v>2.7228642474014646</v>
          </cell>
          <cell r="AJ31">
            <v>1127.3376520359652</v>
          </cell>
          <cell r="AK31">
            <v>1062.7453746558306</v>
          </cell>
          <cell r="AN31">
            <v>0.76272745024648581</v>
          </cell>
          <cell r="AO31">
            <v>0.8719962094218594</v>
          </cell>
        </row>
        <row r="32">
          <cell r="J32">
            <v>0.77639116918864315</v>
          </cell>
          <cell r="K32">
            <v>0.85572903697865932</v>
          </cell>
          <cell r="R32">
            <v>42.802999999999997</v>
          </cell>
          <cell r="S32">
            <v>1092.433</v>
          </cell>
          <cell r="AD32">
            <v>3.0838959885989303</v>
          </cell>
          <cell r="AE32">
            <v>2.7370099585054639</v>
          </cell>
          <cell r="AJ32">
            <v>1102.9177861364892</v>
          </cell>
          <cell r="AK32">
            <v>1064.3193839805276</v>
          </cell>
          <cell r="AN32">
            <v>0.77639116918864315</v>
          </cell>
          <cell r="AO32">
            <v>0.86780920084649926</v>
          </cell>
        </row>
        <row r="33">
          <cell r="J33">
            <v>0.88950665109299365</v>
          </cell>
          <cell r="K33">
            <v>0.85705205286257669</v>
          </cell>
          <cell r="R33">
            <v>46.290999999999997</v>
          </cell>
          <cell r="S33">
            <v>1138.7239999999999</v>
          </cell>
          <cell r="AD33">
            <v>2.9141733814348365</v>
          </cell>
          <cell r="AE33">
            <v>2.7442119424900149</v>
          </cell>
          <cell r="AJ33">
            <v>1077.4439955930961</v>
          </cell>
          <cell r="AK33">
            <v>1064.8529209887556</v>
          </cell>
          <cell r="AN33">
            <v>0.88950665109299365</v>
          </cell>
          <cell r="AO33">
            <v>0.8686705767165499</v>
          </cell>
        </row>
        <row r="34">
          <cell r="J34">
            <v>0.81208703577124641</v>
          </cell>
          <cell r="K34">
            <v>0.85533759323814884</v>
          </cell>
          <cell r="R34">
            <v>42.771000000000001</v>
          </cell>
          <cell r="S34">
            <v>1181.4949999999999</v>
          </cell>
          <cell r="AD34">
            <v>3.175048514180169</v>
          </cell>
          <cell r="AE34">
            <v>2.7598085476451444</v>
          </cell>
          <cell r="AJ34">
            <v>1108.9366626920107</v>
          </cell>
          <cell r="AK34">
            <v>1066.4487853101366</v>
          </cell>
          <cell r="AN34">
            <v>0.81208703577124641</v>
          </cell>
          <cell r="AO34">
            <v>0.866484999728655</v>
          </cell>
        </row>
        <row r="35">
          <cell r="J35">
            <v>0.73505445590878105</v>
          </cell>
          <cell r="K35">
            <v>0.85098125627830346</v>
          </cell>
          <cell r="R35">
            <v>38.155000000000001</v>
          </cell>
          <cell r="S35">
            <v>1219.6499999999999</v>
          </cell>
          <cell r="AD35">
            <v>3.4884025684707112</v>
          </cell>
          <cell r="AE35">
            <v>2.7826015660230397</v>
          </cell>
          <cell r="AJ35">
            <v>1310.3847464290407</v>
          </cell>
          <cell r="AK35">
            <v>1074.0799717951872</v>
          </cell>
          <cell r="AN35">
            <v>0.73505445590878105</v>
          </cell>
          <cell r="AO35">
            <v>0.86166517143131294</v>
          </cell>
        </row>
        <row r="36">
          <cell r="J36">
            <v>0.79284083043622589</v>
          </cell>
          <cell r="K36">
            <v>0.84898180014360647</v>
          </cell>
          <cell r="R36">
            <v>40.47</v>
          </cell>
          <cell r="S36">
            <v>1260.1199999999999</v>
          </cell>
          <cell r="AD36">
            <v>3.3012107734124041</v>
          </cell>
          <cell r="AE36">
            <v>2.7992572135987048</v>
          </cell>
          <cell r="AJ36">
            <v>1117.2021250308771</v>
          </cell>
          <cell r="AK36">
            <v>1075.4648823921527</v>
          </cell>
          <cell r="AN36">
            <v>0.79284083043622589</v>
          </cell>
          <cell r="AO36">
            <v>0.85926961278484226</v>
          </cell>
        </row>
        <row r="37">
          <cell r="J37">
            <v>0.82674455884845854</v>
          </cell>
          <cell r="K37">
            <v>0.84822770152224869</v>
          </cell>
          <cell r="R37">
            <v>43.073999999999998</v>
          </cell>
          <cell r="S37">
            <v>1303.194</v>
          </cell>
          <cell r="AD37">
            <v>3.1620002785903329</v>
          </cell>
          <cell r="AE37">
            <v>2.8112468289448844</v>
          </cell>
          <cell r="AJ37">
            <v>1139.2891303338567</v>
          </cell>
          <cell r="AK37">
            <v>1077.5744421782174</v>
          </cell>
          <cell r="AN37">
            <v>0.82674455884845854</v>
          </cell>
          <cell r="AO37">
            <v>0.85815373172199161</v>
          </cell>
        </row>
        <row r="38">
          <cell r="J38">
            <v>0.74764744878637046</v>
          </cell>
          <cell r="K38">
            <v>0.84492620435648247</v>
          </cell>
          <cell r="R38">
            <v>38.984000000000002</v>
          </cell>
          <cell r="S38">
            <v>1342.1779999999999</v>
          </cell>
          <cell r="AD38">
            <v>3.5476092756002462</v>
          </cell>
          <cell r="AE38">
            <v>2.8326347176007949</v>
          </cell>
          <cell r="AJ38">
            <v>1413.8626103016481</v>
          </cell>
          <cell r="AK38">
            <v>1087.3420422626502</v>
          </cell>
          <cell r="AN38">
            <v>0.74764744878637046</v>
          </cell>
          <cell r="AO38">
            <v>0.85448537945354086</v>
          </cell>
        </row>
        <row r="39">
          <cell r="J39">
            <v>0.84111558774454287</v>
          </cell>
          <cell r="K39">
            <v>0.84480150722122049</v>
          </cell>
          <cell r="R39">
            <v>45.201999999999998</v>
          </cell>
          <cell r="S39">
            <v>1387.3799999999999</v>
          </cell>
          <cell r="AD39">
            <v>3.1038449626122744</v>
          </cell>
          <cell r="AE39">
            <v>2.8414709740662256</v>
          </cell>
          <cell r="AJ39">
            <v>1309.8969072165071</v>
          </cell>
          <cell r="AK39">
            <v>1094.5930657786623</v>
          </cell>
          <cell r="AN39">
            <v>0.84111558774454287</v>
          </cell>
          <cell r="AO39">
            <v>0.85404308554088593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BB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J9">
            <v>6.3779031213958406E-2</v>
          </cell>
          <cell r="K9">
            <v>6.3779031213958406E-2</v>
          </cell>
          <cell r="R9">
            <v>3.3639999999999999</v>
          </cell>
          <cell r="S9">
            <v>3.3639999999999999</v>
          </cell>
          <cell r="X9">
            <v>0</v>
          </cell>
          <cell r="Y9">
            <v>0</v>
          </cell>
          <cell r="AD9">
            <v>0.11890606420927469</v>
          </cell>
          <cell r="AE9">
            <v>0.11890606420927469</v>
          </cell>
          <cell r="AJ9">
            <v>0</v>
          </cell>
          <cell r="AK9">
            <v>0</v>
          </cell>
          <cell r="AP9">
            <v>1542.0035671820278</v>
          </cell>
          <cell r="AQ9">
            <v>1542.0035671820278</v>
          </cell>
          <cell r="AV9">
            <v>0</v>
          </cell>
          <cell r="AW9">
            <v>0</v>
          </cell>
          <cell r="BA9" t="e">
            <v>#DIV/0!</v>
          </cell>
          <cell r="BB9" t="e">
            <v>#DIV/0!</v>
          </cell>
        </row>
        <row r="10">
          <cell r="J10">
            <v>0</v>
          </cell>
          <cell r="K10">
            <v>3.1889515606979203E-2</v>
          </cell>
          <cell r="R10">
            <v>0</v>
          </cell>
          <cell r="S10">
            <v>3.3639999999999999</v>
          </cell>
          <cell r="X10">
            <v>0</v>
          </cell>
          <cell r="Y10">
            <v>0</v>
          </cell>
          <cell r="AD10">
            <v>0</v>
          </cell>
          <cell r="AE10">
            <v>0.14863258026159334</v>
          </cell>
          <cell r="AJ10">
            <v>0</v>
          </cell>
          <cell r="AK10">
            <v>0</v>
          </cell>
          <cell r="AP10">
            <v>0</v>
          </cell>
          <cell r="AQ10">
            <v>2806.6230677764597</v>
          </cell>
          <cell r="AV10">
            <v>0</v>
          </cell>
          <cell r="AW10">
            <v>0</v>
          </cell>
          <cell r="BA10" t="e">
            <v>#DIV/0!</v>
          </cell>
          <cell r="BB10" t="e">
            <v>#DIV/0!</v>
          </cell>
        </row>
        <row r="11">
          <cell r="J11">
            <v>0</v>
          </cell>
          <cell r="K11">
            <v>2.1259677071319465E-2</v>
          </cell>
          <cell r="R11">
            <v>0</v>
          </cell>
          <cell r="S11">
            <v>3.3639999999999999</v>
          </cell>
          <cell r="X11">
            <v>0</v>
          </cell>
          <cell r="Y11">
            <v>0</v>
          </cell>
          <cell r="AD11">
            <v>0</v>
          </cell>
          <cell r="AE11">
            <v>0.178359096313912</v>
          </cell>
          <cell r="AJ11">
            <v>0</v>
          </cell>
          <cell r="AK11">
            <v>0</v>
          </cell>
          <cell r="AP11">
            <v>0</v>
          </cell>
          <cell r="AQ11">
            <v>3318.5790725326924</v>
          </cell>
          <cell r="AV11">
            <v>0</v>
          </cell>
          <cell r="AW11">
            <v>0</v>
          </cell>
          <cell r="BA11" t="e">
            <v>#DIV/0!</v>
          </cell>
          <cell r="BB11" t="e">
            <v>#DIV/0!</v>
          </cell>
        </row>
        <row r="12">
          <cell r="J12">
            <v>0</v>
          </cell>
          <cell r="K12">
            <v>1.5944757803489602E-2</v>
          </cell>
          <cell r="R12">
            <v>0</v>
          </cell>
          <cell r="S12">
            <v>3.3639999999999999</v>
          </cell>
          <cell r="X12">
            <v>0</v>
          </cell>
          <cell r="Y12">
            <v>0</v>
          </cell>
          <cell r="AD12">
            <v>0</v>
          </cell>
          <cell r="AE12">
            <v>0.20808561236623066</v>
          </cell>
          <cell r="AJ12">
            <v>0</v>
          </cell>
          <cell r="AK12">
            <v>0</v>
          </cell>
          <cell r="AP12">
            <v>0</v>
          </cell>
          <cell r="AQ12">
            <v>4500.6361474434116</v>
          </cell>
          <cell r="AV12">
            <v>0</v>
          </cell>
          <cell r="AW12">
            <v>0</v>
          </cell>
          <cell r="BA12" t="e">
            <v>#DIV/0!</v>
          </cell>
          <cell r="BB12" t="e">
            <v>#DIV/0!</v>
          </cell>
        </row>
        <row r="13">
          <cell r="J13">
            <v>0</v>
          </cell>
          <cell r="K13">
            <v>1.2755806242791681E-2</v>
          </cell>
          <cell r="R13">
            <v>0</v>
          </cell>
          <cell r="S13">
            <v>3.3639999999999999</v>
          </cell>
          <cell r="X13">
            <v>0</v>
          </cell>
          <cell r="Y13">
            <v>0</v>
          </cell>
          <cell r="AD13">
            <v>0</v>
          </cell>
          <cell r="AE13">
            <v>0.23781212841854935</v>
          </cell>
          <cell r="AJ13">
            <v>0</v>
          </cell>
          <cell r="AK13">
            <v>0</v>
          </cell>
          <cell r="AP13">
            <v>0</v>
          </cell>
          <cell r="AQ13">
            <v>5398.5196195004892</v>
          </cell>
          <cell r="AV13">
            <v>0</v>
          </cell>
          <cell r="AW13">
            <v>0</v>
          </cell>
          <cell r="BA13" t="e">
            <v>#DIV/0!</v>
          </cell>
          <cell r="BB13" t="e">
            <v>#DIV/0!</v>
          </cell>
        </row>
        <row r="14">
          <cell r="J14">
            <v>0</v>
          </cell>
          <cell r="K14">
            <v>1.0629838535659734E-2</v>
          </cell>
          <cell r="R14">
            <v>0</v>
          </cell>
          <cell r="S14">
            <v>3.3639999999999999</v>
          </cell>
          <cell r="X14">
            <v>0</v>
          </cell>
          <cell r="Y14">
            <v>0</v>
          </cell>
          <cell r="AD14">
            <v>0</v>
          </cell>
          <cell r="AE14">
            <v>0.267538644470868</v>
          </cell>
          <cell r="AJ14">
            <v>0</v>
          </cell>
          <cell r="AK14">
            <v>0</v>
          </cell>
          <cell r="AP14">
            <v>0</v>
          </cell>
          <cell r="AQ14">
            <v>6062.8299643282871</v>
          </cell>
          <cell r="AV14">
            <v>0</v>
          </cell>
          <cell r="AW14">
            <v>0</v>
          </cell>
          <cell r="BA14" t="e">
            <v>#DIV/0!</v>
          </cell>
          <cell r="BB14" t="e">
            <v>#DIV/0!</v>
          </cell>
        </row>
        <row r="15">
          <cell r="J15">
            <v>0</v>
          </cell>
          <cell r="K15">
            <v>9.1112901734226297E-3</v>
          </cell>
          <cell r="R15">
            <v>0</v>
          </cell>
          <cell r="S15">
            <v>3.3639999999999999</v>
          </cell>
          <cell r="X15">
            <v>0</v>
          </cell>
          <cell r="Y15">
            <v>0</v>
          </cell>
          <cell r="AD15">
            <v>0</v>
          </cell>
          <cell r="AE15">
            <v>0.29726516052318663</v>
          </cell>
          <cell r="AJ15">
            <v>0</v>
          </cell>
          <cell r="AK15">
            <v>0</v>
          </cell>
          <cell r="AP15">
            <v>0</v>
          </cell>
          <cell r="AQ15">
            <v>6933.3115338883435</v>
          </cell>
          <cell r="AV15">
            <v>0</v>
          </cell>
          <cell r="AW15">
            <v>0</v>
          </cell>
          <cell r="BA15" t="e">
            <v>#DIV/0!</v>
          </cell>
          <cell r="BB15" t="e">
            <v>#DIV/0!</v>
          </cell>
        </row>
        <row r="16">
          <cell r="J16">
            <v>0</v>
          </cell>
          <cell r="K16">
            <v>7.9723789017448025E-3</v>
          </cell>
          <cell r="R16">
            <v>0</v>
          </cell>
          <cell r="S16">
            <v>3.3639999999999999</v>
          </cell>
          <cell r="X16">
            <v>0</v>
          </cell>
          <cell r="Y16">
            <v>0</v>
          </cell>
          <cell r="AD16">
            <v>0</v>
          </cell>
          <cell r="AE16">
            <v>0.77288941736028538</v>
          </cell>
          <cell r="AJ16">
            <v>0</v>
          </cell>
          <cell r="AK16">
            <v>0</v>
          </cell>
          <cell r="AP16">
            <v>0</v>
          </cell>
          <cell r="AQ16">
            <v>7658.4185493462001</v>
          </cell>
          <cell r="AV16">
            <v>0</v>
          </cell>
          <cell r="AW16">
            <v>0</v>
          </cell>
          <cell r="BA16" t="e">
            <v>#DIV/0!</v>
          </cell>
          <cell r="BB16" t="e">
            <v>#DIV/0!</v>
          </cell>
        </row>
        <row r="17">
          <cell r="J17">
            <v>0.33723214167880161</v>
          </cell>
          <cell r="K17">
            <v>4.4702660782263773E-2</v>
          </cell>
          <cell r="R17">
            <v>17.867000000000001</v>
          </cell>
          <cell r="S17">
            <v>21.231000000000002</v>
          </cell>
          <cell r="X17">
            <v>154.95052041217542</v>
          </cell>
          <cell r="Y17">
            <v>130.39898960031735</v>
          </cell>
          <cell r="AD17">
            <v>3.5764258129512507</v>
          </cell>
          <cell r="AE17">
            <v>3.1322123310253871</v>
          </cell>
          <cell r="AJ17">
            <v>0</v>
          </cell>
          <cell r="AK17">
            <v>0</v>
          </cell>
          <cell r="AP17">
            <v>932.9971455756081</v>
          </cell>
          <cell r="AQ17">
            <v>1998.6237106118415</v>
          </cell>
          <cell r="AV17">
            <v>0</v>
          </cell>
          <cell r="AW17">
            <v>0</v>
          </cell>
          <cell r="BA17">
            <v>0.43567001734586691</v>
          </cell>
          <cell r="BB17">
            <v>0.51769799844798237</v>
          </cell>
        </row>
        <row r="18">
          <cell r="J18">
            <v>0.73928462722957766</v>
          </cell>
          <cell r="K18">
            <v>0.11276735752957592</v>
          </cell>
          <cell r="R18">
            <v>38.145000000000003</v>
          </cell>
          <cell r="S18">
            <v>59.376000000000005</v>
          </cell>
          <cell r="X18">
            <v>99.602258379038304</v>
          </cell>
          <cell r="Y18">
            <v>110.6142059767036</v>
          </cell>
          <cell r="AD18">
            <v>2.4957399397037618</v>
          </cell>
          <cell r="AE18">
            <v>2.7233225545675017</v>
          </cell>
          <cell r="AJ18">
            <v>0</v>
          </cell>
          <cell r="AK18">
            <v>0</v>
          </cell>
          <cell r="AP18">
            <v>938.93255734691513</v>
          </cell>
          <cell r="AQ18">
            <v>1317.8449609269417</v>
          </cell>
          <cell r="AV18">
            <v>0</v>
          </cell>
          <cell r="AW18">
            <v>0</v>
          </cell>
          <cell r="BA18">
            <v>0.73928462722957766</v>
          </cell>
          <cell r="BB18">
            <v>0.64115706501251613</v>
          </cell>
        </row>
        <row r="19">
          <cell r="J19">
            <v>0.68754318232120826</v>
          </cell>
          <cell r="K19">
            <v>0.16405009032838719</v>
          </cell>
          <cell r="R19">
            <v>35.463999999999999</v>
          </cell>
          <cell r="S19">
            <v>94.84</v>
          </cell>
          <cell r="X19">
            <v>116.09759699008728</v>
          </cell>
          <cell r="Y19">
            <v>112.66463806125275</v>
          </cell>
          <cell r="AD19">
            <v>2.7746447101285812</v>
          </cell>
          <cell r="AE19">
            <v>2.7425137072964993</v>
          </cell>
          <cell r="AJ19">
            <v>0</v>
          </cell>
          <cell r="AK19">
            <v>0</v>
          </cell>
          <cell r="AP19">
            <v>1129.8547823145291</v>
          </cell>
          <cell r="AQ19">
            <v>1247.5488443694703</v>
          </cell>
          <cell r="AV19">
            <v>0</v>
          </cell>
          <cell r="AW19">
            <v>0</v>
          </cell>
          <cell r="BA19">
            <v>0.68754318232120826</v>
          </cell>
          <cell r="BB19">
            <v>0.6577508568407836</v>
          </cell>
        </row>
        <row r="20">
          <cell r="J20">
            <v>0.86841445826486119</v>
          </cell>
          <cell r="K20">
            <v>0.2217134582497351</v>
          </cell>
          <cell r="R20">
            <v>44.765000000000001</v>
          </cell>
          <cell r="S20">
            <v>139.60500000000002</v>
          </cell>
          <cell r="X20">
            <v>80.058133559749095</v>
          </cell>
          <cell r="Y20">
            <v>102.20920900061873</v>
          </cell>
          <cell r="AD20">
            <v>2.0194348263152015</v>
          </cell>
          <cell r="AE20">
            <v>2.510655062497761</v>
          </cell>
          <cell r="AJ20">
            <v>0</v>
          </cell>
          <cell r="AK20">
            <v>0</v>
          </cell>
          <cell r="AP20">
            <v>830.70747235562874</v>
          </cell>
          <cell r="AQ20">
            <v>1113.8866974678574</v>
          </cell>
          <cell r="AV20">
            <v>0</v>
          </cell>
          <cell r="AW20">
            <v>0</v>
          </cell>
          <cell r="BA20">
            <v>0.86841445826486119</v>
          </cell>
          <cell r="BB20">
            <v>0.71322999059258263</v>
          </cell>
        </row>
        <row r="21">
          <cell r="J21">
            <v>0.81946711240461079</v>
          </cell>
          <cell r="K21">
            <v>0.26693727592403049</v>
          </cell>
          <cell r="R21">
            <v>42.232999999999997</v>
          </cell>
          <cell r="S21">
            <v>181.83800000000002</v>
          </cell>
          <cell r="X21">
            <v>93.920133236222071</v>
          </cell>
          <cell r="Y21">
            <v>100.28401989406363</v>
          </cell>
          <cell r="AD21">
            <v>2.2328510880117443</v>
          </cell>
          <cell r="AE21">
            <v>2.4461333714625102</v>
          </cell>
          <cell r="AJ21">
            <v>0</v>
          </cell>
          <cell r="AK21">
            <v>0</v>
          </cell>
          <cell r="AP21">
            <v>951.49314517083803</v>
          </cell>
          <cell r="AQ21">
            <v>1076.1697906928159</v>
          </cell>
          <cell r="AV21">
            <v>0</v>
          </cell>
          <cell r="AW21">
            <v>0</v>
          </cell>
          <cell r="BA21">
            <v>0.81946711240461079</v>
          </cell>
          <cell r="BB21">
            <v>0.73537211105124856</v>
          </cell>
        </row>
        <row r="22">
          <cell r="J22">
            <v>0.75745989323230734</v>
          </cell>
          <cell r="K22">
            <v>0.30178191955444045</v>
          </cell>
          <cell r="R22">
            <v>39.456000000000003</v>
          </cell>
          <cell r="S22">
            <v>221.29400000000004</v>
          </cell>
          <cell r="X22">
            <v>104.12925723859529</v>
          </cell>
          <cell r="Y22">
            <v>100.96961319829168</v>
          </cell>
          <cell r="AD22">
            <v>2.417883211678832</v>
          </cell>
          <cell r="AE22">
            <v>2.4410964599130565</v>
          </cell>
          <cell r="AJ22">
            <v>0</v>
          </cell>
          <cell r="AK22">
            <v>0</v>
          </cell>
          <cell r="AP22">
            <v>1067.736212489863</v>
          </cell>
          <cell r="AQ22">
            <v>1074.6661111462593</v>
          </cell>
          <cell r="AV22">
            <v>0</v>
          </cell>
          <cell r="AW22">
            <v>0</v>
          </cell>
          <cell r="BA22">
            <v>0.75745989323230734</v>
          </cell>
          <cell r="BB22">
            <v>0.73921543427824876</v>
          </cell>
        </row>
        <row r="23">
          <cell r="J23">
            <v>0.76448884990270061</v>
          </cell>
          <cell r="K23">
            <v>0.33238779618664105</v>
          </cell>
          <cell r="R23">
            <v>39.707000000000001</v>
          </cell>
          <cell r="S23">
            <v>261.00100000000003</v>
          </cell>
          <cell r="X23">
            <v>98.70618142526061</v>
          </cell>
          <cell r="Y23">
            <v>100.62526936278246</v>
          </cell>
          <cell r="AD23">
            <v>2.3874883521797163</v>
          </cell>
          <cell r="AE23">
            <v>2.4329408699583523</v>
          </cell>
          <cell r="AJ23">
            <v>0</v>
          </cell>
          <cell r="AK23">
            <v>0</v>
          </cell>
          <cell r="AP23">
            <v>1051.4720326390757</v>
          </cell>
          <cell r="AQ23">
            <v>1071.1375144156539</v>
          </cell>
          <cell r="AV23">
            <v>0</v>
          </cell>
          <cell r="AW23">
            <v>0</v>
          </cell>
          <cell r="BA23">
            <v>0.76448884990270061</v>
          </cell>
          <cell r="BB23">
            <v>0.74295205032030054</v>
          </cell>
        </row>
        <row r="24">
          <cell r="J24">
            <v>0.83539903279744832</v>
          </cell>
          <cell r="K24">
            <v>0.36398765963483876</v>
          </cell>
          <cell r="R24">
            <v>43.972000000000001</v>
          </cell>
          <cell r="S24">
            <v>304.97300000000001</v>
          </cell>
          <cell r="X24">
            <v>89.321843600723909</v>
          </cell>
          <cell r="Y24">
            <v>98.995504637350251</v>
          </cell>
          <cell r="AD24">
            <v>2.3151096152096788</v>
          </cell>
          <cell r="AE24">
            <v>2.4159515760411576</v>
          </cell>
          <cell r="AJ24">
            <v>0</v>
          </cell>
          <cell r="AK24">
            <v>0</v>
          </cell>
          <cell r="AP24">
            <v>956.53142909124028</v>
          </cell>
          <cell r="AQ24">
            <v>1054.6132359258036</v>
          </cell>
          <cell r="AV24">
            <v>0</v>
          </cell>
          <cell r="AW24">
            <v>0</v>
          </cell>
          <cell r="BA24">
            <v>0.83539903279744832</v>
          </cell>
          <cell r="BB24">
            <v>0.7549985174013798</v>
          </cell>
        </row>
        <row r="25">
          <cell r="J25">
            <v>1.0551597752404343</v>
          </cell>
          <cell r="K25">
            <v>0.40450480002206313</v>
          </cell>
          <cell r="R25">
            <v>55.052999999999997</v>
          </cell>
          <cell r="S25">
            <v>360.02600000000001</v>
          </cell>
          <cell r="X25">
            <v>75.246750648764362</v>
          </cell>
          <cell r="Y25">
            <v>95.363988709796075</v>
          </cell>
          <cell r="AD25">
            <v>1.8999872849799284</v>
          </cell>
          <cell r="AE25">
            <v>2.3370534350296923</v>
          </cell>
          <cell r="AJ25">
            <v>0</v>
          </cell>
          <cell r="AK25">
            <v>0</v>
          </cell>
          <cell r="AP25">
            <v>808.82313407080449</v>
          </cell>
          <cell r="AQ25">
            <v>1017.0284990528464</v>
          </cell>
          <cell r="AV25">
            <v>0</v>
          </cell>
          <cell r="AW25">
            <v>0</v>
          </cell>
          <cell r="BA25">
            <v>1.0551597752404343</v>
          </cell>
          <cell r="BB25">
            <v>0.78933409825383793</v>
          </cell>
        </row>
        <row r="26">
          <cell r="J26">
            <v>0.92884415584716962</v>
          </cell>
          <cell r="K26">
            <v>0.43329510068281685</v>
          </cell>
          <cell r="R26">
            <v>48.03</v>
          </cell>
          <cell r="S26">
            <v>408.05600000000004</v>
          </cell>
          <cell r="X26">
            <v>80.822047243634216</v>
          </cell>
          <cell r="Y26">
            <v>93.652337738802501</v>
          </cell>
          <cell r="AD26">
            <v>2.1403289610660003</v>
          </cell>
          <cell r="AE26">
            <v>2.3138980924186874</v>
          </cell>
          <cell r="AJ26">
            <v>0</v>
          </cell>
          <cell r="AK26">
            <v>0</v>
          </cell>
          <cell r="AP26">
            <v>972.14178638351359</v>
          </cell>
          <cell r="AQ26">
            <v>1011.745134001216</v>
          </cell>
          <cell r="AV26">
            <v>0</v>
          </cell>
          <cell r="AW26">
            <v>0</v>
          </cell>
          <cell r="BA26">
            <v>0.92884415584716962</v>
          </cell>
          <cell r="BB26">
            <v>0.8035398061272897</v>
          </cell>
        </row>
        <row r="27">
          <cell r="J27">
            <v>0.86881282319173403</v>
          </cell>
          <cell r="K27">
            <v>0.45631364018158782</v>
          </cell>
          <cell r="R27">
            <v>45.658000000000001</v>
          </cell>
          <cell r="S27">
            <v>453.71400000000006</v>
          </cell>
          <cell r="X27">
            <v>104.19428006977368</v>
          </cell>
          <cell r="Y27">
            <v>94.713191058178765</v>
          </cell>
          <cell r="AD27">
            <v>2.2537123833720267</v>
          </cell>
          <cell r="AE27">
            <v>2.3078415036785285</v>
          </cell>
          <cell r="AJ27">
            <v>0</v>
          </cell>
          <cell r="AK27">
            <v>0</v>
          </cell>
          <cell r="AP27">
            <v>863.48219370099264</v>
          </cell>
          <cell r="AQ27">
            <v>996.82518591006703</v>
          </cell>
          <cell r="AV27">
            <v>0</v>
          </cell>
          <cell r="AW27">
            <v>0</v>
          </cell>
          <cell r="BA27">
            <v>0.86881282319173403</v>
          </cell>
          <cell r="BB27">
            <v>0.80966113142886742</v>
          </cell>
        </row>
        <row r="28">
          <cell r="J28">
            <v>0.93397021892165755</v>
          </cell>
          <cell r="K28">
            <v>0.48022558162664908</v>
          </cell>
          <cell r="R28">
            <v>48.939</v>
          </cell>
          <cell r="S28">
            <v>502.65300000000008</v>
          </cell>
          <cell r="X28">
            <v>93.356340331274566</v>
          </cell>
          <cell r="Y28">
            <v>94.581086171260807</v>
          </cell>
          <cell r="AD28">
            <v>2.1026175442898305</v>
          </cell>
          <cell r="AE28">
            <v>2.2878606115948772</v>
          </cell>
          <cell r="AJ28">
            <v>0</v>
          </cell>
          <cell r="AK28">
            <v>0</v>
          </cell>
          <cell r="AP28">
            <v>828.33384417335969</v>
          </cell>
          <cell r="AQ28">
            <v>980.4206329217177</v>
          </cell>
          <cell r="AV28">
            <v>0</v>
          </cell>
          <cell r="AW28">
            <v>0</v>
          </cell>
          <cell r="BA28">
            <v>0.93397021892165755</v>
          </cell>
          <cell r="BB28">
            <v>0.82029091851297264</v>
          </cell>
        </row>
        <row r="29">
          <cell r="J29">
            <v>0.815387169305125</v>
          </cell>
          <cell r="K29">
            <v>0.49463714927567271</v>
          </cell>
          <cell r="R29">
            <v>38.347000000000001</v>
          </cell>
          <cell r="S29">
            <v>541.00000000000011</v>
          </cell>
          <cell r="X29">
            <v>117.99635237697272</v>
          </cell>
          <cell r="Y29">
            <v>96.240800058858653</v>
          </cell>
          <cell r="AD29">
            <v>2.3939291209221061</v>
          </cell>
          <cell r="AE29">
            <v>2.2953789279112748</v>
          </cell>
          <cell r="AJ29">
            <v>0</v>
          </cell>
          <cell r="AK29">
            <v>0</v>
          </cell>
          <cell r="AP29">
            <v>1095.060630557799</v>
          </cell>
          <cell r="AQ29">
            <v>988.5465109057302</v>
          </cell>
          <cell r="AV29">
            <v>0</v>
          </cell>
          <cell r="AW29">
            <v>0</v>
          </cell>
          <cell r="BA29">
            <v>0.815387169305125</v>
          </cell>
          <cell r="BB29">
            <v>0.81994139104052155</v>
          </cell>
        </row>
        <row r="30">
          <cell r="J30">
            <v>0.83047657000280273</v>
          </cell>
          <cell r="K30">
            <v>0.50809846652076174</v>
          </cell>
          <cell r="R30">
            <v>37.927999999999997</v>
          </cell>
          <cell r="S30">
            <v>578.92800000000011</v>
          </cell>
          <cell r="X30">
            <v>121.34276921136684</v>
          </cell>
          <cell r="Y30">
            <v>97.885335279156052</v>
          </cell>
          <cell r="AD30">
            <v>2.4098291499683615</v>
          </cell>
          <cell r="AE30">
            <v>2.3028770417046678</v>
          </cell>
          <cell r="AJ30">
            <v>0</v>
          </cell>
          <cell r="AK30">
            <v>0</v>
          </cell>
          <cell r="AP30">
            <v>1117.8079519088797</v>
          </cell>
          <cell r="AQ30">
            <v>997.01496973716939</v>
          </cell>
          <cell r="AV30">
            <v>0</v>
          </cell>
          <cell r="AW30">
            <v>0</v>
          </cell>
          <cell r="BA30">
            <v>0.83047657000280273</v>
          </cell>
          <cell r="BB30">
            <v>0.82062340587383142</v>
          </cell>
        </row>
        <row r="31">
          <cell r="J31">
            <v>0.83073164472014116</v>
          </cell>
          <cell r="K31">
            <v>0.52187274663598016</v>
          </cell>
          <cell r="R31">
            <v>42.213000000000001</v>
          </cell>
          <cell r="S31">
            <v>621.14100000000008</v>
          </cell>
          <cell r="X31">
            <v>110.86878510250803</v>
          </cell>
          <cell r="Y31">
            <v>98.767695914491924</v>
          </cell>
          <cell r="AD31">
            <v>2.2812877549570039</v>
          </cell>
          <cell r="AE31">
            <v>2.3014098248223829</v>
          </cell>
          <cell r="AJ31">
            <v>0</v>
          </cell>
          <cell r="AK31">
            <v>0</v>
          </cell>
          <cell r="AP31">
            <v>1052.422476488289</v>
          </cell>
          <cell r="AQ31">
            <v>1000.7804868781809</v>
          </cell>
          <cell r="AV31">
            <v>0</v>
          </cell>
          <cell r="AW31">
            <v>0</v>
          </cell>
          <cell r="BA31">
            <v>0.83073164472014116</v>
          </cell>
          <cell r="BB31">
            <v>0.82130256875662688</v>
          </cell>
        </row>
        <row r="32">
          <cell r="J32">
            <v>0.80693926922324177</v>
          </cell>
          <cell r="K32">
            <v>0.53287600769733623</v>
          </cell>
          <cell r="R32">
            <v>38.56</v>
          </cell>
          <cell r="S32">
            <v>659.70100000000002</v>
          </cell>
          <cell r="X32">
            <v>110.54564214103092</v>
          </cell>
          <cell r="Y32">
            <v>99.456125379500079</v>
          </cell>
          <cell r="AD32">
            <v>2.3314315352697097</v>
          </cell>
          <cell r="AE32">
            <v>2.3031646154848939</v>
          </cell>
          <cell r="AJ32">
            <v>0</v>
          </cell>
          <cell r="AK32">
            <v>0</v>
          </cell>
          <cell r="AP32">
            <v>1166.7061721991709</v>
          </cell>
          <cell r="AQ32">
            <v>1010.4789630453801</v>
          </cell>
          <cell r="AV32">
            <v>0</v>
          </cell>
          <cell r="AW32">
            <v>0</v>
          </cell>
          <cell r="BA32">
            <v>0.83318679818975483</v>
          </cell>
          <cell r="BB32">
            <v>0.82198787382093152</v>
          </cell>
        </row>
        <row r="33">
          <cell r="J33">
            <v>0.46427469827431206</v>
          </cell>
          <cell r="K33">
            <v>0.53022159835193838</v>
          </cell>
          <cell r="R33">
            <v>23.135000000000002</v>
          </cell>
          <cell r="S33">
            <v>682.83600000000001</v>
          </cell>
          <cell r="X33">
            <v>134.53402750495522</v>
          </cell>
          <cell r="Y33">
            <v>100.6445912273353</v>
          </cell>
          <cell r="AD33">
            <v>3.7907931705208555</v>
          </cell>
          <cell r="AE33">
            <v>2.3535665957858112</v>
          </cell>
          <cell r="AJ33">
            <v>0</v>
          </cell>
          <cell r="AK33">
            <v>0</v>
          </cell>
          <cell r="AP33">
            <v>1845.0814782796624</v>
          </cell>
          <cell r="AQ33">
            <v>1038.7559273383365</v>
          </cell>
          <cell r="AV33">
            <v>0</v>
          </cell>
          <cell r="AW33">
            <v>0</v>
          </cell>
          <cell r="BA33">
            <v>0.46427469827431206</v>
          </cell>
          <cell r="BB33">
            <v>0.80107629163125771</v>
          </cell>
        </row>
        <row r="34">
          <cell r="J34">
            <v>0.49465140196536939</v>
          </cell>
          <cell r="K34">
            <v>0.5289248069736836</v>
          </cell>
          <cell r="R34">
            <v>24.103000000000002</v>
          </cell>
          <cell r="S34">
            <v>706.93899999999996</v>
          </cell>
          <cell r="X34">
            <v>51.242638741480434</v>
          </cell>
          <cell r="Y34">
            <v>98.960237611582656</v>
          </cell>
          <cell r="AD34">
            <v>3.2858980209932374</v>
          </cell>
          <cell r="AE34">
            <v>2.3853543233574612</v>
          </cell>
          <cell r="AJ34">
            <v>0</v>
          </cell>
          <cell r="AK34">
            <v>0</v>
          </cell>
          <cell r="AP34">
            <v>1365.4038916317477</v>
          </cell>
          <cell r="AQ34">
            <v>1049.8929503111308</v>
          </cell>
          <cell r="AV34">
            <v>0</v>
          </cell>
          <cell r="AW34">
            <v>0</v>
          </cell>
          <cell r="BA34">
            <v>0.83570358095048725</v>
          </cell>
          <cell r="BB34">
            <v>0.80220958732884828</v>
          </cell>
        </row>
        <row r="35">
          <cell r="J35">
            <v>0.56080583350215796</v>
          </cell>
          <cell r="K35">
            <v>0.53005399515933571</v>
          </cell>
          <cell r="R35">
            <v>27.523</v>
          </cell>
          <cell r="S35">
            <v>734.46199999999999</v>
          </cell>
          <cell r="X35">
            <v>119.15685967192412</v>
          </cell>
          <cell r="Y35">
            <v>99.717079529839523</v>
          </cell>
          <cell r="AD35">
            <v>2.8594266613377903</v>
          </cell>
          <cell r="AE35">
            <v>2.4031195623463164</v>
          </cell>
          <cell r="AJ35">
            <v>0</v>
          </cell>
          <cell r="AK35">
            <v>0</v>
          </cell>
          <cell r="AP35">
            <v>1336.6177378919385</v>
          </cell>
          <cell r="AQ35">
            <v>1060.6375856068798</v>
          </cell>
          <cell r="AV35">
            <v>0</v>
          </cell>
          <cell r="AW35">
            <v>0</v>
          </cell>
          <cell r="BA35">
            <v>0.56080583350215796</v>
          </cell>
          <cell r="BB35">
            <v>0.78947466982232872</v>
          </cell>
        </row>
        <row r="36">
          <cell r="J36">
            <v>1.0354079048772293</v>
          </cell>
          <cell r="K36">
            <v>0.54731994830388797</v>
          </cell>
          <cell r="R36">
            <v>50.752000000000002</v>
          </cell>
          <cell r="S36">
            <v>785.21399999999994</v>
          </cell>
          <cell r="X36">
            <v>78.568637208093321</v>
          </cell>
          <cell r="Y36">
            <v>98.350158225948789</v>
          </cell>
          <cell r="AD36">
            <v>1.8087957124842369</v>
          </cell>
          <cell r="AE36">
            <v>2.3647056725937139</v>
          </cell>
          <cell r="AJ36">
            <v>0</v>
          </cell>
          <cell r="AK36">
            <v>0</v>
          </cell>
          <cell r="AP36">
            <v>812.05016551071867</v>
          </cell>
          <cell r="AQ36">
            <v>1044.5702348659097</v>
          </cell>
          <cell r="AV36">
            <v>0</v>
          </cell>
          <cell r="AW36">
            <v>0</v>
          </cell>
          <cell r="BA36">
            <v>1.0354079048772293</v>
          </cell>
          <cell r="BB36">
            <v>0.80178382261850023</v>
          </cell>
        </row>
        <row r="37">
          <cell r="J37">
            <v>0.82954698594074572</v>
          </cell>
          <cell r="K37">
            <v>0.55677131086856846</v>
          </cell>
          <cell r="R37">
            <v>41.235999999999997</v>
          </cell>
          <cell r="S37">
            <v>826.44999999999993</v>
          </cell>
          <cell r="X37">
            <v>100.31041766461873</v>
          </cell>
          <cell r="Y37">
            <v>98.447966028251415</v>
          </cell>
          <cell r="AD37">
            <v>2.2553108933941219</v>
          </cell>
          <cell r="AE37">
            <v>2.3592473833867751</v>
          </cell>
          <cell r="AJ37">
            <v>0</v>
          </cell>
          <cell r="AK37">
            <v>0</v>
          </cell>
          <cell r="AP37">
            <v>1070.999611989525</v>
          </cell>
          <cell r="AQ37">
            <v>1045.8889375037816</v>
          </cell>
          <cell r="AV37">
            <v>0</v>
          </cell>
          <cell r="AW37">
            <v>0</v>
          </cell>
          <cell r="BA37">
            <v>0.82954698594074572</v>
          </cell>
          <cell r="BB37">
            <v>0.80312495307355136</v>
          </cell>
        </row>
        <row r="38">
          <cell r="J38">
            <v>0.73589135703641773</v>
          </cell>
          <cell r="K38">
            <v>0.56292282912310532</v>
          </cell>
          <cell r="R38">
            <v>38.847999999999999</v>
          </cell>
          <cell r="S38">
            <v>865.29799999999989</v>
          </cell>
          <cell r="X38">
            <v>105.66834529875221</v>
          </cell>
          <cell r="Y38">
            <v>98.772128679615932</v>
          </cell>
          <cell r="AD38">
            <v>2.3990939044481054</v>
          </cell>
          <cell r="AE38">
            <v>2.3610363135012453</v>
          </cell>
          <cell r="AJ38">
            <v>0.11068780889621087</v>
          </cell>
          <cell r="AK38">
            <v>4.9693862692390374E-3</v>
          </cell>
          <cell r="AP38">
            <v>972.8629530477773</v>
          </cell>
          <cell r="AQ38">
            <v>1042.6103982674183</v>
          </cell>
          <cell r="AV38">
            <v>256.73908566721553</v>
          </cell>
          <cell r="AW38">
            <v>11.526433667938663</v>
          </cell>
          <cell r="BA38">
            <v>0.74544484712513037</v>
          </cell>
          <cell r="BB38">
            <v>0.800344660182427</v>
          </cell>
        </row>
        <row r="39">
          <cell r="J39">
            <v>0.74858932356270591</v>
          </cell>
          <cell r="K39">
            <v>0.56906056118136883</v>
          </cell>
          <cell r="R39">
            <v>39.340000000000003</v>
          </cell>
          <cell r="S39">
            <v>904.63799999999992</v>
          </cell>
          <cell r="X39">
            <v>85.230545732259358</v>
          </cell>
          <cell r="Y39">
            <v>98.183245752799891</v>
          </cell>
          <cell r="AD39">
            <v>2.0081342145399081</v>
          </cell>
          <cell r="AE39">
            <v>2.3456896570783012</v>
          </cell>
          <cell r="AJ39">
            <v>0.20843924758515503</v>
          </cell>
          <cell r="AK39">
            <v>1.3817681768840134E-2</v>
          </cell>
          <cell r="AP39">
            <v>646.66954753431617</v>
          </cell>
          <cell r="AQ39">
            <v>1025.3921152991588</v>
          </cell>
          <cell r="AV39">
            <v>491.5912557193696</v>
          </cell>
          <cell r="AW39">
            <v>32.403016455200856</v>
          </cell>
          <cell r="BA39">
            <v>0.74858932356270591</v>
          </cell>
          <cell r="BB39">
            <v>0.79794558249051384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">
          <cell r="F4">
            <v>64.293999999999997</v>
          </cell>
        </row>
        <row r="39">
          <cell r="B39">
            <v>0.903990808274441</v>
          </cell>
          <cell r="C39">
            <v>0</v>
          </cell>
          <cell r="D39">
            <v>0.90437903832375621</v>
          </cell>
          <cell r="E39">
            <v>0</v>
          </cell>
          <cell r="F39">
            <v>1787.5840000000001</v>
          </cell>
          <cell r="G39">
            <v>0</v>
          </cell>
          <cell r="H39">
            <v>2.2781228742257711</v>
          </cell>
          <cell r="I39">
            <v>0</v>
          </cell>
          <cell r="J39">
            <v>915.86317621997148</v>
          </cell>
          <cell r="K39">
            <v>0</v>
          </cell>
          <cell r="L39">
            <v>0.9123567896542889</v>
          </cell>
          <cell r="M39">
            <v>0</v>
          </cell>
          <cell r="N39">
            <v>0.91641187210867769</v>
          </cell>
          <cell r="O39">
            <v>0</v>
          </cell>
          <cell r="P39">
            <v>1733.4829999999997</v>
          </cell>
          <cell r="Q39">
            <v>0</v>
          </cell>
          <cell r="R39">
            <v>2.0999496389638668</v>
          </cell>
          <cell r="S39">
            <v>0</v>
          </cell>
          <cell r="T39">
            <v>0.29126331207170764</v>
          </cell>
          <cell r="U39">
            <v>0</v>
          </cell>
          <cell r="V39">
            <v>594.5770105619722</v>
          </cell>
          <cell r="W39">
            <v>0</v>
          </cell>
          <cell r="X39">
            <v>459.61050670817082</v>
          </cell>
          <cell r="Y39">
            <v>0</v>
          </cell>
          <cell r="Z39">
            <v>0.31795967338482251</v>
          </cell>
          <cell r="AA39">
            <v>0</v>
          </cell>
          <cell r="AB39">
            <v>0.77060412200599582</v>
          </cell>
          <cell r="AC39">
            <v>0</v>
          </cell>
          <cell r="AD39">
            <v>413.67199999999991</v>
          </cell>
          <cell r="AE39">
            <v>0</v>
          </cell>
          <cell r="AF39">
            <v>99.280285249300306</v>
          </cell>
          <cell r="AG39">
            <v>0</v>
          </cell>
          <cell r="AH39">
            <v>1.8947378599470119</v>
          </cell>
          <cell r="AI39">
            <v>0</v>
          </cell>
          <cell r="AJ39">
            <v>1272.9030729660244</v>
          </cell>
          <cell r="AK39">
            <v>0</v>
          </cell>
          <cell r="AL39">
            <v>0</v>
          </cell>
          <cell r="AM39">
            <v>0</v>
          </cell>
          <cell r="AN39">
            <v>0.880306580757235</v>
          </cell>
          <cell r="AO39">
            <v>0</v>
          </cell>
          <cell r="AP39">
            <v>0.89025454042732222</v>
          </cell>
          <cell r="AQ39">
            <v>0</v>
          </cell>
          <cell r="AR39">
            <v>1341.886</v>
          </cell>
          <cell r="AS39">
            <v>0</v>
          </cell>
          <cell r="AT39">
            <v>122.30106022435156</v>
          </cell>
          <cell r="AU39">
            <v>0</v>
          </cell>
          <cell r="AV39">
            <v>1.4501977068096692</v>
          </cell>
          <cell r="AW39">
            <v>0</v>
          </cell>
          <cell r="AX39">
            <v>6.3790813824721321E-2</v>
          </cell>
          <cell r="AY39">
            <v>0</v>
          </cell>
          <cell r="AZ39">
            <v>910.28921979959557</v>
          </cell>
          <cell r="BA39">
            <v>0</v>
          </cell>
          <cell r="BB39">
            <v>164.14175272713183</v>
          </cell>
          <cell r="BC39">
            <v>0</v>
          </cell>
          <cell r="BD39">
            <v>2.0120934267143409</v>
          </cell>
          <cell r="BE39">
            <v>0</v>
          </cell>
          <cell r="BF39">
            <v>0.84682779620148241</v>
          </cell>
          <cell r="BG39">
            <v>0</v>
          </cell>
          <cell r="BH39">
            <v>0.84682779620148241</v>
          </cell>
          <cell r="BI39">
            <v>0</v>
          </cell>
          <cell r="BJ39">
            <v>1322.9140000000002</v>
          </cell>
          <cell r="BK39">
            <v>0</v>
          </cell>
          <cell r="BL39">
            <v>2.6480179361621383</v>
          </cell>
          <cell r="BM39">
            <v>0</v>
          </cell>
          <cell r="BN39">
            <v>0</v>
          </cell>
          <cell r="BO39">
            <v>0</v>
          </cell>
          <cell r="BP39">
            <v>1045.6073032714144</v>
          </cell>
          <cell r="BQ39">
            <v>0</v>
          </cell>
          <cell r="BR39">
            <v>0</v>
          </cell>
          <cell r="BS39">
            <v>0</v>
          </cell>
          <cell r="BT39">
            <v>0.84513581917015268</v>
          </cell>
          <cell r="BU39">
            <v>0</v>
          </cell>
          <cell r="BV39">
            <v>0.84822809271497868</v>
          </cell>
          <cell r="BW39">
            <v>0</v>
          </cell>
          <cell r="BX39">
            <v>1346.3750000000002</v>
          </cell>
          <cell r="BY39">
            <v>0</v>
          </cell>
          <cell r="BZ39">
            <v>79.267993939383302</v>
          </cell>
          <cell r="CA39">
            <v>0</v>
          </cell>
          <cell r="CB39">
            <v>1.9571070466994711</v>
          </cell>
          <cell r="CC39">
            <v>0</v>
          </cell>
          <cell r="CD39">
            <v>0.21004549252622781</v>
          </cell>
          <cell r="CE39">
            <v>0</v>
          </cell>
          <cell r="CF39">
            <v>810.96020053848281</v>
          </cell>
          <cell r="CG39">
            <v>0</v>
          </cell>
          <cell r="CH39">
            <v>541.04427072695194</v>
          </cell>
          <cell r="CI39">
            <v>0</v>
          </cell>
          <cell r="CJ39">
            <v>2.8892396249187628</v>
          </cell>
          <cell r="CK39">
            <v>0</v>
          </cell>
        </row>
        <row r="40">
          <cell r="CJ40">
            <v>2.4682831581832825</v>
          </cell>
          <cell r="CK40">
            <v>0</v>
          </cell>
        </row>
        <row r="41">
          <cell r="CJ41">
            <v>14.750731402459706</v>
          </cell>
          <cell r="CK41">
            <v>0</v>
          </cell>
        </row>
        <row r="42">
          <cell r="CJ42">
            <v>0</v>
          </cell>
          <cell r="CK42">
            <v>0</v>
          </cell>
        </row>
        <row r="43">
          <cell r="CJ43">
            <v>19.550648754712846</v>
          </cell>
          <cell r="CK43">
            <v>0</v>
          </cell>
        </row>
        <row r="44">
          <cell r="CJ44">
            <v>0</v>
          </cell>
          <cell r="CK44">
            <v>0</v>
          </cell>
        </row>
        <row r="45">
          <cell r="CJ45">
            <v>3.7653073278297011</v>
          </cell>
          <cell r="CK45">
            <v>0</v>
          </cell>
        </row>
        <row r="46">
          <cell r="CJ46">
            <v>0</v>
          </cell>
          <cell r="CK46">
            <v>0</v>
          </cell>
        </row>
        <row r="47">
          <cell r="CJ47">
            <v>8.7308903741261457</v>
          </cell>
          <cell r="CK47">
            <v>0</v>
          </cell>
        </row>
      </sheetData>
      <sheetData sheetId="1">
        <row r="41">
          <cell r="P41">
            <v>1826.1110000000006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G3">
            <v>8.4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6">
          <cell r="N6">
            <v>760</v>
          </cell>
        </row>
      </sheetData>
      <sheetData sheetId="17">
        <row r="6">
          <cell r="N6">
            <v>655</v>
          </cell>
        </row>
      </sheetData>
      <sheetData sheetId="18">
        <row r="6">
          <cell r="N6">
            <v>795</v>
          </cell>
        </row>
      </sheetData>
      <sheetData sheetId="19">
        <row r="6">
          <cell r="N6">
            <v>706</v>
          </cell>
        </row>
      </sheetData>
      <sheetData sheetId="20">
        <row r="6">
          <cell r="N6">
            <v>638</v>
          </cell>
        </row>
      </sheetData>
      <sheetData sheetId="21">
        <row r="6">
          <cell r="N6">
            <v>705</v>
          </cell>
        </row>
      </sheetData>
      <sheetData sheetId="22">
        <row r="6">
          <cell r="N6">
            <v>733</v>
          </cell>
        </row>
      </sheetData>
      <sheetData sheetId="23">
        <row r="6">
          <cell r="N6">
            <v>740</v>
          </cell>
        </row>
      </sheetData>
      <sheetData sheetId="24">
        <row r="6">
          <cell r="N6">
            <v>535</v>
          </cell>
        </row>
      </sheetData>
      <sheetData sheetId="25">
        <row r="6">
          <cell r="N6">
            <v>584</v>
          </cell>
        </row>
      </sheetData>
      <sheetData sheetId="26">
        <row r="6">
          <cell r="N6">
            <v>601</v>
          </cell>
        </row>
      </sheetData>
      <sheetData sheetId="27">
        <row r="6">
          <cell r="N6">
            <v>737</v>
          </cell>
        </row>
      </sheetData>
      <sheetData sheetId="28">
        <row r="6">
          <cell r="N6">
            <v>620</v>
          </cell>
        </row>
      </sheetData>
      <sheetData sheetId="29">
        <row r="6">
          <cell r="N6">
            <v>615</v>
          </cell>
        </row>
      </sheetData>
      <sheetData sheetId="30">
        <row r="6">
          <cell r="N6">
            <v>670</v>
          </cell>
        </row>
      </sheetData>
      <sheetData sheetId="31">
        <row r="6">
          <cell r="N6">
            <v>675</v>
          </cell>
        </row>
      </sheetData>
      <sheetData sheetId="32">
        <row r="6">
          <cell r="N6">
            <v>590</v>
          </cell>
        </row>
      </sheetData>
      <sheetData sheetId="33">
        <row r="6">
          <cell r="N6">
            <v>549</v>
          </cell>
        </row>
      </sheetData>
      <sheetData sheetId="34">
        <row r="6">
          <cell r="N6">
            <v>660</v>
          </cell>
        </row>
      </sheetData>
      <sheetData sheetId="35">
        <row r="6">
          <cell r="N6">
            <v>616</v>
          </cell>
        </row>
      </sheetData>
      <sheetData sheetId="36">
        <row r="6">
          <cell r="N6">
            <v>477</v>
          </cell>
        </row>
      </sheetData>
      <sheetData sheetId="37">
        <row r="6">
          <cell r="N6">
            <v>576</v>
          </cell>
        </row>
      </sheetData>
      <sheetData sheetId="38">
        <row r="6">
          <cell r="N6">
            <v>654</v>
          </cell>
        </row>
      </sheetData>
      <sheetData sheetId="39">
        <row r="6">
          <cell r="N6">
            <v>633</v>
          </cell>
        </row>
      </sheetData>
      <sheetData sheetId="40">
        <row r="6">
          <cell r="N6">
            <v>678</v>
          </cell>
        </row>
      </sheetData>
      <sheetData sheetId="41">
        <row r="6">
          <cell r="N6">
            <v>513</v>
          </cell>
        </row>
      </sheetData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">
          <cell r="F4">
            <v>7.7140000000000004</v>
          </cell>
        </row>
        <row r="40">
          <cell r="B40">
            <v>0.89986679210292397</v>
          </cell>
          <cell r="C40">
            <v>0</v>
          </cell>
          <cell r="D40">
            <v>0.90007770455700553</v>
          </cell>
          <cell r="E40">
            <v>0</v>
          </cell>
          <cell r="F40">
            <v>1865.5170000000001</v>
          </cell>
          <cell r="G40">
            <v>0</v>
          </cell>
          <cell r="H40">
            <v>2.2984748999875095</v>
          </cell>
          <cell r="I40">
            <v>0</v>
          </cell>
          <cell r="J40">
            <v>910.11683088387656</v>
          </cell>
          <cell r="K40">
            <v>0</v>
          </cell>
          <cell r="L40">
            <v>0.88665975535746266</v>
          </cell>
          <cell r="M40">
            <v>0</v>
          </cell>
          <cell r="N40">
            <v>0.91130227636045102</v>
          </cell>
          <cell r="O40">
            <v>0</v>
          </cell>
          <cell r="P40">
            <v>1681.0409999999997</v>
          </cell>
          <cell r="Q40">
            <v>0</v>
          </cell>
          <cell r="R40">
            <v>2.3611024359310693</v>
          </cell>
          <cell r="S40">
            <v>0</v>
          </cell>
          <cell r="T40">
            <v>8.5601719410769897E-2</v>
          </cell>
          <cell r="U40">
            <v>0</v>
          </cell>
          <cell r="V40">
            <v>751.421904641232</v>
          </cell>
          <cell r="W40">
            <v>0</v>
          </cell>
          <cell r="X40">
            <v>160.39777732964276</v>
          </cell>
          <cell r="Y40">
            <v>0</v>
          </cell>
          <cell r="Z40">
            <v>0.90643195002874466</v>
          </cell>
          <cell r="AA40">
            <v>0</v>
          </cell>
          <cell r="AB40">
            <v>0.90643195002874466</v>
          </cell>
          <cell r="AC40">
            <v>0</v>
          </cell>
          <cell r="AD40">
            <v>1304.5220000000002</v>
          </cell>
          <cell r="AE40">
            <v>0</v>
          </cell>
          <cell r="AF40">
            <v>93.687912863926385</v>
          </cell>
          <cell r="AG40">
            <v>0</v>
          </cell>
          <cell r="AH40">
            <v>1.3601917024013392</v>
          </cell>
          <cell r="AI40">
            <v>0</v>
          </cell>
          <cell r="AJ40">
            <v>867.9948824167011</v>
          </cell>
          <cell r="AK40">
            <v>0</v>
          </cell>
          <cell r="AL40">
            <v>0</v>
          </cell>
          <cell r="AM40">
            <v>0</v>
          </cell>
          <cell r="AN40">
            <v>0.89554898846394682</v>
          </cell>
          <cell r="AO40">
            <v>0</v>
          </cell>
          <cell r="AP40">
            <v>0.90516622970016913</v>
          </cell>
          <cell r="AQ40">
            <v>0</v>
          </cell>
          <cell r="AR40">
            <v>1480.133</v>
          </cell>
          <cell r="AS40">
            <v>0</v>
          </cell>
          <cell r="AT40">
            <v>101.4464316391317</v>
          </cell>
          <cell r="AU40">
            <v>0</v>
          </cell>
          <cell r="AV40">
            <v>1.4403435366956892</v>
          </cell>
          <cell r="AW40">
            <v>0</v>
          </cell>
          <cell r="AX40">
            <v>0.14586527021558199</v>
          </cell>
          <cell r="AY40">
            <v>0</v>
          </cell>
          <cell r="AZ40">
            <v>849.3617938387971</v>
          </cell>
          <cell r="BA40">
            <v>0</v>
          </cell>
          <cell r="BB40">
            <v>387.77382640614013</v>
          </cell>
          <cell r="BC40">
            <v>0</v>
          </cell>
          <cell r="BD40">
            <v>4.1014476401782778</v>
          </cell>
          <cell r="BE40">
            <v>0</v>
          </cell>
          <cell r="BF40">
            <v>0.90695192925845458</v>
          </cell>
          <cell r="BG40">
            <v>0</v>
          </cell>
          <cell r="BH40">
            <v>0.90825057016469368</v>
          </cell>
          <cell r="BI40">
            <v>0</v>
          </cell>
          <cell r="BJ40">
            <v>1465.1599999999999</v>
          </cell>
          <cell r="BK40">
            <v>0</v>
          </cell>
          <cell r="BL40">
            <v>2.859209915640613</v>
          </cell>
          <cell r="BM40">
            <v>0</v>
          </cell>
          <cell r="BN40">
            <v>0</v>
          </cell>
          <cell r="BO40">
            <v>0</v>
          </cell>
          <cell r="BP40">
            <v>1013.158972398919</v>
          </cell>
          <cell r="BQ40">
            <v>0</v>
          </cell>
          <cell r="BR40">
            <v>0</v>
          </cell>
          <cell r="BS40">
            <v>0</v>
          </cell>
          <cell r="BT40">
            <v>0.86462303428543996</v>
          </cell>
          <cell r="BU40">
            <v>0</v>
          </cell>
          <cell r="BV40">
            <v>0.87445112764829958</v>
          </cell>
          <cell r="BW40">
            <v>0</v>
          </cell>
          <cell r="BX40">
            <v>1364.3539999999998</v>
          </cell>
          <cell r="BY40">
            <v>0</v>
          </cell>
          <cell r="BZ40">
            <v>84.357025620624938</v>
          </cell>
          <cell r="CA40">
            <v>0</v>
          </cell>
          <cell r="CB40">
            <v>2.027780180217158</v>
          </cell>
          <cell r="CC40">
            <v>0</v>
          </cell>
          <cell r="CD40">
            <v>7.468736119804685E-2</v>
          </cell>
          <cell r="CE40">
            <v>0</v>
          </cell>
          <cell r="CF40">
            <v>883.67533645959929</v>
          </cell>
          <cell r="CG40">
            <v>0</v>
          </cell>
          <cell r="CH40">
            <v>193.15194077197017</v>
          </cell>
          <cell r="CI40">
            <v>0</v>
          </cell>
          <cell r="CJ40">
            <v>2.4682831581832825</v>
          </cell>
          <cell r="CK40">
            <v>0</v>
          </cell>
        </row>
      </sheetData>
      <sheetData sheetId="1">
        <row r="41">
          <cell r="P41">
            <v>1922.6600000000003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380.7</v>
          </cell>
        </row>
      </sheetData>
      <sheetData sheetId="13">
        <row r="6">
          <cell r="N6">
            <v>582</v>
          </cell>
        </row>
      </sheetData>
      <sheetData sheetId="14">
        <row r="6">
          <cell r="N6">
            <v>566</v>
          </cell>
        </row>
      </sheetData>
      <sheetData sheetId="15">
        <row r="6">
          <cell r="N6">
            <v>590</v>
          </cell>
        </row>
      </sheetData>
      <sheetData sheetId="16">
        <row r="6">
          <cell r="N6">
            <v>635</v>
          </cell>
        </row>
      </sheetData>
      <sheetData sheetId="17">
        <row r="6">
          <cell r="N6">
            <v>584</v>
          </cell>
        </row>
      </sheetData>
      <sheetData sheetId="18">
        <row r="6">
          <cell r="N6">
            <v>663</v>
          </cell>
        </row>
      </sheetData>
      <sheetData sheetId="19">
        <row r="6">
          <cell r="N6">
            <v>600</v>
          </cell>
        </row>
      </sheetData>
      <sheetData sheetId="20">
        <row r="6">
          <cell r="N6">
            <v>659</v>
          </cell>
        </row>
      </sheetData>
      <sheetData sheetId="21">
        <row r="6">
          <cell r="N6">
            <v>645</v>
          </cell>
        </row>
      </sheetData>
      <sheetData sheetId="22">
        <row r="6">
          <cell r="N6">
            <v>600</v>
          </cell>
        </row>
      </sheetData>
      <sheetData sheetId="23">
        <row r="6">
          <cell r="N6">
            <v>600</v>
          </cell>
        </row>
      </sheetData>
      <sheetData sheetId="24">
        <row r="6">
          <cell r="N6">
            <v>635</v>
          </cell>
        </row>
      </sheetData>
      <sheetData sheetId="25">
        <row r="6">
          <cell r="N6">
            <v>708</v>
          </cell>
        </row>
      </sheetData>
      <sheetData sheetId="26">
        <row r="6">
          <cell r="N6">
            <v>611</v>
          </cell>
        </row>
      </sheetData>
      <sheetData sheetId="27">
        <row r="6">
          <cell r="N6">
            <v>563</v>
          </cell>
        </row>
      </sheetData>
      <sheetData sheetId="28">
        <row r="6">
          <cell r="N6">
            <v>575</v>
          </cell>
        </row>
      </sheetData>
      <sheetData sheetId="29">
        <row r="6">
          <cell r="N6">
            <v>596</v>
          </cell>
        </row>
      </sheetData>
      <sheetData sheetId="30">
        <row r="6">
          <cell r="N6">
            <v>572</v>
          </cell>
        </row>
      </sheetData>
      <sheetData sheetId="31">
        <row r="6">
          <cell r="N6">
            <v>575</v>
          </cell>
        </row>
      </sheetData>
      <sheetData sheetId="32">
        <row r="6">
          <cell r="N6">
            <v>681</v>
          </cell>
        </row>
      </sheetData>
      <sheetData sheetId="33"/>
      <sheetData sheetId="34"/>
      <sheetData sheetId="35"/>
      <sheetData sheetId="36">
        <row r="6">
          <cell r="N6">
            <v>593</v>
          </cell>
        </row>
      </sheetData>
      <sheetData sheetId="37">
        <row r="6">
          <cell r="N6">
            <v>660</v>
          </cell>
        </row>
      </sheetData>
      <sheetData sheetId="38">
        <row r="6">
          <cell r="N6">
            <v>705</v>
          </cell>
        </row>
      </sheetData>
      <sheetData sheetId="39">
        <row r="6">
          <cell r="N6">
            <v>682</v>
          </cell>
        </row>
      </sheetData>
      <sheetData sheetId="40">
        <row r="6">
          <cell r="N6">
            <v>680</v>
          </cell>
        </row>
      </sheetData>
      <sheetData sheetId="41">
        <row r="6">
          <cell r="N6">
            <v>626</v>
          </cell>
        </row>
      </sheetData>
      <sheetData sheetId="42">
        <row r="6">
          <cell r="N6">
            <v>265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1">
          <cell r="B41">
            <v>0.83939758980569712</v>
          </cell>
          <cell r="C41">
            <v>0</v>
          </cell>
          <cell r="D41">
            <v>0.84053150634019802</v>
          </cell>
          <cell r="E41">
            <v>0</v>
          </cell>
          <cell r="F41">
            <v>1669.0300000000004</v>
          </cell>
          <cell r="G41">
            <v>0</v>
          </cell>
          <cell r="H41">
            <v>2.4391880313715144</v>
          </cell>
          <cell r="I41">
            <v>0</v>
          </cell>
          <cell r="J41">
            <v>1033.4658693971942</v>
          </cell>
          <cell r="K41">
            <v>0</v>
          </cell>
          <cell r="L41">
            <v>0.88164645374478923</v>
          </cell>
          <cell r="M41">
            <v>0</v>
          </cell>
          <cell r="N41">
            <v>0.90721678437063535</v>
          </cell>
          <cell r="O41">
            <v>0</v>
          </cell>
          <cell r="P41">
            <v>1849.2530000000002</v>
          </cell>
          <cell r="Q41">
            <v>0</v>
          </cell>
          <cell r="R41">
            <v>2.6039627892992474</v>
          </cell>
          <cell r="S41">
            <v>0</v>
          </cell>
          <cell r="T41">
            <v>0.22857878289233541</v>
          </cell>
          <cell r="U41">
            <v>0</v>
          </cell>
          <cell r="V41">
            <v>604.72261502347192</v>
          </cell>
          <cell r="W41">
            <v>0</v>
          </cell>
          <cell r="X41">
            <v>521.7858237893895</v>
          </cell>
          <cell r="Y41">
            <v>0</v>
          </cell>
          <cell r="Z41">
            <v>0.88193173114859524</v>
          </cell>
          <cell r="AA41">
            <v>0</v>
          </cell>
          <cell r="AB41">
            <v>0.88340653340367237</v>
          </cell>
          <cell r="AC41">
            <v>0</v>
          </cell>
          <cell r="AD41">
            <v>1253.7050000000004</v>
          </cell>
          <cell r="AE41">
            <v>0</v>
          </cell>
          <cell r="AF41">
            <v>98.517030917360543</v>
          </cell>
          <cell r="AG41">
            <v>0</v>
          </cell>
          <cell r="AH41">
            <v>1.4871121994408565</v>
          </cell>
          <cell r="AI41">
            <v>0</v>
          </cell>
          <cell r="AJ41">
            <v>885.26051981925434</v>
          </cell>
          <cell r="AK41">
            <v>0</v>
          </cell>
          <cell r="AL41">
            <v>0</v>
          </cell>
          <cell r="AM41">
            <v>0</v>
          </cell>
          <cell r="AN41">
            <v>0.88320076687716276</v>
          </cell>
          <cell r="AO41">
            <v>0</v>
          </cell>
          <cell r="AP41">
            <v>0.89534439715396263</v>
          </cell>
          <cell r="AQ41">
            <v>0</v>
          </cell>
          <cell r="AR41">
            <v>1406.635</v>
          </cell>
          <cell r="AS41">
            <v>0</v>
          </cell>
          <cell r="AT41">
            <v>105.33379299664101</v>
          </cell>
          <cell r="AU41">
            <v>0</v>
          </cell>
          <cell r="AV41">
            <v>1.5242049287839419</v>
          </cell>
          <cell r="AW41">
            <v>0</v>
          </cell>
          <cell r="AX41">
            <v>8.076011189825362E-2</v>
          </cell>
          <cell r="AY41">
            <v>0</v>
          </cell>
          <cell r="AZ41">
            <v>927.60064977766092</v>
          </cell>
          <cell r="BA41">
            <v>0</v>
          </cell>
          <cell r="BB41">
            <v>240.2739175407979</v>
          </cell>
          <cell r="BC41">
            <v>0</v>
          </cell>
          <cell r="BD41">
            <v>16.955357999765397</v>
          </cell>
          <cell r="BE41">
            <v>0</v>
          </cell>
          <cell r="BF41">
            <v>0.88101947107260103</v>
          </cell>
          <cell r="BG41">
            <v>0</v>
          </cell>
          <cell r="BH41">
            <v>0.88362769927484108</v>
          </cell>
          <cell r="BI41">
            <v>0</v>
          </cell>
          <cell r="BJ41">
            <v>1457.0090000000002</v>
          </cell>
          <cell r="BK41">
            <v>0</v>
          </cell>
          <cell r="BL41">
            <v>2.7597633233562728</v>
          </cell>
          <cell r="BM41">
            <v>0</v>
          </cell>
          <cell r="BN41">
            <v>0</v>
          </cell>
          <cell r="BO41">
            <v>0</v>
          </cell>
          <cell r="BP41">
            <v>932.94369492569979</v>
          </cell>
          <cell r="BQ41">
            <v>0</v>
          </cell>
          <cell r="BR41">
            <v>0</v>
          </cell>
          <cell r="BS41">
            <v>0</v>
          </cell>
          <cell r="BT41">
            <v>0.89958178262093658</v>
          </cell>
          <cell r="BU41">
            <v>0</v>
          </cell>
          <cell r="BV41">
            <v>0.90458737037626458</v>
          </cell>
          <cell r="BW41">
            <v>0</v>
          </cell>
          <cell r="BX41">
            <v>1385.694</v>
          </cell>
          <cell r="BY41">
            <v>0</v>
          </cell>
          <cell r="BZ41">
            <v>82.805082393313654</v>
          </cell>
          <cell r="CA41">
            <v>0</v>
          </cell>
          <cell r="CB41">
            <v>1.9750969550275892</v>
          </cell>
          <cell r="CC41">
            <v>0</v>
          </cell>
          <cell r="CD41">
            <v>5.6505981840146526E-2</v>
          </cell>
          <cell r="CE41">
            <v>0</v>
          </cell>
          <cell r="CF41">
            <v>886.8080976030775</v>
          </cell>
          <cell r="CG41">
            <v>0</v>
          </cell>
          <cell r="CH41">
            <v>150.23872370090368</v>
          </cell>
          <cell r="CI41">
            <v>0</v>
          </cell>
          <cell r="CJ41">
            <v>14.750731402459706</v>
          </cell>
          <cell r="CK4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2">
          <cell r="B42">
            <v>0.89683016748794442</v>
          </cell>
          <cell r="C42">
            <v>0</v>
          </cell>
          <cell r="D42">
            <v>0.91651254782215474</v>
          </cell>
          <cell r="E42">
            <v>0</v>
          </cell>
          <cell r="F42">
            <v>1608.12</v>
          </cell>
          <cell r="G42">
            <v>0</v>
          </cell>
          <cell r="H42">
            <v>2.3160037808123777</v>
          </cell>
          <cell r="I42">
            <v>0</v>
          </cell>
          <cell r="J42">
            <v>1025.4408439668696</v>
          </cell>
          <cell r="K42">
            <v>0</v>
          </cell>
          <cell r="L42">
            <v>0.92866754762333059</v>
          </cell>
          <cell r="M42">
            <v>0</v>
          </cell>
          <cell r="N42">
            <v>0.93793898235070616</v>
          </cell>
          <cell r="O42">
            <v>0</v>
          </cell>
          <cell r="P42">
            <v>1827.3590000000004</v>
          </cell>
          <cell r="Q42">
            <v>0</v>
          </cell>
          <cell r="R42">
            <v>2.0916446631450083</v>
          </cell>
          <cell r="S42">
            <v>0</v>
          </cell>
          <cell r="T42">
            <v>0.23153633194134263</v>
          </cell>
          <cell r="U42">
            <v>0</v>
          </cell>
          <cell r="V42">
            <v>614.27862833739778</v>
          </cell>
          <cell r="W42">
            <v>0</v>
          </cell>
          <cell r="X42">
            <v>437.11553121198392</v>
          </cell>
          <cell r="Y42">
            <v>0</v>
          </cell>
          <cell r="Z42">
            <v>0.83629623576679857</v>
          </cell>
          <cell r="AA42">
            <v>0</v>
          </cell>
          <cell r="AB42">
            <v>0.84011645284697367</v>
          </cell>
          <cell r="AC42">
            <v>0</v>
          </cell>
          <cell r="AD42">
            <v>1132.2849999999999</v>
          </cell>
          <cell r="AE42">
            <v>0</v>
          </cell>
          <cell r="AF42">
            <v>111.28199961501578</v>
          </cell>
          <cell r="AG42">
            <v>0</v>
          </cell>
          <cell r="AH42">
            <v>1.6594761919481404</v>
          </cell>
          <cell r="AI42">
            <v>0</v>
          </cell>
          <cell r="AJ42">
            <v>964.83334142905812</v>
          </cell>
          <cell r="AK42">
            <v>0</v>
          </cell>
          <cell r="AL42">
            <v>0</v>
          </cell>
          <cell r="AM42">
            <v>0</v>
          </cell>
          <cell r="AN42">
            <v>0.841493556505851</v>
          </cell>
          <cell r="AO42">
            <v>0</v>
          </cell>
          <cell r="AP42">
            <v>0.85108230952572761</v>
          </cell>
          <cell r="AQ42">
            <v>0</v>
          </cell>
          <cell r="AR42">
            <v>1316.3440000000001</v>
          </cell>
          <cell r="AS42">
            <v>0</v>
          </cell>
          <cell r="AT42">
            <v>121.83943867945894</v>
          </cell>
          <cell r="AU42">
            <v>0</v>
          </cell>
          <cell r="AV42">
            <v>1.4904158791318984</v>
          </cell>
          <cell r="AW42">
            <v>0</v>
          </cell>
          <cell r="AX42">
            <v>0.19523771901569797</v>
          </cell>
          <cell r="AY42">
            <v>0</v>
          </cell>
          <cell r="AZ42">
            <v>883.63400448514949</v>
          </cell>
          <cell r="BA42">
            <v>0</v>
          </cell>
          <cell r="BB42">
            <v>521.88219796648889</v>
          </cell>
          <cell r="BC42">
            <v>0</v>
          </cell>
          <cell r="BD42">
            <v>0</v>
          </cell>
          <cell r="BE42">
            <v>0</v>
          </cell>
          <cell r="BF42">
            <v>0.81559727954315242</v>
          </cell>
          <cell r="BG42">
            <v>0</v>
          </cell>
          <cell r="BH42">
            <v>0.82877820530328572</v>
          </cell>
          <cell r="BI42">
            <v>0</v>
          </cell>
          <cell r="BJ42">
            <v>1259.7350000000001</v>
          </cell>
          <cell r="BK42">
            <v>0</v>
          </cell>
          <cell r="BL42">
            <v>2.8948151793829653</v>
          </cell>
          <cell r="BM42">
            <v>0</v>
          </cell>
          <cell r="BN42">
            <v>0</v>
          </cell>
          <cell r="BO42">
            <v>0</v>
          </cell>
          <cell r="BP42">
            <v>971.01940308418136</v>
          </cell>
          <cell r="BQ42">
            <v>0</v>
          </cell>
          <cell r="BR42">
            <v>0</v>
          </cell>
          <cell r="BS42">
            <v>0</v>
          </cell>
          <cell r="BT42">
            <v>0.90927146053562879</v>
          </cell>
          <cell r="BU42">
            <v>0</v>
          </cell>
          <cell r="BV42">
            <v>0.93351910522430248</v>
          </cell>
          <cell r="BW42">
            <v>0</v>
          </cell>
          <cell r="BX42">
            <v>1433.0600000000002</v>
          </cell>
          <cell r="BY42">
            <v>0</v>
          </cell>
          <cell r="BZ42">
            <v>77.094083288095504</v>
          </cell>
          <cell r="CA42">
            <v>0</v>
          </cell>
          <cell r="CB42">
            <v>1.8864527654110776</v>
          </cell>
          <cell r="CC42">
            <v>0</v>
          </cell>
          <cell r="CD42">
            <v>0.14263185072502196</v>
          </cell>
          <cell r="CE42">
            <v>0</v>
          </cell>
          <cell r="CF42">
            <v>754.59782022786919</v>
          </cell>
          <cell r="CG42">
            <v>0</v>
          </cell>
          <cell r="CH42">
            <v>384.70371094022579</v>
          </cell>
          <cell r="CI4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3">
          <cell r="B43">
            <v>0.81728992699563985</v>
          </cell>
          <cell r="C43">
            <v>0</v>
          </cell>
          <cell r="D43">
            <v>0.81728992699563985</v>
          </cell>
          <cell r="E43">
            <v>0</v>
          </cell>
          <cell r="F43">
            <v>1753.6980000000001</v>
          </cell>
          <cell r="G43">
            <v>0</v>
          </cell>
          <cell r="H43">
            <v>2.3283626941468825</v>
          </cell>
          <cell r="I43">
            <v>0</v>
          </cell>
          <cell r="J43">
            <v>919.17354641449094</v>
          </cell>
          <cell r="K43">
            <v>0</v>
          </cell>
          <cell r="L43">
            <v>0.88541366395827092</v>
          </cell>
          <cell r="M43">
            <v>0</v>
          </cell>
          <cell r="N43">
            <v>0.92564375346980865</v>
          </cell>
          <cell r="O43">
            <v>0</v>
          </cell>
          <cell r="P43">
            <v>1848.3660000000002</v>
          </cell>
          <cell r="Q43">
            <v>0</v>
          </cell>
          <cell r="R43">
            <v>2.3081272864789759</v>
          </cell>
          <cell r="S43">
            <v>0</v>
          </cell>
          <cell r="T43">
            <v>0.22165523494805681</v>
          </cell>
          <cell r="U43">
            <v>0</v>
          </cell>
          <cell r="V43">
            <v>640.41014604250449</v>
          </cell>
          <cell r="W43">
            <v>0</v>
          </cell>
          <cell r="X43">
            <v>434.93518058652887</v>
          </cell>
          <cell r="Y43">
            <v>0</v>
          </cell>
          <cell r="Z43">
            <v>0.80335180840639453</v>
          </cell>
          <cell r="AA43">
            <v>0</v>
          </cell>
          <cell r="AB43">
            <v>0.86162048557993176</v>
          </cell>
          <cell r="AC43">
            <v>0</v>
          </cell>
          <cell r="AD43">
            <v>1130.835</v>
          </cell>
          <cell r="AE43">
            <v>0</v>
          </cell>
          <cell r="AF43">
            <v>107.89351601751943</v>
          </cell>
          <cell r="AG43">
            <v>0</v>
          </cell>
          <cell r="AH43">
            <v>1.5947507815021644</v>
          </cell>
          <cell r="AI43">
            <v>0</v>
          </cell>
          <cell r="AJ43">
            <v>914.38361918405428</v>
          </cell>
          <cell r="AK43">
            <v>0</v>
          </cell>
          <cell r="AL43">
            <v>20.165629822211024</v>
          </cell>
          <cell r="AM43">
            <v>0</v>
          </cell>
          <cell r="AN43">
            <v>0.85071018918198382</v>
          </cell>
          <cell r="AO43">
            <v>0</v>
          </cell>
          <cell r="AP43">
            <v>0.85071018918198382</v>
          </cell>
          <cell r="AQ43">
            <v>0</v>
          </cell>
          <cell r="AR43">
            <v>1375.3570000000002</v>
          </cell>
          <cell r="AS43">
            <v>0</v>
          </cell>
          <cell r="AT43">
            <v>113.79764973808959</v>
          </cell>
          <cell r="AU43">
            <v>0</v>
          </cell>
          <cell r="AV43">
            <v>1.4656558260873356</v>
          </cell>
          <cell r="AW43">
            <v>0</v>
          </cell>
          <cell r="AX43">
            <v>0.1861334911590227</v>
          </cell>
          <cell r="AY43">
            <v>0</v>
          </cell>
          <cell r="AZ43">
            <v>878.4606469447566</v>
          </cell>
          <cell r="BA43">
            <v>0</v>
          </cell>
          <cell r="BB43">
            <v>550.25945990750074</v>
          </cell>
          <cell r="BC43">
            <v>0</v>
          </cell>
          <cell r="BD43">
            <v>0</v>
          </cell>
          <cell r="BE43">
            <v>0</v>
          </cell>
          <cell r="BF43">
            <v>0.89363459307778192</v>
          </cell>
          <cell r="BG43">
            <v>0</v>
          </cell>
          <cell r="BH43">
            <v>0.89363459307778192</v>
          </cell>
          <cell r="BI43">
            <v>0</v>
          </cell>
          <cell r="BJ43">
            <v>1430.6919999999998</v>
          </cell>
          <cell r="BK43">
            <v>0</v>
          </cell>
          <cell r="BL43">
            <v>2.6821286482345617</v>
          </cell>
          <cell r="BM43">
            <v>0</v>
          </cell>
          <cell r="BN43">
            <v>0</v>
          </cell>
          <cell r="BO43">
            <v>0</v>
          </cell>
          <cell r="BP43">
            <v>974.33568621579991</v>
          </cell>
          <cell r="BQ43">
            <v>0</v>
          </cell>
          <cell r="BR43">
            <v>0</v>
          </cell>
          <cell r="BS43">
            <v>0</v>
          </cell>
          <cell r="BT43">
            <v>0.90863447914298279</v>
          </cell>
          <cell r="BU43">
            <v>0</v>
          </cell>
          <cell r="BV43">
            <v>0.91878389692957507</v>
          </cell>
          <cell r="BW43">
            <v>0</v>
          </cell>
          <cell r="BX43">
            <v>1460.105</v>
          </cell>
          <cell r="BY43">
            <v>0</v>
          </cell>
          <cell r="BZ43">
            <v>77.669648185232361</v>
          </cell>
          <cell r="CA43">
            <v>0</v>
          </cell>
          <cell r="CB43">
            <v>2.0032805859852543</v>
          </cell>
          <cell r="CC43">
            <v>0</v>
          </cell>
          <cell r="CD43">
            <v>8.3692611147828416E-2</v>
          </cell>
          <cell r="CE43">
            <v>0</v>
          </cell>
          <cell r="CF43">
            <v>840.7660191674878</v>
          </cell>
          <cell r="CG43">
            <v>0</v>
          </cell>
          <cell r="CH43">
            <v>246.27502816578257</v>
          </cell>
          <cell r="CI43">
            <v>0</v>
          </cell>
          <cell r="CJ43">
            <v>19.550648754712846</v>
          </cell>
          <cell r="CK4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G3">
            <v>6.4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4">
          <cell r="F4">
            <v>44.353000000000002</v>
          </cell>
        </row>
        <row r="44">
          <cell r="B44">
            <v>0.85128629745489748</v>
          </cell>
          <cell r="C44">
            <v>0</v>
          </cell>
          <cell r="D44">
            <v>0.88261388777069127</v>
          </cell>
          <cell r="E44">
            <v>0</v>
          </cell>
          <cell r="F44">
            <v>1626.8629999999996</v>
          </cell>
          <cell r="G44">
            <v>0</v>
          </cell>
          <cell r="H44">
            <v>2.4992417923328527</v>
          </cell>
          <cell r="I44">
            <v>0</v>
          </cell>
          <cell r="J44">
            <v>943.70529048850415</v>
          </cell>
          <cell r="K44">
            <v>0</v>
          </cell>
          <cell r="L44">
            <v>0.91684997474795549</v>
          </cell>
          <cell r="M44">
            <v>0</v>
          </cell>
          <cell r="N44">
            <v>0.9454769668630435</v>
          </cell>
          <cell r="O44">
            <v>0</v>
          </cell>
          <cell r="P44">
            <v>1788.1659999999997</v>
          </cell>
          <cell r="Q44">
            <v>0</v>
          </cell>
          <cell r="R44">
            <v>2.1331811476115754</v>
          </cell>
          <cell r="S44">
            <v>0</v>
          </cell>
          <cell r="T44">
            <v>0.21231250342529728</v>
          </cell>
          <cell r="U44">
            <v>0</v>
          </cell>
          <cell r="V44">
            <v>722.2509375527776</v>
          </cell>
          <cell r="W44">
            <v>0</v>
          </cell>
          <cell r="X44">
            <v>464.24761459506601</v>
          </cell>
          <cell r="Y44">
            <v>0</v>
          </cell>
          <cell r="Z44">
            <v>0.86206949583301151</v>
          </cell>
          <cell r="AA44">
            <v>0</v>
          </cell>
          <cell r="AB44">
            <v>0.90942581099977049</v>
          </cell>
          <cell r="AC44">
            <v>0</v>
          </cell>
          <cell r="AD44">
            <v>1188.7909999999999</v>
          </cell>
          <cell r="AE44">
            <v>0</v>
          </cell>
          <cell r="AF44">
            <v>106.25948485661435</v>
          </cell>
          <cell r="AG44">
            <v>0</v>
          </cell>
          <cell r="AH44">
            <v>1.5097691688446497</v>
          </cell>
          <cell r="AI44">
            <v>0</v>
          </cell>
          <cell r="AJ44">
            <v>921.84495003747463</v>
          </cell>
          <cell r="AK44">
            <v>0</v>
          </cell>
          <cell r="AL44">
            <v>7.5538929887591681</v>
          </cell>
          <cell r="AM44">
            <v>0</v>
          </cell>
          <cell r="AN44">
            <v>0.9113017975148916</v>
          </cell>
          <cell r="AO44">
            <v>0</v>
          </cell>
          <cell r="AP44">
            <v>0.94321744444989342</v>
          </cell>
          <cell r="AQ44">
            <v>0</v>
          </cell>
          <cell r="AR44">
            <v>1441.538</v>
          </cell>
          <cell r="AS44">
            <v>0</v>
          </cell>
          <cell r="AT44">
            <v>98.381360721465839</v>
          </cell>
          <cell r="AU44">
            <v>0</v>
          </cell>
          <cell r="AV44">
            <v>1.4245895703061591</v>
          </cell>
          <cell r="AW44">
            <v>0</v>
          </cell>
          <cell r="AX44">
            <v>6.3755312952158888E-2</v>
          </cell>
          <cell r="AY44">
            <v>0</v>
          </cell>
          <cell r="AZ44">
            <v>884.49349236718024</v>
          </cell>
          <cell r="BA44">
            <v>0</v>
          </cell>
          <cell r="BB44">
            <v>178.9753721372584</v>
          </cell>
          <cell r="BC44">
            <v>0</v>
          </cell>
          <cell r="BD44">
            <v>0</v>
          </cell>
          <cell r="BE44">
            <v>0</v>
          </cell>
          <cell r="BF44">
            <v>0.83968007638049036</v>
          </cell>
          <cell r="BG44">
            <v>0</v>
          </cell>
          <cell r="BH44">
            <v>0.88025535162218882</v>
          </cell>
          <cell r="BI44">
            <v>0</v>
          </cell>
          <cell r="BJ44">
            <v>1283.7219999999998</v>
          </cell>
          <cell r="BK44">
            <v>0</v>
          </cell>
          <cell r="BL44">
            <v>2.9010175100216404</v>
          </cell>
          <cell r="BM44">
            <v>0</v>
          </cell>
          <cell r="BN44">
            <v>0</v>
          </cell>
          <cell r="BO44">
            <v>0</v>
          </cell>
          <cell r="BP44">
            <v>1018.1901188326394</v>
          </cell>
          <cell r="BQ44">
            <v>0</v>
          </cell>
          <cell r="BR44">
            <v>0</v>
          </cell>
          <cell r="BS44">
            <v>0</v>
          </cell>
          <cell r="BT44">
            <v>0.86479672437549404</v>
          </cell>
          <cell r="BU44">
            <v>0</v>
          </cell>
          <cell r="BV44">
            <v>0.91368891665471463</v>
          </cell>
          <cell r="BW44">
            <v>0</v>
          </cell>
          <cell r="BX44">
            <v>1364.9880000000001</v>
          </cell>
          <cell r="BY44">
            <v>0</v>
          </cell>
          <cell r="BZ44">
            <v>71.774411764880114</v>
          </cell>
          <cell r="CA44">
            <v>0</v>
          </cell>
          <cell r="CB44">
            <v>1.9880760856505704</v>
          </cell>
          <cell r="CC44">
            <v>0</v>
          </cell>
          <cell r="CD44">
            <v>0.17403816004243261</v>
          </cell>
          <cell r="CE44">
            <v>0</v>
          </cell>
          <cell r="CF44">
            <v>844.20451628287208</v>
          </cell>
          <cell r="CG44">
            <v>0</v>
          </cell>
          <cell r="CH44">
            <v>469.40954792276608</v>
          </cell>
          <cell r="CI44">
            <v>0</v>
          </cell>
          <cell r="CJ44">
            <v>0</v>
          </cell>
          <cell r="CK44">
            <v>0</v>
          </cell>
        </row>
      </sheetData>
      <sheetData sheetId="1">
        <row r="41">
          <cell r="P41">
            <v>1715.0680000000002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619</v>
          </cell>
        </row>
      </sheetData>
      <sheetData sheetId="13">
        <row r="6">
          <cell r="N6">
            <v>640</v>
          </cell>
        </row>
      </sheetData>
      <sheetData sheetId="14">
        <row r="6">
          <cell r="N6">
            <v>676</v>
          </cell>
        </row>
      </sheetData>
      <sheetData sheetId="15">
        <row r="6">
          <cell r="N6">
            <v>610</v>
          </cell>
        </row>
      </sheetData>
      <sheetData sheetId="16">
        <row r="6">
          <cell r="N6">
            <v>623</v>
          </cell>
        </row>
      </sheetData>
      <sheetData sheetId="17"/>
      <sheetData sheetId="18"/>
      <sheetData sheetId="19">
        <row r="6">
          <cell r="N6">
            <v>679</v>
          </cell>
        </row>
      </sheetData>
      <sheetData sheetId="20">
        <row r="6">
          <cell r="N6">
            <v>710</v>
          </cell>
        </row>
      </sheetData>
      <sheetData sheetId="21">
        <row r="6">
          <cell r="N6">
            <v>704</v>
          </cell>
        </row>
      </sheetData>
      <sheetData sheetId="22">
        <row r="6">
          <cell r="N6">
            <v>720</v>
          </cell>
        </row>
      </sheetData>
      <sheetData sheetId="23">
        <row r="6">
          <cell r="N6">
            <v>689</v>
          </cell>
        </row>
      </sheetData>
      <sheetData sheetId="24">
        <row r="6">
          <cell r="N6">
            <v>745</v>
          </cell>
        </row>
      </sheetData>
      <sheetData sheetId="25">
        <row r="6">
          <cell r="N6">
            <v>588</v>
          </cell>
        </row>
      </sheetData>
      <sheetData sheetId="26">
        <row r="6">
          <cell r="N6">
            <v>143</v>
          </cell>
        </row>
      </sheetData>
      <sheetData sheetId="27">
        <row r="6">
          <cell r="N6">
            <v>530</v>
          </cell>
        </row>
      </sheetData>
      <sheetData sheetId="28">
        <row r="6">
          <cell r="N6">
            <v>705</v>
          </cell>
        </row>
      </sheetData>
      <sheetData sheetId="29">
        <row r="6">
          <cell r="N6">
            <v>743</v>
          </cell>
        </row>
      </sheetData>
      <sheetData sheetId="30">
        <row r="6">
          <cell r="N6">
            <v>727</v>
          </cell>
        </row>
      </sheetData>
      <sheetData sheetId="31">
        <row r="6">
          <cell r="N6">
            <v>699</v>
          </cell>
        </row>
      </sheetData>
      <sheetData sheetId="32">
        <row r="6">
          <cell r="N6">
            <v>639</v>
          </cell>
        </row>
      </sheetData>
      <sheetData sheetId="33">
        <row r="6">
          <cell r="N6">
            <v>600</v>
          </cell>
        </row>
      </sheetData>
      <sheetData sheetId="34">
        <row r="6">
          <cell r="N6">
            <v>751</v>
          </cell>
        </row>
      </sheetData>
      <sheetData sheetId="35">
        <row r="6">
          <cell r="N6">
            <v>635</v>
          </cell>
        </row>
      </sheetData>
      <sheetData sheetId="36">
        <row r="6">
          <cell r="N6">
            <v>639</v>
          </cell>
        </row>
      </sheetData>
      <sheetData sheetId="37">
        <row r="6">
          <cell r="N6">
            <v>624</v>
          </cell>
        </row>
      </sheetData>
      <sheetData sheetId="38">
        <row r="6">
          <cell r="N6">
            <v>685</v>
          </cell>
        </row>
      </sheetData>
      <sheetData sheetId="39">
        <row r="6">
          <cell r="N6">
            <v>718</v>
          </cell>
        </row>
      </sheetData>
      <sheetData sheetId="40">
        <row r="6">
          <cell r="N6">
            <v>625</v>
          </cell>
        </row>
      </sheetData>
      <sheetData sheetId="41">
        <row r="6">
          <cell r="N6">
            <v>734</v>
          </cell>
        </row>
      </sheetData>
      <sheetData sheetId="4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RBP"/>
      <sheetName val="Chem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">
          <cell r="F4">
            <v>56.475000000000001</v>
          </cell>
        </row>
        <row r="45">
          <cell r="B45">
            <v>0.84979165368605014</v>
          </cell>
          <cell r="C45">
            <v>0</v>
          </cell>
          <cell r="D45">
            <v>0.85889246846907286</v>
          </cell>
          <cell r="E45">
            <v>0</v>
          </cell>
          <cell r="F45">
            <v>1534.4690000000003</v>
          </cell>
          <cell r="G45">
            <v>0</v>
          </cell>
          <cell r="H45">
            <v>2.4307190304919817</v>
          </cell>
          <cell r="I45">
            <v>0</v>
          </cell>
          <cell r="J45">
            <v>1009.2876688939294</v>
          </cell>
          <cell r="K45">
            <v>0</v>
          </cell>
          <cell r="L45">
            <v>0.85741705611332952</v>
          </cell>
          <cell r="M45">
            <v>0</v>
          </cell>
          <cell r="N45">
            <v>0.89481520731611941</v>
          </cell>
          <cell r="O45">
            <v>0</v>
          </cell>
          <cell r="P45">
            <v>1704.768</v>
          </cell>
          <cell r="Q45">
            <v>0</v>
          </cell>
          <cell r="R45">
            <v>2.4058077110785745</v>
          </cell>
          <cell r="S45">
            <v>0</v>
          </cell>
          <cell r="T45">
            <v>0.14817265457821827</v>
          </cell>
          <cell r="U45">
            <v>0</v>
          </cell>
          <cell r="V45">
            <v>708.74890307654778</v>
          </cell>
          <cell r="W45">
            <v>0</v>
          </cell>
          <cell r="X45">
            <v>419.01830630326219</v>
          </cell>
          <cell r="Y45">
            <v>0</v>
          </cell>
          <cell r="Z45">
            <v>0.87132155033301406</v>
          </cell>
          <cell r="AA45">
            <v>0</v>
          </cell>
          <cell r="AB45">
            <v>0.87132155033301406</v>
          </cell>
          <cell r="AC45">
            <v>0</v>
          </cell>
          <cell r="AD45">
            <v>1204.6450000000002</v>
          </cell>
          <cell r="AE45">
            <v>0</v>
          </cell>
          <cell r="AF45">
            <v>105.43835507766659</v>
          </cell>
          <cell r="AG45">
            <v>0</v>
          </cell>
          <cell r="AH45">
            <v>1.5603767084908828</v>
          </cell>
          <cell r="AI45">
            <v>0</v>
          </cell>
          <cell r="AJ45">
            <v>928.04959137339199</v>
          </cell>
          <cell r="AK45">
            <v>0</v>
          </cell>
          <cell r="AL45">
            <v>0</v>
          </cell>
          <cell r="AM45">
            <v>0</v>
          </cell>
          <cell r="AN45">
            <v>0.47758007033586591</v>
          </cell>
          <cell r="AO45">
            <v>0</v>
          </cell>
          <cell r="AP45">
            <v>0.8638562625636298</v>
          </cell>
          <cell r="AQ45">
            <v>0</v>
          </cell>
          <cell r="AR45">
            <v>764.20999999999992</v>
          </cell>
          <cell r="AS45">
            <v>0</v>
          </cell>
          <cell r="AT45">
            <v>117.91593614950136</v>
          </cell>
          <cell r="AU45">
            <v>0</v>
          </cell>
          <cell r="AV45">
            <v>1.737087973201084</v>
          </cell>
          <cell r="AW45">
            <v>0</v>
          </cell>
          <cell r="AX45">
            <v>0</v>
          </cell>
          <cell r="AY45">
            <v>0</v>
          </cell>
          <cell r="AZ45">
            <v>1171.1575352324626</v>
          </cell>
          <cell r="BA45">
            <v>0</v>
          </cell>
          <cell r="BB45">
            <v>0</v>
          </cell>
          <cell r="BC45">
            <v>0</v>
          </cell>
          <cell r="BD45">
            <v>23.422881145234534</v>
          </cell>
          <cell r="BE45">
            <v>0</v>
          </cell>
          <cell r="BF45">
            <v>0.79411423930112257</v>
          </cell>
          <cell r="BG45">
            <v>0</v>
          </cell>
          <cell r="BH45">
            <v>0.80751482141228126</v>
          </cell>
          <cell r="BI45">
            <v>0</v>
          </cell>
          <cell r="BJ45">
            <v>1316.4520000000002</v>
          </cell>
          <cell r="BK45">
            <v>0</v>
          </cell>
          <cell r="BL45">
            <v>2.6146034948482737</v>
          </cell>
          <cell r="BM45">
            <v>0</v>
          </cell>
          <cell r="BN45">
            <v>0</v>
          </cell>
          <cell r="BO45">
            <v>0</v>
          </cell>
          <cell r="BP45">
            <v>1083.3644303830235</v>
          </cell>
          <cell r="BQ45">
            <v>0</v>
          </cell>
          <cell r="BR45">
            <v>0</v>
          </cell>
          <cell r="BS45">
            <v>0</v>
          </cell>
          <cell r="BT45">
            <v>0.79215109753247104</v>
          </cell>
          <cell r="BU45">
            <v>0</v>
          </cell>
          <cell r="BV45">
            <v>0.80246910810737848</v>
          </cell>
          <cell r="BW45">
            <v>0</v>
          </cell>
          <cell r="BX45">
            <v>1219.0239999999997</v>
          </cell>
          <cell r="BY45">
            <v>0</v>
          </cell>
          <cell r="BZ45">
            <v>89.967609483204555</v>
          </cell>
          <cell r="CA45">
            <v>0</v>
          </cell>
          <cell r="CB45">
            <v>2.2528678680649445</v>
          </cell>
          <cell r="CC45">
            <v>0</v>
          </cell>
          <cell r="CD45">
            <v>0</v>
          </cell>
          <cell r="CE45">
            <v>0</v>
          </cell>
          <cell r="CF45">
            <v>1093.3749039341374</v>
          </cell>
          <cell r="CG45">
            <v>0</v>
          </cell>
          <cell r="CH45">
            <v>0</v>
          </cell>
          <cell r="CI45">
            <v>0</v>
          </cell>
          <cell r="CJ45">
            <v>3.7653073278297011</v>
          </cell>
          <cell r="CK45">
            <v>0</v>
          </cell>
        </row>
      </sheetData>
      <sheetData sheetId="1">
        <row r="41">
          <cell r="P41">
            <v>1589.6969999999997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683</v>
          </cell>
        </row>
      </sheetData>
      <sheetData sheetId="13">
        <row r="6">
          <cell r="N6">
            <v>384</v>
          </cell>
        </row>
      </sheetData>
      <sheetData sheetId="14">
        <row r="6">
          <cell r="N6">
            <v>693</v>
          </cell>
        </row>
      </sheetData>
      <sheetData sheetId="15">
        <row r="6">
          <cell r="N6">
            <v>664</v>
          </cell>
        </row>
      </sheetData>
      <sheetData sheetId="16">
        <row r="6">
          <cell r="N6">
            <v>655</v>
          </cell>
        </row>
      </sheetData>
      <sheetData sheetId="17">
        <row r="6">
          <cell r="N6">
            <v>550</v>
          </cell>
        </row>
      </sheetData>
      <sheetData sheetId="18">
        <row r="6">
          <cell r="N6">
            <v>687</v>
          </cell>
        </row>
      </sheetData>
      <sheetData sheetId="19">
        <row r="6">
          <cell r="N6">
            <v>603.20000000000005</v>
          </cell>
        </row>
      </sheetData>
      <sheetData sheetId="20">
        <row r="6">
          <cell r="N6">
            <v>678</v>
          </cell>
        </row>
      </sheetData>
      <sheetData sheetId="21">
        <row r="6">
          <cell r="N6">
            <v>655</v>
          </cell>
        </row>
      </sheetData>
      <sheetData sheetId="22">
        <row r="6">
          <cell r="N6">
            <v>673</v>
          </cell>
        </row>
      </sheetData>
      <sheetData sheetId="23">
        <row r="6">
          <cell r="N6">
            <v>859</v>
          </cell>
        </row>
      </sheetData>
      <sheetData sheetId="24">
        <row r="6">
          <cell r="N6">
            <v>708</v>
          </cell>
        </row>
      </sheetData>
      <sheetData sheetId="25">
        <row r="6">
          <cell r="N6">
            <v>735</v>
          </cell>
        </row>
      </sheetData>
      <sheetData sheetId="26">
        <row r="6">
          <cell r="N6">
            <v>607</v>
          </cell>
        </row>
      </sheetData>
      <sheetData sheetId="27">
        <row r="6">
          <cell r="N6">
            <v>746</v>
          </cell>
        </row>
      </sheetData>
      <sheetData sheetId="28">
        <row r="6">
          <cell r="N6">
            <v>457.8</v>
          </cell>
        </row>
      </sheetData>
      <sheetData sheetId="29">
        <row r="6">
          <cell r="N6">
            <v>725</v>
          </cell>
        </row>
      </sheetData>
      <sheetData sheetId="30">
        <row r="6">
          <cell r="N6">
            <v>638</v>
          </cell>
        </row>
      </sheetData>
      <sheetData sheetId="31">
        <row r="6">
          <cell r="N6">
            <v>612</v>
          </cell>
        </row>
      </sheetData>
      <sheetData sheetId="32">
        <row r="6">
          <cell r="N6">
            <v>445.7</v>
          </cell>
        </row>
      </sheetData>
      <sheetData sheetId="33">
        <row r="6">
          <cell r="N6">
            <v>801</v>
          </cell>
        </row>
      </sheetData>
      <sheetData sheetId="34">
        <row r="6">
          <cell r="N6">
            <v>567</v>
          </cell>
        </row>
      </sheetData>
      <sheetData sheetId="35">
        <row r="6">
          <cell r="N6">
            <v>531</v>
          </cell>
        </row>
      </sheetData>
      <sheetData sheetId="36">
        <row r="6">
          <cell r="N6">
            <v>650</v>
          </cell>
        </row>
      </sheetData>
      <sheetData sheetId="37">
        <row r="6">
          <cell r="N6">
            <v>601</v>
          </cell>
        </row>
      </sheetData>
      <sheetData sheetId="38">
        <row r="6">
          <cell r="N6">
            <v>576</v>
          </cell>
        </row>
      </sheetData>
      <sheetData sheetId="39">
        <row r="6">
          <cell r="N6">
            <v>524</v>
          </cell>
        </row>
      </sheetData>
      <sheetData sheetId="40">
        <row r="6">
          <cell r="N6">
            <v>11</v>
          </cell>
        </row>
      </sheetData>
      <sheetData sheetId="41">
        <row r="6">
          <cell r="N6">
            <v>635</v>
          </cell>
        </row>
      </sheetData>
      <sheetData sheetId="42">
        <row r="6">
          <cell r="N6">
            <v>720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29"/>
      <sheetName val="30"/>
      <sheetName val="31"/>
    </sheetNames>
    <sheetDataSet>
      <sheetData sheetId="0">
        <row r="4">
          <cell r="F4">
            <v>56.024000000000001</v>
          </cell>
        </row>
        <row r="46">
          <cell r="B46">
            <v>0.83769523903512089</v>
          </cell>
          <cell r="C46">
            <v>0</v>
          </cell>
          <cell r="D46">
            <v>0.8766254011798259</v>
          </cell>
          <cell r="E46">
            <v>0</v>
          </cell>
          <cell r="F46">
            <v>1634.1919999999996</v>
          </cell>
          <cell r="G46">
            <v>0</v>
          </cell>
          <cell r="H46">
            <v>2.3108465835103833</v>
          </cell>
          <cell r="I46">
            <v>0</v>
          </cell>
          <cell r="J46">
            <v>925.52625884841029</v>
          </cell>
          <cell r="K46">
            <v>0</v>
          </cell>
          <cell r="L46">
            <v>0.84617170172403267</v>
          </cell>
          <cell r="M46">
            <v>0</v>
          </cell>
          <cell r="N46">
            <v>0.9204051477742291</v>
          </cell>
          <cell r="O46">
            <v>0</v>
          </cell>
          <cell r="P46">
            <v>1544.1629999999998</v>
          </cell>
          <cell r="Q46">
            <v>0</v>
          </cell>
          <cell r="R46">
            <v>2.2768451258060192</v>
          </cell>
          <cell r="S46">
            <v>0</v>
          </cell>
          <cell r="T46">
            <v>0.21063190867803475</v>
          </cell>
          <cell r="U46">
            <v>0</v>
          </cell>
          <cell r="V46">
            <v>556.96866198710893</v>
          </cell>
          <cell r="W46">
            <v>0</v>
          </cell>
          <cell r="X46">
            <v>505.65160543284605</v>
          </cell>
          <cell r="Y46">
            <v>0</v>
          </cell>
          <cell r="Z46">
            <v>0.81429519491858005</v>
          </cell>
          <cell r="AA46">
            <v>0</v>
          </cell>
          <cell r="AB46">
            <v>0.84116945725970971</v>
          </cell>
          <cell r="AC46">
            <v>0</v>
          </cell>
          <cell r="AD46">
            <v>1037.251</v>
          </cell>
          <cell r="AE46">
            <v>0</v>
          </cell>
          <cell r="AF46">
            <v>107.29574153254443</v>
          </cell>
          <cell r="AG46">
            <v>0</v>
          </cell>
          <cell r="AH46">
            <v>1.536754363215846</v>
          </cell>
          <cell r="AI46">
            <v>0</v>
          </cell>
          <cell r="AJ46">
            <v>927.08314573810958</v>
          </cell>
          <cell r="AK46">
            <v>0</v>
          </cell>
          <cell r="AL46">
            <v>0</v>
          </cell>
          <cell r="AM46">
            <v>0</v>
          </cell>
          <cell r="AN46">
            <v>0.88342597272628431</v>
          </cell>
          <cell r="AO46">
            <v>0</v>
          </cell>
          <cell r="AP46">
            <v>0.90448559347378232</v>
          </cell>
          <cell r="AQ46">
            <v>0</v>
          </cell>
          <cell r="AR46">
            <v>1294.864</v>
          </cell>
          <cell r="AS46">
            <v>0</v>
          </cell>
          <cell r="AT46">
            <v>106.60047579603155</v>
          </cell>
          <cell r="AU46">
            <v>0</v>
          </cell>
          <cell r="AV46">
            <v>1.7585630614489243</v>
          </cell>
          <cell r="AW46">
            <v>0</v>
          </cell>
          <cell r="AX46">
            <v>7.321232191179923E-2</v>
          </cell>
          <cell r="AY46">
            <v>0</v>
          </cell>
          <cell r="AZ46">
            <v>932.75272152133323</v>
          </cell>
          <cell r="BA46">
            <v>0</v>
          </cell>
          <cell r="BB46">
            <v>205.07134339976946</v>
          </cell>
          <cell r="BC46">
            <v>0</v>
          </cell>
          <cell r="BD46">
            <v>0</v>
          </cell>
          <cell r="BE46">
            <v>0</v>
          </cell>
          <cell r="BF46">
            <v>0.85694754288718977</v>
          </cell>
          <cell r="BG46">
            <v>0</v>
          </cell>
          <cell r="BH46">
            <v>0.88509205317544382</v>
          </cell>
          <cell r="BI46">
            <v>0</v>
          </cell>
          <cell r="BJ46">
            <v>1241.78</v>
          </cell>
          <cell r="BK46">
            <v>0</v>
          </cell>
          <cell r="BL46">
            <v>2.5784760585610975</v>
          </cell>
          <cell r="BM46">
            <v>0</v>
          </cell>
          <cell r="BN46">
            <v>0</v>
          </cell>
          <cell r="BO46">
            <v>0</v>
          </cell>
          <cell r="BP46">
            <v>1074.7242034080921</v>
          </cell>
          <cell r="BQ46">
            <v>0</v>
          </cell>
          <cell r="BR46">
            <v>0</v>
          </cell>
          <cell r="BS46">
            <v>0</v>
          </cell>
          <cell r="BT46">
            <v>0.52741321849552625</v>
          </cell>
          <cell r="BU46">
            <v>0</v>
          </cell>
          <cell r="BV46">
            <v>0.87317352495084033</v>
          </cell>
          <cell r="BW46">
            <v>0</v>
          </cell>
          <cell r="BX46">
            <v>769.93799999999987</v>
          </cell>
          <cell r="BY46">
            <v>0</v>
          </cell>
          <cell r="BZ46">
            <v>79.808070660850817</v>
          </cell>
          <cell r="CA46">
            <v>0</v>
          </cell>
          <cell r="CB46">
            <v>2.0515937646927416</v>
          </cell>
          <cell r="CC46">
            <v>0</v>
          </cell>
          <cell r="CD46">
            <v>7.8512815317597004E-2</v>
          </cell>
          <cell r="CE46">
            <v>0</v>
          </cell>
          <cell r="CF46">
            <v>1021.1664039077168</v>
          </cell>
          <cell r="CG46">
            <v>0</v>
          </cell>
          <cell r="CH46">
            <v>210.64553249742193</v>
          </cell>
          <cell r="CI46">
            <v>0</v>
          </cell>
          <cell r="CJ46">
            <v>0</v>
          </cell>
          <cell r="CK46">
            <v>0</v>
          </cell>
        </row>
      </sheetData>
      <sheetData sheetId="1">
        <row r="41">
          <cell r="P41">
            <v>1722.4600000000005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N6">
            <v>697</v>
          </cell>
        </row>
      </sheetData>
      <sheetData sheetId="13">
        <row r="6">
          <cell r="N6">
            <v>542</v>
          </cell>
        </row>
      </sheetData>
      <sheetData sheetId="14">
        <row r="6">
          <cell r="N6">
            <v>552</v>
          </cell>
        </row>
      </sheetData>
      <sheetData sheetId="15">
        <row r="6">
          <cell r="N6">
            <v>547</v>
          </cell>
        </row>
      </sheetData>
      <sheetData sheetId="16">
        <row r="6">
          <cell r="N6">
            <v>624</v>
          </cell>
        </row>
      </sheetData>
      <sheetData sheetId="17">
        <row r="6">
          <cell r="N6">
            <v>636</v>
          </cell>
        </row>
      </sheetData>
      <sheetData sheetId="18">
        <row r="6">
          <cell r="N6">
            <v>607</v>
          </cell>
        </row>
      </sheetData>
      <sheetData sheetId="19">
        <row r="6">
          <cell r="N6">
            <v>766</v>
          </cell>
        </row>
      </sheetData>
      <sheetData sheetId="20">
        <row r="6">
          <cell r="N6">
            <v>661</v>
          </cell>
        </row>
      </sheetData>
      <sheetData sheetId="21">
        <row r="6">
          <cell r="N6">
            <v>671</v>
          </cell>
        </row>
      </sheetData>
      <sheetData sheetId="22">
        <row r="6">
          <cell r="N6">
            <v>675</v>
          </cell>
        </row>
      </sheetData>
      <sheetData sheetId="23">
        <row r="6">
          <cell r="N6">
            <v>624</v>
          </cell>
        </row>
      </sheetData>
      <sheetData sheetId="24">
        <row r="6">
          <cell r="N6">
            <v>607</v>
          </cell>
        </row>
      </sheetData>
      <sheetData sheetId="25">
        <row r="6">
          <cell r="N6">
            <v>593</v>
          </cell>
        </row>
      </sheetData>
      <sheetData sheetId="26">
        <row r="6">
          <cell r="N6">
            <v>642</v>
          </cell>
        </row>
      </sheetData>
      <sheetData sheetId="27">
        <row r="6">
          <cell r="N6">
            <v>577</v>
          </cell>
        </row>
      </sheetData>
      <sheetData sheetId="28">
        <row r="6">
          <cell r="N6">
            <v>624</v>
          </cell>
        </row>
      </sheetData>
      <sheetData sheetId="29">
        <row r="6">
          <cell r="N6">
            <v>569</v>
          </cell>
        </row>
      </sheetData>
      <sheetData sheetId="30">
        <row r="6">
          <cell r="N6">
            <v>606</v>
          </cell>
        </row>
      </sheetData>
      <sheetData sheetId="31">
        <row r="6">
          <cell r="N6">
            <v>339</v>
          </cell>
        </row>
      </sheetData>
      <sheetData sheetId="32">
        <row r="6">
          <cell r="N6">
            <v>593</v>
          </cell>
        </row>
      </sheetData>
      <sheetData sheetId="33">
        <row r="6">
          <cell r="N6">
            <v>666</v>
          </cell>
        </row>
      </sheetData>
      <sheetData sheetId="34">
        <row r="6">
          <cell r="N6">
            <v>718</v>
          </cell>
        </row>
      </sheetData>
      <sheetData sheetId="35">
        <row r="6">
          <cell r="N6">
            <v>612</v>
          </cell>
        </row>
      </sheetData>
      <sheetData sheetId="36">
        <row r="6">
          <cell r="N6">
            <v>644</v>
          </cell>
        </row>
      </sheetData>
      <sheetData sheetId="37">
        <row r="6">
          <cell r="N6">
            <v>614</v>
          </cell>
        </row>
      </sheetData>
      <sheetData sheetId="38">
        <row r="6">
          <cell r="N6">
            <v>530</v>
          </cell>
        </row>
      </sheetData>
      <sheetData sheetId="39">
        <row r="6">
          <cell r="N6">
            <v>531</v>
          </cell>
        </row>
      </sheetData>
      <sheetData sheetId="40"/>
      <sheetData sheetId="41"/>
      <sheetData sheetId="4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Listrik"/>
      <sheetName val="Trim Rwd"/>
      <sheetName val="Efficiency1"/>
      <sheetName val="Efficiency2"/>
      <sheetName val="BB"/>
      <sheetName val="Chem"/>
      <sheetName val="RBP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47">
          <cell r="B47">
            <v>0.83356468968646791</v>
          </cell>
          <cell r="C47">
            <v>0</v>
          </cell>
          <cell r="D47">
            <v>0.83361178337123676</v>
          </cell>
          <cell r="E47">
            <v>0</v>
          </cell>
          <cell r="F47">
            <v>1793.9010000000003</v>
          </cell>
          <cell r="G47">
            <v>0</v>
          </cell>
          <cell r="H47">
            <v>2.2654867799282119</v>
          </cell>
          <cell r="I47">
            <v>0</v>
          </cell>
          <cell r="J47">
            <v>869.87488161275269</v>
          </cell>
          <cell r="K47">
            <v>0</v>
          </cell>
          <cell r="L47">
            <v>0.92571232966703221</v>
          </cell>
          <cell r="M47">
            <v>0</v>
          </cell>
          <cell r="N47">
            <v>0.92998023945781472</v>
          </cell>
          <cell r="O47">
            <v>0</v>
          </cell>
          <cell r="P47">
            <v>1900.5750000000003</v>
          </cell>
          <cell r="Q47">
            <v>0</v>
          </cell>
          <cell r="R47">
            <v>2.404628073083146</v>
          </cell>
          <cell r="S47">
            <v>0</v>
          </cell>
          <cell r="T47">
            <v>0.23240335161727366</v>
          </cell>
          <cell r="U47">
            <v>0</v>
          </cell>
          <cell r="V47">
            <v>527.49748365626192</v>
          </cell>
          <cell r="W47">
            <v>0</v>
          </cell>
          <cell r="X47">
            <v>446.15971482314541</v>
          </cell>
          <cell r="Y47">
            <v>0</v>
          </cell>
          <cell r="Z47">
            <v>0.89180765054163103</v>
          </cell>
          <cell r="AA47">
            <v>0</v>
          </cell>
          <cell r="AB47">
            <v>0.89180765054163103</v>
          </cell>
          <cell r="AC47">
            <v>0</v>
          </cell>
          <cell r="AD47">
            <v>1235.4100000000003</v>
          </cell>
          <cell r="AE47">
            <v>0</v>
          </cell>
          <cell r="AF47">
            <v>96.393123699060041</v>
          </cell>
          <cell r="AG47">
            <v>0</v>
          </cell>
          <cell r="AH47">
            <v>1.4614581394031132</v>
          </cell>
          <cell r="AI47">
            <v>0</v>
          </cell>
          <cell r="AJ47">
            <v>901.21823524174181</v>
          </cell>
          <cell r="AK47">
            <v>0</v>
          </cell>
          <cell r="AL47">
            <v>0</v>
          </cell>
          <cell r="AM47">
            <v>0</v>
          </cell>
          <cell r="AN47">
            <v>0.65645764284355046</v>
          </cell>
          <cell r="AO47">
            <v>0</v>
          </cell>
          <cell r="AP47">
            <v>0.84659221514529037</v>
          </cell>
          <cell r="AQ47">
            <v>0</v>
          </cell>
          <cell r="AR47">
            <v>1045.3910000000001</v>
          </cell>
          <cell r="AS47">
            <v>0</v>
          </cell>
          <cell r="AT47">
            <v>119.51094164883219</v>
          </cell>
          <cell r="AU47">
            <v>0</v>
          </cell>
          <cell r="AV47">
            <v>1.7690031768017898</v>
          </cell>
          <cell r="AW47">
            <v>0</v>
          </cell>
          <cell r="AX47">
            <v>9.0148088131617746E-2</v>
          </cell>
          <cell r="AY47">
            <v>0</v>
          </cell>
          <cell r="AZ47">
            <v>1055.9628120004859</v>
          </cell>
          <cell r="BA47">
            <v>0</v>
          </cell>
          <cell r="BB47">
            <v>340.1813292825363</v>
          </cell>
          <cell r="BC47">
            <v>0</v>
          </cell>
          <cell r="BD47">
            <v>7.6095929656941745</v>
          </cell>
          <cell r="BE47">
            <v>0</v>
          </cell>
          <cell r="BF47">
            <v>0.90491767701928916</v>
          </cell>
          <cell r="BG47">
            <v>0</v>
          </cell>
          <cell r="BH47">
            <v>0.90491767701928916</v>
          </cell>
          <cell r="BI47">
            <v>0</v>
          </cell>
          <cell r="BJ47">
            <v>1444.9050000000002</v>
          </cell>
          <cell r="BK47">
            <v>0</v>
          </cell>
          <cell r="BL47">
            <v>2.4918593263916997</v>
          </cell>
          <cell r="BM47">
            <v>0</v>
          </cell>
          <cell r="BN47">
            <v>0</v>
          </cell>
          <cell r="BO47">
            <v>0</v>
          </cell>
          <cell r="BP47">
            <v>1021.2881687593227</v>
          </cell>
          <cell r="BQ47">
            <v>0</v>
          </cell>
          <cell r="BR47">
            <v>0</v>
          </cell>
          <cell r="BS47">
            <v>0</v>
          </cell>
          <cell r="BT47">
            <v>0.83316575545335458</v>
          </cell>
          <cell r="BU47">
            <v>0</v>
          </cell>
          <cell r="BV47">
            <v>0.84218323358645453</v>
          </cell>
          <cell r="BW47">
            <v>0</v>
          </cell>
          <cell r="BX47">
            <v>1301.6999999999998</v>
          </cell>
          <cell r="BY47">
            <v>0</v>
          </cell>
          <cell r="BZ47">
            <v>87.852276445978333</v>
          </cell>
          <cell r="CA47">
            <v>0</v>
          </cell>
          <cell r="CB47">
            <v>1.9540600752861652</v>
          </cell>
          <cell r="CC47">
            <v>0</v>
          </cell>
          <cell r="CD47">
            <v>9.0078359068909902E-2</v>
          </cell>
          <cell r="CE47">
            <v>0</v>
          </cell>
          <cell r="CF47">
            <v>925.71845933687518</v>
          </cell>
          <cell r="CG47">
            <v>0</v>
          </cell>
          <cell r="CH47">
            <v>294.56672044249837</v>
          </cell>
          <cell r="CI47">
            <v>0</v>
          </cell>
          <cell r="CJ47">
            <v>8.7308903741261457</v>
          </cell>
          <cell r="CK4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7">
          <cell r="D7">
            <v>98.21000000089407</v>
          </cell>
          <cell r="E7">
            <v>0</v>
          </cell>
          <cell r="F7">
            <v>690</v>
          </cell>
          <cell r="G7">
            <v>7211.7899999991059</v>
          </cell>
          <cell r="H7">
            <v>3300.0000000001819</v>
          </cell>
          <cell r="I7">
            <v>9168.6500000007272</v>
          </cell>
          <cell r="J7">
            <v>4938.6499999993039</v>
          </cell>
          <cell r="K7">
            <v>3899.9999999996362</v>
          </cell>
          <cell r="L7">
            <v>269</v>
          </cell>
          <cell r="M7">
            <v>233</v>
          </cell>
        </row>
        <row r="8">
          <cell r="D8">
            <v>271.06000000052154</v>
          </cell>
          <cell r="E8">
            <v>0</v>
          </cell>
          <cell r="F8">
            <v>100</v>
          </cell>
          <cell r="G8">
            <v>17628.939999999478</v>
          </cell>
          <cell r="H8">
            <v>5800.0000000001819</v>
          </cell>
          <cell r="I8">
            <v>13077.089999998545</v>
          </cell>
          <cell r="J8">
            <v>6907.0900000006595</v>
          </cell>
          <cell r="K8">
            <v>13100.000000000364</v>
          </cell>
          <cell r="L8">
            <v>410</v>
          </cell>
          <cell r="M8">
            <v>670</v>
          </cell>
        </row>
        <row r="9">
          <cell r="D9">
            <v>276.94999999925494</v>
          </cell>
          <cell r="E9">
            <v>0</v>
          </cell>
          <cell r="F9">
            <v>200</v>
          </cell>
          <cell r="G9">
            <v>16623.050000001109</v>
          </cell>
          <cell r="H9">
            <v>4399.9999999996362</v>
          </cell>
          <cell r="I9">
            <v>11386.110000000728</v>
          </cell>
          <cell r="J9">
            <v>7256.1099999992321</v>
          </cell>
          <cell r="K9">
            <v>14000</v>
          </cell>
          <cell r="L9">
            <v>430</v>
          </cell>
          <cell r="M9">
            <v>710</v>
          </cell>
        </row>
        <row r="10">
          <cell r="D10">
            <v>317.40000000037253</v>
          </cell>
          <cell r="E10">
            <v>0</v>
          </cell>
          <cell r="F10">
            <v>100</v>
          </cell>
          <cell r="G10">
            <v>16882.5999999989</v>
          </cell>
          <cell r="H10">
            <v>3100.0000000003638</v>
          </cell>
          <cell r="I10">
            <v>8613.2199999999993</v>
          </cell>
          <cell r="J10">
            <v>6983.2200000007679</v>
          </cell>
          <cell r="K10">
            <v>11600.000000000364</v>
          </cell>
          <cell r="L10">
            <v>390</v>
          </cell>
          <cell r="M10">
            <v>580</v>
          </cell>
        </row>
        <row r="11">
          <cell r="D11">
            <v>266.75999999977648</v>
          </cell>
          <cell r="E11">
            <v>0</v>
          </cell>
          <cell r="F11">
            <v>200</v>
          </cell>
          <cell r="G11">
            <v>16433.23999999986</v>
          </cell>
          <cell r="H11">
            <v>3799.9999999992724</v>
          </cell>
          <cell r="I11">
            <v>9060.2400000007274</v>
          </cell>
          <cell r="J11">
            <v>7520.239999999736</v>
          </cell>
          <cell r="K11">
            <v>11000</v>
          </cell>
          <cell r="L11">
            <v>410</v>
          </cell>
          <cell r="M11">
            <v>600</v>
          </cell>
        </row>
        <row r="12">
          <cell r="D12">
            <v>364.98000000044703</v>
          </cell>
          <cell r="E12">
            <v>0</v>
          </cell>
          <cell r="F12">
            <v>400</v>
          </cell>
          <cell r="G12">
            <v>17535.020000000644</v>
          </cell>
          <cell r="H12">
            <v>4400.0000000005457</v>
          </cell>
          <cell r="I12">
            <v>9982.3699999985456</v>
          </cell>
          <cell r="J12">
            <v>7302.3699999998871</v>
          </cell>
          <cell r="K12">
            <v>12199.999999998909</v>
          </cell>
          <cell r="L12">
            <v>410</v>
          </cell>
          <cell r="M12">
            <v>640</v>
          </cell>
        </row>
        <row r="13">
          <cell r="D13">
            <v>349.45999999903142</v>
          </cell>
          <cell r="E13">
            <v>0</v>
          </cell>
          <cell r="F13">
            <v>100</v>
          </cell>
          <cell r="G13">
            <v>16950.540000000605</v>
          </cell>
          <cell r="H13">
            <v>5899.9999999996362</v>
          </cell>
          <cell r="I13">
            <v>13986.650000000363</v>
          </cell>
          <cell r="J13">
            <v>7696.6499999996668</v>
          </cell>
          <cell r="K13">
            <v>12000</v>
          </cell>
          <cell r="L13">
            <v>400</v>
          </cell>
          <cell r="M13">
            <v>650</v>
          </cell>
        </row>
        <row r="14">
          <cell r="D14">
            <v>421.83000000007451</v>
          </cell>
          <cell r="E14">
            <v>0</v>
          </cell>
          <cell r="F14">
            <v>200</v>
          </cell>
          <cell r="G14">
            <v>17478.170000000289</v>
          </cell>
          <cell r="H14">
            <v>7600.0000000003638</v>
          </cell>
          <cell r="I14">
            <v>15972.13</v>
          </cell>
          <cell r="J14">
            <v>7342.1300000008177</v>
          </cell>
          <cell r="K14">
            <v>7800.0000000010914</v>
          </cell>
          <cell r="L14">
            <v>390</v>
          </cell>
          <cell r="M14">
            <v>570</v>
          </cell>
        </row>
        <row r="15">
          <cell r="D15">
            <v>270.24000000022352</v>
          </cell>
          <cell r="E15">
            <v>0</v>
          </cell>
          <cell r="F15">
            <v>200</v>
          </cell>
          <cell r="G15">
            <v>17629.76000000014</v>
          </cell>
          <cell r="H15">
            <v>8000</v>
          </cell>
          <cell r="I15">
            <v>17329.930000001092</v>
          </cell>
          <cell r="J15">
            <v>6699.9300000002777</v>
          </cell>
          <cell r="K15">
            <v>8600.0000000003638</v>
          </cell>
          <cell r="L15">
            <v>410</v>
          </cell>
          <cell r="M15">
            <v>540</v>
          </cell>
        </row>
        <row r="16">
          <cell r="D16">
            <v>346.10999999940395</v>
          </cell>
          <cell r="E16">
            <v>0</v>
          </cell>
          <cell r="F16">
            <v>100</v>
          </cell>
          <cell r="G16">
            <v>17253.889999999505</v>
          </cell>
          <cell r="H16">
            <v>7599.9999999994543</v>
          </cell>
          <cell r="I16">
            <v>16058.669999999636</v>
          </cell>
          <cell r="J16">
            <v>8738.6700000003602</v>
          </cell>
          <cell r="K16">
            <v>8099.9999999985448</v>
          </cell>
          <cell r="L16">
            <v>360</v>
          </cell>
          <cell r="M16">
            <v>550</v>
          </cell>
        </row>
        <row r="17">
          <cell r="D17">
            <v>284.33999999985099</v>
          </cell>
          <cell r="E17">
            <v>0</v>
          </cell>
          <cell r="F17">
            <v>100</v>
          </cell>
          <cell r="G17">
            <v>17615.660000000149</v>
          </cell>
          <cell r="H17">
            <v>7400.0000000005457</v>
          </cell>
          <cell r="I17">
            <v>14971.389999999636</v>
          </cell>
          <cell r="J17">
            <v>6971.3899999988216</v>
          </cell>
          <cell r="K17">
            <v>8600.0000000003638</v>
          </cell>
          <cell r="L17">
            <v>340</v>
          </cell>
          <cell r="M17">
            <v>610</v>
          </cell>
        </row>
        <row r="18">
          <cell r="D18">
            <v>372.08000000007451</v>
          </cell>
          <cell r="E18">
            <v>0</v>
          </cell>
          <cell r="F18">
            <v>200</v>
          </cell>
          <cell r="G18">
            <v>17327.919999999562</v>
          </cell>
          <cell r="H18">
            <v>7399.9999999996362</v>
          </cell>
          <cell r="I18">
            <v>16265.540000000365</v>
          </cell>
          <cell r="J18">
            <v>6635.5400000000873</v>
          </cell>
          <cell r="K18">
            <v>8000</v>
          </cell>
          <cell r="L18">
            <v>370</v>
          </cell>
          <cell r="M18">
            <v>540</v>
          </cell>
        </row>
        <row r="19">
          <cell r="D19">
            <v>332.90000000037253</v>
          </cell>
          <cell r="E19">
            <v>0</v>
          </cell>
          <cell r="F19">
            <v>100</v>
          </cell>
          <cell r="G19">
            <v>17367.100000000719</v>
          </cell>
          <cell r="H19">
            <v>7400.0000000005457</v>
          </cell>
          <cell r="I19">
            <v>15061.470000000363</v>
          </cell>
          <cell r="J19">
            <v>3881.4700000004586</v>
          </cell>
          <cell r="K19">
            <v>8000</v>
          </cell>
          <cell r="L19">
            <v>360</v>
          </cell>
          <cell r="M19">
            <v>550</v>
          </cell>
        </row>
        <row r="20">
          <cell r="D20">
            <v>347.67999999970198</v>
          </cell>
          <cell r="E20">
            <v>0</v>
          </cell>
          <cell r="F20">
            <v>200</v>
          </cell>
          <cell r="G20">
            <v>17952.320000000298</v>
          </cell>
          <cell r="H20">
            <v>7599.9999999994543</v>
          </cell>
          <cell r="I20">
            <v>16706.199999999637</v>
          </cell>
          <cell r="J20">
            <v>2126.1999999994823</v>
          </cell>
          <cell r="K20">
            <v>7899.9999999996362</v>
          </cell>
          <cell r="L20">
            <v>250</v>
          </cell>
          <cell r="M20">
            <v>250</v>
          </cell>
        </row>
        <row r="21">
          <cell r="D21">
            <v>325.98000000044703</v>
          </cell>
          <cell r="E21">
            <v>0</v>
          </cell>
          <cell r="F21">
            <v>100</v>
          </cell>
          <cell r="G21">
            <v>18374.019999998825</v>
          </cell>
          <cell r="H21">
            <v>7400.0000000005457</v>
          </cell>
          <cell r="I21">
            <v>16733.599999999999</v>
          </cell>
          <cell r="J21">
            <v>5553.6000000004597</v>
          </cell>
          <cell r="K21">
            <v>7900.0000000014552</v>
          </cell>
          <cell r="L21">
            <v>180</v>
          </cell>
          <cell r="M21">
            <v>380</v>
          </cell>
        </row>
        <row r="22">
          <cell r="D22">
            <v>334.40000000037253</v>
          </cell>
          <cell r="E22">
            <v>0</v>
          </cell>
          <cell r="F22">
            <v>100</v>
          </cell>
          <cell r="G22">
            <v>18365.600000000719</v>
          </cell>
          <cell r="H22">
            <v>7500</v>
          </cell>
          <cell r="I22">
            <v>15515.199999999273</v>
          </cell>
          <cell r="J22">
            <v>5125.1999999999007</v>
          </cell>
          <cell r="K22">
            <v>8000</v>
          </cell>
          <cell r="L22">
            <v>290</v>
          </cell>
          <cell r="M22">
            <v>480</v>
          </cell>
        </row>
        <row r="23">
          <cell r="D23">
            <v>339.01999999955297</v>
          </cell>
          <cell r="E23">
            <v>0</v>
          </cell>
          <cell r="F23">
            <v>200</v>
          </cell>
          <cell r="G23">
            <v>17860.980000000083</v>
          </cell>
          <cell r="H23">
            <v>7399.9999999996362</v>
          </cell>
          <cell r="I23">
            <v>16329.380000001091</v>
          </cell>
          <cell r="J23">
            <v>6369.3799999997127</v>
          </cell>
          <cell r="K23">
            <v>7899.9999999996362</v>
          </cell>
          <cell r="L23">
            <v>350</v>
          </cell>
          <cell r="M23">
            <v>570</v>
          </cell>
        </row>
        <row r="24">
          <cell r="D24">
            <v>359.04000000096858</v>
          </cell>
          <cell r="E24">
            <v>0</v>
          </cell>
          <cell r="F24">
            <v>100</v>
          </cell>
          <cell r="G24">
            <v>18340.959999998304</v>
          </cell>
          <cell r="H24">
            <v>7500</v>
          </cell>
          <cell r="I24">
            <v>15368.99</v>
          </cell>
          <cell r="J24">
            <v>6868.9900000006819</v>
          </cell>
          <cell r="K24">
            <v>7899.9999999996362</v>
          </cell>
          <cell r="L24">
            <v>360</v>
          </cell>
          <cell r="M24">
            <v>520</v>
          </cell>
        </row>
        <row r="25">
          <cell r="D25">
            <v>324.02999999932945</v>
          </cell>
          <cell r="E25">
            <v>0</v>
          </cell>
          <cell r="F25">
            <v>200</v>
          </cell>
          <cell r="G25">
            <v>17875.970000000307</v>
          </cell>
          <cell r="H25">
            <v>7600.0000000003638</v>
          </cell>
          <cell r="I25">
            <v>16553.289999999637</v>
          </cell>
          <cell r="J25">
            <v>8453.2899999996589</v>
          </cell>
          <cell r="K25">
            <v>8000</v>
          </cell>
          <cell r="L25">
            <v>350</v>
          </cell>
          <cell r="M25">
            <v>590</v>
          </cell>
        </row>
        <row r="26">
          <cell r="D26">
            <v>367.70999999903142</v>
          </cell>
          <cell r="E26">
            <v>0</v>
          </cell>
          <cell r="F26">
            <v>100</v>
          </cell>
          <cell r="G26">
            <v>17632.290000001332</v>
          </cell>
          <cell r="H26">
            <v>7500</v>
          </cell>
          <cell r="I26">
            <v>15472.609999999637</v>
          </cell>
          <cell r="J26">
            <v>6772.6099999992957</v>
          </cell>
          <cell r="K26">
            <v>8000</v>
          </cell>
          <cell r="L26">
            <v>360</v>
          </cell>
          <cell r="M26">
            <v>590</v>
          </cell>
        </row>
        <row r="27">
          <cell r="D27">
            <v>298.14000000059605</v>
          </cell>
          <cell r="E27">
            <v>0</v>
          </cell>
          <cell r="F27">
            <v>200</v>
          </cell>
          <cell r="G27">
            <v>15901.85999999904</v>
          </cell>
          <cell r="H27">
            <v>4199.9999999998181</v>
          </cell>
          <cell r="I27">
            <v>9152.4299999999275</v>
          </cell>
          <cell r="J27">
            <v>6822.4300000000458</v>
          </cell>
          <cell r="K27">
            <v>11700.000000000728</v>
          </cell>
          <cell r="L27">
            <v>360</v>
          </cell>
          <cell r="M27">
            <v>540</v>
          </cell>
        </row>
        <row r="28">
          <cell r="D28">
            <v>336.73000000044703</v>
          </cell>
          <cell r="E28">
            <v>0</v>
          </cell>
          <cell r="F28">
            <v>300</v>
          </cell>
          <cell r="G28">
            <v>17563.270000000281</v>
          </cell>
          <cell r="H28">
            <v>4699.9999999998181</v>
          </cell>
          <cell r="I28">
            <v>11178.739999999345</v>
          </cell>
          <cell r="J28">
            <v>7108.7400000006819</v>
          </cell>
          <cell r="K28">
            <v>13000</v>
          </cell>
          <cell r="L28">
            <v>390</v>
          </cell>
          <cell r="M28">
            <v>650</v>
          </cell>
        </row>
        <row r="29">
          <cell r="D29">
            <v>331.35999999940395</v>
          </cell>
          <cell r="E29">
            <v>0</v>
          </cell>
          <cell r="F29">
            <v>200</v>
          </cell>
          <cell r="G29">
            <v>16468.640000000596</v>
          </cell>
          <cell r="H29">
            <v>4800.0000000001819</v>
          </cell>
          <cell r="I29">
            <v>11091.97</v>
          </cell>
          <cell r="J29">
            <v>7991.9700000007724</v>
          </cell>
          <cell r="K29">
            <v>13099.999999998545</v>
          </cell>
          <cell r="L29">
            <v>400</v>
          </cell>
          <cell r="M29">
            <v>640</v>
          </cell>
        </row>
        <row r="30">
          <cell r="D30">
            <v>5.150000000372529</v>
          </cell>
          <cell r="E30">
            <v>0</v>
          </cell>
          <cell r="F30">
            <v>5300</v>
          </cell>
          <cell r="G30">
            <v>7694.8499999996275</v>
          </cell>
          <cell r="H30">
            <v>3000</v>
          </cell>
          <cell r="I30">
            <v>8562.7300000007272</v>
          </cell>
          <cell r="J30">
            <v>6162.729999999181</v>
          </cell>
          <cell r="K30">
            <v>5500</v>
          </cell>
          <cell r="L30">
            <v>280</v>
          </cell>
          <cell r="M30">
            <v>450</v>
          </cell>
        </row>
        <row r="31">
          <cell r="D31">
            <v>0</v>
          </cell>
          <cell r="E31">
            <v>0</v>
          </cell>
          <cell r="F31">
            <v>6700</v>
          </cell>
          <cell r="G31">
            <v>8300</v>
          </cell>
          <cell r="H31">
            <v>4899.9999999996362</v>
          </cell>
          <cell r="I31">
            <v>13045.319999999272</v>
          </cell>
          <cell r="J31">
            <v>5945.3199999996359</v>
          </cell>
          <cell r="K31">
            <v>7500</v>
          </cell>
          <cell r="L31">
            <v>310</v>
          </cell>
          <cell r="M31">
            <v>570</v>
          </cell>
        </row>
        <row r="32">
          <cell r="D32">
            <v>0</v>
          </cell>
          <cell r="E32">
            <v>0</v>
          </cell>
          <cell r="F32">
            <v>6400</v>
          </cell>
          <cell r="G32">
            <v>7600</v>
          </cell>
          <cell r="H32">
            <v>4920.0000000000728</v>
          </cell>
          <cell r="I32">
            <v>11520.110000001456</v>
          </cell>
          <cell r="J32">
            <v>5820.1100000011375</v>
          </cell>
          <cell r="K32">
            <v>7800.0000000010914</v>
          </cell>
          <cell r="L32">
            <v>340</v>
          </cell>
          <cell r="M32">
            <v>530</v>
          </cell>
        </row>
        <row r="33">
          <cell r="D33">
            <v>4.5</v>
          </cell>
          <cell r="E33">
            <v>0</v>
          </cell>
          <cell r="F33">
            <v>6700</v>
          </cell>
          <cell r="G33">
            <v>8295.5</v>
          </cell>
          <cell r="H33">
            <v>5480.0000000004729</v>
          </cell>
          <cell r="I33">
            <v>13255.909999998545</v>
          </cell>
          <cell r="J33">
            <v>6955.9099999989539</v>
          </cell>
          <cell r="K33">
            <v>8199.9999999989086</v>
          </cell>
          <cell r="L33">
            <v>320</v>
          </cell>
          <cell r="M33">
            <v>530</v>
          </cell>
        </row>
        <row r="34">
          <cell r="D34">
            <v>0.5</v>
          </cell>
          <cell r="E34">
            <v>0</v>
          </cell>
          <cell r="F34">
            <v>6400</v>
          </cell>
          <cell r="G34">
            <v>7799.5000000007276</v>
          </cell>
          <cell r="H34">
            <v>5199.9999999998181</v>
          </cell>
          <cell r="I34">
            <v>13274.39</v>
          </cell>
          <cell r="J34">
            <v>3374.3900000003177</v>
          </cell>
          <cell r="K34">
            <v>7900.0000000014552</v>
          </cell>
          <cell r="L34">
            <v>260</v>
          </cell>
          <cell r="M34">
            <v>430</v>
          </cell>
        </row>
        <row r="35">
          <cell r="D35">
            <v>0</v>
          </cell>
          <cell r="E35">
            <v>0</v>
          </cell>
          <cell r="F35">
            <v>6700</v>
          </cell>
          <cell r="G35">
            <v>8099.9999999992724</v>
          </cell>
          <cell r="H35">
            <v>6199.9999999998181</v>
          </cell>
          <cell r="I35">
            <v>15729.580000000728</v>
          </cell>
          <cell r="J35">
            <v>7169.5800000000318</v>
          </cell>
          <cell r="K35">
            <v>8299.9999999992724</v>
          </cell>
          <cell r="L35">
            <v>353.19999999995343</v>
          </cell>
          <cell r="M35">
            <v>567.45999999999185</v>
          </cell>
        </row>
        <row r="36">
          <cell r="D36">
            <v>0</v>
          </cell>
          <cell r="E36">
            <v>0</v>
          </cell>
          <cell r="F36">
            <v>6300</v>
          </cell>
          <cell r="G36">
            <v>7999.9999999992724</v>
          </cell>
          <cell r="H36">
            <v>4800.0000000001819</v>
          </cell>
          <cell r="I36">
            <v>9205.2999999999993</v>
          </cell>
          <cell r="J36">
            <v>7665.2999999992853</v>
          </cell>
          <cell r="K36">
            <v>13200.000000000728</v>
          </cell>
          <cell r="L36">
            <v>366.80000000004657</v>
          </cell>
          <cell r="M36">
            <v>662.54000000000815</v>
          </cell>
        </row>
        <row r="37">
          <cell r="D37">
            <v>6</v>
          </cell>
          <cell r="E37">
            <v>0</v>
          </cell>
          <cell r="F37">
            <v>6700</v>
          </cell>
          <cell r="G37">
            <v>8294</v>
          </cell>
          <cell r="H37">
            <v>4500</v>
          </cell>
          <cell r="I37">
            <v>13034.99</v>
          </cell>
          <cell r="J37">
            <v>7704.9900000006865</v>
          </cell>
          <cell r="K37">
            <v>13899.999999999636</v>
          </cell>
          <cell r="L37">
            <v>450</v>
          </cell>
          <cell r="M37">
            <v>690</v>
          </cell>
        </row>
        <row r="38">
          <cell r="N38">
            <v>1634730.3999999994</v>
          </cell>
        </row>
      </sheetData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50"/>
  <sheetViews>
    <sheetView zoomScale="115" zoomScaleNormal="115" workbookViewId="0">
      <selection activeCell="A35" sqref="A35"/>
    </sheetView>
  </sheetViews>
  <sheetFormatPr defaultRowHeight="12.75"/>
  <cols>
    <col min="1" max="1" width="11.5703125" style="596" customWidth="1"/>
    <col min="2" max="9" width="9.140625" style="592" customWidth="1"/>
    <col min="10" max="10" width="10.28515625" style="592" customWidth="1"/>
    <col min="11" max="11" width="9.140625" style="592" customWidth="1"/>
    <col min="12" max="25" width="9.42578125" style="592" customWidth="1"/>
    <col min="26" max="31" width="9.140625" style="592" customWidth="1"/>
    <col min="32" max="33" width="11.28515625" style="592" customWidth="1"/>
    <col min="34" max="34" width="9.140625" style="592" customWidth="1"/>
    <col min="35" max="35" width="9.28515625" style="592" customWidth="1"/>
    <col min="36" max="36" width="10.28515625" style="592" customWidth="1"/>
    <col min="37" max="37" width="9.140625" style="592" customWidth="1"/>
    <col min="38" max="39" width="8.140625" style="592" customWidth="1"/>
    <col min="40" max="53" width="9.140625" style="592" customWidth="1"/>
    <col min="54" max="54" width="12.85546875" style="592" customWidth="1"/>
    <col min="55" max="55" width="9.140625" style="592" customWidth="1"/>
    <col min="56" max="56" width="7.7109375" style="592" customWidth="1"/>
    <col min="57" max="57" width="10.7109375" style="592" customWidth="1"/>
    <col min="58" max="71" width="9.140625" style="592" customWidth="1"/>
    <col min="72" max="87" width="9.140625" style="592"/>
    <col min="88" max="89" width="9.140625" style="592" customWidth="1"/>
    <col min="90" max="16384" width="9.140625" style="592"/>
  </cols>
  <sheetData>
    <row r="1" spans="1:89" ht="13.5" thickBot="1">
      <c r="A1" s="637" t="s">
        <v>30</v>
      </c>
      <c r="B1" s="640" t="s">
        <v>150</v>
      </c>
      <c r="C1" s="641"/>
      <c r="D1" s="641"/>
      <c r="E1" s="641"/>
      <c r="F1" s="641"/>
      <c r="G1" s="641"/>
      <c r="H1" s="641"/>
      <c r="I1" s="641"/>
      <c r="J1" s="641"/>
      <c r="K1" s="642"/>
      <c r="L1" s="643" t="s">
        <v>215</v>
      </c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5"/>
      <c r="Z1" s="796" t="s">
        <v>317</v>
      </c>
      <c r="AA1" s="797"/>
      <c r="AB1" s="797"/>
      <c r="AC1" s="797"/>
      <c r="AD1" s="797"/>
      <c r="AE1" s="797"/>
      <c r="AF1" s="797"/>
      <c r="AG1" s="797"/>
      <c r="AH1" s="797"/>
      <c r="AI1" s="797"/>
      <c r="AJ1" s="797"/>
      <c r="AK1" s="797"/>
      <c r="AL1" s="797"/>
      <c r="AM1" s="798"/>
      <c r="AN1" s="806" t="s">
        <v>318</v>
      </c>
      <c r="AO1" s="807"/>
      <c r="AP1" s="807"/>
      <c r="AQ1" s="807"/>
      <c r="AR1" s="807"/>
      <c r="AS1" s="807"/>
      <c r="AT1" s="807"/>
      <c r="AU1" s="807"/>
      <c r="AV1" s="807"/>
      <c r="AW1" s="807"/>
      <c r="AX1" s="807"/>
      <c r="AY1" s="807"/>
      <c r="AZ1" s="807"/>
      <c r="BA1" s="807"/>
      <c r="BB1" s="807"/>
      <c r="BC1" s="807"/>
      <c r="BD1" s="807"/>
      <c r="BE1" s="808"/>
      <c r="BF1" s="646" t="s">
        <v>216</v>
      </c>
      <c r="BG1" s="647"/>
      <c r="BH1" s="647"/>
      <c r="BI1" s="647"/>
      <c r="BJ1" s="647"/>
      <c r="BK1" s="647"/>
      <c r="BL1" s="647"/>
      <c r="BM1" s="647"/>
      <c r="BN1" s="647"/>
      <c r="BO1" s="647"/>
      <c r="BP1" s="647"/>
      <c r="BQ1" s="647"/>
      <c r="BR1" s="647"/>
      <c r="BS1" s="648"/>
      <c r="BT1" s="812" t="s">
        <v>319</v>
      </c>
      <c r="BU1" s="813"/>
      <c r="BV1" s="813"/>
      <c r="BW1" s="813"/>
      <c r="BX1" s="813"/>
      <c r="BY1" s="813"/>
      <c r="BZ1" s="813"/>
      <c r="CA1" s="813"/>
      <c r="CB1" s="813"/>
      <c r="CC1" s="813"/>
      <c r="CD1" s="813"/>
      <c r="CE1" s="813"/>
      <c r="CF1" s="813"/>
      <c r="CG1" s="813"/>
      <c r="CH1" s="813"/>
      <c r="CI1" s="813"/>
      <c r="CJ1" s="813"/>
      <c r="CK1" s="814"/>
    </row>
    <row r="2" spans="1:89">
      <c r="A2" s="638"/>
      <c r="B2" s="652" t="s">
        <v>407</v>
      </c>
      <c r="C2" s="650"/>
      <c r="D2" s="649" t="s">
        <v>408</v>
      </c>
      <c r="E2" s="650"/>
      <c r="F2" s="649" t="s">
        <v>217</v>
      </c>
      <c r="G2" s="650"/>
      <c r="H2" s="649" t="s">
        <v>218</v>
      </c>
      <c r="I2" s="650"/>
      <c r="J2" s="649" t="s">
        <v>219</v>
      </c>
      <c r="K2" s="651"/>
      <c r="L2" s="652" t="s">
        <v>407</v>
      </c>
      <c r="M2" s="650"/>
      <c r="N2" s="649" t="s">
        <v>408</v>
      </c>
      <c r="O2" s="650"/>
      <c r="P2" s="649" t="s">
        <v>217</v>
      </c>
      <c r="Q2" s="650"/>
      <c r="R2" s="649" t="s">
        <v>320</v>
      </c>
      <c r="S2" s="650"/>
      <c r="T2" s="649" t="s">
        <v>321</v>
      </c>
      <c r="U2" s="650"/>
      <c r="V2" s="649" t="s">
        <v>219</v>
      </c>
      <c r="W2" s="650"/>
      <c r="X2" s="649" t="s">
        <v>322</v>
      </c>
      <c r="Y2" s="651"/>
      <c r="Z2" s="652" t="s">
        <v>407</v>
      </c>
      <c r="AA2" s="650"/>
      <c r="AB2" s="649" t="s">
        <v>408</v>
      </c>
      <c r="AC2" s="650"/>
      <c r="AD2" s="649" t="s">
        <v>217</v>
      </c>
      <c r="AE2" s="650"/>
      <c r="AF2" s="649" t="s">
        <v>323</v>
      </c>
      <c r="AG2" s="650"/>
      <c r="AH2" s="649" t="s">
        <v>220</v>
      </c>
      <c r="AI2" s="650"/>
      <c r="AJ2" s="649" t="s">
        <v>221</v>
      </c>
      <c r="AK2" s="651"/>
      <c r="AL2" s="675" t="s">
        <v>433</v>
      </c>
      <c r="AM2" s="676"/>
      <c r="AN2" s="652" t="s">
        <v>407</v>
      </c>
      <c r="AO2" s="650"/>
      <c r="AP2" s="649" t="s">
        <v>408</v>
      </c>
      <c r="AQ2" s="650"/>
      <c r="AR2" s="649" t="s">
        <v>217</v>
      </c>
      <c r="AS2" s="650"/>
      <c r="AT2" s="649" t="s">
        <v>323</v>
      </c>
      <c r="AU2" s="650"/>
      <c r="AV2" s="649" t="s">
        <v>220</v>
      </c>
      <c r="AW2" s="650"/>
      <c r="AX2" s="649" t="s">
        <v>324</v>
      </c>
      <c r="AY2" s="650"/>
      <c r="AZ2" s="649" t="s">
        <v>221</v>
      </c>
      <c r="BA2" s="650"/>
      <c r="BB2" s="649" t="s">
        <v>325</v>
      </c>
      <c r="BC2" s="651"/>
      <c r="BD2" s="658" t="s">
        <v>433</v>
      </c>
      <c r="BE2" s="799"/>
      <c r="BF2" s="652" t="s">
        <v>407</v>
      </c>
      <c r="BG2" s="650"/>
      <c r="BH2" s="649" t="s">
        <v>408</v>
      </c>
      <c r="BI2" s="650"/>
      <c r="BJ2" s="649" t="s">
        <v>217</v>
      </c>
      <c r="BK2" s="650"/>
      <c r="BL2" s="649" t="s">
        <v>220</v>
      </c>
      <c r="BM2" s="650"/>
      <c r="BN2" s="649" t="s">
        <v>321</v>
      </c>
      <c r="BO2" s="650"/>
      <c r="BP2" s="649" t="s">
        <v>221</v>
      </c>
      <c r="BQ2" s="650"/>
      <c r="BR2" s="649" t="s">
        <v>322</v>
      </c>
      <c r="BS2" s="651"/>
      <c r="BT2" s="652" t="s">
        <v>407</v>
      </c>
      <c r="BU2" s="650"/>
      <c r="BV2" s="649" t="s">
        <v>408</v>
      </c>
      <c r="BW2" s="650"/>
      <c r="BX2" s="649" t="s">
        <v>217</v>
      </c>
      <c r="BY2" s="650"/>
      <c r="BZ2" s="649" t="s">
        <v>323</v>
      </c>
      <c r="CA2" s="650"/>
      <c r="CB2" s="649" t="s">
        <v>220</v>
      </c>
      <c r="CC2" s="650"/>
      <c r="CD2" s="649" t="s">
        <v>324</v>
      </c>
      <c r="CE2" s="650"/>
      <c r="CF2" s="649" t="s">
        <v>221</v>
      </c>
      <c r="CG2" s="650"/>
      <c r="CH2" s="658" t="s">
        <v>325</v>
      </c>
      <c r="CI2" s="658"/>
      <c r="CJ2" s="658" t="s">
        <v>434</v>
      </c>
      <c r="CK2" s="799"/>
    </row>
    <row r="3" spans="1:89" ht="13.5" thickBot="1">
      <c r="A3" s="639"/>
      <c r="B3" s="508" t="s">
        <v>222</v>
      </c>
      <c r="C3" s="509" t="s">
        <v>223</v>
      </c>
      <c r="D3" s="509" t="s">
        <v>222</v>
      </c>
      <c r="E3" s="509" t="s">
        <v>223</v>
      </c>
      <c r="F3" s="509" t="s">
        <v>222</v>
      </c>
      <c r="G3" s="509" t="s">
        <v>223</v>
      </c>
      <c r="H3" s="509" t="s">
        <v>222</v>
      </c>
      <c r="I3" s="509" t="s">
        <v>223</v>
      </c>
      <c r="J3" s="509" t="s">
        <v>222</v>
      </c>
      <c r="K3" s="510" t="s">
        <v>223</v>
      </c>
      <c r="L3" s="508" t="s">
        <v>222</v>
      </c>
      <c r="M3" s="509" t="s">
        <v>223</v>
      </c>
      <c r="N3" s="509" t="s">
        <v>222</v>
      </c>
      <c r="O3" s="509" t="s">
        <v>223</v>
      </c>
      <c r="P3" s="550" t="s">
        <v>222</v>
      </c>
      <c r="Q3" s="550" t="s">
        <v>223</v>
      </c>
      <c r="R3" s="550" t="s">
        <v>222</v>
      </c>
      <c r="S3" s="550" t="s">
        <v>223</v>
      </c>
      <c r="T3" s="550" t="s">
        <v>222</v>
      </c>
      <c r="U3" s="550" t="s">
        <v>223</v>
      </c>
      <c r="V3" s="550" t="s">
        <v>222</v>
      </c>
      <c r="W3" s="550" t="s">
        <v>223</v>
      </c>
      <c r="X3" s="550" t="s">
        <v>222</v>
      </c>
      <c r="Y3" s="551" t="s">
        <v>223</v>
      </c>
      <c r="Z3" s="565" t="s">
        <v>222</v>
      </c>
      <c r="AA3" s="550" t="s">
        <v>223</v>
      </c>
      <c r="AB3" s="550" t="s">
        <v>222</v>
      </c>
      <c r="AC3" s="550" t="s">
        <v>223</v>
      </c>
      <c r="AD3" s="550" t="s">
        <v>222</v>
      </c>
      <c r="AE3" s="550" t="s">
        <v>223</v>
      </c>
      <c r="AF3" s="550" t="s">
        <v>222</v>
      </c>
      <c r="AG3" s="550" t="s">
        <v>223</v>
      </c>
      <c r="AH3" s="550" t="s">
        <v>222</v>
      </c>
      <c r="AI3" s="550" t="s">
        <v>223</v>
      </c>
      <c r="AJ3" s="550" t="s">
        <v>222</v>
      </c>
      <c r="AK3" s="588" t="s">
        <v>223</v>
      </c>
      <c r="AL3" s="509" t="s">
        <v>222</v>
      </c>
      <c r="AM3" s="599" t="s">
        <v>223</v>
      </c>
      <c r="AN3" s="565" t="s">
        <v>222</v>
      </c>
      <c r="AO3" s="550" t="s">
        <v>223</v>
      </c>
      <c r="AP3" s="550" t="s">
        <v>222</v>
      </c>
      <c r="AQ3" s="550" t="s">
        <v>223</v>
      </c>
      <c r="AR3" s="550" t="s">
        <v>222</v>
      </c>
      <c r="AS3" s="550" t="s">
        <v>223</v>
      </c>
      <c r="AT3" s="550" t="s">
        <v>222</v>
      </c>
      <c r="AU3" s="550" t="s">
        <v>223</v>
      </c>
      <c r="AV3" s="550" t="s">
        <v>222</v>
      </c>
      <c r="AW3" s="550" t="s">
        <v>223</v>
      </c>
      <c r="AX3" s="550" t="s">
        <v>222</v>
      </c>
      <c r="AY3" s="550" t="s">
        <v>223</v>
      </c>
      <c r="AZ3" s="550" t="s">
        <v>222</v>
      </c>
      <c r="BA3" s="550" t="s">
        <v>223</v>
      </c>
      <c r="BB3" s="550" t="s">
        <v>222</v>
      </c>
      <c r="BC3" s="551" t="s">
        <v>223</v>
      </c>
      <c r="BD3" s="602" t="s">
        <v>222</v>
      </c>
      <c r="BE3" s="603" t="s">
        <v>223</v>
      </c>
      <c r="BF3" s="565" t="s">
        <v>222</v>
      </c>
      <c r="BG3" s="550" t="s">
        <v>223</v>
      </c>
      <c r="BH3" s="550" t="s">
        <v>222</v>
      </c>
      <c r="BI3" s="550" t="s">
        <v>223</v>
      </c>
      <c r="BJ3" s="550" t="s">
        <v>222</v>
      </c>
      <c r="BK3" s="550" t="s">
        <v>223</v>
      </c>
      <c r="BL3" s="550" t="s">
        <v>222</v>
      </c>
      <c r="BM3" s="550" t="s">
        <v>223</v>
      </c>
      <c r="BN3" s="550" t="s">
        <v>222</v>
      </c>
      <c r="BO3" s="550" t="s">
        <v>223</v>
      </c>
      <c r="BP3" s="550" t="s">
        <v>222</v>
      </c>
      <c r="BQ3" s="550" t="s">
        <v>223</v>
      </c>
      <c r="BR3" s="550" t="s">
        <v>222</v>
      </c>
      <c r="BS3" s="551" t="s">
        <v>223</v>
      </c>
      <c r="BT3" s="508" t="s">
        <v>222</v>
      </c>
      <c r="BU3" s="509" t="s">
        <v>223</v>
      </c>
      <c r="BV3" s="509" t="s">
        <v>222</v>
      </c>
      <c r="BW3" s="509" t="s">
        <v>223</v>
      </c>
      <c r="BX3" s="509" t="s">
        <v>222</v>
      </c>
      <c r="BY3" s="509" t="s">
        <v>223</v>
      </c>
      <c r="BZ3" s="509" t="s">
        <v>222</v>
      </c>
      <c r="CA3" s="509" t="s">
        <v>223</v>
      </c>
      <c r="CB3" s="509" t="s">
        <v>222</v>
      </c>
      <c r="CC3" s="509" t="s">
        <v>223</v>
      </c>
      <c r="CD3" s="509" t="s">
        <v>222</v>
      </c>
      <c r="CE3" s="509" t="s">
        <v>223</v>
      </c>
      <c r="CF3" s="509" t="s">
        <v>222</v>
      </c>
      <c r="CG3" s="509" t="s">
        <v>223</v>
      </c>
      <c r="CH3" s="509" t="s">
        <v>222</v>
      </c>
      <c r="CI3" s="509" t="s">
        <v>223</v>
      </c>
      <c r="CJ3" s="509" t="s">
        <v>222</v>
      </c>
      <c r="CK3" s="510" t="s">
        <v>223</v>
      </c>
    </row>
    <row r="4" spans="1:89" ht="14.25" customHeight="1" thickTop="1">
      <c r="A4" s="567">
        <f>+Report1!A9</f>
        <v>45931</v>
      </c>
      <c r="B4" s="519">
        <f>+Report1!J9</f>
        <v>0.27966993876808283</v>
      </c>
      <c r="C4" s="520">
        <f>+Report1!K9</f>
        <v>0.27966993876808283</v>
      </c>
      <c r="D4" s="520">
        <f>+Report1!AJ9</f>
        <v>0.40002229122110805</v>
      </c>
      <c r="E4" s="520">
        <f>+Report1!AK9</f>
        <v>0.40002229122110805</v>
      </c>
      <c r="F4" s="521">
        <f>+Report1!R9</f>
        <v>17.940999999999999</v>
      </c>
      <c r="G4" s="521">
        <f>+Report1!S9</f>
        <v>17.940999999999999</v>
      </c>
      <c r="H4" s="521">
        <f>+Report1!X9</f>
        <v>2.9326124519257566</v>
      </c>
      <c r="I4" s="521">
        <f>+Report1!Y9</f>
        <v>2.9326124519257566</v>
      </c>
      <c r="J4" s="521">
        <f>+Report1!AD9</f>
        <v>1661.5183100161557</v>
      </c>
      <c r="K4" s="552">
        <f>+Report1!AE9</f>
        <v>1661.5183100161557</v>
      </c>
      <c r="L4" s="519">
        <f>+[1]Report1!J9</f>
        <v>0</v>
      </c>
      <c r="M4" s="520">
        <f>+[1]Report1!K9</f>
        <v>0</v>
      </c>
      <c r="N4" s="520" t="e">
        <f>+[1]Report1!BJ9</f>
        <v>#DIV/0!</v>
      </c>
      <c r="O4" s="520" t="e">
        <f>+[1]Report1!BK9</f>
        <v>#DIV/0!</v>
      </c>
      <c r="P4" s="521">
        <f>+[1]Report1!R9</f>
        <v>0</v>
      </c>
      <c r="Q4" s="521">
        <f>+[1]Report1!S9</f>
        <v>0</v>
      </c>
      <c r="R4" s="521">
        <f>+[1]Report1!AL9</f>
        <v>0</v>
      </c>
      <c r="S4" s="521">
        <f>+[1]Report1!AM9</f>
        <v>0</v>
      </c>
      <c r="T4" s="521">
        <f>+[1]Report1!AR9</f>
        <v>0</v>
      </c>
      <c r="U4" s="521">
        <f>+[1]Report1!AS9</f>
        <v>0</v>
      </c>
      <c r="V4" s="521">
        <f>+[1]Report1!AX9</f>
        <v>0</v>
      </c>
      <c r="W4" s="521">
        <f>+[1]Report1!AY9</f>
        <v>0</v>
      </c>
      <c r="X4" s="521">
        <f>+[1]Report1!BD9</f>
        <v>0</v>
      </c>
      <c r="Y4" s="564">
        <f>+[1]Report1!BE9</f>
        <v>0</v>
      </c>
      <c r="Z4" s="519">
        <f>+[2]Report1!J9</f>
        <v>0.20473999820231253</v>
      </c>
      <c r="AA4" s="519">
        <f>+[2]Report1!K9</f>
        <v>0.20473999820231253</v>
      </c>
      <c r="AB4" s="520">
        <f>+[2]Report1!BC9</f>
        <v>0.40947999640462507</v>
      </c>
      <c r="AC4" s="520">
        <f>+[2]Report1!BD9</f>
        <v>0.40947999640462507</v>
      </c>
      <c r="AD4" s="521">
        <f>+[2]Report1!R9</f>
        <v>8.9130000000000003</v>
      </c>
      <c r="AE4" s="521">
        <f>+[2]Report1!S9</f>
        <v>8.9130000000000003</v>
      </c>
      <c r="AF4" s="521">
        <f>+[2]Report1!X9</f>
        <v>244.31698453349279</v>
      </c>
      <c r="AG4" s="521">
        <f>+[2]Report1!Y9</f>
        <v>244.31698453349279</v>
      </c>
      <c r="AH4" s="521">
        <f>+[2]Report1!AD9</f>
        <v>4.3980702344889488</v>
      </c>
      <c r="AI4" s="521">
        <f>+[2]Report1!AE9</f>
        <v>4.3980702344889488</v>
      </c>
      <c r="AJ4" s="521">
        <f>+[2]Report1!AJ9</f>
        <v>2759.7105351733426</v>
      </c>
      <c r="AK4" s="521">
        <f>+[2]Report1!AK9</f>
        <v>2759.7105351733426</v>
      </c>
      <c r="AL4" s="600">
        <f>+[3]Report1!AP9</f>
        <v>0</v>
      </c>
      <c r="AM4" s="601">
        <f>+[3]Report1!AQ9</f>
        <v>0</v>
      </c>
      <c r="AN4" s="519">
        <f>+[4]Report1!J9</f>
        <v>0.57523912351677342</v>
      </c>
      <c r="AO4" s="519">
        <f>+[4]Report1!K9</f>
        <v>0.57523912351677342</v>
      </c>
      <c r="AP4" s="520">
        <f>+[4]Report1!BN9</f>
        <v>0.65489844880765469</v>
      </c>
      <c r="AQ4" s="520">
        <f>+[4]Report1!BO9</f>
        <v>0.65489844880765469</v>
      </c>
      <c r="AR4" s="521">
        <f>+[4]Report1!R9</f>
        <v>29.349</v>
      </c>
      <c r="AS4" s="521">
        <f>+[4]Report1!S9</f>
        <v>29.349</v>
      </c>
      <c r="AT4" s="522">
        <f>+[4]Report1!AF9</f>
        <v>137.80376560881047</v>
      </c>
      <c r="AU4" s="522">
        <f>+[4]Report1!AG9</f>
        <v>137.80376560881047</v>
      </c>
      <c r="AV4" s="521">
        <f>+[4]Report1!AL9</f>
        <v>1.6457119492998056</v>
      </c>
      <c r="AW4" s="521">
        <f>+[4]Report1!AM9</f>
        <v>1.6457119492998056</v>
      </c>
      <c r="AX4" s="521">
        <f>+[4]Report1!AR9</f>
        <v>0</v>
      </c>
      <c r="AY4" s="521">
        <f>+[4]Report1!AS9</f>
        <v>0</v>
      </c>
      <c r="AZ4" s="521">
        <f>+[4]Report1!AX9</f>
        <v>1246.9692323418176</v>
      </c>
      <c r="BA4" s="521">
        <f>+[4]Report1!AY9</f>
        <v>1246.9692323418176</v>
      </c>
      <c r="BB4" s="521">
        <f>+[4]Report1!BD9</f>
        <v>0</v>
      </c>
      <c r="BC4" s="564">
        <f>+[4]Report1!BE9</f>
        <v>0</v>
      </c>
      <c r="BD4" s="521">
        <f>+[4]Report1!BJ9</f>
        <v>0</v>
      </c>
      <c r="BE4" s="521">
        <f>+[4]Report1!BK9</f>
        <v>0</v>
      </c>
      <c r="BF4" s="519">
        <f>+[5]Report1!J9</f>
        <v>0.37609655412551918</v>
      </c>
      <c r="BG4" s="520">
        <f>+[5]Report1!K9</f>
        <v>0.37609655412551918</v>
      </c>
      <c r="BH4" s="520">
        <f>+[5]Report1!AN9</f>
        <v>0.48285259576940398</v>
      </c>
      <c r="BI4" s="520">
        <f>+[5]Report1!AO9</f>
        <v>0.48285259576940398</v>
      </c>
      <c r="BJ4" s="521">
        <f>+[5]Report1!R9</f>
        <v>18.686</v>
      </c>
      <c r="BK4" s="521">
        <f>+[5]Report1!S9</f>
        <v>18.686</v>
      </c>
      <c r="BL4" s="521">
        <f>+[5]Report1!AD9</f>
        <v>4.2598737022369688</v>
      </c>
      <c r="BM4" s="521">
        <f>+[5]Report1!AE9</f>
        <v>4.2598737022369688</v>
      </c>
      <c r="BN4" s="522">
        <v>0</v>
      </c>
      <c r="BO4" s="522">
        <v>0</v>
      </c>
      <c r="BP4" s="522">
        <f>+[5]Report1!AJ9</f>
        <v>2001.7446216418912</v>
      </c>
      <c r="BQ4" s="522">
        <f>+[5]Report1!AK9</f>
        <v>2001.7446216418912</v>
      </c>
      <c r="BR4" s="522">
        <v>0</v>
      </c>
      <c r="BS4" s="523">
        <v>0</v>
      </c>
      <c r="BT4" s="604">
        <f>+[6]Report1!J9</f>
        <v>6.3779031213958406E-2</v>
      </c>
      <c r="BU4" s="604">
        <f>+[6]Report1!K9</f>
        <v>6.3779031213958406E-2</v>
      </c>
      <c r="BV4" s="605" t="e">
        <f>+[6]Report1!BA9</f>
        <v>#DIV/0!</v>
      </c>
      <c r="BW4" s="605" t="e">
        <f>+[6]Report1!BB9</f>
        <v>#DIV/0!</v>
      </c>
      <c r="BX4" s="600">
        <f>+[6]Report1!R9</f>
        <v>3.3639999999999999</v>
      </c>
      <c r="BY4" s="600">
        <f>+[6]Report1!S9</f>
        <v>3.3639999999999999</v>
      </c>
      <c r="BZ4" s="606">
        <f>+[6]Report1!X9</f>
        <v>0</v>
      </c>
      <c r="CA4" s="606">
        <f>+[6]Report1!Y9</f>
        <v>0</v>
      </c>
      <c r="CB4" s="600">
        <f>+[6]Report1!AD9</f>
        <v>0.11890606420927469</v>
      </c>
      <c r="CC4" s="600">
        <f>+[6]Report1!AE9</f>
        <v>0.11890606420927469</v>
      </c>
      <c r="CD4" s="606">
        <f>+[6]Report1!AJ9</f>
        <v>0</v>
      </c>
      <c r="CE4" s="606">
        <f>+[6]Report1!AK9</f>
        <v>0</v>
      </c>
      <c r="CF4" s="606">
        <f>+[6]Report1!AP9</f>
        <v>1542.0035671820278</v>
      </c>
      <c r="CG4" s="606">
        <f>+[6]Report1!AQ9</f>
        <v>1542.0035671820278</v>
      </c>
      <c r="CH4" s="606">
        <f>+[6]Report1!AV9</f>
        <v>0</v>
      </c>
      <c r="CI4" s="606">
        <f>+[6]Report1!AW9</f>
        <v>0</v>
      </c>
      <c r="CJ4" s="606"/>
      <c r="CK4" s="607"/>
    </row>
    <row r="5" spans="1:89" ht="14.25" customHeight="1">
      <c r="A5" s="568">
        <f>1+A4</f>
        <v>45932</v>
      </c>
      <c r="B5" s="513">
        <f>+Report1!J10</f>
        <v>0.7590810231266012</v>
      </c>
      <c r="C5" s="514">
        <f>+Report1!K10</f>
        <v>0.53436518019394696</v>
      </c>
      <c r="D5" s="514">
        <f>+Report1!AJ10</f>
        <v>0.7590810231266012</v>
      </c>
      <c r="E5" s="514">
        <f>+Report1!AK10</f>
        <v>0.62209628994082689</v>
      </c>
      <c r="F5" s="511">
        <f>+Report1!R10</f>
        <v>55.192</v>
      </c>
      <c r="G5" s="511">
        <f>+Report1!S10</f>
        <v>73.132999999999996</v>
      </c>
      <c r="H5" s="511">
        <f>+Report1!X10</f>
        <v>2.7908936077692426</v>
      </c>
      <c r="I5" s="511">
        <f>+Report1!Y10</f>
        <v>2.8256600987242426</v>
      </c>
      <c r="J5" s="511">
        <f>+Report1!AD10</f>
        <v>1050.2279315842832</v>
      </c>
      <c r="K5" s="512">
        <f>+Report1!AE10</f>
        <v>1200.1897912023244</v>
      </c>
      <c r="L5" s="513">
        <f>+[1]Report1!J10</f>
        <v>0.63705351537759047</v>
      </c>
      <c r="M5" s="514">
        <f>+[1]Report1!K10</f>
        <v>0.28260253000851043</v>
      </c>
      <c r="N5" s="514">
        <f>+[1]Report1!BJ10</f>
        <v>0.76446421845310863</v>
      </c>
      <c r="O5" s="514">
        <f>+[1]Report1!BK10</f>
        <v>0.76446421845310863</v>
      </c>
      <c r="P5" s="511">
        <f>+[1]Report1!R10</f>
        <v>35.399000000000001</v>
      </c>
      <c r="Q5" s="511">
        <f>+[1]Report1!S10</f>
        <v>35.399000000000001</v>
      </c>
      <c r="R5" s="511">
        <f>+[1]Report1!AL10</f>
        <v>4.1513602079154772</v>
      </c>
      <c r="S5" s="511">
        <f>+[1]Report1!AM10</f>
        <v>4.2126331252295257</v>
      </c>
      <c r="T5" s="511">
        <f>+[1]Report1!AR10</f>
        <v>0.42939066075312859</v>
      </c>
      <c r="U5" s="511">
        <f>+[1]Report1!AS10</f>
        <v>0.42939066075312859</v>
      </c>
      <c r="V5" s="511">
        <f>+[1]Report1!AX10</f>
        <v>942.90714426963234</v>
      </c>
      <c r="W5" s="511">
        <f>+[1]Report1!AY10</f>
        <v>1207.4414531483785</v>
      </c>
      <c r="X5" s="511">
        <f>+[1]Report1!BD10</f>
        <v>981.29890674877822</v>
      </c>
      <c r="Y5" s="589">
        <f>+[1]Report1!BE10</f>
        <v>1224.526116556965</v>
      </c>
      <c r="Z5" s="513">
        <f>+[2]Report1!J10</f>
        <v>0.84868927408601358</v>
      </c>
      <c r="AA5" s="514">
        <f>+[2]Report1!K10</f>
        <v>0.52514177755980551</v>
      </c>
      <c r="AB5" s="514">
        <f>+[2]Report1!BC10</f>
        <v>0.84868927408601358</v>
      </c>
      <c r="AC5" s="514">
        <f>+[2]Report1!BD10</f>
        <v>0.70133104652711342</v>
      </c>
      <c r="AD5" s="511">
        <f>+[2]Report1!R10</f>
        <v>36.587000000000003</v>
      </c>
      <c r="AE5" s="511">
        <f>+[2]Report1!S10</f>
        <v>45.5</v>
      </c>
      <c r="AF5" s="511">
        <f>+[2]Report1!X10</f>
        <v>125.28723767154268</v>
      </c>
      <c r="AG5" s="511">
        <f>+[2]Report1!Y10</f>
        <v>148.60398786452205</v>
      </c>
      <c r="AH5" s="511">
        <f>+[2]Report1!AD10</f>
        <v>1.6563260174378878</v>
      </c>
      <c r="AI5" s="511">
        <f>+[2]Report1!AE10</f>
        <v>2.1934065934065936</v>
      </c>
      <c r="AJ5" s="511">
        <f>+[2]Report1!AJ10</f>
        <v>1112.8045480635299</v>
      </c>
      <c r="AK5" s="589">
        <f>+[2]Report1!AK10</f>
        <v>1435.417142857151</v>
      </c>
      <c r="AL5" s="600">
        <f>+[3]Report1!AP10</f>
        <v>0</v>
      </c>
      <c r="AM5" s="601">
        <f>+[3]Report1!AQ10</f>
        <v>0</v>
      </c>
      <c r="AN5" s="513">
        <f>+[4]Report1!J10</f>
        <v>0.91422026194723494</v>
      </c>
      <c r="AO5" s="514">
        <f>+[4]Report1!K10</f>
        <v>0.74490575453886332</v>
      </c>
      <c r="AP5" s="514">
        <f>+[4]Report1!BN10</f>
        <v>0.91422026194723494</v>
      </c>
      <c r="AQ5" s="514">
        <f>+[4]Report1!BO10</f>
        <v>0.79308984771505819</v>
      </c>
      <c r="AR5" s="511">
        <f>+[4]Report1!R10</f>
        <v>46.741</v>
      </c>
      <c r="AS5" s="511">
        <f>+[4]Report1!S10</f>
        <v>76.09</v>
      </c>
      <c r="AT5" s="515">
        <f>+[4]Report1!AF10</f>
        <v>119.51211645688512</v>
      </c>
      <c r="AU5" s="515">
        <f>+[4]Report1!AG10</f>
        <v>126.56746684405634</v>
      </c>
      <c r="AV5" s="511">
        <f>+[4]Report1!AL10</f>
        <v>1.4312915855458805</v>
      </c>
      <c r="AW5" s="511">
        <f>+[4]Report1!AM10</f>
        <v>1.5139965829938231</v>
      </c>
      <c r="AX5" s="511">
        <f>+[4]Report1!AR10</f>
        <v>0</v>
      </c>
      <c r="AY5" s="511">
        <f>+[4]Report1!AS10</f>
        <v>0</v>
      </c>
      <c r="AZ5" s="511">
        <f>+[4]Report1!AX10</f>
        <v>958.56271795639918</v>
      </c>
      <c r="BA5" s="511">
        <f>+[4]Report1!AY10</f>
        <v>1069.8052306479176</v>
      </c>
      <c r="BB5" s="511">
        <f>+[4]Report1!BD10</f>
        <v>0</v>
      </c>
      <c r="BC5" s="589">
        <f>+[4]Report1!BE10</f>
        <v>0</v>
      </c>
      <c r="BD5" s="511">
        <f>+[4]Report1!BJ10</f>
        <v>0</v>
      </c>
      <c r="BE5" s="511">
        <f>+[4]Report1!BK10</f>
        <v>0</v>
      </c>
      <c r="BF5" s="513">
        <f>+[5]Report1!J10</f>
        <v>0.95144340626518653</v>
      </c>
      <c r="BG5" s="514">
        <f>+[5]Report1!K10</f>
        <v>0.67262166811495938</v>
      </c>
      <c r="BH5" s="514">
        <f>+[5]Report1!AN10</f>
        <v>0.95144340626518653</v>
      </c>
      <c r="BI5" s="514">
        <f>+[5]Report1!AO10</f>
        <v>0.75333867407072286</v>
      </c>
      <c r="BJ5" s="511">
        <f>+[5]Report1!R10</f>
        <v>50.273000000000003</v>
      </c>
      <c r="BK5" s="511">
        <f>+[5]Report1!S10</f>
        <v>68.959000000000003</v>
      </c>
      <c r="BL5" s="511">
        <f>+[5]Report1!AD10</f>
        <v>2.335249537525113</v>
      </c>
      <c r="BM5" s="511">
        <f>+[5]Report1!AE10</f>
        <v>2.85676996476167</v>
      </c>
      <c r="BN5" s="515">
        <v>0</v>
      </c>
      <c r="BO5" s="515">
        <v>0</v>
      </c>
      <c r="BP5" s="515">
        <f>+[5]Report1!AJ10</f>
        <v>877.5756370218528</v>
      </c>
      <c r="BQ5" s="515">
        <f>+[5]Report1!AK10</f>
        <v>1182.1946373932335</v>
      </c>
      <c r="BR5" s="515">
        <v>0</v>
      </c>
      <c r="BS5" s="516">
        <v>0</v>
      </c>
      <c r="BT5" s="513">
        <f>+[6]Report1!J10</f>
        <v>0</v>
      </c>
      <c r="BU5" s="514">
        <f>+[6]Report1!K10</f>
        <v>3.1889515606979203E-2</v>
      </c>
      <c r="BV5" s="514" t="e">
        <f>+[6]Report1!BA10</f>
        <v>#DIV/0!</v>
      </c>
      <c r="BW5" s="514" t="e">
        <f>+[6]Report1!BB10</f>
        <v>#DIV/0!</v>
      </c>
      <c r="BX5" s="511">
        <f>+[6]Report1!R10</f>
        <v>0</v>
      </c>
      <c r="BY5" s="511">
        <f>+[6]Report1!S10</f>
        <v>3.3639999999999999</v>
      </c>
      <c r="BZ5" s="515">
        <f>+[6]Report1!X10</f>
        <v>0</v>
      </c>
      <c r="CA5" s="515">
        <f>+[6]Report1!Y10</f>
        <v>0</v>
      </c>
      <c r="CB5" s="511">
        <f>+[6]Report1!AD10</f>
        <v>0</v>
      </c>
      <c r="CC5" s="511">
        <f>+[6]Report1!AE10</f>
        <v>0.14863258026159334</v>
      </c>
      <c r="CD5" s="515">
        <f>+[6]Report1!AJ10</f>
        <v>0</v>
      </c>
      <c r="CE5" s="515">
        <f>+[6]Report1!AK10</f>
        <v>0</v>
      </c>
      <c r="CF5" s="515">
        <f>+[6]Report1!AP10</f>
        <v>0</v>
      </c>
      <c r="CG5" s="515">
        <f>+[6]Report1!AQ10</f>
        <v>2806.6230677764597</v>
      </c>
      <c r="CH5" s="515">
        <f>+[6]Report1!AV10</f>
        <v>0</v>
      </c>
      <c r="CI5" s="515">
        <f>+[6]Report1!AW10</f>
        <v>0</v>
      </c>
      <c r="CJ5" s="515"/>
      <c r="CK5" s="516"/>
    </row>
    <row r="6" spans="1:89" ht="12.75" customHeight="1">
      <c r="A6" s="568">
        <f t="shared" ref="A6:A34" si="0">1+A5</f>
        <v>45933</v>
      </c>
      <c r="B6" s="513">
        <f>+Report1!J11</f>
        <v>1.0496100485747695</v>
      </c>
      <c r="C6" s="514">
        <f>+Report1!K11</f>
        <v>0.72564173557081124</v>
      </c>
      <c r="D6" s="514">
        <f>+Report1!AJ11</f>
        <v>1.0496100485747695</v>
      </c>
      <c r="E6" s="514">
        <f>+Report1!AK11</f>
        <v>0.79624621439092347</v>
      </c>
      <c r="F6" s="511">
        <f>+Report1!R11</f>
        <v>84.813000000000002</v>
      </c>
      <c r="G6" s="511">
        <f>+Report1!S11</f>
        <v>157.946</v>
      </c>
      <c r="H6" s="511">
        <f>+Report1!X11</f>
        <v>1.8975746642613749</v>
      </c>
      <c r="I6" s="511">
        <f>+Report1!Y11</f>
        <v>2.3273017360363673</v>
      </c>
      <c r="J6" s="511">
        <f>+Report1!AD11</f>
        <v>651.81304752809069</v>
      </c>
      <c r="K6" s="512">
        <f>+Report1!AE11</f>
        <v>905.72537449507774</v>
      </c>
      <c r="L6" s="513">
        <f>+[1]Report1!J11</f>
        <v>0.89617873934365733</v>
      </c>
      <c r="M6" s="514">
        <f>+[1]Report1!K11</f>
        <v>0.47947610364694826</v>
      </c>
      <c r="N6" s="514">
        <f>+[1]Report1!BJ11</f>
        <v>0.89617873934365733</v>
      </c>
      <c r="O6" s="514">
        <f>+[1]Report1!BK11</f>
        <v>0.83835934762910425</v>
      </c>
      <c r="P6" s="511">
        <f>+[1]Report1!R11</f>
        <v>53.036000000000001</v>
      </c>
      <c r="Q6" s="511">
        <f>+[1]Report1!S11</f>
        <v>88.435000000000002</v>
      </c>
      <c r="R6" s="511">
        <f>+[1]Report1!AL11</f>
        <v>2.5553963345652009</v>
      </c>
      <c r="S6" s="511">
        <f>+[1]Report1!AM11</f>
        <v>3.2187595409057494</v>
      </c>
      <c r="T6" s="511">
        <f>+[1]Report1!AR11</f>
        <v>0.19043668451617768</v>
      </c>
      <c r="U6" s="511">
        <f>+[1]Report1!AS11</f>
        <v>0.28608582574772429</v>
      </c>
      <c r="V6" s="511">
        <f>+[1]Report1!AX11</f>
        <v>680.19326495210532</v>
      </c>
      <c r="W6" s="511">
        <f>+[1]Report1!AY11</f>
        <v>891.24158986825705</v>
      </c>
      <c r="X6" s="511">
        <f>+[1]Report1!BD11</f>
        <v>513.56060034693417</v>
      </c>
      <c r="Y6" s="589">
        <f>+[1]Report1!BE11</f>
        <v>798.14779216373597</v>
      </c>
      <c r="Z6" s="513">
        <f>+[2]Report1!J11</f>
        <v>0.85738843360794581</v>
      </c>
      <c r="AA6" s="514">
        <f>+[2]Report1!K11</f>
        <v>0.63456997773466162</v>
      </c>
      <c r="AB6" s="514">
        <f>+[2]Report1!BC11</f>
        <v>0.85738843360794581</v>
      </c>
      <c r="AC6" s="514">
        <f>+[2]Report1!BD11</f>
        <v>0.76314406914685895</v>
      </c>
      <c r="AD6" s="511">
        <f>+[2]Report1!R11</f>
        <v>36.482999999999997</v>
      </c>
      <c r="AE6" s="511">
        <f>+[2]Report1!S11</f>
        <v>81.983000000000004</v>
      </c>
      <c r="AF6" s="511">
        <f>+[2]Report1!X11</f>
        <v>123.8480351696997</v>
      </c>
      <c r="AG6" s="511">
        <f>+[2]Report1!Y11</f>
        <v>137.58741830540365</v>
      </c>
      <c r="AH6" s="511">
        <f>+[2]Report1!AD11</f>
        <v>1.5267384809363267</v>
      </c>
      <c r="AI6" s="511">
        <f>+[2]Report1!AE11</f>
        <v>1.8967346888989181</v>
      </c>
      <c r="AJ6" s="511">
        <f>+[2]Report1!AJ11</f>
        <v>1072.6151906366949</v>
      </c>
      <c r="AK6" s="589">
        <f>+[2]Report1!AK11</f>
        <v>1273.9677738067514</v>
      </c>
      <c r="AL6" s="600">
        <f>+[3]Report1!AP11</f>
        <v>0</v>
      </c>
      <c r="AM6" s="601">
        <f>+[3]Report1!AQ11</f>
        <v>0</v>
      </c>
      <c r="AN6" s="513">
        <f>+[4]Report1!J11</f>
        <v>0.91821353625182112</v>
      </c>
      <c r="AO6" s="514">
        <f>+[4]Report1!K11</f>
        <v>0.80302507046506699</v>
      </c>
      <c r="AP6" s="514">
        <f>+[4]Report1!BN11</f>
        <v>0.91821353625182112</v>
      </c>
      <c r="AQ6" s="514">
        <f>+[4]Report1!BO11</f>
        <v>0.83681616755519628</v>
      </c>
      <c r="AR6" s="511">
        <f>+[4]Report1!R11</f>
        <v>47.323999999999998</v>
      </c>
      <c r="AS6" s="511">
        <f>+[4]Report1!S11</f>
        <v>123.414</v>
      </c>
      <c r="AT6" s="515">
        <f>+[4]Report1!AF11</f>
        <v>130.72969598731817</v>
      </c>
      <c r="AU6" s="515">
        <f>+[4]Report1!AG11</f>
        <v>128.16350401954472</v>
      </c>
      <c r="AV6" s="511">
        <f>+[4]Report1!AL11</f>
        <v>1.4516947003634522</v>
      </c>
      <c r="AW6" s="511">
        <f>+[4]Report1!AM11</f>
        <v>1.4901064709028149</v>
      </c>
      <c r="AX6" s="511">
        <f>+[4]Report1!AR11</f>
        <v>0.18595215958076242</v>
      </c>
      <c r="AY6" s="511">
        <f>+[4]Report1!AS11</f>
        <v>7.130471421394656E-2</v>
      </c>
      <c r="AZ6" s="511">
        <f>+[4]Report1!AX11</f>
        <v>894.30775082410537</v>
      </c>
      <c r="BA6" s="511">
        <f>+[4]Report1!AY11</f>
        <v>1002.5094397718251</v>
      </c>
      <c r="BB6" s="511">
        <f>+[4]Report1!BD11</f>
        <v>485.05620826641871</v>
      </c>
      <c r="BC6" s="589">
        <f>+[4]Report1!BE11</f>
        <v>185.99834702707957</v>
      </c>
      <c r="BD6" s="511">
        <f>+[4]Report1!BJ11</f>
        <v>4.0148761727664617</v>
      </c>
      <c r="BE6" s="511">
        <f>+[4]Report1!BK11</f>
        <v>1.5395336023465733</v>
      </c>
      <c r="BF6" s="513">
        <f>+[5]Report1!J11</f>
        <v>0.79954858172156829</v>
      </c>
      <c r="BG6" s="514">
        <f>+[5]Report1!K11</f>
        <v>0.71604176544575815</v>
      </c>
      <c r="BH6" s="514">
        <f>+[5]Report1!AN11</f>
        <v>0.79954858172156829</v>
      </c>
      <c r="BI6" s="514">
        <f>+[5]Report1!AO11</f>
        <v>0.77034534391841258</v>
      </c>
      <c r="BJ6" s="511">
        <f>+[5]Report1!R11</f>
        <v>42.622</v>
      </c>
      <c r="BK6" s="511">
        <f>+[5]Report1!S11</f>
        <v>111.581</v>
      </c>
      <c r="BL6" s="511">
        <f>+[5]Report1!AD11</f>
        <v>2.9327577307493784</v>
      </c>
      <c r="BM6" s="511">
        <f>+[5]Report1!AE11</f>
        <v>2.8857959688477428</v>
      </c>
      <c r="BN6" s="515">
        <v>0</v>
      </c>
      <c r="BO6" s="515">
        <v>0</v>
      </c>
      <c r="BP6" s="515">
        <f>+[5]Report1!AJ11</f>
        <v>1059.4162639012723</v>
      </c>
      <c r="BQ6" s="515">
        <f>+[5]Report1!AK11</f>
        <v>1135.2954356028358</v>
      </c>
      <c r="BR6" s="515">
        <v>0</v>
      </c>
      <c r="BS6" s="516">
        <v>0</v>
      </c>
      <c r="BT6" s="513">
        <f>+[6]Report1!J11</f>
        <v>0</v>
      </c>
      <c r="BU6" s="514">
        <f>+[6]Report1!K11</f>
        <v>2.1259677071319465E-2</v>
      </c>
      <c r="BV6" s="514" t="e">
        <f>+[6]Report1!BA11</f>
        <v>#DIV/0!</v>
      </c>
      <c r="BW6" s="514" t="e">
        <f>+[6]Report1!BB11</f>
        <v>#DIV/0!</v>
      </c>
      <c r="BX6" s="511">
        <f>+[6]Report1!R11</f>
        <v>0</v>
      </c>
      <c r="BY6" s="511">
        <f>+[6]Report1!S11</f>
        <v>3.3639999999999999</v>
      </c>
      <c r="BZ6" s="515">
        <f>+[6]Report1!X11</f>
        <v>0</v>
      </c>
      <c r="CA6" s="515">
        <f>+[6]Report1!Y11</f>
        <v>0</v>
      </c>
      <c r="CB6" s="511">
        <f>+[6]Report1!AD11</f>
        <v>0</v>
      </c>
      <c r="CC6" s="511">
        <f>+[6]Report1!AE11</f>
        <v>0.178359096313912</v>
      </c>
      <c r="CD6" s="515">
        <f>+[6]Report1!AJ11</f>
        <v>0</v>
      </c>
      <c r="CE6" s="515">
        <f>+[6]Report1!AK11</f>
        <v>0</v>
      </c>
      <c r="CF6" s="515">
        <f>+[6]Report1!AP11</f>
        <v>0</v>
      </c>
      <c r="CG6" s="515">
        <f>+[6]Report1!AQ11</f>
        <v>3318.5790725326924</v>
      </c>
      <c r="CH6" s="515">
        <f>+[6]Report1!AV11</f>
        <v>0</v>
      </c>
      <c r="CI6" s="515">
        <f>+[6]Report1!AW11</f>
        <v>0</v>
      </c>
      <c r="CJ6" s="515"/>
      <c r="CK6" s="516"/>
    </row>
    <row r="7" spans="1:89" ht="12.75" customHeight="1">
      <c r="A7" s="568">
        <f t="shared" si="0"/>
        <v>45934</v>
      </c>
      <c r="B7" s="513">
        <f>+Report1!J12</f>
        <v>0.76859271805135254</v>
      </c>
      <c r="C7" s="514">
        <f>+Report1!K12</f>
        <v>0.73703148317544442</v>
      </c>
      <c r="D7" s="514">
        <f>+Report1!AJ12</f>
        <v>0.76859271805135254</v>
      </c>
      <c r="E7" s="514">
        <f>+Report1!AK12</f>
        <v>0.78840194153401466</v>
      </c>
      <c r="F7" s="511">
        <f>+Report1!R12</f>
        <v>60.372999999999998</v>
      </c>
      <c r="G7" s="511">
        <f>+Report1!S12</f>
        <v>218.31899999999999</v>
      </c>
      <c r="H7" s="511">
        <f>+Report1!X12</f>
        <v>2.4247925397114605</v>
      </c>
      <c r="I7" s="511">
        <f>+Report1!Y12</f>
        <v>2.3542614247958267</v>
      </c>
      <c r="J7" s="511">
        <f>+Report1!AD12</f>
        <v>804.43973299323807</v>
      </c>
      <c r="K7" s="512">
        <f>+Report1!AE12</f>
        <v>877.71627755715394</v>
      </c>
      <c r="L7" s="513">
        <f>+[1]Report1!J12</f>
        <v>0.55182441112425584</v>
      </c>
      <c r="M7" s="514">
        <f>+[1]Report1!K12</f>
        <v>0.49705655581465241</v>
      </c>
      <c r="N7" s="514">
        <f>+[1]Report1!BJ12</f>
        <v>0.55182441112425584</v>
      </c>
      <c r="O7" s="514">
        <f>+[1]Report1!BK12</f>
        <v>0.73535189296905434</v>
      </c>
      <c r="P7" s="511">
        <f>+[1]Report1!R12</f>
        <v>32.670999999999999</v>
      </c>
      <c r="Q7" s="511">
        <f>+[1]Report1!S12</f>
        <v>121.10599999999999</v>
      </c>
      <c r="R7" s="511">
        <f>+[1]Report1!AL12</f>
        <v>3.7707753053166417</v>
      </c>
      <c r="S7" s="511">
        <f>+[1]Report1!AM12</f>
        <v>3.3676779020032037</v>
      </c>
      <c r="T7" s="511">
        <f>+[1]Report1!AR12</f>
        <v>0.2571087508799853</v>
      </c>
      <c r="U7" s="511">
        <f>+[1]Report1!AS12</f>
        <v>0.27826862418046999</v>
      </c>
      <c r="V7" s="511">
        <f>+[1]Report1!AX12</f>
        <v>906.68666401397093</v>
      </c>
      <c r="W7" s="511">
        <f>+[1]Report1!AY12</f>
        <v>895.40823741185216</v>
      </c>
      <c r="X7" s="511">
        <f>+[1]Report1!BD12</f>
        <v>688.39337638884638</v>
      </c>
      <c r="Y7" s="589">
        <f>+[1]Report1!BE12</f>
        <v>768.53913100919863</v>
      </c>
      <c r="Z7" s="513">
        <f>+[2]Report1!J12</f>
        <v>0.91146147535282618</v>
      </c>
      <c r="AA7" s="514">
        <f>+[2]Report1!K12</f>
        <v>0.70620875216277046</v>
      </c>
      <c r="AB7" s="514">
        <f>+[2]Report1!BC12</f>
        <v>0.91146147535282618</v>
      </c>
      <c r="AC7" s="514">
        <f>+[2]Report1!BD12</f>
        <v>0.80699388751026191</v>
      </c>
      <c r="AD7" s="511">
        <f>+[2]Report1!R12</f>
        <v>41.1</v>
      </c>
      <c r="AE7" s="511">
        <f>+[2]Report1!S12</f>
        <v>123.083</v>
      </c>
      <c r="AF7" s="511">
        <f>+[2]Report1!X12</f>
        <v>108.17044823150538</v>
      </c>
      <c r="AG7" s="511">
        <f>+[2]Report1!Y12</f>
        <v>127.76447386923279</v>
      </c>
      <c r="AH7" s="511">
        <f>+[2]Report1!AD12</f>
        <v>1.4793187347931873</v>
      </c>
      <c r="AI7" s="511">
        <f>+[2]Report1!AE12</f>
        <v>1.7573507308076666</v>
      </c>
      <c r="AJ7" s="511">
        <f>+[2]Report1!AJ12</f>
        <v>902.34647201948246</v>
      </c>
      <c r="AK7" s="589">
        <f>+[2]Report1!AK12</f>
        <v>1149.8756123916351</v>
      </c>
      <c r="AL7" s="600">
        <f>+[3]Report1!AP12</f>
        <v>0</v>
      </c>
      <c r="AM7" s="601">
        <f>+[3]Report1!AQ12</f>
        <v>0</v>
      </c>
      <c r="AN7" s="513">
        <f>+[4]Report1!J12</f>
        <v>0.79414900930348009</v>
      </c>
      <c r="AO7" s="514">
        <f>+[4]Report1!K12</f>
        <v>0.80079736505456522</v>
      </c>
      <c r="AP7" s="514">
        <f>+[4]Report1!BN12</f>
        <v>0.79414900930348009</v>
      </c>
      <c r="AQ7" s="514">
        <f>+[4]Report1!BO12</f>
        <v>0.82577361289161777</v>
      </c>
      <c r="AR7" s="511">
        <f>+[4]Report1!R12</f>
        <v>40.896000000000001</v>
      </c>
      <c r="AS7" s="511">
        <f>+[4]Report1!S12</f>
        <v>164.31</v>
      </c>
      <c r="AT7" s="515">
        <f>+[4]Report1!AF12</f>
        <v>143.42709745904332</v>
      </c>
      <c r="AU7" s="515">
        <f>+[4]Report1!AG12</f>
        <v>131.96254191925706</v>
      </c>
      <c r="AV7" s="511">
        <f>+[4]Report1!AL12</f>
        <v>1.5038145539906103</v>
      </c>
      <c r="AW7" s="511">
        <f>+[4]Report1!AM12</f>
        <v>1.493518349461384</v>
      </c>
      <c r="AX7" s="511">
        <f>+[4]Report1!AR12</f>
        <v>0.21273474178403753</v>
      </c>
      <c r="AY7" s="511">
        <f>+[4]Report1!AS12</f>
        <v>0.10650599476599111</v>
      </c>
      <c r="AZ7" s="511">
        <f>+[4]Report1!AX12</f>
        <v>934.23415492957599</v>
      </c>
      <c r="BA7" s="511">
        <f>+[4]Report1!AY12</f>
        <v>985.51603675978311</v>
      </c>
      <c r="BB7" s="511">
        <f>+[4]Report1!BD12</f>
        <v>540.60299295774655</v>
      </c>
      <c r="BC7" s="589">
        <f>+[4]Report1!BE12</f>
        <v>274.25780536790217</v>
      </c>
      <c r="BD7" s="511">
        <f>+[4]Report1!BJ12</f>
        <v>3.6678403755868545</v>
      </c>
      <c r="BE7" s="511">
        <f>+[4]Report1!BK12</f>
        <v>2.0692593268821131</v>
      </c>
      <c r="BF7" s="513">
        <f>+[5]Report1!J12</f>
        <v>0.88507614153115599</v>
      </c>
      <c r="BG7" s="514">
        <f>+[5]Report1!K12</f>
        <v>0.75890215850378762</v>
      </c>
      <c r="BH7" s="514">
        <f>+[5]Report1!AN12</f>
        <v>0.88507614153115599</v>
      </c>
      <c r="BI7" s="514">
        <f>+[5]Report1!AO12</f>
        <v>0.80105225906011923</v>
      </c>
      <c r="BJ7" s="511">
        <f>+[5]Report1!R12</f>
        <v>46.850999999999999</v>
      </c>
      <c r="BK7" s="511">
        <f>+[5]Report1!S12</f>
        <v>158.43200000000002</v>
      </c>
      <c r="BL7" s="511">
        <f>+[5]Report1!AD12</f>
        <v>2.7021835179611959</v>
      </c>
      <c r="BM7" s="511">
        <f>+[5]Report1!AE12</f>
        <v>2.8314986871339123</v>
      </c>
      <c r="BN7" s="515">
        <v>0</v>
      </c>
      <c r="BO7" s="515">
        <v>0</v>
      </c>
      <c r="BP7" s="515">
        <f>+[5]Report1!AJ12</f>
        <v>1068.1283217007065</v>
      </c>
      <c r="BQ7" s="515">
        <f>+[5]Report1!AK12</f>
        <v>1115.4329933346785</v>
      </c>
      <c r="BR7" s="515">
        <v>0</v>
      </c>
      <c r="BS7" s="516">
        <v>0</v>
      </c>
      <c r="BT7" s="513">
        <f>+[6]Report1!J12</f>
        <v>0</v>
      </c>
      <c r="BU7" s="514">
        <f>+[6]Report1!K12</f>
        <v>1.5944757803489602E-2</v>
      </c>
      <c r="BV7" s="514" t="e">
        <f>+[6]Report1!BA12</f>
        <v>#DIV/0!</v>
      </c>
      <c r="BW7" s="514" t="e">
        <f>+[6]Report1!BB12</f>
        <v>#DIV/0!</v>
      </c>
      <c r="BX7" s="511">
        <f>+[6]Report1!R12</f>
        <v>0</v>
      </c>
      <c r="BY7" s="511">
        <f>+[6]Report1!S12</f>
        <v>3.3639999999999999</v>
      </c>
      <c r="BZ7" s="515">
        <f>+[6]Report1!X12</f>
        <v>0</v>
      </c>
      <c r="CA7" s="515">
        <f>+[6]Report1!Y12</f>
        <v>0</v>
      </c>
      <c r="CB7" s="511">
        <f>+[6]Report1!AD12</f>
        <v>0</v>
      </c>
      <c r="CC7" s="511">
        <f>+[6]Report1!AE12</f>
        <v>0.20808561236623066</v>
      </c>
      <c r="CD7" s="515">
        <f>+[6]Report1!AJ12</f>
        <v>0</v>
      </c>
      <c r="CE7" s="515">
        <f>+[6]Report1!AK12</f>
        <v>0</v>
      </c>
      <c r="CF7" s="515">
        <f>+[6]Report1!AP12</f>
        <v>0</v>
      </c>
      <c r="CG7" s="515">
        <f>+[6]Report1!AQ12</f>
        <v>4500.6361474434116</v>
      </c>
      <c r="CH7" s="515">
        <f>+[6]Report1!AV12</f>
        <v>0</v>
      </c>
      <c r="CI7" s="515">
        <f>+[6]Report1!AW12</f>
        <v>0</v>
      </c>
      <c r="CJ7" s="515"/>
      <c r="CK7" s="516"/>
    </row>
    <row r="8" spans="1:89" ht="12.75" customHeight="1">
      <c r="A8" s="568">
        <f t="shared" si="0"/>
        <v>45935</v>
      </c>
      <c r="B8" s="513">
        <f>+Report1!J13</f>
        <v>0.89031629590950334</v>
      </c>
      <c r="C8" s="514">
        <f>+Report1!K13</f>
        <v>0.7694411269134559</v>
      </c>
      <c r="D8" s="514">
        <f>+Report1!AJ13</f>
        <v>0.89031629590950334</v>
      </c>
      <c r="E8" s="514">
        <f>+Report1!AK13</f>
        <v>0.81111725484863872</v>
      </c>
      <c r="F8" s="511">
        <f>+Report1!R13</f>
        <v>70.710999999999999</v>
      </c>
      <c r="G8" s="511">
        <f>+Report1!S13</f>
        <v>289.02999999999997</v>
      </c>
      <c r="H8" s="511">
        <f>+Report1!X13</f>
        <v>2.0721669895772936</v>
      </c>
      <c r="I8" s="511">
        <f>+Report1!Y13</f>
        <v>2.2852472061723699</v>
      </c>
      <c r="J8" s="511">
        <f>+Report1!AD13</f>
        <v>697.0694799960313</v>
      </c>
      <c r="K8" s="512">
        <f>+Report1!AE13</f>
        <v>833.5211569733234</v>
      </c>
      <c r="L8" s="513">
        <f>+[1]Report1!J13</f>
        <v>0.7189052644259194</v>
      </c>
      <c r="M8" s="514">
        <f>+[1]Report1!K13</f>
        <v>0.54222786384390609</v>
      </c>
      <c r="N8" s="514">
        <f>+[1]Report1!BJ13</f>
        <v>0.7189052644259194</v>
      </c>
      <c r="O8" s="514">
        <f>+[1]Report1!BK13</f>
        <v>0.73083830288620588</v>
      </c>
      <c r="P8" s="511">
        <f>+[1]Report1!R13</f>
        <v>44.783000000000001</v>
      </c>
      <c r="Q8" s="511">
        <f>+[1]Report1!S13</f>
        <v>165.88900000000001</v>
      </c>
      <c r="R8" s="511">
        <f>+[1]Report1!AL13</f>
        <v>2.7971105106848579</v>
      </c>
      <c r="S8" s="511">
        <f>+[1]Report1!AM13</f>
        <v>3.2136488857006786</v>
      </c>
      <c r="T8" s="511">
        <f>+[1]Report1!AR13</f>
        <v>0.23669696090034165</v>
      </c>
      <c r="U8" s="511">
        <f>+[1]Report1!AS13</f>
        <v>0.26704603680774491</v>
      </c>
      <c r="V8" s="511">
        <f>+[1]Report1!AX13</f>
        <v>701.3625706183152</v>
      </c>
      <c r="W8" s="511">
        <f>+[1]Report1!AY13</f>
        <v>843.02413059334708</v>
      </c>
      <c r="X8" s="511">
        <f>+[1]Report1!BD13</f>
        <v>578.13545318536069</v>
      </c>
      <c r="Y8" s="589">
        <f>+[1]Report1!BE13</f>
        <v>717.13820687327063</v>
      </c>
      <c r="Z8" s="513">
        <f>+[2]Report1!J13</f>
        <v>0.92939544766787285</v>
      </c>
      <c r="AA8" s="514">
        <f>+[2]Report1!K13</f>
        <v>0.75069483195417153</v>
      </c>
      <c r="AB8" s="514">
        <f>+[2]Report1!BC13</f>
        <v>0.92939544766787285</v>
      </c>
      <c r="AC8" s="514">
        <f>+[2]Report1!BD13</f>
        <v>0.83410195130341991</v>
      </c>
      <c r="AD8" s="511">
        <f>+[2]Report1!R13</f>
        <v>40.323999999999998</v>
      </c>
      <c r="AE8" s="511">
        <f>+[2]Report1!S13</f>
        <v>163.40699999999998</v>
      </c>
      <c r="AF8" s="511">
        <f>+[2]Report1!X13</f>
        <v>105.11704360375536</v>
      </c>
      <c r="AG8" s="511">
        <f>+[2]Report1!Y13</f>
        <v>122.17575993393558</v>
      </c>
      <c r="AH8" s="511">
        <f>+[2]Report1!AD13</f>
        <v>1.5003471877789902</v>
      </c>
      <c r="AI8" s="511">
        <f>+[2]Report1!AE13</f>
        <v>1.6939298806048704</v>
      </c>
      <c r="AJ8" s="511">
        <f>+[2]Report1!AJ13</f>
        <v>976.60152762622761</v>
      </c>
      <c r="AK8" s="589">
        <f>+[2]Report1!AK13</f>
        <v>1107.1167085865334</v>
      </c>
      <c r="AL8" s="600">
        <f>+[3]Report1!AP13</f>
        <v>0</v>
      </c>
      <c r="AM8" s="601">
        <f>+[3]Report1!AQ13</f>
        <v>0</v>
      </c>
      <c r="AN8" s="513">
        <f>+[4]Report1!J13</f>
        <v>0.61549655220273636</v>
      </c>
      <c r="AO8" s="514">
        <f>+[4]Report1!K13</f>
        <v>0.76362118518078903</v>
      </c>
      <c r="AP8" s="514">
        <f>+[4]Report1!BN13</f>
        <v>0.61549655220273636</v>
      </c>
      <c r="AQ8" s="514">
        <f>+[4]Report1!BO13</f>
        <v>0.78254128467538631</v>
      </c>
      <c r="AR8" s="511">
        <f>+[4]Report1!R13</f>
        <v>31.696000000000002</v>
      </c>
      <c r="AS8" s="511">
        <f>+[4]Report1!S13</f>
        <v>196.006</v>
      </c>
      <c r="AT8" s="515">
        <f>+[4]Report1!AF13</f>
        <v>154.55452844908407</v>
      </c>
      <c r="AU8" s="515">
        <f>+[4]Report1!AG13</f>
        <v>135.61587704700517</v>
      </c>
      <c r="AV8" s="511">
        <f>+[4]Report1!AL13</f>
        <v>2.1012115093387176</v>
      </c>
      <c r="AW8" s="511">
        <f>+[4]Report1!AM13</f>
        <v>1.5917880064895973</v>
      </c>
      <c r="AX8" s="511">
        <f>+[4]Report1!AR13</f>
        <v>0.29025744573447748</v>
      </c>
      <c r="AY8" s="511">
        <f>+[4]Report1!AS13</f>
        <v>0.136220319786129</v>
      </c>
      <c r="AZ8" s="511">
        <f>+[4]Report1!AX13</f>
        <v>1215.3104492680498</v>
      </c>
      <c r="BA8" s="511">
        <f>+[4]Report1!AY13</f>
        <v>1022.6759384916791</v>
      </c>
      <c r="BB8" s="511">
        <f>+[4]Report1!BD13</f>
        <v>662.74482584553255</v>
      </c>
      <c r="BC8" s="589">
        <f>+[4]Report1!BE13</f>
        <v>337.07978327194064</v>
      </c>
      <c r="BD8" s="511">
        <f>+[4]Report1!BJ13</f>
        <v>3.8175164058556286</v>
      </c>
      <c r="BE8" s="511">
        <f>+[4]Report1!BK13</f>
        <v>2.351968817281104</v>
      </c>
      <c r="BF8" s="513">
        <f>+[5]Report1!J13</f>
        <v>0.8686689062107863</v>
      </c>
      <c r="BG8" s="514">
        <f>+[5]Report1!K13</f>
        <v>0.77983073900478805</v>
      </c>
      <c r="BH8" s="514">
        <f>+[5]Report1!AN13</f>
        <v>0.8686689062107863</v>
      </c>
      <c r="BI8" s="514">
        <f>+[5]Report1!AO13</f>
        <v>0.81451776951987642</v>
      </c>
      <c r="BJ8" s="511">
        <f>+[5]Report1!R13</f>
        <v>42.722000000000001</v>
      </c>
      <c r="BK8" s="511">
        <f>+[5]Report1!S13</f>
        <v>201.15400000000002</v>
      </c>
      <c r="BL8" s="511">
        <f>+[5]Report1!AD13</f>
        <v>2.88610083797575</v>
      </c>
      <c r="BM8" s="511">
        <f>+[5]Report1!AE13</f>
        <v>2.843095339888841</v>
      </c>
      <c r="BN8" s="515">
        <v>0</v>
      </c>
      <c r="BO8" s="515">
        <v>0</v>
      </c>
      <c r="BP8" s="515">
        <f>+[5]Report1!AJ13</f>
        <v>1140.8866626094368</v>
      </c>
      <c r="BQ8" s="515">
        <f>+[5]Report1!AK13</f>
        <v>1120.8389592053857</v>
      </c>
      <c r="BR8" s="515">
        <v>0</v>
      </c>
      <c r="BS8" s="516">
        <v>0</v>
      </c>
      <c r="BT8" s="513">
        <f>+[6]Report1!J13</f>
        <v>0</v>
      </c>
      <c r="BU8" s="514">
        <f>+[6]Report1!K13</f>
        <v>1.2755806242791681E-2</v>
      </c>
      <c r="BV8" s="514" t="e">
        <f>+[6]Report1!BA13</f>
        <v>#DIV/0!</v>
      </c>
      <c r="BW8" s="514" t="e">
        <f>+[6]Report1!BB13</f>
        <v>#DIV/0!</v>
      </c>
      <c r="BX8" s="511">
        <f>+[6]Report1!R13</f>
        <v>0</v>
      </c>
      <c r="BY8" s="511">
        <f>+[6]Report1!S13</f>
        <v>3.3639999999999999</v>
      </c>
      <c r="BZ8" s="515">
        <f>+[6]Report1!X13</f>
        <v>0</v>
      </c>
      <c r="CA8" s="515">
        <f>+[6]Report1!Y13</f>
        <v>0</v>
      </c>
      <c r="CB8" s="511">
        <f>+[6]Report1!AD13</f>
        <v>0</v>
      </c>
      <c r="CC8" s="511">
        <f>+[6]Report1!AE13</f>
        <v>0.23781212841854935</v>
      </c>
      <c r="CD8" s="515">
        <f>+[6]Report1!AJ13</f>
        <v>0</v>
      </c>
      <c r="CE8" s="515">
        <f>+[6]Report1!AK13</f>
        <v>0</v>
      </c>
      <c r="CF8" s="515">
        <f>+[6]Report1!AP13</f>
        <v>0</v>
      </c>
      <c r="CG8" s="515">
        <f>+[6]Report1!AQ13</f>
        <v>5398.5196195004892</v>
      </c>
      <c r="CH8" s="515">
        <f>+[6]Report1!AV13</f>
        <v>0</v>
      </c>
      <c r="CI8" s="515">
        <f>+[6]Report1!AW13</f>
        <v>0</v>
      </c>
      <c r="CJ8" s="515"/>
      <c r="CK8" s="516"/>
    </row>
    <row r="9" spans="1:89" ht="12.75" customHeight="1">
      <c r="A9" s="568">
        <f t="shared" si="0"/>
        <v>45936</v>
      </c>
      <c r="B9" s="513">
        <f>+Report1!J14</f>
        <v>0.82304458553932547</v>
      </c>
      <c r="C9" s="514">
        <f>+Report1!K14</f>
        <v>0.77853841689111136</v>
      </c>
      <c r="D9" s="514">
        <f>+Report1!AJ14</f>
        <v>0.82304458553932547</v>
      </c>
      <c r="E9" s="514">
        <f>+Report1!AK14</f>
        <v>0.81323170153161217</v>
      </c>
      <c r="F9" s="511">
        <f>+Report1!R14</f>
        <v>63.195</v>
      </c>
      <c r="G9" s="511">
        <f>+Report1!S14</f>
        <v>352.22499999999997</v>
      </c>
      <c r="H9" s="511">
        <f>+Report1!X14</f>
        <v>2.2893583353113378</v>
      </c>
      <c r="I9" s="511">
        <f>+Report1!Y14</f>
        <v>2.2859848108453407</v>
      </c>
      <c r="J9" s="511">
        <f>+Report1!AD14</f>
        <v>842.38848010125764</v>
      </c>
      <c r="K9" s="512">
        <f>+Report1!AE14</f>
        <v>835.11210163957332</v>
      </c>
      <c r="L9" s="513">
        <f>+[1]Report1!J14</f>
        <v>0.92244267783725575</v>
      </c>
      <c r="M9" s="514">
        <f>+[1]Report1!K14</f>
        <v>0.60950088604074548</v>
      </c>
      <c r="N9" s="514">
        <f>+[1]Report1!BJ14</f>
        <v>0.92244267783725575</v>
      </c>
      <c r="O9" s="514">
        <f>+[1]Report1!BK14</f>
        <v>0.77388285672509383</v>
      </c>
      <c r="P9" s="511">
        <f>+[1]Report1!R14</f>
        <v>60.667000000000002</v>
      </c>
      <c r="Q9" s="511">
        <f>+[1]Report1!S14</f>
        <v>226.55600000000001</v>
      </c>
      <c r="R9" s="511">
        <f>+[1]Report1!AL14</f>
        <v>2.2418118581766033</v>
      </c>
      <c r="S9" s="511">
        <f>+[1]Report1!AM14</f>
        <v>2.9534110771729725</v>
      </c>
      <c r="T9" s="511">
        <f>+[1]Report1!AR14</f>
        <v>0.16977928692699493</v>
      </c>
      <c r="U9" s="511">
        <f>+[1]Report1!AS14</f>
        <v>0.24100001765567891</v>
      </c>
      <c r="V9" s="511">
        <f>+[1]Report1!AX14</f>
        <v>594.68261163399814</v>
      </c>
      <c r="W9" s="511">
        <f>+[1]Report1!AY14</f>
        <v>776.52342025812391</v>
      </c>
      <c r="X9" s="511">
        <f>+[1]Report1!BD14</f>
        <v>432.94377503420304</v>
      </c>
      <c r="Y9" s="589">
        <f>+[1]Report1!BE14</f>
        <v>641.03682974628782</v>
      </c>
      <c r="Z9" s="513">
        <f>+[2]Report1!J14</f>
        <v>0.95068273527083169</v>
      </c>
      <c r="AA9" s="514">
        <f>+[2]Report1!K14</f>
        <v>0.78424809578128274</v>
      </c>
      <c r="AB9" s="514">
        <f>+[2]Report1!BC14</f>
        <v>0.95068273527083169</v>
      </c>
      <c r="AC9" s="514">
        <f>+[2]Report1!BD14</f>
        <v>0.85543694636033862</v>
      </c>
      <c r="AD9" s="511">
        <f>+[2]Report1!R14</f>
        <v>41.719000000000001</v>
      </c>
      <c r="AE9" s="511">
        <f>+[2]Report1!S14</f>
        <v>205.12599999999998</v>
      </c>
      <c r="AF9" s="511">
        <f>+[2]Report1!X14</f>
        <v>107.09364206627737</v>
      </c>
      <c r="AG9" s="511">
        <f>+[2]Report1!Y14</f>
        <v>119.1083239418096</v>
      </c>
      <c r="AH9" s="511">
        <f>+[2]Report1!AD14</f>
        <v>1.4166207243701909</v>
      </c>
      <c r="AI9" s="511">
        <f>+[2]Report1!AE14</f>
        <v>1.6375301034486125</v>
      </c>
      <c r="AJ9" s="511">
        <f>+[2]Report1!AJ14</f>
        <v>897.06704379299595</v>
      </c>
      <c r="AK9" s="589">
        <f>+[2]Report1!AK14</f>
        <v>1064.3963222604627</v>
      </c>
      <c r="AL9" s="600">
        <f>+[3]Report1!AP14</f>
        <v>0</v>
      </c>
      <c r="AM9" s="601">
        <f>+[3]Report1!AQ14</f>
        <v>0</v>
      </c>
      <c r="AN9" s="513">
        <f>+[4]Report1!J14</f>
        <v>0.60328659142430663</v>
      </c>
      <c r="AO9" s="514">
        <f>+[4]Report1!K14</f>
        <v>0.73598062523412833</v>
      </c>
      <c r="AP9" s="514">
        <f>+[4]Report1!BN14</f>
        <v>0.60328659142430663</v>
      </c>
      <c r="AQ9" s="514">
        <f>+[4]Report1!BO14</f>
        <v>0.75100806227117223</v>
      </c>
      <c r="AR9" s="511">
        <f>+[4]Report1!R14</f>
        <v>32.256</v>
      </c>
      <c r="AS9" s="511">
        <f>+[4]Report1!S14</f>
        <v>228.262</v>
      </c>
      <c r="AT9" s="515">
        <f>+[4]Report1!AF14</f>
        <v>155.07999586548448</v>
      </c>
      <c r="AU9" s="515">
        <f>+[4]Report1!AG14</f>
        <v>138.36637698395865</v>
      </c>
      <c r="AV9" s="511">
        <f>+[4]Report1!AL14</f>
        <v>1.8446180555555556</v>
      </c>
      <c r="AW9" s="511">
        <f>+[4]Report1!AM14</f>
        <v>1.6275157494458123</v>
      </c>
      <c r="AX9" s="511">
        <f>+[4]Report1!AR14</f>
        <v>0.21081349206349206</v>
      </c>
      <c r="AY9" s="511">
        <f>+[4]Report1!AS14</f>
        <v>0.14676117794464255</v>
      </c>
      <c r="AZ9" s="511">
        <f>+[4]Report1!AX14</f>
        <v>1128.3091517857115</v>
      </c>
      <c r="BA9" s="511">
        <f>+[4]Report1!AY14</f>
        <v>1037.6031052036694</v>
      </c>
      <c r="BB9" s="511">
        <f>+[4]Report1!BD14</f>
        <v>515.5505952380953</v>
      </c>
      <c r="BC9" s="589">
        <f>+[4]Report1!BE14</f>
        <v>362.29972575373915</v>
      </c>
      <c r="BD9" s="511">
        <f>+[4]Report1!BJ14</f>
        <v>3.0691964285714284</v>
      </c>
      <c r="BE9" s="511">
        <f>+[4]Report1!BK14</f>
        <v>2.4533211835522337</v>
      </c>
      <c r="BF9" s="513">
        <f>+[5]Report1!J14</f>
        <v>0.87306104100585646</v>
      </c>
      <c r="BG9" s="514">
        <f>+[5]Report1!K14</f>
        <v>0.79531403765496866</v>
      </c>
      <c r="BH9" s="514">
        <f>+[5]Report1!AN14</f>
        <v>0.87306104100585646</v>
      </c>
      <c r="BI9" s="514">
        <f>+[5]Report1!AO14</f>
        <v>0.82459838900179572</v>
      </c>
      <c r="BJ9" s="511">
        <f>+[5]Report1!R14</f>
        <v>44.848999999999997</v>
      </c>
      <c r="BK9" s="511">
        <f>+[5]Report1!S14</f>
        <v>246.00300000000001</v>
      </c>
      <c r="BL9" s="511">
        <f>+[5]Report1!AD14</f>
        <v>2.7782113313563293</v>
      </c>
      <c r="BM9" s="511">
        <f>+[5]Report1!AE14</f>
        <v>2.8312662853705035</v>
      </c>
      <c r="BN9" s="515">
        <v>0</v>
      </c>
      <c r="BO9" s="515">
        <v>0</v>
      </c>
      <c r="BP9" s="515">
        <f>+[5]Report1!AJ14</f>
        <v>1130.448393498179</v>
      </c>
      <c r="BQ9" s="515">
        <f>+[5]Report1!AK14</f>
        <v>1122.5908627130564</v>
      </c>
      <c r="BR9" s="515">
        <v>0</v>
      </c>
      <c r="BS9" s="516">
        <v>0</v>
      </c>
      <c r="BT9" s="513">
        <f>+[6]Report1!J14</f>
        <v>0</v>
      </c>
      <c r="BU9" s="514">
        <f>+[6]Report1!K14</f>
        <v>1.0629838535659734E-2</v>
      </c>
      <c r="BV9" s="514" t="e">
        <f>+[6]Report1!BA14</f>
        <v>#DIV/0!</v>
      </c>
      <c r="BW9" s="514" t="e">
        <f>+[6]Report1!BB14</f>
        <v>#DIV/0!</v>
      </c>
      <c r="BX9" s="511">
        <f>+[6]Report1!R14</f>
        <v>0</v>
      </c>
      <c r="BY9" s="511">
        <f>+[6]Report1!S14</f>
        <v>3.3639999999999999</v>
      </c>
      <c r="BZ9" s="515">
        <f>+[6]Report1!X14</f>
        <v>0</v>
      </c>
      <c r="CA9" s="515">
        <f>+[6]Report1!Y14</f>
        <v>0</v>
      </c>
      <c r="CB9" s="511">
        <f>+[6]Report1!AD14</f>
        <v>0</v>
      </c>
      <c r="CC9" s="511">
        <f>+[6]Report1!AE14</f>
        <v>0.267538644470868</v>
      </c>
      <c r="CD9" s="515">
        <f>+[6]Report1!AJ14</f>
        <v>0</v>
      </c>
      <c r="CE9" s="515">
        <f>+[6]Report1!AK14</f>
        <v>0</v>
      </c>
      <c r="CF9" s="515">
        <f>+[6]Report1!AP14</f>
        <v>0</v>
      </c>
      <c r="CG9" s="515">
        <f>+[6]Report1!AQ14</f>
        <v>6062.8299643282871</v>
      </c>
      <c r="CH9" s="515">
        <f>+[6]Report1!AV14</f>
        <v>0</v>
      </c>
      <c r="CI9" s="515">
        <f>+[6]Report1!AW14</f>
        <v>0</v>
      </c>
      <c r="CJ9" s="515"/>
      <c r="CK9" s="516"/>
    </row>
    <row r="10" spans="1:89" ht="12.75" customHeight="1">
      <c r="A10" s="568">
        <f t="shared" si="0"/>
        <v>45937</v>
      </c>
      <c r="B10" s="513">
        <f>+Report1!J15</f>
        <v>0.851429032019965</v>
      </c>
      <c r="C10" s="514">
        <f>+Report1!K15</f>
        <v>0.78797622982582805</v>
      </c>
      <c r="D10" s="514">
        <f>+Report1!AJ15</f>
        <v>0.851429032019965</v>
      </c>
      <c r="E10" s="514">
        <f>+Report1!AK15</f>
        <v>0.81836821461116149</v>
      </c>
      <c r="F10" s="511">
        <f>+Report1!R15</f>
        <v>57.293999999999997</v>
      </c>
      <c r="G10" s="511">
        <f>+Report1!S15</f>
        <v>409.51899999999995</v>
      </c>
      <c r="H10" s="511">
        <f>+Report1!X15</f>
        <v>2.4499947638496176</v>
      </c>
      <c r="I10" s="511">
        <f>+Report1!Y15</f>
        <v>2.3089307211631209</v>
      </c>
      <c r="J10" s="511">
        <f>+Report1!AD15</f>
        <v>1012.9036199252854</v>
      </c>
      <c r="K10" s="512">
        <f>+Report1!AE15</f>
        <v>859.98613006966218</v>
      </c>
      <c r="L10" s="513">
        <f>+[1]Report1!J15</f>
        <v>1.0472504372215941</v>
      </c>
      <c r="M10" s="514">
        <f>+[1]Report1!K15</f>
        <v>0.67572564579765559</v>
      </c>
      <c r="N10" s="514">
        <f>+[1]Report1!BJ15</f>
        <v>1.0472504372215941</v>
      </c>
      <c r="O10" s="514">
        <f>+[1]Report1!BK15</f>
        <v>0.82433443180859289</v>
      </c>
      <c r="P10" s="511">
        <f>+[1]Report1!R15</f>
        <v>69.388000000000005</v>
      </c>
      <c r="Q10" s="511">
        <f>+[1]Report1!S15</f>
        <v>295.94400000000002</v>
      </c>
      <c r="R10" s="511">
        <f>+[1]Report1!AL15</f>
        <v>1.7545252781460769</v>
      </c>
      <c r="S10" s="511">
        <f>+[1]Report1!AM15</f>
        <v>2.6723163841807906</v>
      </c>
      <c r="T10" s="511">
        <f>+[1]Report1!AR15</f>
        <v>0.18879345131723063</v>
      </c>
      <c r="U10" s="511">
        <f>+[1]Report1!AS15</f>
        <v>0.22875949503960202</v>
      </c>
      <c r="V10" s="511">
        <f>+[1]Report1!AX15</f>
        <v>518.71000749409768</v>
      </c>
      <c r="W10" s="511">
        <f>+[1]Report1!AY15</f>
        <v>716.07564268915735</v>
      </c>
      <c r="X10" s="511">
        <f>+[1]Report1!BD15</f>
        <v>502.37216809823025</v>
      </c>
      <c r="Y10" s="589">
        <f>+[1]Report1!BE15</f>
        <v>608.52505879490718</v>
      </c>
      <c r="Z10" s="513">
        <f>+[2]Report1!J15</f>
        <v>0.96700039420516659</v>
      </c>
      <c r="AA10" s="514">
        <f>+[2]Report1!K15</f>
        <v>0.81047100981936437</v>
      </c>
      <c r="AB10" s="514">
        <f>+[2]Report1!BC15</f>
        <v>0.96700039420516659</v>
      </c>
      <c r="AC10" s="514">
        <f>+[2]Report1!BD15</f>
        <v>0.87267365787385931</v>
      </c>
      <c r="AD10" s="511">
        <f>+[2]Report1!R15</f>
        <v>42.372</v>
      </c>
      <c r="AE10" s="511">
        <f>+[2]Report1!S15</f>
        <v>247.49799999999999</v>
      </c>
      <c r="AF10" s="511">
        <f>+[2]Report1!X15</f>
        <v>99.457189199466839</v>
      </c>
      <c r="AG10" s="511">
        <f>+[2]Report1!Y15</f>
        <v>115.74402248764615</v>
      </c>
      <c r="AH10" s="511">
        <f>+[2]Report1!AD15</f>
        <v>1.3900689134333994</v>
      </c>
      <c r="AI10" s="511">
        <f>+[2]Report1!AE15</f>
        <v>1.5951644053689324</v>
      </c>
      <c r="AJ10" s="511">
        <f>+[2]Report1!AJ15</f>
        <v>930.64523742093843</v>
      </c>
      <c r="AK10" s="589">
        <f>+[2]Report1!AK15</f>
        <v>1041.4979514985964</v>
      </c>
      <c r="AL10" s="600">
        <f>+[3]Report1!AP15</f>
        <v>0</v>
      </c>
      <c r="AM10" s="601">
        <f>+[3]Report1!AQ15</f>
        <v>0</v>
      </c>
      <c r="AN10" s="513">
        <f>+[4]Report1!J15</f>
        <v>0.82758585572673593</v>
      </c>
      <c r="AO10" s="514">
        <f>+[4]Report1!K15</f>
        <v>0.74965269582029903</v>
      </c>
      <c r="AP10" s="514">
        <f>+[4]Report1!BN15</f>
        <v>0.82758585572673593</v>
      </c>
      <c r="AQ10" s="514">
        <f>+[4]Report1!BO15</f>
        <v>0.76263522150269536</v>
      </c>
      <c r="AR10" s="511">
        <f>+[4]Report1!R15</f>
        <v>45.029000000000003</v>
      </c>
      <c r="AS10" s="511">
        <f>+[4]Report1!S15</f>
        <v>273.291</v>
      </c>
      <c r="AT10" s="515">
        <f>+[4]Report1!AF15</f>
        <v>110.61315994670527</v>
      </c>
      <c r="AU10" s="515">
        <f>+[4]Report1!AG15</f>
        <v>133.79359701692539</v>
      </c>
      <c r="AV10" s="511">
        <f>+[4]Report1!AL15</f>
        <v>1.3813320304692531</v>
      </c>
      <c r="AW10" s="511">
        <f>+[4]Report1!AM15</f>
        <v>1.586953101273002</v>
      </c>
      <c r="AX10" s="511">
        <f>+[4]Report1!AR15</f>
        <v>0.14879300006662372</v>
      </c>
      <c r="AY10" s="511">
        <f>+[4]Report1!AS15</f>
        <v>0.14709595266583972</v>
      </c>
      <c r="AZ10" s="511">
        <f>+[4]Report1!AX15</f>
        <v>851.30249394834641</v>
      </c>
      <c r="BA10" s="511">
        <f>+[4]Report1!AY15</f>
        <v>1006.9071429355523</v>
      </c>
      <c r="BB10" s="511">
        <f>+[4]Report1!BD15</f>
        <v>384.40560527659954</v>
      </c>
      <c r="BC10" s="589">
        <f>+[4]Report1!BE15</f>
        <v>365.94201784910592</v>
      </c>
      <c r="BD10" s="511">
        <f>+[4]Report1!BJ15</f>
        <v>2.6649492549246041</v>
      </c>
      <c r="BE10" s="511">
        <f>+[4]Report1!BK15</f>
        <v>2.4881902440987811</v>
      </c>
      <c r="BF10" s="513">
        <f>+[5]Report1!J15</f>
        <v>0.87556478294184226</v>
      </c>
      <c r="BG10" s="514">
        <f>+[5]Report1!K15</f>
        <v>0.80655069326450646</v>
      </c>
      <c r="BH10" s="514">
        <f>+[5]Report1!AN15</f>
        <v>0.87556478294184226</v>
      </c>
      <c r="BI10" s="514">
        <f>+[5]Report1!AO15</f>
        <v>0.8319594838005735</v>
      </c>
      <c r="BJ10" s="511">
        <f>+[5]Report1!R15</f>
        <v>44.094999999999999</v>
      </c>
      <c r="BK10" s="511">
        <f>+[5]Report1!S15</f>
        <v>290.09800000000001</v>
      </c>
      <c r="BL10" s="511">
        <f>+[5]Report1!AD15</f>
        <v>2.7985032316589185</v>
      </c>
      <c r="BM10" s="511">
        <f>+[5]Report1!AE15</f>
        <v>2.8262862894608025</v>
      </c>
      <c r="BN10" s="515">
        <v>0</v>
      </c>
      <c r="BO10" s="515">
        <v>0</v>
      </c>
      <c r="BP10" s="515">
        <f>+[5]Report1!AJ15</f>
        <v>1250.0646331783682</v>
      </c>
      <c r="BQ10" s="515">
        <f>+[5]Report1!AK15</f>
        <v>1141.966921523072</v>
      </c>
      <c r="BR10" s="515">
        <v>0</v>
      </c>
      <c r="BS10" s="516">
        <v>0</v>
      </c>
      <c r="BT10" s="513">
        <f>+[6]Report1!J15</f>
        <v>0</v>
      </c>
      <c r="BU10" s="514">
        <f>+[6]Report1!K15</f>
        <v>9.1112901734226297E-3</v>
      </c>
      <c r="BV10" s="514" t="e">
        <f>+[6]Report1!BA15</f>
        <v>#DIV/0!</v>
      </c>
      <c r="BW10" s="514" t="e">
        <f>+[6]Report1!BB15</f>
        <v>#DIV/0!</v>
      </c>
      <c r="BX10" s="511">
        <f>+[6]Report1!R15</f>
        <v>0</v>
      </c>
      <c r="BY10" s="511">
        <f>+[6]Report1!S15</f>
        <v>3.3639999999999999</v>
      </c>
      <c r="BZ10" s="515">
        <f>+[6]Report1!X15</f>
        <v>0</v>
      </c>
      <c r="CA10" s="515">
        <f>+[6]Report1!Y15</f>
        <v>0</v>
      </c>
      <c r="CB10" s="511">
        <f>+[6]Report1!AD15</f>
        <v>0</v>
      </c>
      <c r="CC10" s="511">
        <f>+[6]Report1!AE15</f>
        <v>0.29726516052318663</v>
      </c>
      <c r="CD10" s="515">
        <f>+[6]Report1!AJ15</f>
        <v>0</v>
      </c>
      <c r="CE10" s="515">
        <f>+[6]Report1!AK15</f>
        <v>0</v>
      </c>
      <c r="CF10" s="515">
        <f>+[6]Report1!AP15</f>
        <v>0</v>
      </c>
      <c r="CG10" s="515">
        <f>+[6]Report1!AQ15</f>
        <v>6933.3115338883435</v>
      </c>
      <c r="CH10" s="515">
        <f>+[6]Report1!AV15</f>
        <v>0</v>
      </c>
      <c r="CI10" s="515">
        <f>+[6]Report1!AW15</f>
        <v>0</v>
      </c>
      <c r="CJ10" s="515"/>
      <c r="CK10" s="516"/>
    </row>
    <row r="11" spans="1:89" ht="12.75" customHeight="1">
      <c r="A11" s="568">
        <f t="shared" si="0"/>
        <v>45938</v>
      </c>
      <c r="B11" s="513">
        <f>+Report1!J16</f>
        <v>0.9794899319376873</v>
      </c>
      <c r="C11" s="514">
        <f>+Report1!K16</f>
        <v>0.80853871239552189</v>
      </c>
      <c r="D11" s="514">
        <f>+Report1!AJ16</f>
        <v>0.9794899319376873</v>
      </c>
      <c r="E11" s="514">
        <f>+Report1!AK16</f>
        <v>0.83626069897280086</v>
      </c>
      <c r="F11" s="511">
        <f>+Report1!R16</f>
        <v>61.23</v>
      </c>
      <c r="G11" s="511">
        <f>+Report1!S16</f>
        <v>470.74899999999997</v>
      </c>
      <c r="H11" s="511">
        <f>+Report1!X16</f>
        <v>2.1923240241711577</v>
      </c>
      <c r="I11" s="511">
        <f>+Report1!Y16</f>
        <v>2.2937637679527731</v>
      </c>
      <c r="J11" s="511">
        <f>+Report1!AD16</f>
        <v>943.56132614735645</v>
      </c>
      <c r="K11" s="512">
        <f>+Report1!AE16</f>
        <v>870.85669858034873</v>
      </c>
      <c r="L11" s="513">
        <f>+[1]Report1!J16</f>
        <v>0.94454587196052375</v>
      </c>
      <c r="M11" s="514">
        <f>+[1]Report1!K16</f>
        <v>0.71156212654994078</v>
      </c>
      <c r="N11" s="514">
        <f>+[1]Report1!BJ16</f>
        <v>0.94454587196052375</v>
      </c>
      <c r="O11" s="514">
        <f>+[1]Report1!BK16</f>
        <v>0.84332738916023986</v>
      </c>
      <c r="P11" s="511">
        <f>+[1]Report1!R16</f>
        <v>63.63</v>
      </c>
      <c r="Q11" s="511">
        <f>+[1]Report1!S16</f>
        <v>359.57400000000001</v>
      </c>
      <c r="R11" s="511">
        <f>+[1]Report1!AL16</f>
        <v>1.9104667609618105</v>
      </c>
      <c r="S11" s="511">
        <f>+[1]Report1!AM16</f>
        <v>2.5374999304732819</v>
      </c>
      <c r="T11" s="511">
        <f>+[1]Report1!AR16</f>
        <v>0.16658808738016659</v>
      </c>
      <c r="U11" s="511">
        <f>+[1]Report1!AS16</f>
        <v>0.21775767992124007</v>
      </c>
      <c r="V11" s="511">
        <f>+[1]Report1!AX16</f>
        <v>510.78720729216064</v>
      </c>
      <c r="W11" s="511">
        <f>+[1]Report1!AY16</f>
        <v>679.74792393220912</v>
      </c>
      <c r="X11" s="511">
        <f>+[1]Report1!BD16</f>
        <v>423.43862957724428</v>
      </c>
      <c r="Y11" s="589">
        <f>+[1]Report1!BE16</f>
        <v>575.7722749698255</v>
      </c>
      <c r="Z11" s="513">
        <f>+[2]Report1!J16</f>
        <v>0.98571546801593302</v>
      </c>
      <c r="AA11" s="514">
        <f>+[2]Report1!K16</f>
        <v>0.83245902365817026</v>
      </c>
      <c r="AB11" s="514">
        <f>+[2]Report1!BC16</f>
        <v>0.98571546801593302</v>
      </c>
      <c r="AC11" s="514">
        <f>+[2]Report1!BD16</f>
        <v>0.88779997052742021</v>
      </c>
      <c r="AD11" s="511">
        <f>+[2]Report1!R16</f>
        <v>43.186999999999998</v>
      </c>
      <c r="AE11" s="511">
        <f>+[2]Report1!S16</f>
        <v>290.685</v>
      </c>
      <c r="AF11" s="511">
        <f>+[2]Report1!X16</f>
        <v>103.0017428962049</v>
      </c>
      <c r="AG11" s="511">
        <f>+[2]Report1!Y16</f>
        <v>113.85090509694633</v>
      </c>
      <c r="AH11" s="511">
        <f>+[2]Report1!AD16</f>
        <v>1.3707828744761157</v>
      </c>
      <c r="AI11" s="511">
        <f>+[2]Report1!AE16</f>
        <v>1.5618280957049728</v>
      </c>
      <c r="AJ11" s="511">
        <f>+[2]Report1!AJ16</f>
        <v>875.36203024059853</v>
      </c>
      <c r="AK11" s="589">
        <f>+[2]Report1!AK16</f>
        <v>1016.8151779417593</v>
      </c>
      <c r="AL11" s="600">
        <f>+[3]Report1!AP16</f>
        <v>0</v>
      </c>
      <c r="AM11" s="601">
        <f>+[3]Report1!AQ16</f>
        <v>0</v>
      </c>
      <c r="AN11" s="513">
        <f>+[4]Report1!J16</f>
        <v>0.89908566958558589</v>
      </c>
      <c r="AO11" s="514">
        <f>+[4]Report1!K16</f>
        <v>0.76876773720162528</v>
      </c>
      <c r="AP11" s="514">
        <f>+[4]Report1!BN16</f>
        <v>0.89908566958558589</v>
      </c>
      <c r="AQ11" s="514">
        <f>+[4]Report1!BO16</f>
        <v>0.78035260163200815</v>
      </c>
      <c r="AR11" s="511">
        <f>+[4]Report1!R16</f>
        <v>48.076999999999998</v>
      </c>
      <c r="AS11" s="511">
        <f>+[4]Report1!S16</f>
        <v>321.36799999999999</v>
      </c>
      <c r="AT11" s="515">
        <f>+[4]Report1!AF16</f>
        <v>122.3800097664496</v>
      </c>
      <c r="AU11" s="515">
        <f>+[4]Report1!AG16</f>
        <v>132.08611203322718</v>
      </c>
      <c r="AV11" s="511">
        <f>+[4]Report1!AL16</f>
        <v>1.364477816835493</v>
      </c>
      <c r="AW11" s="511">
        <f>+[4]Report1!AM16</f>
        <v>1.5536705583629982</v>
      </c>
      <c r="AX11" s="511">
        <f>+[4]Report1!AR16</f>
        <v>0.17263972377644199</v>
      </c>
      <c r="AY11" s="511">
        <f>+[4]Report1!AS16</f>
        <v>0.15091732842100022</v>
      </c>
      <c r="AZ11" s="511">
        <f>+[4]Report1!AX16</f>
        <v>846.0232543627917</v>
      </c>
      <c r="BA11" s="511">
        <f>+[4]Report1!AY16</f>
        <v>982.83873938911154</v>
      </c>
      <c r="BB11" s="511">
        <f>+[4]Report1!BD16</f>
        <v>419.5270087567867</v>
      </c>
      <c r="BC11" s="589">
        <f>+[4]Report1!BE16</f>
        <v>373.95839038112081</v>
      </c>
      <c r="BD11" s="511">
        <f>+[4]Report1!BJ16</f>
        <v>2.7039956736069222</v>
      </c>
      <c r="BE11" s="511">
        <f>+[4]Report1!BK16</f>
        <v>2.5204749695053645</v>
      </c>
      <c r="BF11" s="513">
        <f>+[5]Report1!J16</f>
        <v>0.87151233144856644</v>
      </c>
      <c r="BG11" s="514">
        <f>+[5]Report1!K16</f>
        <v>0.81515145495298824</v>
      </c>
      <c r="BH11" s="514">
        <f>+[5]Report1!AN16</f>
        <v>0.87151233144856644</v>
      </c>
      <c r="BI11" s="514">
        <f>+[5]Report1!AO16</f>
        <v>0.8373387194300822</v>
      </c>
      <c r="BJ11" s="511">
        <f>+[5]Report1!R16</f>
        <v>47.835000000000001</v>
      </c>
      <c r="BK11" s="511">
        <f>+[5]Report1!S16</f>
        <v>337.93299999999999</v>
      </c>
      <c r="BL11" s="511">
        <f>+[5]Report1!AD16</f>
        <v>2.5817915752064389</v>
      </c>
      <c r="BM11" s="511">
        <f>+[5]Report1!AE16</f>
        <v>2.7916776402422965</v>
      </c>
      <c r="BN11" s="515">
        <v>0</v>
      </c>
      <c r="BO11" s="515">
        <v>0</v>
      </c>
      <c r="BP11" s="515">
        <f>+[5]Report1!AJ16</f>
        <v>1012.9302811748767</v>
      </c>
      <c r="BQ11" s="515">
        <f>+[5]Report1!AK16</f>
        <v>1123.7015621439764</v>
      </c>
      <c r="BR11" s="515">
        <v>0</v>
      </c>
      <c r="BS11" s="516">
        <v>0</v>
      </c>
      <c r="BT11" s="513">
        <f>+[6]Report1!J16</f>
        <v>0</v>
      </c>
      <c r="BU11" s="514">
        <f>+[6]Report1!K16</f>
        <v>7.9723789017448025E-3</v>
      </c>
      <c r="BV11" s="514" t="e">
        <f>+[6]Report1!BA16</f>
        <v>#DIV/0!</v>
      </c>
      <c r="BW11" s="514" t="e">
        <f>+[6]Report1!BB16</f>
        <v>#DIV/0!</v>
      </c>
      <c r="BX11" s="511">
        <f>+[6]Report1!R16</f>
        <v>0</v>
      </c>
      <c r="BY11" s="511">
        <f>+[6]Report1!S16</f>
        <v>3.3639999999999999</v>
      </c>
      <c r="BZ11" s="515">
        <f>+[6]Report1!X16</f>
        <v>0</v>
      </c>
      <c r="CA11" s="515">
        <f>+[6]Report1!Y16</f>
        <v>0</v>
      </c>
      <c r="CB11" s="511">
        <f>+[6]Report1!AD16</f>
        <v>0</v>
      </c>
      <c r="CC11" s="511">
        <f>+[6]Report1!AE16</f>
        <v>0.77288941736028538</v>
      </c>
      <c r="CD11" s="515">
        <f>+[6]Report1!AJ16</f>
        <v>0</v>
      </c>
      <c r="CE11" s="515">
        <f>+[6]Report1!AK16</f>
        <v>0</v>
      </c>
      <c r="CF11" s="515">
        <f>+[6]Report1!AP16</f>
        <v>0</v>
      </c>
      <c r="CG11" s="515">
        <f>+[6]Report1!AQ16</f>
        <v>7658.4185493462001</v>
      </c>
      <c r="CH11" s="515">
        <f>+[6]Report1!AV16</f>
        <v>0</v>
      </c>
      <c r="CI11" s="515">
        <f>+[6]Report1!AW16</f>
        <v>0</v>
      </c>
      <c r="CJ11" s="515"/>
      <c r="CK11" s="516"/>
    </row>
    <row r="12" spans="1:89" ht="12.75" customHeight="1">
      <c r="A12" s="568">
        <f t="shared" si="0"/>
        <v>45939</v>
      </c>
      <c r="B12" s="513">
        <f>+Report1!J17</f>
        <v>0.94994401801247519</v>
      </c>
      <c r="C12" s="514">
        <f>+Report1!K17</f>
        <v>0.82162852082026039</v>
      </c>
      <c r="D12" s="514">
        <f>+Report1!AJ17</f>
        <v>0.94994401801247519</v>
      </c>
      <c r="E12" s="514">
        <f>+Report1!AK17</f>
        <v>0.8471106800598811</v>
      </c>
      <c r="F12" s="511">
        <f>+Report1!R17</f>
        <v>56.420999999999999</v>
      </c>
      <c r="G12" s="511">
        <f>+Report1!S17</f>
        <v>527.16999999999996</v>
      </c>
      <c r="H12" s="511">
        <f>+Report1!X17</f>
        <v>2.3658921323620641</v>
      </c>
      <c r="I12" s="511">
        <f>+Report1!Y17</f>
        <v>2.3014833924540476</v>
      </c>
      <c r="J12" s="511">
        <f>+Report1!AD17</f>
        <v>1057.7596994027419</v>
      </c>
      <c r="K12" s="512">
        <f>+Report1!AE17</f>
        <v>890.86021586964864</v>
      </c>
      <c r="L12" s="513">
        <f>+[1]Report1!J17</f>
        <v>0.98030034084786566</v>
      </c>
      <c r="M12" s="514">
        <f>+[1]Report1!K17</f>
        <v>0.74353555073886479</v>
      </c>
      <c r="N12" s="514">
        <f>+[1]Report1!BJ17</f>
        <v>0.98030034084786566</v>
      </c>
      <c r="O12" s="514">
        <f>+[1]Report1!BK17</f>
        <v>0.86222528955193989</v>
      </c>
      <c r="P12" s="511">
        <f>+[1]Report1!R17</f>
        <v>66.897000000000006</v>
      </c>
      <c r="Q12" s="511">
        <f>+[1]Report1!S17</f>
        <v>426.471</v>
      </c>
      <c r="R12" s="511">
        <f>+[1]Report1!AL17</f>
        <v>1.8717281791410676</v>
      </c>
      <c r="S12" s="511">
        <f>+[1]Report1!AM17</f>
        <v>2.4330657887640661</v>
      </c>
      <c r="T12" s="511">
        <f>+[1]Report1!AR17</f>
        <v>0.21077178348804876</v>
      </c>
      <c r="U12" s="511">
        <f>+[1]Report1!AS17</f>
        <v>0.21666185977475602</v>
      </c>
      <c r="V12" s="511">
        <f>+[1]Report1!AX17</f>
        <v>461.21335784862481</v>
      </c>
      <c r="W12" s="511">
        <f>+[1]Report1!AY17</f>
        <v>645.46820299621686</v>
      </c>
      <c r="X12" s="511">
        <f>+[1]Report1!BD17</f>
        <v>552.15032064218053</v>
      </c>
      <c r="Y12" s="589">
        <f>+[1]Report1!BE17</f>
        <v>572.06689317679286</v>
      </c>
      <c r="Z12" s="513">
        <f>+[2]Report1!J17</f>
        <v>0.83407044591442425</v>
      </c>
      <c r="AA12" s="514">
        <f>+[2]Report1!K17</f>
        <v>0.83263866940567333</v>
      </c>
      <c r="AB12" s="514">
        <f>+[2]Report1!BC17</f>
        <v>0.83407044591442425</v>
      </c>
      <c r="AC12" s="514">
        <f>+[2]Report1!BD17</f>
        <v>0.8814588494257305</v>
      </c>
      <c r="AD12" s="511">
        <f>+[2]Report1!R17</f>
        <v>36.542999999999999</v>
      </c>
      <c r="AE12" s="511">
        <f>+[2]Report1!S17</f>
        <v>327.22800000000001</v>
      </c>
      <c r="AF12" s="511">
        <f>+[2]Report1!X17</f>
        <v>118.16662973507682</v>
      </c>
      <c r="AG12" s="511">
        <f>+[2]Report1!Y17</f>
        <v>114.33286118093424</v>
      </c>
      <c r="AH12" s="511">
        <f>+[2]Report1!AD17</f>
        <v>1.5953807842815313</v>
      </c>
      <c r="AI12" s="511">
        <f>+[2]Report1!AE17</f>
        <v>1.5655750730377593</v>
      </c>
      <c r="AJ12" s="511">
        <f>+[2]Report1!AJ17</f>
        <v>1029.4682976219697</v>
      </c>
      <c r="AK12" s="589">
        <f>+[2]Report1!AK17</f>
        <v>1018.2282078550735</v>
      </c>
      <c r="AL12" s="600">
        <f>+[3]Report1!AP17</f>
        <v>0</v>
      </c>
      <c r="AM12" s="601">
        <f>+[3]Report1!AQ17</f>
        <v>0</v>
      </c>
      <c r="AN12" s="513">
        <f>+[4]Report1!J17</f>
        <v>0.56729199153931853</v>
      </c>
      <c r="AO12" s="514">
        <f>+[4]Report1!K17</f>
        <v>0.74634941887020168</v>
      </c>
      <c r="AP12" s="514">
        <f>+[4]Report1!BN17</f>
        <v>0.56729199153931853</v>
      </c>
      <c r="AQ12" s="514">
        <f>+[4]Report1!BO17</f>
        <v>0.75632825677364934</v>
      </c>
      <c r="AR12" s="511">
        <f>+[4]Report1!R17</f>
        <v>29.690999999999999</v>
      </c>
      <c r="AS12" s="511">
        <f>+[4]Report1!S17</f>
        <v>351.05899999999997</v>
      </c>
      <c r="AT12" s="515">
        <f>+[4]Report1!AF17</f>
        <v>151.50503187453262</v>
      </c>
      <c r="AU12" s="515">
        <f>+[4]Report1!AG17</f>
        <v>133.72847741627734</v>
      </c>
      <c r="AV12" s="511">
        <f>+[4]Report1!AL17</f>
        <v>1.788420733555623</v>
      </c>
      <c r="AW12" s="511">
        <f>+[4]Report1!AM17</f>
        <v>1.573524678187997</v>
      </c>
      <c r="AX12" s="511">
        <f>+[4]Report1!AR17</f>
        <v>0.23576167862315181</v>
      </c>
      <c r="AY12" s="511">
        <f>+[4]Report1!AS17</f>
        <v>0.15809308406848993</v>
      </c>
      <c r="AZ12" s="511">
        <f>+[4]Report1!AX17</f>
        <v>1108.7487790913087</v>
      </c>
      <c r="BA12" s="511">
        <f>+[4]Report1!AY17</f>
        <v>993.48764737551267</v>
      </c>
      <c r="BB12" s="511">
        <f>+[4]Report1!BD17</f>
        <v>589.73426290795078</v>
      </c>
      <c r="BC12" s="589">
        <f>+[4]Report1!BE17</f>
        <v>392.2077485550862</v>
      </c>
      <c r="BD12" s="511">
        <f>+[4]Report1!BJ17</f>
        <v>3.3680239803307401</v>
      </c>
      <c r="BE12" s="511">
        <f>+[4]Report1!BK17</f>
        <v>2.5921568739157808</v>
      </c>
      <c r="BF12" s="513">
        <f>+[5]Report1!J17</f>
        <v>0.99998577545127387</v>
      </c>
      <c r="BG12" s="514">
        <f>+[5]Report1!K17</f>
        <v>0.83747378998608968</v>
      </c>
      <c r="BH12" s="514">
        <f>+[5]Report1!AN17</f>
        <v>0.99998577545127387</v>
      </c>
      <c r="BI12" s="514">
        <f>+[5]Report1!AO17</f>
        <v>0.85745005071465608</v>
      </c>
      <c r="BJ12" s="511">
        <f>+[5]Report1!R17</f>
        <v>56.942999999999998</v>
      </c>
      <c r="BK12" s="511">
        <f>+[5]Report1!S17</f>
        <v>394.87599999999998</v>
      </c>
      <c r="BL12" s="511">
        <f>+[5]Report1!AD17</f>
        <v>2.1899092074530673</v>
      </c>
      <c r="BM12" s="511">
        <f>+[5]Report1!AE17</f>
        <v>2.7048997660024918</v>
      </c>
      <c r="BN12" s="515">
        <v>0</v>
      </c>
      <c r="BO12" s="515">
        <v>0</v>
      </c>
      <c r="BP12" s="515">
        <f>+[5]Report1!AJ17</f>
        <v>1038.9287533147146</v>
      </c>
      <c r="BQ12" s="515">
        <f>+[5]Report1!AK17</f>
        <v>1111.4769193367035</v>
      </c>
      <c r="BR12" s="515">
        <v>0</v>
      </c>
      <c r="BS12" s="516">
        <v>0</v>
      </c>
      <c r="BT12" s="513">
        <f>+[6]Report1!J17</f>
        <v>0.33723214167880161</v>
      </c>
      <c r="BU12" s="514">
        <f>+[6]Report1!K17</f>
        <v>4.4702660782263773E-2</v>
      </c>
      <c r="BV12" s="514">
        <f>+[6]Report1!BA17</f>
        <v>0.43567001734586691</v>
      </c>
      <c r="BW12" s="514">
        <f>+[6]Report1!BB17</f>
        <v>0.51769799844798237</v>
      </c>
      <c r="BX12" s="511">
        <f>+[6]Report1!R17</f>
        <v>17.867000000000001</v>
      </c>
      <c r="BY12" s="511">
        <f>+[6]Report1!S17</f>
        <v>21.231000000000002</v>
      </c>
      <c r="BZ12" s="515">
        <f>+[6]Report1!X17</f>
        <v>154.95052041217542</v>
      </c>
      <c r="CA12" s="515">
        <f>+[6]Report1!Y17</f>
        <v>130.39898960031735</v>
      </c>
      <c r="CB12" s="511">
        <f>+[6]Report1!AD17</f>
        <v>3.5764258129512507</v>
      </c>
      <c r="CC12" s="511">
        <f>+[6]Report1!AE17</f>
        <v>3.1322123310253871</v>
      </c>
      <c r="CD12" s="515">
        <f>+[6]Report1!AJ17</f>
        <v>0</v>
      </c>
      <c r="CE12" s="515">
        <f>+[6]Report1!AK17</f>
        <v>0</v>
      </c>
      <c r="CF12" s="515">
        <f>+[6]Report1!AP17</f>
        <v>932.9971455756081</v>
      </c>
      <c r="CG12" s="515">
        <f>+[6]Report1!AQ17</f>
        <v>1998.6237106118415</v>
      </c>
      <c r="CH12" s="515">
        <f>+[6]Report1!AV17</f>
        <v>0</v>
      </c>
      <c r="CI12" s="515">
        <f>+[6]Report1!AW17</f>
        <v>0</v>
      </c>
      <c r="CJ12" s="515"/>
      <c r="CK12" s="516"/>
    </row>
    <row r="13" spans="1:89" ht="12.75" customHeight="1">
      <c r="A13" s="568">
        <f t="shared" si="0"/>
        <v>45940</v>
      </c>
      <c r="B13" s="513">
        <f>+Report1!J18</f>
        <v>0.80516096591570174</v>
      </c>
      <c r="C13" s="514">
        <f>+Report1!K18</f>
        <v>0.82020297706668377</v>
      </c>
      <c r="D13" s="514">
        <f>+Report1!AJ18</f>
        <v>0.80516096591570174</v>
      </c>
      <c r="E13" s="514">
        <f>+Report1!AK18</f>
        <v>0.84337662552800863</v>
      </c>
      <c r="F13" s="511">
        <f>+Report1!R18</f>
        <v>48.959000000000003</v>
      </c>
      <c r="G13" s="511">
        <f>+Report1!S18</f>
        <v>576.12899999999991</v>
      </c>
      <c r="H13" s="511">
        <f>+Report1!X18</f>
        <v>2.5410241222247185</v>
      </c>
      <c r="I13" s="511">
        <f>+Report1!Y18</f>
        <v>2.3218393797222503</v>
      </c>
      <c r="J13" s="511">
        <f>+Report1!AD18</f>
        <v>1207.2824199840052</v>
      </c>
      <c r="K13" s="512">
        <f>+Report1!AE18</f>
        <v>917.749531788887</v>
      </c>
      <c r="L13" s="513">
        <f>+[1]Report1!J18</f>
        <v>0.96058493115280974</v>
      </c>
      <c r="M13" s="514">
        <f>+[1]Report1!K18</f>
        <v>0.76704967223829401</v>
      </c>
      <c r="N13" s="514">
        <f>+[1]Report1!BJ18</f>
        <v>0.96058493115280974</v>
      </c>
      <c r="O13" s="514">
        <f>+[1]Report1!BK18</f>
        <v>0.87437203457940704</v>
      </c>
      <c r="P13" s="511">
        <f>+[1]Report1!R18</f>
        <v>66.941000000000003</v>
      </c>
      <c r="Q13" s="511">
        <f>+[1]Report1!S18</f>
        <v>493.41200000000003</v>
      </c>
      <c r="R13" s="511">
        <f>+[1]Report1!AL18</f>
        <v>2.0442180427540668</v>
      </c>
      <c r="S13" s="511">
        <f>+[1]Report1!AM18</f>
        <v>2.3803109774387328</v>
      </c>
      <c r="T13" s="511">
        <f>+[1]Report1!AR18</f>
        <v>0.18225004108095186</v>
      </c>
      <c r="U13" s="511">
        <f>+[1]Report1!AS18</f>
        <v>0.21199322270232579</v>
      </c>
      <c r="V13" s="511">
        <f>+[1]Report1!AX18</f>
        <v>482.91794266593462</v>
      </c>
      <c r="W13" s="511">
        <f>+[1]Report1!AY18</f>
        <v>623.41507705528022</v>
      </c>
      <c r="X13" s="511">
        <f>+[1]Report1!BD18</f>
        <v>466.54217893368832</v>
      </c>
      <c r="Y13" s="589">
        <f>+[1]Report1!BE18</f>
        <v>557.75039926065847</v>
      </c>
      <c r="Z13" s="513">
        <f>+[2]Report1!J18</f>
        <v>0.82035300788266541</v>
      </c>
      <c r="AA13" s="514">
        <f>+[2]Report1!K18</f>
        <v>0.83140640639654106</v>
      </c>
      <c r="AB13" s="514">
        <f>+[2]Report1!BC18</f>
        <v>0.82035300788266541</v>
      </c>
      <c r="AC13" s="514">
        <f>+[2]Report1!BD18</f>
        <v>0.87500845195396648</v>
      </c>
      <c r="AD13" s="511">
        <f>+[2]Report1!R18</f>
        <v>35.942</v>
      </c>
      <c r="AE13" s="511">
        <f>+[2]Report1!S18</f>
        <v>363.17</v>
      </c>
      <c r="AF13" s="511">
        <f>+[2]Report1!X18</f>
        <v>116.37519055397277</v>
      </c>
      <c r="AG13" s="511">
        <f>+[2]Report1!Y18</f>
        <v>114.53498526146335</v>
      </c>
      <c r="AH13" s="511">
        <f>+[2]Report1!AD18</f>
        <v>1.6387513215736464</v>
      </c>
      <c r="AI13" s="511">
        <f>+[2]Report1!AE18</f>
        <v>1.5728171379794584</v>
      </c>
      <c r="AJ13" s="511">
        <f>+[2]Report1!AJ18</f>
        <v>1084.4510600411775</v>
      </c>
      <c r="AK13" s="589">
        <f>+[2]Report1!AK18</f>
        <v>1024.7821130599993</v>
      </c>
      <c r="AL13" s="600">
        <f>+[3]Report1!AP18</f>
        <v>0</v>
      </c>
      <c r="AM13" s="601">
        <f>+[3]Report1!AQ18</f>
        <v>0</v>
      </c>
      <c r="AN13" s="513">
        <f>+[4]Report1!J18</f>
        <v>0.79855670533403555</v>
      </c>
      <c r="AO13" s="514">
        <f>+[4]Report1!K18</f>
        <v>0.7515099431319574</v>
      </c>
      <c r="AP13" s="514">
        <f>+[4]Report1!BN18</f>
        <v>0.79855670533403555</v>
      </c>
      <c r="AQ13" s="514">
        <f>+[4]Report1!BO18</f>
        <v>0.76055263087464942</v>
      </c>
      <c r="AR13" s="511">
        <f>+[4]Report1!R18</f>
        <v>41.201000000000001</v>
      </c>
      <c r="AS13" s="511">
        <f>+[4]Report1!S18</f>
        <v>392.26</v>
      </c>
      <c r="AT13" s="515">
        <f>+[4]Report1!AF18</f>
        <v>125.67449225117583</v>
      </c>
      <c r="AU13" s="515">
        <f>+[4]Report1!AG18</f>
        <v>132.88252768194974</v>
      </c>
      <c r="AV13" s="511">
        <f>+[4]Report1!AL18</f>
        <v>1.4854008397854421</v>
      </c>
      <c r="AW13" s="511">
        <f>+[4]Report1!AM18</f>
        <v>1.5642685973588948</v>
      </c>
      <c r="AX13" s="511">
        <f>+[4]Report1!AR18</f>
        <v>0.18446154219557775</v>
      </c>
      <c r="AY13" s="511">
        <f>+[4]Report1!AS18</f>
        <v>0.16086269311171164</v>
      </c>
      <c r="AZ13" s="511">
        <f>+[4]Report1!AX18</f>
        <v>1001.8528676488423</v>
      </c>
      <c r="BA13" s="511">
        <f>+[4]Report1!AY18</f>
        <v>994.36628766634374</v>
      </c>
      <c r="BB13" s="511">
        <f>+[4]Report1!BD18</f>
        <v>444.92123977573397</v>
      </c>
      <c r="BC13" s="589">
        <f>+[4]Report1!BE18</f>
        <v>397.74450619487078</v>
      </c>
      <c r="BD13" s="511">
        <f>+[4]Report1!BJ18</f>
        <v>2.8882794106939151</v>
      </c>
      <c r="BE13" s="511">
        <f>+[4]Report1!BK18</f>
        <v>2.6232600825982768</v>
      </c>
      <c r="BF13" s="513">
        <f>+[5]Report1!J18</f>
        <v>0.71953196799091435</v>
      </c>
      <c r="BG13" s="514">
        <f>+[5]Report1!K18</f>
        <v>0.82500005518797526</v>
      </c>
      <c r="BH13" s="514">
        <f>+[5]Report1!AN18</f>
        <v>0.71953196799091435</v>
      </c>
      <c r="BI13" s="514">
        <f>+[5]Report1!AO18</f>
        <v>0.84255324131963039</v>
      </c>
      <c r="BJ13" s="511">
        <f>+[5]Report1!R18</f>
        <v>40.125</v>
      </c>
      <c r="BK13" s="511">
        <f>+[5]Report1!S18</f>
        <v>435.00099999999998</v>
      </c>
      <c r="BL13" s="511">
        <f>+[5]Report1!AD18</f>
        <v>3.1102803738317757</v>
      </c>
      <c r="BM13" s="511">
        <f>+[5]Report1!AE18</f>
        <v>2.7422925464539158</v>
      </c>
      <c r="BN13" s="515">
        <v>0</v>
      </c>
      <c r="BO13" s="515">
        <v>0</v>
      </c>
      <c r="BP13" s="515">
        <f>+[5]Report1!AJ18</f>
        <v>1295.3130866043507</v>
      </c>
      <c r="BQ13" s="515">
        <f>+[5]Report1!AK18</f>
        <v>1128.4341819903857</v>
      </c>
      <c r="BR13" s="515">
        <v>0</v>
      </c>
      <c r="BS13" s="516">
        <v>0</v>
      </c>
      <c r="BT13" s="513">
        <f>+[6]Report1!J18</f>
        <v>0.73928462722957766</v>
      </c>
      <c r="BU13" s="514">
        <f>+[6]Report1!K18</f>
        <v>0.11276735752957592</v>
      </c>
      <c r="BV13" s="514">
        <f>+[6]Report1!BA18</f>
        <v>0.73928462722957766</v>
      </c>
      <c r="BW13" s="514">
        <f>+[6]Report1!BB18</f>
        <v>0.64115706501251613</v>
      </c>
      <c r="BX13" s="511">
        <f>+[6]Report1!R18</f>
        <v>38.145000000000003</v>
      </c>
      <c r="BY13" s="511">
        <f>+[6]Report1!S18</f>
        <v>59.376000000000005</v>
      </c>
      <c r="BZ13" s="515">
        <f>+[6]Report1!X18</f>
        <v>99.602258379038304</v>
      </c>
      <c r="CA13" s="515">
        <f>+[6]Report1!Y18</f>
        <v>110.6142059767036</v>
      </c>
      <c r="CB13" s="511">
        <f>+[6]Report1!AD18</f>
        <v>2.4957399397037618</v>
      </c>
      <c r="CC13" s="511">
        <f>+[6]Report1!AE18</f>
        <v>2.7233225545675017</v>
      </c>
      <c r="CD13" s="515">
        <f>+[6]Report1!AJ18</f>
        <v>0</v>
      </c>
      <c r="CE13" s="515">
        <f>+[6]Report1!AK18</f>
        <v>0</v>
      </c>
      <c r="CF13" s="515">
        <f>+[6]Report1!AP18</f>
        <v>938.93255734691513</v>
      </c>
      <c r="CG13" s="515">
        <f>+[6]Report1!AQ18</f>
        <v>1317.8449609269417</v>
      </c>
      <c r="CH13" s="515">
        <f>+[6]Report1!AV18</f>
        <v>0</v>
      </c>
      <c r="CI13" s="515">
        <f>+[6]Report1!AW18</f>
        <v>0</v>
      </c>
      <c r="CJ13" s="515"/>
      <c r="CK13" s="516"/>
    </row>
    <row r="14" spans="1:89" ht="12.75" customHeight="1">
      <c r="A14" s="568">
        <f t="shared" si="0"/>
        <v>45941</v>
      </c>
      <c r="B14" s="513">
        <f>+Report1!J19</f>
        <v>0.89387041756401464</v>
      </c>
      <c r="C14" s="514">
        <f>+Report1!K19</f>
        <v>0.8256257101164387</v>
      </c>
      <c r="D14" s="514">
        <f>+Report1!AJ19</f>
        <v>0.89387041756401464</v>
      </c>
      <c r="E14" s="514">
        <f>+Report1!AK19</f>
        <v>0.84719060678933611</v>
      </c>
      <c r="F14" s="511">
        <f>+Report1!R19</f>
        <v>49.890999999999998</v>
      </c>
      <c r="G14" s="511">
        <f>+Report1!S19</f>
        <v>626.01999999999987</v>
      </c>
      <c r="H14" s="511">
        <f>+Report1!X19</f>
        <v>2.4571165140005209</v>
      </c>
      <c r="I14" s="511">
        <f>+Report1!Y19</f>
        <v>2.3326203635666598</v>
      </c>
      <c r="J14" s="511">
        <f>+Report1!AD19</f>
        <v>1140.3415445671437</v>
      </c>
      <c r="K14" s="512">
        <f>+Report1!AE19</f>
        <v>935.48912175329701</v>
      </c>
      <c r="L14" s="513">
        <f>+[1]Report1!J19</f>
        <v>0.90271028045520296</v>
      </c>
      <c r="M14" s="514">
        <f>+[1]Report1!K19</f>
        <v>0.77990833074190624</v>
      </c>
      <c r="N14" s="514">
        <f>+[1]Report1!BJ19</f>
        <v>0.90271028045520296</v>
      </c>
      <c r="O14" s="514">
        <f>+[1]Report1!BK19</f>
        <v>0.8773938357591381</v>
      </c>
      <c r="P14" s="511">
        <f>+[1]Report1!R19</f>
        <v>60.802999999999997</v>
      </c>
      <c r="Q14" s="511">
        <f>+[1]Report1!S19</f>
        <v>554.21500000000003</v>
      </c>
      <c r="R14" s="511">
        <f>+[1]Report1!AL19</f>
        <v>2.2938177392562871</v>
      </c>
      <c r="S14" s="511">
        <f>+[1]Report1!AM19</f>
        <v>2.3708217929864763</v>
      </c>
      <c r="T14" s="511">
        <f>+[1]Report1!AR19</f>
        <v>0.18913540450306729</v>
      </c>
      <c r="U14" s="511">
        <f>+[1]Report1!AS19</f>
        <v>0.20948548848371115</v>
      </c>
      <c r="V14" s="511">
        <f>+[1]Report1!AX19</f>
        <v>583.7897801095296</v>
      </c>
      <c r="W14" s="511">
        <f>+[1]Report1!AY19</f>
        <v>619.06778055447739</v>
      </c>
      <c r="X14" s="511">
        <f>+[1]Report1!BD19</f>
        <v>472.20443070243249</v>
      </c>
      <c r="Y14" s="589">
        <f>+[1]Report1!BE19</f>
        <v>548.36513988253671</v>
      </c>
      <c r="Z14" s="513">
        <f>+[2]Report1!J19</f>
        <v>0.91753522389796827</v>
      </c>
      <c r="AA14" s="514">
        <f>+[2]Report1!K19</f>
        <v>0.8392586297168001</v>
      </c>
      <c r="AB14" s="514">
        <f>+[2]Report1!BC19</f>
        <v>0.91753522389796827</v>
      </c>
      <c r="AC14" s="514">
        <f>+[2]Report1!BD19</f>
        <v>0.87906946096754845</v>
      </c>
      <c r="AD14" s="511">
        <f>+[2]Report1!R19</f>
        <v>40.204999999999998</v>
      </c>
      <c r="AE14" s="511">
        <f>+[2]Report1!S19</f>
        <v>403.375</v>
      </c>
      <c r="AF14" s="511">
        <f>+[2]Report1!X19</f>
        <v>102.55969455379909</v>
      </c>
      <c r="AG14" s="511">
        <f>+[2]Report1!Y19</f>
        <v>113.34138981578219</v>
      </c>
      <c r="AH14" s="511">
        <f>+[2]Report1!AD19</f>
        <v>1.4699664220868052</v>
      </c>
      <c r="AI14" s="511">
        <f>+[2]Report1!AE19</f>
        <v>1.5625658506352649</v>
      </c>
      <c r="AJ14" s="511">
        <f>+[2]Report1!AJ19</f>
        <v>967.61049620694848</v>
      </c>
      <c r="AK14" s="589">
        <f>+[2]Report1!AK19</f>
        <v>1019.0837310195237</v>
      </c>
      <c r="AL14" s="600">
        <f>+[3]Report1!AP19</f>
        <v>0</v>
      </c>
      <c r="AM14" s="601">
        <f>+[3]Report1!AQ19</f>
        <v>0</v>
      </c>
      <c r="AN14" s="513">
        <f>+[4]Report1!J19</f>
        <v>0.86145438064165158</v>
      </c>
      <c r="AO14" s="514">
        <f>+[4]Report1!K19</f>
        <v>0.7613829543496774</v>
      </c>
      <c r="AP14" s="514">
        <f>+[4]Report1!BN19</f>
        <v>0.86145438064165158</v>
      </c>
      <c r="AQ14" s="514">
        <f>+[4]Report1!BO19</f>
        <v>0.76971273880408997</v>
      </c>
      <c r="AR14" s="511">
        <f>+[4]Report1!R19</f>
        <v>44.362000000000002</v>
      </c>
      <c r="AS14" s="511">
        <f>+[4]Report1!S19</f>
        <v>436.62200000000001</v>
      </c>
      <c r="AT14" s="515">
        <f>+[4]Report1!AF19</f>
        <v>122.18345207177428</v>
      </c>
      <c r="AU14" s="515">
        <f>+[4]Report1!AG19</f>
        <v>131.79547207728803</v>
      </c>
      <c r="AV14" s="511">
        <f>+[4]Report1!AL19</f>
        <v>1.4426761642847481</v>
      </c>
      <c r="AW14" s="511">
        <f>+[4]Report1!AM19</f>
        <v>1.5519144706405084</v>
      </c>
      <c r="AX14" s="511">
        <f>+[4]Report1!AR19</f>
        <v>0.1870970650556783</v>
      </c>
      <c r="AY14" s="511">
        <f>+[4]Report1!AS19</f>
        <v>0.16352817769145853</v>
      </c>
      <c r="AZ14" s="511">
        <f>+[4]Report1!AX19</f>
        <v>950.65100761913368</v>
      </c>
      <c r="BA14" s="511">
        <f>+[4]Report1!AY19</f>
        <v>989.92469458708001</v>
      </c>
      <c r="BB14" s="511">
        <f>+[4]Report1!BD19</f>
        <v>444.86844596726951</v>
      </c>
      <c r="BC14" s="589">
        <f>+[4]Report1!BE19</f>
        <v>402.53242850795431</v>
      </c>
      <c r="BD14" s="511">
        <f>+[4]Report1!BJ19</f>
        <v>2.6914927189942586</v>
      </c>
      <c r="BE14" s="511">
        <f>+[4]Report1!BK19</f>
        <v>2.6301927067349409</v>
      </c>
      <c r="BF14" s="513">
        <f>+[5]Report1!J19</f>
        <v>0.97475648960176264</v>
      </c>
      <c r="BG14" s="514">
        <f>+[5]Report1!K19</f>
        <v>0.83913282875750539</v>
      </c>
      <c r="BH14" s="514">
        <f>+[5]Report1!AN19</f>
        <v>0.97475648960176264</v>
      </c>
      <c r="BI14" s="514">
        <f>+[5]Report1!AO19</f>
        <v>0.85526940948150421</v>
      </c>
      <c r="BJ14" s="511">
        <f>+[5]Report1!R19</f>
        <v>53.558</v>
      </c>
      <c r="BK14" s="511">
        <f>+[5]Report1!S19</f>
        <v>488.55899999999997</v>
      </c>
      <c r="BL14" s="511">
        <f>+[5]Report1!AD19</f>
        <v>2.259232981067254</v>
      </c>
      <c r="BM14" s="511">
        <f>+[5]Report1!AE19</f>
        <v>2.6893374188173791</v>
      </c>
      <c r="BN14" s="515">
        <v>0</v>
      </c>
      <c r="BO14" s="515">
        <v>0</v>
      </c>
      <c r="BP14" s="515">
        <f>+[5]Report1!AJ19</f>
        <v>910.47406549908487</v>
      </c>
      <c r="BQ14" s="515">
        <f>+[5]Report1!AK19</f>
        <v>1104.540429303318</v>
      </c>
      <c r="BR14" s="515">
        <v>0</v>
      </c>
      <c r="BS14" s="516">
        <v>0</v>
      </c>
      <c r="BT14" s="513">
        <f>+[6]Report1!J19</f>
        <v>0.68754318232120826</v>
      </c>
      <c r="BU14" s="514">
        <f>+[6]Report1!K19</f>
        <v>0.16405009032838719</v>
      </c>
      <c r="BV14" s="514">
        <f>+[6]Report1!BA19</f>
        <v>0.68754318232120826</v>
      </c>
      <c r="BW14" s="514">
        <f>+[6]Report1!BB19</f>
        <v>0.6577508568407836</v>
      </c>
      <c r="BX14" s="511">
        <f>+[6]Report1!R19</f>
        <v>35.463999999999999</v>
      </c>
      <c r="BY14" s="511">
        <f>+[6]Report1!S19</f>
        <v>94.84</v>
      </c>
      <c r="BZ14" s="515">
        <f>+[6]Report1!X19</f>
        <v>116.09759699008728</v>
      </c>
      <c r="CA14" s="515">
        <f>+[6]Report1!Y19</f>
        <v>112.66463806125275</v>
      </c>
      <c r="CB14" s="511">
        <f>+[6]Report1!AD19</f>
        <v>2.7746447101285812</v>
      </c>
      <c r="CC14" s="511">
        <f>+[6]Report1!AE19</f>
        <v>2.7425137072964993</v>
      </c>
      <c r="CD14" s="515">
        <f>+[6]Report1!AJ19</f>
        <v>0</v>
      </c>
      <c r="CE14" s="515">
        <f>+[6]Report1!AK19</f>
        <v>0</v>
      </c>
      <c r="CF14" s="515">
        <f>+[6]Report1!AP19</f>
        <v>1129.8547823145291</v>
      </c>
      <c r="CG14" s="515">
        <f>+[6]Report1!AQ19</f>
        <v>1247.5488443694703</v>
      </c>
      <c r="CH14" s="515">
        <f>+[6]Report1!AV19</f>
        <v>0</v>
      </c>
      <c r="CI14" s="515">
        <f>+[6]Report1!AW19</f>
        <v>0</v>
      </c>
      <c r="CJ14" s="515"/>
      <c r="CK14" s="516"/>
    </row>
    <row r="15" spans="1:89" ht="12.75" customHeight="1">
      <c r="A15" s="568">
        <f t="shared" si="0"/>
        <v>45942</v>
      </c>
      <c r="B15" s="513">
        <f>+Report1!J20</f>
        <v>0.80351983008855832</v>
      </c>
      <c r="C15" s="514">
        <f>+Report1!K20</f>
        <v>0.82398318947921234</v>
      </c>
      <c r="D15" s="514">
        <f>+Report1!AJ20</f>
        <v>0.80351983008855832</v>
      </c>
      <c r="E15" s="514">
        <f>+Report1!AK20</f>
        <v>0.84386745766727733</v>
      </c>
      <c r="F15" s="511">
        <f>+Report1!R20</f>
        <v>48.902999999999999</v>
      </c>
      <c r="G15" s="511">
        <f>+Report1!S20</f>
        <v>674.92299999999989</v>
      </c>
      <c r="H15" s="511">
        <f>+Report1!X20</f>
        <v>2.5551193178332614</v>
      </c>
      <c r="I15" s="511">
        <f>+Report1!Y20</f>
        <v>2.3487420046434933</v>
      </c>
      <c r="J15" s="511">
        <f>+Report1!AD20</f>
        <v>1167.8440995439896</v>
      </c>
      <c r="K15" s="512">
        <f>+Report1!AE20</f>
        <v>952.32490224810635</v>
      </c>
      <c r="L15" s="513">
        <f>+[1]Report1!J20</f>
        <v>0.75947246589182571</v>
      </c>
      <c r="M15" s="514">
        <f>+[1]Report1!K20</f>
        <v>0.77813980472477973</v>
      </c>
      <c r="N15" s="514">
        <f>+[1]Report1!BJ20</f>
        <v>0.75947246589182571</v>
      </c>
      <c r="O15" s="514">
        <f>+[1]Report1!BK20</f>
        <v>0.86603616323194743</v>
      </c>
      <c r="P15" s="511">
        <f>+[1]Report1!R20</f>
        <v>51.13</v>
      </c>
      <c r="Q15" s="511">
        <f>+[1]Report1!S20</f>
        <v>605.34500000000003</v>
      </c>
      <c r="R15" s="511">
        <f>+[1]Report1!AL20</f>
        <v>2.4602777234500293</v>
      </c>
      <c r="S15" s="511">
        <f>+[1]Report1!AM20</f>
        <v>2.3783776193740764</v>
      </c>
      <c r="T15" s="511">
        <f>+[1]Report1!AR20</f>
        <v>0.19949149227459415</v>
      </c>
      <c r="U15" s="511">
        <f>+[1]Report1!AS20</f>
        <v>0.20864135327788283</v>
      </c>
      <c r="V15" s="511">
        <f>+[1]Report1!AX20</f>
        <v>658.86211617445122</v>
      </c>
      <c r="W15" s="511">
        <f>+[1]Report1!AY20</f>
        <v>622.42897851638224</v>
      </c>
      <c r="X15" s="511">
        <f>+[1]Report1!BD20</f>
        <v>555.87134754547219</v>
      </c>
      <c r="Y15" s="589">
        <f>+[1]Report1!BE20</f>
        <v>548.99914594157065</v>
      </c>
      <c r="Z15" s="513">
        <f>+[2]Report1!J20</f>
        <v>0.87740189909938582</v>
      </c>
      <c r="AA15" s="514">
        <f>+[2]Report1!K20</f>
        <v>0.84261756093813134</v>
      </c>
      <c r="AB15" s="514">
        <f>+[2]Report1!BC20</f>
        <v>0.87740189909938582</v>
      </c>
      <c r="AC15" s="514">
        <f>+[2]Report1!BD20</f>
        <v>0.87891628798864918</v>
      </c>
      <c r="AD15" s="511">
        <f>+[2]Report1!R20</f>
        <v>40.722000000000001</v>
      </c>
      <c r="AE15" s="511">
        <f>+[2]Report1!S20</f>
        <v>444.09699999999998</v>
      </c>
      <c r="AF15" s="511">
        <f>+[2]Report1!X20</f>
        <v>102.71236554443426</v>
      </c>
      <c r="AG15" s="511">
        <f>+[2]Report1!Y20</f>
        <v>112.36674885586166</v>
      </c>
      <c r="AH15" s="511">
        <f>+[2]Report1!AD20</f>
        <v>1.4832277393055351</v>
      </c>
      <c r="AI15" s="511">
        <f>+[2]Report1!AE20</f>
        <v>1.5552908486209094</v>
      </c>
      <c r="AJ15" s="511">
        <f>+[2]Report1!AJ20</f>
        <v>930.48180344775892</v>
      </c>
      <c r="AK15" s="589">
        <f>+[2]Report1!AK20</f>
        <v>1010.9592724112073</v>
      </c>
      <c r="AL15" s="600">
        <f>+[3]Report1!AP20</f>
        <v>0</v>
      </c>
      <c r="AM15" s="601">
        <f>+[3]Report1!AQ20</f>
        <v>0</v>
      </c>
      <c r="AN15" s="513">
        <f>+[4]Report1!J20</f>
        <v>0.83798892214390186</v>
      </c>
      <c r="AO15" s="514">
        <f>+[4]Report1!K20</f>
        <v>0.76770865847960823</v>
      </c>
      <c r="AP15" s="514">
        <f>+[4]Report1!BN20</f>
        <v>0.83798892214390186</v>
      </c>
      <c r="AQ15" s="514">
        <f>+[4]Report1!BO20</f>
        <v>0.77540715059851373</v>
      </c>
      <c r="AR15" s="511">
        <f>+[4]Report1!R20</f>
        <v>43.253</v>
      </c>
      <c r="AS15" s="511">
        <f>+[4]Report1!S20</f>
        <v>479.875</v>
      </c>
      <c r="AT15" s="515">
        <f>+[4]Report1!AF20</f>
        <v>121.73825402856171</v>
      </c>
      <c r="AU15" s="515">
        <f>+[4]Report1!AG20</f>
        <v>130.88897590169736</v>
      </c>
      <c r="AV15" s="511">
        <f>+[4]Report1!AL20</f>
        <v>1.5027859339236584</v>
      </c>
      <c r="AW15" s="511">
        <f>+[4]Report1!AM20</f>
        <v>1.5474863245636885</v>
      </c>
      <c r="AX15" s="511">
        <f>+[4]Report1!AR20</f>
        <v>0.20114211730978196</v>
      </c>
      <c r="AY15" s="511">
        <f>+[4]Report1!AS20</f>
        <v>0.16691846835113314</v>
      </c>
      <c r="AZ15" s="511">
        <f>+[4]Report1!AX20</f>
        <v>970.82468268097011</v>
      </c>
      <c r="BA15" s="511">
        <f>+[4]Report1!AY20</f>
        <v>988.20313623339416</v>
      </c>
      <c r="BB15" s="511">
        <f>+[4]Report1!BD20</f>
        <v>534.95937854021668</v>
      </c>
      <c r="BC15" s="589">
        <f>+[4]Report1!BE20</f>
        <v>414.46858452722068</v>
      </c>
      <c r="BD15" s="511">
        <f>+[4]Report1!BJ20</f>
        <v>2.8113656856166442</v>
      </c>
      <c r="BE15" s="511">
        <f>+[4]Report1!BK20</f>
        <v>2.6465225319093513</v>
      </c>
      <c r="BF15" s="513">
        <f>+[5]Report1!J20</f>
        <v>0.91862460150190139</v>
      </c>
      <c r="BG15" s="514">
        <f>+[5]Report1!K20</f>
        <v>0.84603596192248465</v>
      </c>
      <c r="BH15" s="514">
        <f>+[5]Report1!AN20</f>
        <v>0.91862460150190139</v>
      </c>
      <c r="BI15" s="514">
        <f>+[5]Report1!AO20</f>
        <v>0.86086767973304945</v>
      </c>
      <c r="BJ15" s="511">
        <f>+[5]Report1!R20</f>
        <v>50.863</v>
      </c>
      <c r="BK15" s="511">
        <f>+[5]Report1!S20</f>
        <v>539.42200000000003</v>
      </c>
      <c r="BL15" s="511">
        <f>+[5]Report1!AD20</f>
        <v>2.4084304897469675</v>
      </c>
      <c r="BM15" s="511">
        <f>+[5]Report1!AE20</f>
        <v>2.6628502359933406</v>
      </c>
      <c r="BN15" s="515">
        <v>0</v>
      </c>
      <c r="BO15" s="515">
        <v>0</v>
      </c>
      <c r="BP15" s="515">
        <f>+[5]Report1!AJ20</f>
        <v>982.53386548178696</v>
      </c>
      <c r="BQ15" s="515">
        <f>+[5]Report1!AK20</f>
        <v>1093.0362269243742</v>
      </c>
      <c r="BR15" s="515">
        <v>0</v>
      </c>
      <c r="BS15" s="516">
        <v>0</v>
      </c>
      <c r="BT15" s="513">
        <f>+[6]Report1!J20</f>
        <v>0.86841445826486119</v>
      </c>
      <c r="BU15" s="514">
        <f>+[6]Report1!K20</f>
        <v>0.2217134582497351</v>
      </c>
      <c r="BV15" s="514">
        <f>+[6]Report1!BA20</f>
        <v>0.86841445826486119</v>
      </c>
      <c r="BW15" s="514">
        <f>+[6]Report1!BB20</f>
        <v>0.71322999059258263</v>
      </c>
      <c r="BX15" s="511">
        <f>+[6]Report1!R20</f>
        <v>44.765000000000001</v>
      </c>
      <c r="BY15" s="511">
        <f>+[6]Report1!S20</f>
        <v>139.60500000000002</v>
      </c>
      <c r="BZ15" s="515">
        <f>+[6]Report1!X20</f>
        <v>80.058133559749095</v>
      </c>
      <c r="CA15" s="515">
        <f>+[6]Report1!Y20</f>
        <v>102.20920900061873</v>
      </c>
      <c r="CB15" s="511">
        <f>+[6]Report1!AD20</f>
        <v>2.0194348263152015</v>
      </c>
      <c r="CC15" s="511">
        <f>+[6]Report1!AE20</f>
        <v>2.510655062497761</v>
      </c>
      <c r="CD15" s="515">
        <f>+[6]Report1!AJ20</f>
        <v>0</v>
      </c>
      <c r="CE15" s="515">
        <f>+[6]Report1!AK20</f>
        <v>0</v>
      </c>
      <c r="CF15" s="515">
        <f>+[6]Report1!AP20</f>
        <v>830.70747235562874</v>
      </c>
      <c r="CG15" s="515">
        <f>+[6]Report1!AQ20</f>
        <v>1113.8866974678574</v>
      </c>
      <c r="CH15" s="515">
        <f>+[6]Report1!AV20</f>
        <v>0</v>
      </c>
      <c r="CI15" s="515">
        <f>+[6]Report1!AW20</f>
        <v>0</v>
      </c>
      <c r="CJ15" s="515"/>
      <c r="CK15" s="516"/>
    </row>
    <row r="16" spans="1:89" ht="12.75" customHeight="1">
      <c r="A16" s="568">
        <f t="shared" si="0"/>
        <v>45943</v>
      </c>
      <c r="B16" s="513">
        <f>+Report1!J21</f>
        <v>0.92987400806071141</v>
      </c>
      <c r="C16" s="514">
        <f>+Report1!K21</f>
        <v>0.83112327334542857</v>
      </c>
      <c r="D16" s="514">
        <f>+Report1!AJ21</f>
        <v>0.92987400806071141</v>
      </c>
      <c r="E16" s="514">
        <f>+Report1!AK21</f>
        <v>0.84979707029067475</v>
      </c>
      <c r="F16" s="511">
        <f>+Report1!R21</f>
        <v>55.070999999999998</v>
      </c>
      <c r="G16" s="511">
        <f>+Report1!S21</f>
        <v>729.99399999999991</v>
      </c>
      <c r="H16" s="511">
        <f>+Report1!X21</f>
        <v>2.1780428900873421</v>
      </c>
      <c r="I16" s="511">
        <f>+Report1!Y21</f>
        <v>2.3358644043649677</v>
      </c>
      <c r="J16" s="511">
        <f>+Report1!AD21</f>
        <v>963.35530496999252</v>
      </c>
      <c r="K16" s="512">
        <f>+Report1!AE21</f>
        <v>953.15703964690294</v>
      </c>
      <c r="L16" s="513">
        <f>+[1]Report1!J21</f>
        <v>0.81169826659739297</v>
      </c>
      <c r="M16" s="514">
        <f>+[1]Report1!K21</f>
        <v>0.78081265503044217</v>
      </c>
      <c r="N16" s="514">
        <f>+[1]Report1!BJ21</f>
        <v>0.81169826659739297</v>
      </c>
      <c r="O16" s="514">
        <f>+[1]Report1!BK21</f>
        <v>0.8612623652182807</v>
      </c>
      <c r="P16" s="511">
        <f>+[1]Report1!R21</f>
        <v>54.646000000000001</v>
      </c>
      <c r="Q16" s="511">
        <f>+[1]Report1!S21</f>
        <v>659.99099999999999</v>
      </c>
      <c r="R16" s="511">
        <f>+[1]Report1!AL21</f>
        <v>2.4825604801815322</v>
      </c>
      <c r="S16" s="511">
        <f>+[1]Report1!AM21</f>
        <v>2.3870037621725149</v>
      </c>
      <c r="T16" s="511">
        <f>+[1]Report1!AR21</f>
        <v>0.18665593090070634</v>
      </c>
      <c r="U16" s="511">
        <f>+[1]Report1!AS21</f>
        <v>0.2068210021045741</v>
      </c>
      <c r="V16" s="511">
        <f>+[1]Report1!AX21</f>
        <v>595.07393038833004</v>
      </c>
      <c r="W16" s="511">
        <f>+[1]Report1!AY21</f>
        <v>620.16403253983788</v>
      </c>
      <c r="X16" s="511">
        <f>+[1]Report1!BD21</f>
        <v>482.10848003513524</v>
      </c>
      <c r="Y16" s="589">
        <f>+[1]Report1!BE21</f>
        <v>543.46072597959676</v>
      </c>
      <c r="Z16" s="513">
        <f>+[2]Report1!J21</f>
        <v>0.85364740091566238</v>
      </c>
      <c r="AA16" s="514">
        <f>+[2]Report1!K21</f>
        <v>0.84350837338063034</v>
      </c>
      <c r="AB16" s="514">
        <f>+[2]Report1!BC21</f>
        <v>0.85364740091566238</v>
      </c>
      <c r="AC16" s="514">
        <f>+[2]Report1!BD21</f>
        <v>0.87679494049977957</v>
      </c>
      <c r="AD16" s="511">
        <f>+[2]Report1!R21</f>
        <v>39.529000000000003</v>
      </c>
      <c r="AE16" s="511">
        <f>+[2]Report1!S21</f>
        <v>483.62599999999998</v>
      </c>
      <c r="AF16" s="511">
        <f>+[2]Report1!X21</f>
        <v>107.56070984325689</v>
      </c>
      <c r="AG16" s="511">
        <f>+[2]Report1!Y21</f>
        <v>111.97392895757403</v>
      </c>
      <c r="AH16" s="511">
        <f>+[2]Report1!AD21</f>
        <v>1.5431708366009764</v>
      </c>
      <c r="AI16" s="511">
        <f>+[2]Report1!AE21</f>
        <v>1.5543002237265986</v>
      </c>
      <c r="AJ16" s="511">
        <f>+[2]Report1!AJ21</f>
        <v>950.76880265121815</v>
      </c>
      <c r="AK16" s="589">
        <f>+[2]Report1!AK21</f>
        <v>1006.0396256611515</v>
      </c>
      <c r="AL16" s="600">
        <f>+[3]Report1!AP21</f>
        <v>0</v>
      </c>
      <c r="AM16" s="601">
        <f>+[3]Report1!AQ21</f>
        <v>0</v>
      </c>
      <c r="AN16" s="513">
        <f>+[4]Report1!J21</f>
        <v>0.65129982659244623</v>
      </c>
      <c r="AO16" s="514">
        <f>+[4]Report1!K21</f>
        <v>0.7584916204685016</v>
      </c>
      <c r="AP16" s="514">
        <f>+[4]Report1!BN21</f>
        <v>0.65129982659244623</v>
      </c>
      <c r="AQ16" s="514">
        <f>+[4]Report1!BO21</f>
        <v>0.76548989438961834</v>
      </c>
      <c r="AR16" s="511">
        <f>+[4]Report1!R21</f>
        <v>35.006</v>
      </c>
      <c r="AS16" s="511">
        <f>+[4]Report1!S21</f>
        <v>514.88099999999997</v>
      </c>
      <c r="AT16" s="515">
        <f>+[4]Report1!AF21</f>
        <v>134.85413111011059</v>
      </c>
      <c r="AU16" s="515">
        <f>+[4]Report1!AG21</f>
        <v>131.1585609577117</v>
      </c>
      <c r="AV16" s="511">
        <f>+[4]Report1!AL21</f>
        <v>1.6025824144432383</v>
      </c>
      <c r="AW16" s="511">
        <f>+[4]Report1!AM21</f>
        <v>1.5512322264756324</v>
      </c>
      <c r="AX16" s="511">
        <f>+[4]Report1!AR21</f>
        <v>0.19710906701708281</v>
      </c>
      <c r="AY16" s="511">
        <f>+[4]Report1!AS21</f>
        <v>0.16897108263851263</v>
      </c>
      <c r="AZ16" s="511">
        <f>+[4]Report1!AX21</f>
        <v>935.63789064731645</v>
      </c>
      <c r="BA16" s="511">
        <f>+[4]Report1!AY21</f>
        <v>984.62930269324363</v>
      </c>
      <c r="BB16" s="511">
        <f>+[4]Report1!BD21</f>
        <v>496.2492144203851</v>
      </c>
      <c r="BC16" s="589">
        <f>+[4]Report1!BE21</f>
        <v>420.02872896844133</v>
      </c>
      <c r="BD16" s="511">
        <f>+[4]Report1!BJ21</f>
        <v>3.1423184596926239</v>
      </c>
      <c r="BE16" s="511">
        <f>+[4]Report1!BK21</f>
        <v>2.6802309659901997</v>
      </c>
      <c r="BF16" s="513">
        <f>+[5]Report1!J21</f>
        <v>0.88299529872078708</v>
      </c>
      <c r="BG16" s="514">
        <f>+[5]Report1!K21</f>
        <v>0.84889086658475921</v>
      </c>
      <c r="BH16" s="514">
        <f>+[5]Report1!AN21</f>
        <v>0.88299529872078708</v>
      </c>
      <c r="BI16" s="514">
        <f>+[5]Report1!AO21</f>
        <v>0.86260452847271474</v>
      </c>
      <c r="BJ16" s="511">
        <f>+[5]Report1!R21</f>
        <v>47.128</v>
      </c>
      <c r="BK16" s="511">
        <f>+[5]Report1!S21</f>
        <v>586.55000000000007</v>
      </c>
      <c r="BL16" s="511">
        <f>+[5]Report1!AD21</f>
        <v>2.595060261415719</v>
      </c>
      <c r="BM16" s="511">
        <f>+[5]Report1!AE21</f>
        <v>2.6574034609155222</v>
      </c>
      <c r="BN16" s="515">
        <v>0</v>
      </c>
      <c r="BO16" s="515">
        <v>0</v>
      </c>
      <c r="BP16" s="515">
        <f>+[5]Report1!AJ21</f>
        <v>947.30117976575184</v>
      </c>
      <c r="BQ16" s="515">
        <f>+[5]Report1!AK21</f>
        <v>1081.3267370215669</v>
      </c>
      <c r="BR16" s="515">
        <v>0</v>
      </c>
      <c r="BS16" s="516">
        <v>0</v>
      </c>
      <c r="BT16" s="513">
        <f>+[6]Report1!J21</f>
        <v>0.81946711240461079</v>
      </c>
      <c r="BU16" s="514">
        <f>+[6]Report1!K21</f>
        <v>0.26693727592403049</v>
      </c>
      <c r="BV16" s="514">
        <f>+[6]Report1!BA21</f>
        <v>0.81946711240461079</v>
      </c>
      <c r="BW16" s="514">
        <f>+[6]Report1!BB21</f>
        <v>0.73537211105124856</v>
      </c>
      <c r="BX16" s="511">
        <f>+[6]Report1!R21</f>
        <v>42.232999999999997</v>
      </c>
      <c r="BY16" s="511">
        <f>+[6]Report1!S21</f>
        <v>181.83800000000002</v>
      </c>
      <c r="BZ16" s="515">
        <f>+[6]Report1!X21</f>
        <v>93.920133236222071</v>
      </c>
      <c r="CA16" s="515">
        <f>+[6]Report1!Y21</f>
        <v>100.28401989406363</v>
      </c>
      <c r="CB16" s="511">
        <f>+[6]Report1!AD21</f>
        <v>2.2328510880117443</v>
      </c>
      <c r="CC16" s="511">
        <f>+[6]Report1!AE21</f>
        <v>2.4461333714625102</v>
      </c>
      <c r="CD16" s="515">
        <f>+[6]Report1!AJ21</f>
        <v>0</v>
      </c>
      <c r="CE16" s="515">
        <f>+[6]Report1!AK21</f>
        <v>0</v>
      </c>
      <c r="CF16" s="515">
        <f>+[6]Report1!AP21</f>
        <v>951.49314517083803</v>
      </c>
      <c r="CG16" s="515">
        <f>+[6]Report1!AQ21</f>
        <v>1076.1697906928159</v>
      </c>
      <c r="CH16" s="515">
        <f>+[6]Report1!AV21</f>
        <v>0</v>
      </c>
      <c r="CI16" s="515">
        <f>+[6]Report1!AW21</f>
        <v>0</v>
      </c>
      <c r="CJ16" s="515"/>
      <c r="CK16" s="516"/>
    </row>
    <row r="17" spans="1:89" ht="12.75" customHeight="1">
      <c r="A17" s="568">
        <f t="shared" si="0"/>
        <v>45944</v>
      </c>
      <c r="B17" s="513">
        <f>+Report1!J22</f>
        <v>1.0189127140142467</v>
      </c>
      <c r="C17" s="514">
        <f>+Report1!K22</f>
        <v>0.84304816694164642</v>
      </c>
      <c r="D17" s="514">
        <f>+Report1!AJ22</f>
        <v>1.0189127140142467</v>
      </c>
      <c r="E17" s="514">
        <f>+Report1!AK22</f>
        <v>0.86076179471901171</v>
      </c>
      <c r="F17" s="511">
        <f>+Report1!R22</f>
        <v>60.683</v>
      </c>
      <c r="G17" s="511">
        <f>+Report1!S22</f>
        <v>790.67699999999991</v>
      </c>
      <c r="H17" s="511">
        <f>+Report1!X22</f>
        <v>1.939933754099171</v>
      </c>
      <c r="I17" s="511">
        <f>+Report1!Y22</f>
        <v>2.305477457925297</v>
      </c>
      <c r="J17" s="511">
        <f>+Report1!AD22</f>
        <v>878.86887596193685</v>
      </c>
      <c r="K17" s="512">
        <f>+Report1!AE22</f>
        <v>947.45556023508891</v>
      </c>
      <c r="L17" s="513">
        <f>+[1]Report1!J22</f>
        <v>1.055614176867316</v>
      </c>
      <c r="M17" s="514">
        <f>+[1]Report1!K22</f>
        <v>0.80080352282001854</v>
      </c>
      <c r="N17" s="514">
        <f>+[1]Report1!BJ22</f>
        <v>1.055614176867316</v>
      </c>
      <c r="O17" s="514">
        <f>+[1]Report1!BK22</f>
        <v>0.87674150050881572</v>
      </c>
      <c r="P17" s="511">
        <f>+[1]Report1!R22</f>
        <v>70.001999999999995</v>
      </c>
      <c r="Q17" s="511">
        <f>+[1]Report1!S22</f>
        <v>729.99299999999994</v>
      </c>
      <c r="R17" s="511">
        <f>+[1]Report1!AL22</f>
        <v>2.0351275677837775</v>
      </c>
      <c r="S17" s="511">
        <f>+[1]Report1!AM22</f>
        <v>2.3532609216800715</v>
      </c>
      <c r="T17" s="511">
        <f>+[1]Report1!AR22</f>
        <v>0.23713608182623358</v>
      </c>
      <c r="U17" s="511">
        <f>+[1]Report1!AS22</f>
        <v>0.20972803848804028</v>
      </c>
      <c r="V17" s="511">
        <f>+[1]Report1!AX22</f>
        <v>482.06622667923557</v>
      </c>
      <c r="W17" s="511">
        <f>+[1]Report1!AY22</f>
        <v>606.92127184781225</v>
      </c>
      <c r="X17" s="511">
        <f>+[1]Report1!BD22</f>
        <v>547.41864518156581</v>
      </c>
      <c r="Y17" s="589">
        <f>+[1]Report1!BE22</f>
        <v>543.84026696146407</v>
      </c>
      <c r="Z17" s="513">
        <f>+[2]Report1!J22</f>
        <v>0.74835821284914428</v>
      </c>
      <c r="AA17" s="514">
        <f>+[2]Report1!K22</f>
        <v>0.83636387529272782</v>
      </c>
      <c r="AB17" s="514">
        <f>+[2]Report1!BC22</f>
        <v>0.74835821284914428</v>
      </c>
      <c r="AC17" s="514">
        <f>+[2]Report1!BD22</f>
        <v>0.86680011707468763</v>
      </c>
      <c r="AD17" s="511">
        <f>+[2]Report1!R22</f>
        <v>34.832999999999998</v>
      </c>
      <c r="AE17" s="511">
        <f>+[2]Report1!S22</f>
        <v>518.45899999999995</v>
      </c>
      <c r="AF17" s="511">
        <f>+[2]Report1!X22</f>
        <v>117.4128187457826</v>
      </c>
      <c r="AG17" s="511">
        <f>+[2]Report1!Y22</f>
        <v>112.33934425172973</v>
      </c>
      <c r="AH17" s="511">
        <f>+[2]Report1!AD22</f>
        <v>1.7138919989664974</v>
      </c>
      <c r="AI17" s="511">
        <f>+[2]Report1!AE22</f>
        <v>1.5650224993683204</v>
      </c>
      <c r="AJ17" s="511">
        <f>+[2]Report1!AJ22</f>
        <v>1070.0312921654754</v>
      </c>
      <c r="AK17" s="589">
        <f>+[2]Report1!AK22</f>
        <v>1010.3389467633895</v>
      </c>
      <c r="AL17" s="600">
        <f>+[3]Report1!AP22</f>
        <v>0</v>
      </c>
      <c r="AM17" s="601">
        <f>+[3]Report1!AQ22</f>
        <v>0</v>
      </c>
      <c r="AN17" s="513">
        <f>+[4]Report1!J22</f>
        <v>0.87682703784411364</v>
      </c>
      <c r="AO17" s="514">
        <f>+[4]Report1!K22</f>
        <v>0.7670764405273538</v>
      </c>
      <c r="AP17" s="514">
        <f>+[4]Report1!BN22</f>
        <v>0.87682703784411364</v>
      </c>
      <c r="AQ17" s="514">
        <f>+[4]Report1!BO22</f>
        <v>0.77363608558089947</v>
      </c>
      <c r="AR17" s="511">
        <f>+[4]Report1!R22</f>
        <v>46.558</v>
      </c>
      <c r="AS17" s="511">
        <f>+[4]Report1!S22</f>
        <v>561.43899999999996</v>
      </c>
      <c r="AT17" s="515">
        <f>+[4]Report1!AF22</f>
        <v>114.47302957648822</v>
      </c>
      <c r="AU17" s="515">
        <f>+[4]Report1!AG22</f>
        <v>129.77489332855342</v>
      </c>
      <c r="AV17" s="511">
        <f>+[4]Report1!AL22</f>
        <v>1.3402637570342368</v>
      </c>
      <c r="AW17" s="511">
        <f>+[4]Report1!AM22</f>
        <v>1.5337374140378564</v>
      </c>
      <c r="AX17" s="511">
        <f>+[4]Report1!AR22</f>
        <v>0.18471583830920571</v>
      </c>
      <c r="AY17" s="511">
        <f>+[4]Report1!AS22</f>
        <v>0.17027673531763918</v>
      </c>
      <c r="AZ17" s="511">
        <f>+[4]Report1!AX22</f>
        <v>865.20898664032188</v>
      </c>
      <c r="BA17" s="511">
        <f>+[4]Report1!AY22</f>
        <v>974.72623027612985</v>
      </c>
      <c r="BB17" s="511">
        <f>+[4]Report1!BD22</f>
        <v>481.54130332058901</v>
      </c>
      <c r="BC17" s="589">
        <f>+[4]Report1!BE22</f>
        <v>425.12973270471059</v>
      </c>
      <c r="BD17" s="511">
        <f>+[4]Report1!BJ22</f>
        <v>3.0070020189870701</v>
      </c>
      <c r="BE17" s="511">
        <f>+[4]Report1!BK22</f>
        <v>2.7073288460545135</v>
      </c>
      <c r="BF17" s="513">
        <f>+[5]Report1!J22</f>
        <v>0.78521739195970297</v>
      </c>
      <c r="BG17" s="514">
        <f>+[5]Report1!K22</f>
        <v>0.84429088868958402</v>
      </c>
      <c r="BH17" s="514">
        <f>+[5]Report1!AN22</f>
        <v>0.78521739195970297</v>
      </c>
      <c r="BI17" s="514">
        <f>+[5]Report1!AO22</f>
        <v>0.85693013710340848</v>
      </c>
      <c r="BJ17" s="511">
        <f>+[5]Report1!R22</f>
        <v>42.247999999999998</v>
      </c>
      <c r="BK17" s="511">
        <f>+[5]Report1!S22</f>
        <v>628.79800000000012</v>
      </c>
      <c r="BL17" s="511">
        <f>+[5]Report1!AD22</f>
        <v>3.0604999053209623</v>
      </c>
      <c r="BM17" s="511">
        <f>+[5]Report1!AE22</f>
        <v>2.6844869099456417</v>
      </c>
      <c r="BN17" s="515">
        <v>0</v>
      </c>
      <c r="BO17" s="515">
        <v>0</v>
      </c>
      <c r="BP17" s="515">
        <f>+[5]Report1!AJ22</f>
        <v>1034.5720507479562</v>
      </c>
      <c r="BQ17" s="515">
        <f>+[5]Report1!AK22</f>
        <v>1078.185359368191</v>
      </c>
      <c r="BR17" s="515">
        <v>0</v>
      </c>
      <c r="BS17" s="516">
        <v>0</v>
      </c>
      <c r="BT17" s="513">
        <f>+[6]Report1!J22</f>
        <v>0.75745989323230734</v>
      </c>
      <c r="BU17" s="514">
        <f>+[6]Report1!K22</f>
        <v>0.30178191955444045</v>
      </c>
      <c r="BV17" s="514">
        <f>+[6]Report1!BA22</f>
        <v>0.75745989323230734</v>
      </c>
      <c r="BW17" s="514">
        <f>+[6]Report1!BB22</f>
        <v>0.73921543427824876</v>
      </c>
      <c r="BX17" s="511">
        <f>+[6]Report1!R22</f>
        <v>39.456000000000003</v>
      </c>
      <c r="BY17" s="511">
        <f>+[6]Report1!S22</f>
        <v>221.29400000000004</v>
      </c>
      <c r="BZ17" s="515">
        <f>+[6]Report1!X22</f>
        <v>104.12925723859529</v>
      </c>
      <c r="CA17" s="515">
        <f>+[6]Report1!Y22</f>
        <v>100.96961319829168</v>
      </c>
      <c r="CB17" s="511">
        <f>+[6]Report1!AD22</f>
        <v>2.417883211678832</v>
      </c>
      <c r="CC17" s="511">
        <f>+[6]Report1!AE22</f>
        <v>2.4410964599130565</v>
      </c>
      <c r="CD17" s="515">
        <f>+[6]Report1!AJ22</f>
        <v>0</v>
      </c>
      <c r="CE17" s="515">
        <f>+[6]Report1!AK22</f>
        <v>0</v>
      </c>
      <c r="CF17" s="515">
        <f>+[6]Report1!AP22</f>
        <v>1067.736212489863</v>
      </c>
      <c r="CG17" s="515">
        <f>+[6]Report1!AQ22</f>
        <v>1074.6661111462593</v>
      </c>
      <c r="CH17" s="515">
        <f>+[6]Report1!AV22</f>
        <v>0</v>
      </c>
      <c r="CI17" s="515">
        <f>+[6]Report1!AW22</f>
        <v>0</v>
      </c>
      <c r="CJ17" s="515"/>
      <c r="CK17" s="516"/>
    </row>
    <row r="18" spans="1:89" ht="12.75" customHeight="1">
      <c r="A18" s="568">
        <f t="shared" si="0"/>
        <v>45945</v>
      </c>
      <c r="B18" s="513">
        <f>+Report1!J23</f>
        <v>0.9112013660383923</v>
      </c>
      <c r="C18" s="514">
        <f>+Report1!K23</f>
        <v>0.84721353314679637</v>
      </c>
      <c r="D18" s="514">
        <f>+Report1!AJ23</f>
        <v>0.9112013660383923</v>
      </c>
      <c r="E18" s="514">
        <f>+Report1!AK23</f>
        <v>0.86390528103462205</v>
      </c>
      <c r="F18" s="511">
        <f>+Report1!R23</f>
        <v>55.631</v>
      </c>
      <c r="G18" s="511">
        <f>+Report1!S23</f>
        <v>846.30799999999988</v>
      </c>
      <c r="H18" s="511">
        <f>+Report1!X23</f>
        <v>2.1223598353436031</v>
      </c>
      <c r="I18" s="511">
        <f>+Report1!Y23</f>
        <v>2.2934404495762775</v>
      </c>
      <c r="J18" s="511">
        <f>+Report1!AD23</f>
        <v>1023.6594704391748</v>
      </c>
      <c r="K18" s="512">
        <f>+Report1!AE23</f>
        <v>952.46472915298102</v>
      </c>
      <c r="L18" s="513">
        <f>+[1]Report1!J23</f>
        <v>0.89034242852245338</v>
      </c>
      <c r="M18" s="514">
        <f>+[1]Report1!K23</f>
        <v>0.80598669319466654</v>
      </c>
      <c r="N18" s="514">
        <f>+[1]Report1!BJ23</f>
        <v>0.89034242852245338</v>
      </c>
      <c r="O18" s="514">
        <f>+[1]Report1!BK23</f>
        <v>0.87759877594802538</v>
      </c>
      <c r="P18" s="511">
        <f>+[1]Report1!R23</f>
        <v>49.869</v>
      </c>
      <c r="Q18" s="511">
        <f>+[1]Report1!S23</f>
        <v>779.86199999999997</v>
      </c>
      <c r="R18" s="511">
        <f>+[1]Report1!AL23</f>
        <v>2.5088331428342259</v>
      </c>
      <c r="S18" s="511">
        <f>+[1]Report1!AM23</f>
        <v>2.3632091318720496</v>
      </c>
      <c r="T18" s="511">
        <f>+[1]Report1!AR23</f>
        <v>0.33688263249714251</v>
      </c>
      <c r="U18" s="511">
        <f>+[1]Report1!AS23</f>
        <v>0.21785905711523318</v>
      </c>
      <c r="V18" s="511">
        <f>+[1]Report1!AX23</f>
        <v>714.64837875234764</v>
      </c>
      <c r="W18" s="511">
        <f>+[1]Report1!AY23</f>
        <v>613.80998176600576</v>
      </c>
      <c r="X18" s="511">
        <f>+[1]Report1!BD23</f>
        <v>518.79925404559947</v>
      </c>
      <c r="Y18" s="589">
        <f>+[1]Report1!BE23</f>
        <v>542.2389961300845</v>
      </c>
      <c r="Z18" s="513">
        <f>+[2]Report1!J23</f>
        <v>0.77149255241027948</v>
      </c>
      <c r="AA18" s="514">
        <f>+[2]Report1!K23</f>
        <v>0.83197872851952948</v>
      </c>
      <c r="AB18" s="514">
        <f>+[2]Report1!BC23</f>
        <v>0.77149255241027948</v>
      </c>
      <c r="AC18" s="514">
        <f>+[2]Report1!BD23</f>
        <v>0.86013948546296204</v>
      </c>
      <c r="AD18" s="511">
        <f>+[2]Report1!R23</f>
        <v>34.671999999999997</v>
      </c>
      <c r="AE18" s="511">
        <f>+[2]Report1!S23</f>
        <v>553.13099999999997</v>
      </c>
      <c r="AF18" s="511">
        <f>+[2]Report1!X23</f>
        <v>103.40786054954407</v>
      </c>
      <c r="AG18" s="511">
        <f>+[2]Report1!Y23</f>
        <v>111.77949061322062</v>
      </c>
      <c r="AH18" s="511">
        <f>+[2]Report1!AD23</f>
        <v>1.6526303645592986</v>
      </c>
      <c r="AI18" s="511">
        <f>+[2]Report1!AE23</f>
        <v>1.5705140373618545</v>
      </c>
      <c r="AJ18" s="511">
        <f>+[2]Report1!AJ23</f>
        <v>1122.7272727272516</v>
      </c>
      <c r="AK18" s="589">
        <f>+[2]Report1!AK23</f>
        <v>1017.383802390391</v>
      </c>
      <c r="AL18" s="600">
        <f>+[3]Report1!AP23</f>
        <v>0</v>
      </c>
      <c r="AM18" s="601">
        <f>+[3]Report1!AQ23</f>
        <v>0</v>
      </c>
      <c r="AN18" s="513">
        <f>+[4]Report1!J23</f>
        <v>0.49950639028801003</v>
      </c>
      <c r="AO18" s="514">
        <f>+[4]Report1!K23</f>
        <v>0.7486610267583178</v>
      </c>
      <c r="AP18" s="514">
        <f>+[4]Report1!BN23</f>
        <v>0.49950639028801003</v>
      </c>
      <c r="AQ18" s="514">
        <f>+[4]Report1!BO23</f>
        <v>0.75461905920763817</v>
      </c>
      <c r="AR18" s="511">
        <f>+[4]Report1!R23</f>
        <v>27.021999999999998</v>
      </c>
      <c r="AS18" s="511">
        <f>+[4]Report1!S23</f>
        <v>588.46100000000001</v>
      </c>
      <c r="AT18" s="515">
        <f>+[4]Report1!AF23</f>
        <v>111.14337625539872</v>
      </c>
      <c r="AU18" s="515">
        <f>+[4]Report1!AG23</f>
        <v>128.91933815267805</v>
      </c>
      <c r="AV18" s="511">
        <f>+[4]Report1!AL23</f>
        <v>1.5357856561320407</v>
      </c>
      <c r="AW18" s="511">
        <f>+[4]Report1!AM23</f>
        <v>1.5338314688653965</v>
      </c>
      <c r="AX18" s="511">
        <f>+[4]Report1!AR23</f>
        <v>0.36636814447487237</v>
      </c>
      <c r="AY18" s="511">
        <f>+[4]Report1!AS23</f>
        <v>0.17928120979979983</v>
      </c>
      <c r="AZ18" s="511">
        <f>+[4]Report1!AX23</f>
        <v>1081.9776478424947</v>
      </c>
      <c r="BA18" s="511">
        <f>+[4]Report1!AY23</f>
        <v>979.65119183769184</v>
      </c>
      <c r="BB18" s="511">
        <f>+[4]Report1!BD23</f>
        <v>895.56657538302795</v>
      </c>
      <c r="BC18" s="589">
        <f>+[4]Report1!BE23</f>
        <v>446.73208929733693</v>
      </c>
      <c r="BD18" s="511">
        <f>+[4]Report1!BJ23</f>
        <v>2.5904818296203094</v>
      </c>
      <c r="BE18" s="511">
        <f>+[4]Report1!BK23</f>
        <v>2.7019632566984049</v>
      </c>
      <c r="BF18" s="513">
        <f>+[5]Report1!J23</f>
        <v>0.87302044167031734</v>
      </c>
      <c r="BG18" s="514">
        <f>+[5]Report1!K23</f>
        <v>0.84623166893951685</v>
      </c>
      <c r="BH18" s="514">
        <f>+[5]Report1!AN23</f>
        <v>0.87302044167031734</v>
      </c>
      <c r="BI18" s="514">
        <f>+[5]Report1!AO23</f>
        <v>0.8580322500335219</v>
      </c>
      <c r="BJ18" s="511">
        <f>+[5]Report1!R23</f>
        <v>47.104999999999997</v>
      </c>
      <c r="BK18" s="511">
        <f>+[5]Report1!S23</f>
        <v>675.90300000000013</v>
      </c>
      <c r="BL18" s="511">
        <f>+[5]Report1!AD23</f>
        <v>2.7767752892474262</v>
      </c>
      <c r="BM18" s="511">
        <f>+[5]Report1!AE23</f>
        <v>2.6909186673235648</v>
      </c>
      <c r="BN18" s="515">
        <v>0</v>
      </c>
      <c r="BO18" s="515">
        <v>0</v>
      </c>
      <c r="BP18" s="515">
        <f>+[5]Report1!AJ23</f>
        <v>939.19541449952305</v>
      </c>
      <c r="BQ18" s="515">
        <f>+[5]Report1!AK23</f>
        <v>1068.4988786852548</v>
      </c>
      <c r="BR18" s="515">
        <v>0</v>
      </c>
      <c r="BS18" s="516">
        <v>0</v>
      </c>
      <c r="BT18" s="513">
        <f>+[6]Report1!J23</f>
        <v>0.76448884990270061</v>
      </c>
      <c r="BU18" s="514">
        <f>+[6]Report1!K23</f>
        <v>0.33238779618664105</v>
      </c>
      <c r="BV18" s="514">
        <f>+[6]Report1!BA23</f>
        <v>0.76448884990270061</v>
      </c>
      <c r="BW18" s="514">
        <f>+[6]Report1!BB23</f>
        <v>0.74295205032030054</v>
      </c>
      <c r="BX18" s="511">
        <f>+[6]Report1!R23</f>
        <v>39.707000000000001</v>
      </c>
      <c r="BY18" s="511">
        <f>+[6]Report1!S23</f>
        <v>261.00100000000003</v>
      </c>
      <c r="BZ18" s="515">
        <f>+[6]Report1!X23</f>
        <v>98.70618142526061</v>
      </c>
      <c r="CA18" s="515">
        <f>+[6]Report1!Y23</f>
        <v>100.62526936278246</v>
      </c>
      <c r="CB18" s="511">
        <f>+[6]Report1!AD23</f>
        <v>2.3874883521797163</v>
      </c>
      <c r="CC18" s="511">
        <f>+[6]Report1!AE23</f>
        <v>2.4329408699583523</v>
      </c>
      <c r="CD18" s="515">
        <f>+[6]Report1!AJ23</f>
        <v>0</v>
      </c>
      <c r="CE18" s="515">
        <f>+[6]Report1!AK23</f>
        <v>0</v>
      </c>
      <c r="CF18" s="515">
        <f>+[6]Report1!AP23</f>
        <v>1051.4720326390757</v>
      </c>
      <c r="CG18" s="515">
        <f>+[6]Report1!AQ23</f>
        <v>1071.1375144156539</v>
      </c>
      <c r="CH18" s="515">
        <f>+[6]Report1!AV23</f>
        <v>0</v>
      </c>
      <c r="CI18" s="515">
        <f>+[6]Report1!AW23</f>
        <v>0</v>
      </c>
      <c r="CJ18" s="515"/>
      <c r="CK18" s="516"/>
    </row>
    <row r="19" spans="1:89" ht="12.75" customHeight="1">
      <c r="A19" s="568">
        <f t="shared" si="0"/>
        <v>45946</v>
      </c>
      <c r="B19" s="513">
        <f>+Report1!J24</f>
        <v>0.74194393845244266</v>
      </c>
      <c r="C19" s="514">
        <f>+Report1!K24</f>
        <v>0.84118275561384037</v>
      </c>
      <c r="D19" s="514">
        <f>+Report1!AJ24</f>
        <v>0.74194393845244266</v>
      </c>
      <c r="E19" s="514">
        <f>+Report1!AK24</f>
        <v>0.85678862647613074</v>
      </c>
      <c r="F19" s="511">
        <f>+Report1!R24</f>
        <v>45.04</v>
      </c>
      <c r="G19" s="511">
        <f>+Report1!S24</f>
        <v>891.34799999999984</v>
      </c>
      <c r="H19" s="511">
        <f>+Report1!X24</f>
        <v>2.6407415630550619</v>
      </c>
      <c r="I19" s="511">
        <f>+Report1!Y24</f>
        <v>2.3109896471411839</v>
      </c>
      <c r="J19" s="511">
        <f>+Report1!AD24</f>
        <v>1236.9094138543576</v>
      </c>
      <c r="K19" s="512">
        <f>+Report1!AE24</f>
        <v>966.83777828637221</v>
      </c>
      <c r="L19" s="513">
        <f>+[1]Report1!J24</f>
        <v>0.46310174493534839</v>
      </c>
      <c r="M19" s="514">
        <f>+[1]Report1!K24</f>
        <v>0.78819439093348731</v>
      </c>
      <c r="N19" s="514">
        <f>+[1]Report1!BJ24</f>
        <v>0.46310174493534839</v>
      </c>
      <c r="O19" s="514">
        <f>+[1]Report1!BK24</f>
        <v>0.85428698703684336</v>
      </c>
      <c r="P19" s="511">
        <f>+[1]Report1!R24</f>
        <v>24.524000000000001</v>
      </c>
      <c r="Q19" s="511">
        <f>+[1]Report1!S24</f>
        <v>804.38599999999997</v>
      </c>
      <c r="R19" s="511">
        <f>+[1]Report1!AL24</f>
        <v>5.2697357690425708</v>
      </c>
      <c r="S19" s="511">
        <f>+[1]Report1!AM24</f>
        <v>2.4518228810546185</v>
      </c>
      <c r="T19" s="511">
        <f>+[1]Report1!AR24</f>
        <v>0.55455879954330445</v>
      </c>
      <c r="U19" s="511">
        <f>+[1]Report1!AS24</f>
        <v>0.22812430847876514</v>
      </c>
      <c r="V19" s="511">
        <f>+[1]Report1!AX24</f>
        <v>1259.8107975859455</v>
      </c>
      <c r="W19" s="511">
        <f>+[1]Report1!AY24</f>
        <v>633.50515797141986</v>
      </c>
      <c r="X19" s="511">
        <f>+[1]Report1!BD24</f>
        <v>1005.0154950252814</v>
      </c>
      <c r="Y19" s="589">
        <f>+[1]Report1!BE24</f>
        <v>556.34805677871066</v>
      </c>
      <c r="Z19" s="513">
        <f>+[2]Report1!J24</f>
        <v>0.84942606328376835</v>
      </c>
      <c r="AA19" s="514">
        <f>+[2]Report1!K24</f>
        <v>0.83309034735560317</v>
      </c>
      <c r="AB19" s="514">
        <f>+[2]Report1!BC24</f>
        <v>0.84942606328376835</v>
      </c>
      <c r="AC19" s="514">
        <f>+[2]Report1!BD24</f>
        <v>0.85943531773638726</v>
      </c>
      <c r="AD19" s="511">
        <f>+[2]Report1!R24</f>
        <v>38.429000000000002</v>
      </c>
      <c r="AE19" s="511">
        <f>+[2]Report1!S24</f>
        <v>591.55999999999995</v>
      </c>
      <c r="AF19" s="511">
        <f>+[2]Report1!X24</f>
        <v>92.76214505899658</v>
      </c>
      <c r="AG19" s="511">
        <f>+[2]Report1!Y24</f>
        <v>110.54408326265047</v>
      </c>
      <c r="AH19" s="511">
        <f>+[2]Report1!AD24</f>
        <v>1.6289781154857008</v>
      </c>
      <c r="AI19" s="511">
        <f>+[2]Report1!AE24</f>
        <v>1.5743119886402057</v>
      </c>
      <c r="AJ19" s="511">
        <f>+[2]Report1!AJ24</f>
        <v>905.31629758777819</v>
      </c>
      <c r="AK19" s="589">
        <f>+[2]Report1!AK24</f>
        <v>1010.1036581242818</v>
      </c>
      <c r="AL19" s="600">
        <f>+[3]Report1!AP24</f>
        <v>0</v>
      </c>
      <c r="AM19" s="601">
        <f>+[3]Report1!AQ24</f>
        <v>0</v>
      </c>
      <c r="AN19" s="513">
        <f>+[4]Report1!J24</f>
        <v>0.64699367035031441</v>
      </c>
      <c r="AO19" s="514">
        <f>+[4]Report1!K24</f>
        <v>0.74200664432572949</v>
      </c>
      <c r="AP19" s="514">
        <f>+[4]Report1!BN24</f>
        <v>0.64699367035031441</v>
      </c>
      <c r="AQ19" s="514">
        <f>+[4]Report1!BO24</f>
        <v>0.74752234454745936</v>
      </c>
      <c r="AR19" s="511">
        <f>+[4]Report1!R24</f>
        <v>35.616999999999997</v>
      </c>
      <c r="AS19" s="511">
        <f>+[4]Report1!S24</f>
        <v>624.07799999999997</v>
      </c>
      <c r="AT19" s="515">
        <f>+[4]Report1!AF24</f>
        <v>114.70880255823872</v>
      </c>
      <c r="AU19" s="515">
        <f>+[4]Report1!AG24</f>
        <v>128.10832310925858</v>
      </c>
      <c r="AV19" s="511">
        <f>+[4]Report1!AL24</f>
        <v>1.6003593789482551</v>
      </c>
      <c r="AW19" s="511">
        <f>+[4]Report1!AM24</f>
        <v>1.5376283092818528</v>
      </c>
      <c r="AX19" s="511">
        <f>+[4]Report1!AR24</f>
        <v>0.22741949069264678</v>
      </c>
      <c r="AY19" s="511">
        <f>+[4]Report1!AS24</f>
        <v>0.18202852848522141</v>
      </c>
      <c r="AZ19" s="511">
        <f>+[4]Report1!AX24</f>
        <v>931.86961282533684</v>
      </c>
      <c r="BA19" s="511">
        <f>+[4]Report1!AY24</f>
        <v>976.92423062501814</v>
      </c>
      <c r="BB19" s="511">
        <f>+[4]Report1!BD24</f>
        <v>576.12937642137183</v>
      </c>
      <c r="BC19" s="589">
        <f>+[4]Report1!BE24</f>
        <v>454.11697255791773</v>
      </c>
      <c r="BD19" s="511">
        <f>+[4]Report1!BJ24</f>
        <v>2.8076480332425526</v>
      </c>
      <c r="BE19" s="511">
        <f>+[4]Report1!BK24</f>
        <v>2.707994833979086</v>
      </c>
      <c r="BF19" s="513">
        <f>+[5]Report1!J24</f>
        <v>0.95223504770126577</v>
      </c>
      <c r="BG19" s="514">
        <f>+[5]Report1!K24</f>
        <v>0.85300467534243063</v>
      </c>
      <c r="BH19" s="514">
        <f>+[5]Report1!AN24</f>
        <v>0.95223504770126577</v>
      </c>
      <c r="BI19" s="514">
        <f>+[5]Report1!AO24</f>
        <v>0.86412976863281843</v>
      </c>
      <c r="BJ19" s="511">
        <f>+[5]Report1!R24</f>
        <v>51.912999999999997</v>
      </c>
      <c r="BK19" s="511">
        <f>+[5]Report1!S24</f>
        <v>727.81600000000014</v>
      </c>
      <c r="BL19" s="511">
        <f>+[5]Report1!AD24</f>
        <v>2.5041897020014257</v>
      </c>
      <c r="BM19" s="511">
        <f>+[5]Report1!AE24</f>
        <v>2.6775998329248041</v>
      </c>
      <c r="BN19" s="515">
        <v>0</v>
      </c>
      <c r="BO19" s="515">
        <v>0</v>
      </c>
      <c r="BP19" s="515">
        <f>+[5]Report1!AJ24</f>
        <v>952.75942442162807</v>
      </c>
      <c r="BQ19" s="515">
        <f>+[5]Report1!AK24</f>
        <v>1060.2435197907159</v>
      </c>
      <c r="BR19" s="515">
        <v>0</v>
      </c>
      <c r="BS19" s="516">
        <v>0</v>
      </c>
      <c r="BT19" s="513">
        <f>+[6]Report1!J24</f>
        <v>0.83539903279744832</v>
      </c>
      <c r="BU19" s="514">
        <f>+[6]Report1!K24</f>
        <v>0.36398765963483876</v>
      </c>
      <c r="BV19" s="514">
        <f>+[6]Report1!BA24</f>
        <v>0.83539903279744832</v>
      </c>
      <c r="BW19" s="514">
        <f>+[6]Report1!BB24</f>
        <v>0.7549985174013798</v>
      </c>
      <c r="BX19" s="511">
        <f>+[6]Report1!R24</f>
        <v>43.972000000000001</v>
      </c>
      <c r="BY19" s="511">
        <f>+[6]Report1!S24</f>
        <v>304.97300000000001</v>
      </c>
      <c r="BZ19" s="515">
        <f>+[6]Report1!X24</f>
        <v>89.321843600723909</v>
      </c>
      <c r="CA19" s="515">
        <f>+[6]Report1!Y24</f>
        <v>98.995504637350251</v>
      </c>
      <c r="CB19" s="511">
        <f>+[6]Report1!AD24</f>
        <v>2.3151096152096788</v>
      </c>
      <c r="CC19" s="511">
        <f>+[6]Report1!AE24</f>
        <v>2.4159515760411576</v>
      </c>
      <c r="CD19" s="515">
        <f>+[6]Report1!AJ24</f>
        <v>0</v>
      </c>
      <c r="CE19" s="515">
        <f>+[6]Report1!AK24</f>
        <v>0</v>
      </c>
      <c r="CF19" s="515">
        <f>+[6]Report1!AP24</f>
        <v>956.53142909124028</v>
      </c>
      <c r="CG19" s="515">
        <f>+[6]Report1!AQ24</f>
        <v>1054.6132359258036</v>
      </c>
      <c r="CH19" s="515">
        <f>+[6]Report1!AV24</f>
        <v>0</v>
      </c>
      <c r="CI19" s="515">
        <f>+[6]Report1!AW24</f>
        <v>0</v>
      </c>
      <c r="CJ19" s="515"/>
      <c r="CK19" s="516"/>
    </row>
    <row r="20" spans="1:89" ht="12.75" customHeight="1">
      <c r="A20" s="568">
        <f t="shared" si="0"/>
        <v>45947</v>
      </c>
      <c r="B20" s="513">
        <f>+Report1!J25</f>
        <v>0.93396511391766379</v>
      </c>
      <c r="C20" s="514">
        <f>+Report1!K25</f>
        <v>0.84646521385609053</v>
      </c>
      <c r="D20" s="514">
        <f>+Report1!AJ25</f>
        <v>0.93396511391766379</v>
      </c>
      <c r="E20" s="514">
        <f>+Report1!AK25</f>
        <v>0.86125937789192686</v>
      </c>
      <c r="F20" s="511">
        <f>+Report1!R25</f>
        <v>59.747</v>
      </c>
      <c r="G20" s="511">
        <f>+Report1!S25</f>
        <v>951.0949999999998</v>
      </c>
      <c r="H20" s="511">
        <f>+Report1!X25</f>
        <v>2.0287211073359335</v>
      </c>
      <c r="I20" s="511">
        <f>+Report1!Y25</f>
        <v>2.2932577713057056</v>
      </c>
      <c r="J20" s="511">
        <f>+Report1!AD25</f>
        <v>959.35795939544596</v>
      </c>
      <c r="K20" s="512">
        <f>+Report1!AE25</f>
        <v>966.36790226002779</v>
      </c>
      <c r="L20" s="513">
        <f>+[1]Report1!J25</f>
        <v>0.81809221905780738</v>
      </c>
      <c r="M20" s="514">
        <f>+[1]Report1!K25</f>
        <v>0.78965831964460775</v>
      </c>
      <c r="N20" s="514">
        <f>+[1]Report1!BJ25</f>
        <v>0.81809221905780738</v>
      </c>
      <c r="O20" s="514">
        <f>+[1]Report1!BK25</f>
        <v>0.85237397786684244</v>
      </c>
      <c r="P20" s="511">
        <f>+[1]Report1!R25</f>
        <v>42.984999999999999</v>
      </c>
      <c r="Q20" s="511">
        <f>+[1]Report1!S25</f>
        <v>847.37099999999998</v>
      </c>
      <c r="R20" s="511">
        <f>+[1]Report1!AL25</f>
        <v>2.4458997324648135</v>
      </c>
      <c r="S20" s="511">
        <f>+[1]Report1!AM25</f>
        <v>2.4515224146212233</v>
      </c>
      <c r="T20" s="511">
        <f>+[1]Report1!AR25</f>
        <v>0.19774339886006748</v>
      </c>
      <c r="U20" s="511">
        <f>+[1]Report1!AS25</f>
        <v>0.22658316133075121</v>
      </c>
      <c r="V20" s="511">
        <f>+[1]Report1!AX25</f>
        <v>780.44527160640394</v>
      </c>
      <c r="W20" s="511">
        <f>+[1]Report1!AY25</f>
        <v>640.95906043515743</v>
      </c>
      <c r="X20" s="511">
        <f>+[1]Report1!BD25</f>
        <v>403.18715831103873</v>
      </c>
      <c r="Y20" s="589">
        <f>+[1]Report1!BE25</f>
        <v>548.57858954342305</v>
      </c>
      <c r="Z20" s="513">
        <f>+[2]Report1!J25</f>
        <v>0.86844313177403898</v>
      </c>
      <c r="AA20" s="514">
        <f>+[2]Report1!K25</f>
        <v>0.83503482959920494</v>
      </c>
      <c r="AB20" s="514">
        <f>+[2]Report1!BC25</f>
        <v>0.86844313177403898</v>
      </c>
      <c r="AC20" s="514">
        <f>+[2]Report1!BD25</f>
        <v>0.8599455479011644</v>
      </c>
      <c r="AD20" s="511">
        <f>+[2]Report1!R25</f>
        <v>35.892000000000003</v>
      </c>
      <c r="AE20" s="511">
        <f>+[2]Report1!S25</f>
        <v>627.452</v>
      </c>
      <c r="AF20" s="511">
        <f>+[2]Report1!X25</f>
        <v>92.78774098012525</v>
      </c>
      <c r="AG20" s="511">
        <f>+[2]Report1!Y25</f>
        <v>109.52837108513826</v>
      </c>
      <c r="AH20" s="511">
        <f>+[2]Report1!AD25</f>
        <v>1.6521787584977152</v>
      </c>
      <c r="AI20" s="511">
        <f>+[2]Report1!AE25</f>
        <v>1.5787661845049501</v>
      </c>
      <c r="AJ20" s="511">
        <f>+[2]Report1!AJ25</f>
        <v>1106.6187451242617</v>
      </c>
      <c r="AK20" s="589">
        <f>+[2]Report1!AK25</f>
        <v>1015.624589610042</v>
      </c>
      <c r="AL20" s="600">
        <f>+[3]Report1!AP25</f>
        <v>0</v>
      </c>
      <c r="AM20" s="601">
        <f>+[3]Report1!AQ25</f>
        <v>0</v>
      </c>
      <c r="AN20" s="513">
        <f>+[4]Report1!J25</f>
        <v>0.73755848014438041</v>
      </c>
      <c r="AO20" s="514">
        <f>+[4]Report1!K25</f>
        <v>0.74173332686755777</v>
      </c>
      <c r="AP20" s="514">
        <f>+[4]Report1!BN25</f>
        <v>0.73755848014438041</v>
      </c>
      <c r="AQ20" s="514">
        <f>+[4]Report1!BO25</f>
        <v>0.74690584545905725</v>
      </c>
      <c r="AR20" s="511">
        <f>+[4]Report1!R25</f>
        <v>40.612000000000002</v>
      </c>
      <c r="AS20" s="511">
        <f>+[4]Report1!S25</f>
        <v>664.68999999999994</v>
      </c>
      <c r="AT20" s="515">
        <f>+[4]Report1!AF25</f>
        <v>109.2805830117926</v>
      </c>
      <c r="AU20" s="515">
        <f>+[4]Report1!AG25</f>
        <v>126.95796402331132</v>
      </c>
      <c r="AV20" s="511">
        <f>+[4]Report1!AL25</f>
        <v>1.4773958435930266</v>
      </c>
      <c r="AW20" s="511">
        <f>+[4]Report1!AM25</f>
        <v>1.5339481562833803</v>
      </c>
      <c r="AX20" s="511">
        <f>+[4]Report1!AR25</f>
        <v>0.22160937653895399</v>
      </c>
      <c r="AY20" s="511">
        <f>+[4]Report1!AS25</f>
        <v>0.18444688501406672</v>
      </c>
      <c r="AZ20" s="511">
        <f>+[4]Report1!AX25</f>
        <v>955.35211267605746</v>
      </c>
      <c r="BA20" s="511">
        <f>+[4]Report1!AY25</f>
        <v>975.6061923603487</v>
      </c>
      <c r="BB20" s="511">
        <f>+[4]Report1!BD25</f>
        <v>547.12892741061762</v>
      </c>
      <c r="BC20" s="589">
        <f>+[4]Report1!BE25</f>
        <v>459.79992477696408</v>
      </c>
      <c r="BD20" s="511">
        <f>+[4]Report1!BJ25</f>
        <v>3.2010243277848911</v>
      </c>
      <c r="BE20" s="511">
        <f>+[4]Report1!BK25</f>
        <v>2.7381185214159989</v>
      </c>
      <c r="BF20" s="513">
        <f>+[5]Report1!J25</f>
        <v>0.89401389437451462</v>
      </c>
      <c r="BG20" s="514">
        <f>+[5]Report1!K25</f>
        <v>0.85537787286234113</v>
      </c>
      <c r="BH20" s="514">
        <f>+[5]Report1!AN25</f>
        <v>0.89401389437451462</v>
      </c>
      <c r="BI20" s="514">
        <f>+[5]Report1!AO25</f>
        <v>0.86588039246242343</v>
      </c>
      <c r="BJ20" s="511">
        <f>+[5]Report1!R25</f>
        <v>46.854999999999997</v>
      </c>
      <c r="BK20" s="511">
        <f>+[5]Report1!S25</f>
        <v>774.67100000000016</v>
      </c>
      <c r="BL20" s="511">
        <f>+[5]Report1!AD25</f>
        <v>2.7745171273076514</v>
      </c>
      <c r="BM20" s="511">
        <f>+[5]Report1!AE25</f>
        <v>2.6834617534411374</v>
      </c>
      <c r="BN20" s="515">
        <v>0</v>
      </c>
      <c r="BO20" s="515">
        <v>0</v>
      </c>
      <c r="BP20" s="515">
        <f>+[5]Report1!AJ25</f>
        <v>1083.9428022622949</v>
      </c>
      <c r="BQ20" s="515">
        <f>+[5]Report1!AK25</f>
        <v>1061.6769410498127</v>
      </c>
      <c r="BR20" s="515">
        <v>0</v>
      </c>
      <c r="BS20" s="516">
        <v>0</v>
      </c>
      <c r="BT20" s="513">
        <f>+[6]Report1!J25</f>
        <v>1.0551597752404343</v>
      </c>
      <c r="BU20" s="514">
        <f>+[6]Report1!K25</f>
        <v>0.40450480002206313</v>
      </c>
      <c r="BV20" s="514">
        <f>+[6]Report1!BA25</f>
        <v>1.0551597752404343</v>
      </c>
      <c r="BW20" s="514">
        <f>+[6]Report1!BB25</f>
        <v>0.78933409825383793</v>
      </c>
      <c r="BX20" s="511">
        <f>+[6]Report1!R25</f>
        <v>55.052999999999997</v>
      </c>
      <c r="BY20" s="511">
        <f>+[6]Report1!S25</f>
        <v>360.02600000000001</v>
      </c>
      <c r="BZ20" s="515">
        <f>+[6]Report1!X25</f>
        <v>75.246750648764362</v>
      </c>
      <c r="CA20" s="515">
        <f>+[6]Report1!Y25</f>
        <v>95.363988709796075</v>
      </c>
      <c r="CB20" s="511">
        <f>+[6]Report1!AD25</f>
        <v>1.8999872849799284</v>
      </c>
      <c r="CC20" s="511">
        <f>+[6]Report1!AE25</f>
        <v>2.3370534350296923</v>
      </c>
      <c r="CD20" s="515">
        <f>+[6]Report1!AJ25</f>
        <v>0</v>
      </c>
      <c r="CE20" s="515">
        <f>+[6]Report1!AK25</f>
        <v>0</v>
      </c>
      <c r="CF20" s="515">
        <f>+[6]Report1!AP25</f>
        <v>808.82313407080449</v>
      </c>
      <c r="CG20" s="515">
        <f>+[6]Report1!AQ25</f>
        <v>1017.0284990528464</v>
      </c>
      <c r="CH20" s="515">
        <f>+[6]Report1!AV25</f>
        <v>0</v>
      </c>
      <c r="CI20" s="515">
        <f>+[6]Report1!AW25</f>
        <v>0</v>
      </c>
      <c r="CJ20" s="515"/>
      <c r="CK20" s="516"/>
    </row>
    <row r="21" spans="1:89" ht="12.75" customHeight="1">
      <c r="A21" s="568">
        <f t="shared" si="0"/>
        <v>45948</v>
      </c>
      <c r="B21" s="513">
        <f>+Report1!J26</f>
        <v>0.87887573724610002</v>
      </c>
      <c r="C21" s="514">
        <f>+Report1!K26</f>
        <v>0.8481489295855662</v>
      </c>
      <c r="D21" s="514">
        <f>+Report1!AJ26</f>
        <v>0.87887573724610002</v>
      </c>
      <c r="E21" s="514">
        <f>+Report1!AK26</f>
        <v>0.86218969197114026</v>
      </c>
      <c r="F21" s="511">
        <f>+Report1!R26</f>
        <v>54.112000000000002</v>
      </c>
      <c r="G21" s="511">
        <f>+Report1!S26</f>
        <v>1005.2069999999998</v>
      </c>
      <c r="H21" s="511">
        <f>+Report1!X26</f>
        <v>2.1798492016558249</v>
      </c>
      <c r="I21" s="511">
        <f>+Report1!Y26</f>
        <v>2.2871527953943818</v>
      </c>
      <c r="J21" s="511">
        <f>+Report1!AD26</f>
        <v>1059.2471170904714</v>
      </c>
      <c r="K21" s="512">
        <f>+Report1!AE26</f>
        <v>971.36774813545935</v>
      </c>
      <c r="L21" s="513">
        <f>+[1]Report1!J26</f>
        <v>0.46954830222551791</v>
      </c>
      <c r="M21" s="514">
        <f>+[1]Report1!K26</f>
        <v>0.77475031092943591</v>
      </c>
      <c r="N21" s="514">
        <f>+[1]Report1!BJ26</f>
        <v>0.46954830222551791</v>
      </c>
      <c r="O21" s="514">
        <f>+[1]Report1!BK26</f>
        <v>0.83320014194286229</v>
      </c>
      <c r="P21" s="511">
        <f>+[1]Report1!R26</f>
        <v>24.611999999999998</v>
      </c>
      <c r="Q21" s="511">
        <f>+[1]Report1!S26</f>
        <v>871.98299999999995</v>
      </c>
      <c r="R21" s="511">
        <f>+[1]Report1!AL26</f>
        <v>3.2520315293352837</v>
      </c>
      <c r="S21" s="511">
        <f>+[1]Report1!AM26</f>
        <v>2.4741170412725948</v>
      </c>
      <c r="T21" s="511">
        <f>+[1]Report1!AR26</f>
        <v>0.45099951243295955</v>
      </c>
      <c r="U21" s="511">
        <f>+[1]Report1!AS26</f>
        <v>0.23291738485727356</v>
      </c>
      <c r="V21" s="511">
        <f>+[1]Report1!AX26</f>
        <v>855.11417194867101</v>
      </c>
      <c r="W21" s="511">
        <f>+[1]Report1!AY26</f>
        <v>647.00365718139051</v>
      </c>
      <c r="X21" s="511">
        <f>+[1]Report1!BD26</f>
        <v>703.11230294165455</v>
      </c>
      <c r="Y21" s="589">
        <f>+[1]Report1!BE26</f>
        <v>552.94035319495902</v>
      </c>
      <c r="Z21" s="513">
        <f>+[2]Report1!J26</f>
        <v>0.83094229705022715</v>
      </c>
      <c r="AA21" s="514">
        <f>+[2]Report1!K26</f>
        <v>0.83481596307228922</v>
      </c>
      <c r="AB21" s="514">
        <f>+[2]Report1!BC26</f>
        <v>0.83094229705022715</v>
      </c>
      <c r="AC21" s="514">
        <f>+[2]Report1!BD26</f>
        <v>0.85835074166619774</v>
      </c>
      <c r="AD21" s="511">
        <f>+[2]Report1!R26</f>
        <v>35.277999999999999</v>
      </c>
      <c r="AE21" s="511">
        <f>+[2]Report1!S26</f>
        <v>662.73</v>
      </c>
      <c r="AF21" s="511">
        <f>+[2]Report1!X26</f>
        <v>89.860944163747604</v>
      </c>
      <c r="AG21" s="511">
        <f>+[2]Report1!Y26</f>
        <v>108.48144777257836</v>
      </c>
      <c r="AH21" s="511">
        <f>+[2]Report1!AD26</f>
        <v>1.7149498270877035</v>
      </c>
      <c r="AI21" s="511">
        <f>+[2]Report1!AE26</f>
        <v>1.5860154210613673</v>
      </c>
      <c r="AJ21" s="511">
        <f>+[2]Report1!AJ26</f>
        <v>1057.2589149044629</v>
      </c>
      <c r="AK21" s="589">
        <f>+[2]Report1!AK26</f>
        <v>1017.8408401611512</v>
      </c>
      <c r="AL21" s="600">
        <f>+[3]Report1!AP26</f>
        <v>0</v>
      </c>
      <c r="AM21" s="601">
        <f>+[3]Report1!AQ26</f>
        <v>0</v>
      </c>
      <c r="AN21" s="513">
        <f>+[4]Report1!J26</f>
        <v>0.79962302060702928</v>
      </c>
      <c r="AO21" s="514">
        <f>+[4]Report1!K26</f>
        <v>0.74508771586096323</v>
      </c>
      <c r="AP21" s="514">
        <f>+[4]Report1!BN26</f>
        <v>0.79962302060702928</v>
      </c>
      <c r="AQ21" s="514">
        <f>+[4]Report1!BO26</f>
        <v>0.74998057495874293</v>
      </c>
      <c r="AR21" s="511">
        <f>+[4]Report1!R26</f>
        <v>44.075000000000003</v>
      </c>
      <c r="AS21" s="511">
        <f>+[4]Report1!S26</f>
        <v>708.76499999999999</v>
      </c>
      <c r="AT21" s="515">
        <f>+[4]Report1!AF26</f>
        <v>97.561036475996829</v>
      </c>
      <c r="AU21" s="515">
        <f>+[4]Report1!AG26</f>
        <v>125.129897482712</v>
      </c>
      <c r="AV21" s="511">
        <f>+[4]Report1!AL26</f>
        <v>1.3998865570051049</v>
      </c>
      <c r="AW21" s="511">
        <f>+[4]Report1!AM26</f>
        <v>1.5256114509040373</v>
      </c>
      <c r="AX21" s="511">
        <f>+[4]Report1!AR26</f>
        <v>0.21554169030062392</v>
      </c>
      <c r="AY21" s="511">
        <f>+[4]Report1!AS26</f>
        <v>0.18638053515622247</v>
      </c>
      <c r="AZ21" s="511">
        <f>+[4]Report1!AX26</f>
        <v>826.0460578559273</v>
      </c>
      <c r="BA21" s="511">
        <f>+[4]Report1!AY26</f>
        <v>966.30570076118329</v>
      </c>
      <c r="BB21" s="511">
        <f>+[4]Report1!BD26</f>
        <v>577.87861599545909</v>
      </c>
      <c r="BC21" s="589">
        <f>+[4]Report1!BE26</f>
        <v>467.1427229053354</v>
      </c>
      <c r="BD21" s="511">
        <f>+[4]Report1!BJ26</f>
        <v>2.949517867271696</v>
      </c>
      <c r="BE21" s="511">
        <f>+[4]Report1!BK26</f>
        <v>2.7512645235021482</v>
      </c>
      <c r="BF21" s="513">
        <f>+[5]Report1!J26</f>
        <v>0.87901943184681275</v>
      </c>
      <c r="BG21" s="514">
        <f>+[5]Report1!K26</f>
        <v>0.85663362666432008</v>
      </c>
      <c r="BH21" s="514">
        <f>+[5]Report1!AN26</f>
        <v>0.87901943184681275</v>
      </c>
      <c r="BI21" s="514">
        <f>+[5]Report1!AO26</f>
        <v>0.86658639905218848</v>
      </c>
      <c r="BJ21" s="511">
        <f>+[5]Report1!R26</f>
        <v>44.656999999999996</v>
      </c>
      <c r="BK21" s="511">
        <f>+[5]Report1!S26</f>
        <v>819.3280000000002</v>
      </c>
      <c r="BL21" s="511">
        <f>+[5]Report1!AD26</f>
        <v>2.837181181001859</v>
      </c>
      <c r="BM21" s="511">
        <f>+[5]Report1!AE26</f>
        <v>2.6918401421652853</v>
      </c>
      <c r="BN21" s="515">
        <v>0</v>
      </c>
      <c r="BO21" s="515">
        <v>0</v>
      </c>
      <c r="BP21" s="515">
        <f>+[5]Report1!AJ26</f>
        <v>1173.2084555612741</v>
      </c>
      <c r="BQ21" s="515">
        <f>+[5]Report1!AK26</f>
        <v>1067.7559019098569</v>
      </c>
      <c r="BR21" s="515">
        <v>0</v>
      </c>
      <c r="BS21" s="516">
        <v>0</v>
      </c>
      <c r="BT21" s="513">
        <f>+[6]Report1!J26</f>
        <v>0.92884415584716962</v>
      </c>
      <c r="BU21" s="514">
        <f>+[6]Report1!K26</f>
        <v>0.43329510068281685</v>
      </c>
      <c r="BV21" s="514">
        <f>+[6]Report1!BA26</f>
        <v>0.92884415584716962</v>
      </c>
      <c r="BW21" s="514">
        <f>+[6]Report1!BB26</f>
        <v>0.8035398061272897</v>
      </c>
      <c r="BX21" s="511">
        <f>+[6]Report1!R26</f>
        <v>48.03</v>
      </c>
      <c r="BY21" s="511">
        <f>+[6]Report1!S26</f>
        <v>408.05600000000004</v>
      </c>
      <c r="BZ21" s="515">
        <f>+[6]Report1!X26</f>
        <v>80.822047243634216</v>
      </c>
      <c r="CA21" s="515">
        <f>+[6]Report1!Y26</f>
        <v>93.652337738802501</v>
      </c>
      <c r="CB21" s="511">
        <f>+[6]Report1!AD26</f>
        <v>2.1403289610660003</v>
      </c>
      <c r="CC21" s="511">
        <f>+[6]Report1!AE26</f>
        <v>2.3138980924186874</v>
      </c>
      <c r="CD21" s="515">
        <f>+[6]Report1!AJ26</f>
        <v>0</v>
      </c>
      <c r="CE21" s="515">
        <f>+[6]Report1!AK26</f>
        <v>0</v>
      </c>
      <c r="CF21" s="515">
        <f>+[6]Report1!AP26</f>
        <v>972.14178638351359</v>
      </c>
      <c r="CG21" s="515">
        <f>+[6]Report1!AQ26</f>
        <v>1011.745134001216</v>
      </c>
      <c r="CH21" s="515">
        <f>+[6]Report1!AV26</f>
        <v>0</v>
      </c>
      <c r="CI21" s="515">
        <f>+[6]Report1!AW26</f>
        <v>0</v>
      </c>
      <c r="CJ21" s="515"/>
      <c r="CK21" s="516"/>
    </row>
    <row r="22" spans="1:89" ht="12.75" customHeight="1">
      <c r="A22" s="568">
        <f t="shared" si="0"/>
        <v>45949</v>
      </c>
      <c r="B22" s="513">
        <f>+Report1!J27</f>
        <v>0.88803708994347652</v>
      </c>
      <c r="C22" s="514">
        <f>+Report1!K27</f>
        <v>0.85009310185886</v>
      </c>
      <c r="D22" s="514">
        <f>+Report1!AJ27</f>
        <v>0.88803708994347652</v>
      </c>
      <c r="E22" s="514">
        <f>+Report1!AK27</f>
        <v>0.86346933251938585</v>
      </c>
      <c r="F22" s="511">
        <f>+Report1!R27</f>
        <v>53.927</v>
      </c>
      <c r="G22" s="511">
        <f>+Report1!S27</f>
        <v>1059.1339999999998</v>
      </c>
      <c r="H22" s="511">
        <f>+Report1!X27</f>
        <v>2.1540972054814844</v>
      </c>
      <c r="I22" s="511">
        <f>+Report1!Y27</f>
        <v>2.2803781202378555</v>
      </c>
      <c r="J22" s="511">
        <f>+Report1!AD27</f>
        <v>1111.6246036308212</v>
      </c>
      <c r="K22" s="512">
        <f>+Report1!AE27</f>
        <v>978.50908383641729</v>
      </c>
      <c r="L22" s="513">
        <f>+[1]Report1!J27</f>
        <v>0.93570071635595453</v>
      </c>
      <c r="M22" s="514">
        <f>+[1]Report1!K27</f>
        <v>0.78191246299180694</v>
      </c>
      <c r="N22" s="514">
        <f>+[1]Report1!BJ27</f>
        <v>0.93570071635595453</v>
      </c>
      <c r="O22" s="514">
        <f>+[1]Report1!BK27</f>
        <v>0.83808902647970596</v>
      </c>
      <c r="P22" s="511">
        <f>+[1]Report1!R27</f>
        <v>49.045999999999999</v>
      </c>
      <c r="Q22" s="511">
        <f>+[1]Report1!S27</f>
        <v>921.029</v>
      </c>
      <c r="R22" s="511">
        <f>+[1]Report1!AL27</f>
        <v>2.4711495330913835</v>
      </c>
      <c r="S22" s="511">
        <f>+[1]Report1!AM27</f>
        <v>2.4739590175770805</v>
      </c>
      <c r="T22" s="511">
        <f>+[1]Report1!AR27</f>
        <v>0.24466827060310728</v>
      </c>
      <c r="U22" s="511">
        <f>+[1]Report1!AS27</f>
        <v>0.23354313490671844</v>
      </c>
      <c r="V22" s="511">
        <f>+[1]Report1!AX27</f>
        <v>764.68152346774866</v>
      </c>
      <c r="W22" s="511">
        <f>+[1]Report1!AY27</f>
        <v>653.27015761718656</v>
      </c>
      <c r="X22" s="511">
        <f>+[1]Report1!BD27</f>
        <v>393.36541206214577</v>
      </c>
      <c r="Y22" s="589">
        <f>+[1]Report1!BE27</f>
        <v>544.44277867472147</v>
      </c>
      <c r="Z22" s="513">
        <f>+[2]Report1!J27</f>
        <v>6.5665038564767561E-2</v>
      </c>
      <c r="AA22" s="514">
        <f>+[2]Report1!K27</f>
        <v>0.79532967621636808</v>
      </c>
      <c r="AB22" s="514">
        <f>+[2]Report1!BC27</f>
        <v>3.6368329051255883</v>
      </c>
      <c r="AC22" s="514">
        <f>+[2]Report1!BD27</f>
        <v>0.86113929798363087</v>
      </c>
      <c r="AD22" s="511">
        <f>+[2]Report1!R27</f>
        <v>2.8210000000000002</v>
      </c>
      <c r="AE22" s="511">
        <f>+[2]Report1!S27</f>
        <v>665.55100000000004</v>
      </c>
      <c r="AF22" s="511">
        <f>+[2]Report1!X27</f>
        <v>0</v>
      </c>
      <c r="AG22" s="511">
        <f>+[2]Report1!Y27</f>
        <v>108.02163903640871</v>
      </c>
      <c r="AH22" s="511">
        <f>+[2]Report1!AD27</f>
        <v>5.9198865650478547</v>
      </c>
      <c r="AI22" s="511">
        <f>+[2]Report1!AE27</f>
        <v>1.6043849381940676</v>
      </c>
      <c r="AJ22" s="511">
        <f>+[2]Report1!AJ27</f>
        <v>2894.9237858917859</v>
      </c>
      <c r="AK22" s="589">
        <f>+[2]Report1!AK27</f>
        <v>1025.7970313319347</v>
      </c>
      <c r="AL22" s="600">
        <f>+[3]Report1!AP27</f>
        <v>0</v>
      </c>
      <c r="AM22" s="601">
        <f>+[3]Report1!AQ27</f>
        <v>0</v>
      </c>
      <c r="AN22" s="513">
        <f>+[4]Report1!J27</f>
        <v>0.87991102737070404</v>
      </c>
      <c r="AO22" s="514">
        <f>+[4]Report1!K27</f>
        <v>0.75245188354108128</v>
      </c>
      <c r="AP22" s="514">
        <f>+[4]Report1!BN27</f>
        <v>0.87991102737070404</v>
      </c>
      <c r="AQ22" s="514">
        <f>+[4]Report1!BO27</f>
        <v>0.75712153320566267</v>
      </c>
      <c r="AR22" s="511">
        <f>+[4]Report1!R27</f>
        <v>48.36</v>
      </c>
      <c r="AS22" s="511">
        <f>+[4]Report1!S27</f>
        <v>757.125</v>
      </c>
      <c r="AT22" s="515">
        <f>+[4]Report1!AF27</f>
        <v>113.2691803261843</v>
      </c>
      <c r="AU22" s="515">
        <f>+[4]Report1!AG27</f>
        <v>124.37231546958381</v>
      </c>
      <c r="AV22" s="511">
        <f>+[4]Report1!AL27</f>
        <v>1.317204301075269</v>
      </c>
      <c r="AW22" s="511">
        <f>+[4]Report1!AM27</f>
        <v>1.5122998183919432</v>
      </c>
      <c r="AX22" s="511">
        <f>+[4]Report1!AR27</f>
        <v>0.17783291976840362</v>
      </c>
      <c r="AY22" s="511">
        <f>+[4]Report1!AS27</f>
        <v>0.18583457157008423</v>
      </c>
      <c r="AZ22" s="511">
        <f>+[4]Report1!AX27</f>
        <v>747.86145574855345</v>
      </c>
      <c r="BA22" s="511">
        <f>+[4]Report1!AY27</f>
        <v>952.35296681525517</v>
      </c>
      <c r="BB22" s="511">
        <f>+[4]Report1!BD27</f>
        <v>480.76923076923265</v>
      </c>
      <c r="BC22" s="589">
        <f>+[4]Report1!BE27</f>
        <v>468.01309162951981</v>
      </c>
      <c r="BD22" s="511">
        <f>+[4]Report1!BJ27</f>
        <v>2.688172043010753</v>
      </c>
      <c r="BE22" s="511">
        <f>+[4]Report1!BK27</f>
        <v>2.7472346045897309</v>
      </c>
      <c r="BF22" s="513">
        <f>+[5]Report1!J27</f>
        <v>0.9208868732678257</v>
      </c>
      <c r="BG22" s="514">
        <f>+[5]Report1!K27</f>
        <v>0.85987438840450869</v>
      </c>
      <c r="BH22" s="514">
        <f>+[5]Report1!AN27</f>
        <v>0.9208868732678257</v>
      </c>
      <c r="BI22" s="514">
        <f>+[5]Report1!AO27</f>
        <v>0.86935536729506502</v>
      </c>
      <c r="BJ22" s="511">
        <f>+[5]Report1!R27</f>
        <v>46.783999999999999</v>
      </c>
      <c r="BK22" s="511">
        <f>+[5]Report1!S27</f>
        <v>866.11200000000019</v>
      </c>
      <c r="BL22" s="511">
        <f>+[5]Report1!AD27</f>
        <v>2.7466655266757867</v>
      </c>
      <c r="BM22" s="511">
        <f>+[5]Report1!AE27</f>
        <v>2.6948015960984248</v>
      </c>
      <c r="BN22" s="515">
        <v>0</v>
      </c>
      <c r="BO22" s="515">
        <v>0</v>
      </c>
      <c r="BP22" s="515">
        <f>+[5]Report1!AJ27</f>
        <v>1160.7573101915339</v>
      </c>
      <c r="BQ22" s="515">
        <f>+[5]Report1!AK27</f>
        <v>1072.7794760954703</v>
      </c>
      <c r="BR22" s="515">
        <v>0</v>
      </c>
      <c r="BS22" s="516">
        <v>0</v>
      </c>
      <c r="BT22" s="513">
        <f>+[6]Report1!J27</f>
        <v>0.86881282319173403</v>
      </c>
      <c r="BU22" s="514">
        <f>+[6]Report1!K27</f>
        <v>0.45631364018158782</v>
      </c>
      <c r="BV22" s="514">
        <f>+[6]Report1!BA27</f>
        <v>0.86881282319173403</v>
      </c>
      <c r="BW22" s="514">
        <f>+[6]Report1!BB27</f>
        <v>0.80966113142886742</v>
      </c>
      <c r="BX22" s="511">
        <f>+[6]Report1!R27</f>
        <v>45.658000000000001</v>
      </c>
      <c r="BY22" s="511">
        <f>+[6]Report1!S27</f>
        <v>453.71400000000006</v>
      </c>
      <c r="BZ22" s="515">
        <f>+[6]Report1!X27</f>
        <v>104.19428006977368</v>
      </c>
      <c r="CA22" s="515">
        <f>+[6]Report1!Y27</f>
        <v>94.713191058178765</v>
      </c>
      <c r="CB22" s="511">
        <f>+[6]Report1!AD27</f>
        <v>2.2537123833720267</v>
      </c>
      <c r="CC22" s="511">
        <f>+[6]Report1!AE27</f>
        <v>2.3078415036785285</v>
      </c>
      <c r="CD22" s="515">
        <f>+[6]Report1!AJ27</f>
        <v>0</v>
      </c>
      <c r="CE22" s="515">
        <f>+[6]Report1!AK27</f>
        <v>0</v>
      </c>
      <c r="CF22" s="515">
        <f>+[6]Report1!AP27</f>
        <v>863.48219370099264</v>
      </c>
      <c r="CG22" s="515">
        <f>+[6]Report1!AQ27</f>
        <v>996.82518591006703</v>
      </c>
      <c r="CH22" s="515">
        <f>+[6]Report1!AV27</f>
        <v>0</v>
      </c>
      <c r="CI22" s="515">
        <f>+[6]Report1!AW27</f>
        <v>0</v>
      </c>
      <c r="CJ22" s="515"/>
      <c r="CK22" s="516"/>
    </row>
    <row r="23" spans="1:89" ht="12.75" customHeight="1">
      <c r="A23" s="568">
        <f t="shared" si="0"/>
        <v>45950</v>
      </c>
      <c r="B23" s="513">
        <f>+Report1!J28</f>
        <v>0.91003752668508053</v>
      </c>
      <c r="C23" s="514">
        <f>+Report1!K28</f>
        <v>0.85287903994443404</v>
      </c>
      <c r="D23" s="514">
        <f>+Report1!AJ28</f>
        <v>0.91003752668508053</v>
      </c>
      <c r="E23" s="514">
        <f>+Report1!AK28</f>
        <v>0.86566605404753139</v>
      </c>
      <c r="F23" s="511">
        <f>+Report1!R28</f>
        <v>55.262999999999998</v>
      </c>
      <c r="G23" s="511">
        <f>+Report1!S28</f>
        <v>1114.3969999999997</v>
      </c>
      <c r="H23" s="511">
        <f>+Report1!X28</f>
        <v>2.1257984546622515</v>
      </c>
      <c r="I23" s="511">
        <f>+Report1!Y28</f>
        <v>2.2727125073021561</v>
      </c>
      <c r="J23" s="511">
        <f>+Report1!AD28</f>
        <v>1027.7259649313155</v>
      </c>
      <c r="K23" s="512">
        <f>+Report1!AE28</f>
        <v>980.94975130047851</v>
      </c>
      <c r="L23" s="513">
        <f>+[1]Report1!J28</f>
        <v>0.94678504772248417</v>
      </c>
      <c r="M23" s="514">
        <f>+[1]Report1!K28</f>
        <v>0.78893658147763324</v>
      </c>
      <c r="N23" s="514">
        <f>+[1]Report1!BJ28</f>
        <v>0.94678504772248417</v>
      </c>
      <c r="O23" s="514">
        <f>+[1]Report1!BK28</f>
        <v>0.84303739201452055</v>
      </c>
      <c r="P23" s="511">
        <f>+[1]Report1!R28</f>
        <v>49.627000000000002</v>
      </c>
      <c r="Q23" s="511">
        <f>+[1]Report1!S28</f>
        <v>970.65599999999995</v>
      </c>
      <c r="R23" s="511">
        <f>+[1]Report1!AL28</f>
        <v>2.4346222822254013</v>
      </c>
      <c r="S23" s="511">
        <f>+[1]Report1!AM28</f>
        <v>2.4719478373388726</v>
      </c>
      <c r="T23" s="511">
        <f>+[1]Report1!AR28</f>
        <v>0.29016462812581861</v>
      </c>
      <c r="U23" s="511">
        <f>+[1]Report1!AS28</f>
        <v>0.23643803778063494</v>
      </c>
      <c r="V23" s="511">
        <f>+[1]Report1!AX28</f>
        <v>710.17248675114706</v>
      </c>
      <c r="W23" s="511">
        <f>+[1]Report1!AY28</f>
        <v>656.17941886723906</v>
      </c>
      <c r="X23" s="511">
        <f>+[1]Report1!BD28</f>
        <v>461.38190904144921</v>
      </c>
      <c r="Y23" s="589">
        <f>+[1]Report1!BE28</f>
        <v>540.19610242969702</v>
      </c>
      <c r="Z23" s="513">
        <f>+[2]Report1!J28</f>
        <v>0</v>
      </c>
      <c r="AA23" s="514">
        <f>+[2]Report1!K28</f>
        <v>0.75649320505378692</v>
      </c>
      <c r="AB23" s="514" t="e">
        <f>+[2]Report1!BC28</f>
        <v>#DIV/0!</v>
      </c>
      <c r="AC23" s="514">
        <f>+[2]Report1!BD28</f>
        <v>0.86113929798363087</v>
      </c>
      <c r="AD23" s="511">
        <f>+[2]Report1!R28</f>
        <v>0</v>
      </c>
      <c r="AE23" s="511">
        <f>+[2]Report1!S28</f>
        <v>665.55100000000004</v>
      </c>
      <c r="AF23" s="511">
        <f>+[2]Report1!X28</f>
        <v>0</v>
      </c>
      <c r="AG23" s="511">
        <f>+[2]Report1!Y28</f>
        <v>108.02163903640871</v>
      </c>
      <c r="AH23" s="511">
        <f>+[2]Report1!AD28</f>
        <v>0</v>
      </c>
      <c r="AI23" s="511">
        <f>+[2]Report1!AE28</f>
        <v>1.6557709326557994</v>
      </c>
      <c r="AJ23" s="511">
        <f>+[2]Report1!AJ28</f>
        <v>0</v>
      </c>
      <c r="AK23" s="589">
        <f>+[2]Report1!AK28</f>
        <v>1033.3174467471304</v>
      </c>
      <c r="AL23" s="600">
        <f>+[3]Report1!AP28</f>
        <v>0</v>
      </c>
      <c r="AM23" s="601">
        <f>+[3]Report1!AQ28</f>
        <v>0</v>
      </c>
      <c r="AN23" s="513">
        <f>+[4]Report1!J28</f>
        <v>1.0228372712514033</v>
      </c>
      <c r="AO23" s="514">
        <f>+[4]Report1!K28</f>
        <v>0.7665394413062202</v>
      </c>
      <c r="AP23" s="514">
        <f>+[4]Report1!BN28</f>
        <v>1.0228372712514033</v>
      </c>
      <c r="AQ23" s="514">
        <f>+[4]Report1!BO28</f>
        <v>0.77104720749091249</v>
      </c>
      <c r="AR23" s="511">
        <f>+[4]Report1!R28</f>
        <v>56.57</v>
      </c>
      <c r="AS23" s="511">
        <f>+[4]Report1!S28</f>
        <v>813.69500000000005</v>
      </c>
      <c r="AT23" s="515">
        <f>+[4]Report1!AF28</f>
        <v>98.749055339009274</v>
      </c>
      <c r="AU23" s="515">
        <f>+[4]Report1!AG28</f>
        <v>122.59092585113143</v>
      </c>
      <c r="AV23" s="511">
        <f>+[4]Report1!AL28</f>
        <v>1.1967473926109247</v>
      </c>
      <c r="AW23" s="511">
        <f>+[4]Report1!AM28</f>
        <v>1.4903618677760093</v>
      </c>
      <c r="AX23" s="511">
        <f>+[4]Report1!AR28</f>
        <v>0.17500441930351776</v>
      </c>
      <c r="AY23" s="511">
        <f>+[4]Report1!AS28</f>
        <v>0.18508163378169956</v>
      </c>
      <c r="AZ23" s="511">
        <f>+[4]Report1!AX28</f>
        <v>618.61799540392337</v>
      </c>
      <c r="BA23" s="511">
        <f>+[4]Report1!AY28</f>
        <v>929.15092264300517</v>
      </c>
      <c r="BB23" s="511">
        <f>+[4]Report1!BD28</f>
        <v>499.20452536680062</v>
      </c>
      <c r="BC23" s="589">
        <f>+[4]Report1!BE28</f>
        <v>470.18159384044401</v>
      </c>
      <c r="BD23" s="511">
        <f>+[4]Report1!BJ28</f>
        <v>3.0051263920806077</v>
      </c>
      <c r="BE23" s="511">
        <f>+[4]Report1!BK28</f>
        <v>2.7651638513202119</v>
      </c>
      <c r="BF23" s="513">
        <f>+[5]Report1!J28</f>
        <v>1.006362058993638</v>
      </c>
      <c r="BG23" s="514">
        <f>+[5]Report1!K28</f>
        <v>0.86677509103043548</v>
      </c>
      <c r="BH23" s="514">
        <f>+[5]Report1!AN28</f>
        <v>1.006362058993638</v>
      </c>
      <c r="BI23" s="514">
        <f>+[5]Report1!AO28</f>
        <v>0.87587721761002035</v>
      </c>
      <c r="BJ23" s="511">
        <f>+[5]Report1!R28</f>
        <v>50.112000000000002</v>
      </c>
      <c r="BK23" s="511">
        <f>+[5]Report1!S28</f>
        <v>916.22400000000016</v>
      </c>
      <c r="BL23" s="511">
        <f>+[5]Report1!AD28</f>
        <v>2.5762292464878676</v>
      </c>
      <c r="BM23" s="511">
        <f>+[5]Report1!AE28</f>
        <v>2.6883163942442012</v>
      </c>
      <c r="BN23" s="515">
        <v>0</v>
      </c>
      <c r="BO23" s="515">
        <v>0</v>
      </c>
      <c r="BP23" s="515">
        <f>+[5]Report1!AJ28</f>
        <v>1025.2600175606613</v>
      </c>
      <c r="BQ23" s="515">
        <f>+[5]Report1!AK28</f>
        <v>1070.1804445201174</v>
      </c>
      <c r="BR23" s="515">
        <v>0</v>
      </c>
      <c r="BS23" s="516">
        <v>0</v>
      </c>
      <c r="BT23" s="513">
        <f>+[6]Report1!J28</f>
        <v>0.93397021892165755</v>
      </c>
      <c r="BU23" s="514">
        <f>+[6]Report1!K28</f>
        <v>0.48022558162664908</v>
      </c>
      <c r="BV23" s="514">
        <f>+[6]Report1!BA28</f>
        <v>0.93397021892165755</v>
      </c>
      <c r="BW23" s="514">
        <f>+[6]Report1!BB28</f>
        <v>0.82029091851297264</v>
      </c>
      <c r="BX23" s="511">
        <f>+[6]Report1!R28</f>
        <v>48.939</v>
      </c>
      <c r="BY23" s="511">
        <f>+[6]Report1!S28</f>
        <v>502.65300000000008</v>
      </c>
      <c r="BZ23" s="515">
        <f>+[6]Report1!X28</f>
        <v>93.356340331274566</v>
      </c>
      <c r="CA23" s="515">
        <f>+[6]Report1!Y28</f>
        <v>94.581086171260807</v>
      </c>
      <c r="CB23" s="511">
        <f>+[6]Report1!AD28</f>
        <v>2.1026175442898305</v>
      </c>
      <c r="CC23" s="511">
        <f>+[6]Report1!AE28</f>
        <v>2.2878606115948772</v>
      </c>
      <c r="CD23" s="515">
        <f>+[6]Report1!AJ28</f>
        <v>0</v>
      </c>
      <c r="CE23" s="515">
        <f>+[6]Report1!AK28</f>
        <v>0</v>
      </c>
      <c r="CF23" s="515">
        <f>+[6]Report1!AP28</f>
        <v>828.33384417335969</v>
      </c>
      <c r="CG23" s="515">
        <f>+[6]Report1!AQ28</f>
        <v>980.4206329217177</v>
      </c>
      <c r="CH23" s="515">
        <f>+[6]Report1!AV28</f>
        <v>0</v>
      </c>
      <c r="CI23" s="515">
        <f>+[6]Report1!AW28</f>
        <v>0</v>
      </c>
      <c r="CJ23" s="515"/>
      <c r="CK23" s="516"/>
    </row>
    <row r="24" spans="1:89" ht="12.75" customHeight="1">
      <c r="A24" s="568">
        <f t="shared" si="0"/>
        <v>45951</v>
      </c>
      <c r="B24" s="513">
        <f>+Report1!J29</f>
        <v>0.74059237433392344</v>
      </c>
      <c r="C24" s="514">
        <f>+Report1!K29</f>
        <v>0.8483976262268661</v>
      </c>
      <c r="D24" s="514">
        <f>+Report1!AJ29</f>
        <v>0.91047653979042764</v>
      </c>
      <c r="E24" s="514">
        <f>+Report1!AK29</f>
        <v>0.86715292483861728</v>
      </c>
      <c r="F24" s="511">
        <f>+Report1!R29</f>
        <v>40.225999999999999</v>
      </c>
      <c r="G24" s="511">
        <f>+Report1!S29</f>
        <v>1154.6229999999996</v>
      </c>
      <c r="H24" s="511">
        <f>+Report1!X29</f>
        <v>2.6143539004623872</v>
      </c>
      <c r="I24" s="511">
        <f>+Report1!Y29</f>
        <v>2.2846149782223297</v>
      </c>
      <c r="J24" s="511">
        <f>+Report1!AD29</f>
        <v>1222.464575150404</v>
      </c>
      <c r="K24" s="512">
        <f>+Report1!AE29</f>
        <v>989.36390492827502</v>
      </c>
      <c r="L24" s="513">
        <f>+[1]Report1!J29</f>
        <v>0.89679113892552753</v>
      </c>
      <c r="M24" s="514">
        <f>+[1]Report1!K29</f>
        <v>0.79359268112004044</v>
      </c>
      <c r="N24" s="514">
        <f>+[1]Report1!BJ29</f>
        <v>0.89679113892552753</v>
      </c>
      <c r="O24" s="514">
        <f>+[1]Report1!BK29</f>
        <v>0.84550976209433193</v>
      </c>
      <c r="P24" s="511">
        <f>+[1]Report1!R29</f>
        <v>49.780999999999999</v>
      </c>
      <c r="Q24" s="511">
        <f>+[1]Report1!S29</f>
        <v>1020.4369999999999</v>
      </c>
      <c r="R24" s="511">
        <f>+[1]Report1!AL29</f>
        <v>2.5716237118579377</v>
      </c>
      <c r="S24" s="511">
        <f>+[1]Report1!AM29</f>
        <v>2.4768104253373808</v>
      </c>
      <c r="T24" s="511">
        <f>+[1]Report1!AR29</f>
        <v>0.24306462304895443</v>
      </c>
      <c r="U24" s="511">
        <f>+[1]Report1!AS29</f>
        <v>0.23676130912540411</v>
      </c>
      <c r="V24" s="511">
        <f>+[1]Report1!AX29</f>
        <v>743.27333721702144</v>
      </c>
      <c r="W24" s="511">
        <f>+[1]Report1!AY29</f>
        <v>660.42820869882166</v>
      </c>
      <c r="X24" s="511">
        <f>+[1]Report1!BD29</f>
        <v>389.14445270283841</v>
      </c>
      <c r="Y24" s="589">
        <f>+[1]Report1!BE29</f>
        <v>532.82719854336926</v>
      </c>
      <c r="Z24" s="513">
        <f>+[2]Report1!J29</f>
        <v>0</v>
      </c>
      <c r="AA24" s="514">
        <f>+[2]Report1!K29</f>
        <v>0.72127297148871838</v>
      </c>
      <c r="AB24" s="514" t="e">
        <f>+[2]Report1!BC29</f>
        <v>#DIV/0!</v>
      </c>
      <c r="AC24" s="514">
        <f>+[2]Report1!BD29</f>
        <v>0.86113929798363087</v>
      </c>
      <c r="AD24" s="511">
        <f>+[2]Report1!R29</f>
        <v>0</v>
      </c>
      <c r="AE24" s="511">
        <f>+[2]Report1!S29</f>
        <v>665.55100000000004</v>
      </c>
      <c r="AF24" s="511">
        <f>+[2]Report1!X29</f>
        <v>0</v>
      </c>
      <c r="AG24" s="511">
        <f>+[2]Report1!Y29</f>
        <v>108.02163903640871</v>
      </c>
      <c r="AH24" s="511">
        <f>+[2]Report1!AD29</f>
        <v>0</v>
      </c>
      <c r="AI24" s="511">
        <f>+[2]Report1!AE29</f>
        <v>1.7112137161539838</v>
      </c>
      <c r="AJ24" s="511">
        <f>+[2]Report1!AJ29</f>
        <v>0</v>
      </c>
      <c r="AK24" s="589">
        <f>+[2]Report1!AK29</f>
        <v>1042.6403386066568</v>
      </c>
      <c r="AL24" s="600">
        <f>+[3]Report1!AP29</f>
        <v>0</v>
      </c>
      <c r="AM24" s="601">
        <f>+[3]Report1!AQ29</f>
        <v>0</v>
      </c>
      <c r="AN24" s="513">
        <f>+[4]Report1!J29</f>
        <v>0.85285087255454772</v>
      </c>
      <c r="AO24" s="514">
        <f>+[4]Report1!K29</f>
        <v>0.77060678562481499</v>
      </c>
      <c r="AP24" s="514">
        <f>+[4]Report1!BN29</f>
        <v>0.85285087255454772</v>
      </c>
      <c r="AQ24" s="514">
        <f>+[4]Report1!BO29</f>
        <v>0.77492372285689293</v>
      </c>
      <c r="AR24" s="511">
        <f>+[4]Report1!R29</f>
        <v>44.771999999999998</v>
      </c>
      <c r="AS24" s="511">
        <f>+[4]Report1!S29</f>
        <v>858.4670000000001</v>
      </c>
      <c r="AT24" s="515">
        <f>+[4]Report1!AF29</f>
        <v>129.46024022603922</v>
      </c>
      <c r="AU24" s="515">
        <f>+[4]Report1!AG29</f>
        <v>122.94918416879929</v>
      </c>
      <c r="AV24" s="511">
        <f>+[4]Report1!AL29</f>
        <v>1.516572858036273</v>
      </c>
      <c r="AW24" s="511">
        <f>+[4]Report1!AM29</f>
        <v>1.4917288608647741</v>
      </c>
      <c r="AX24" s="511">
        <f>+[4]Report1!AR29</f>
        <v>0.22112034307156259</v>
      </c>
      <c r="AY24" s="511">
        <f>+[4]Report1!AS29</f>
        <v>0.18696117614305502</v>
      </c>
      <c r="AZ24" s="511">
        <f>+[4]Report1!AX29</f>
        <v>850.86348610738776</v>
      </c>
      <c r="BA24" s="511">
        <f>+[4]Report1!AY29</f>
        <v>925.06796417334613</v>
      </c>
      <c r="BB24" s="511">
        <f>+[4]Report1!BD29</f>
        <v>606.40578933262066</v>
      </c>
      <c r="BC24" s="589">
        <f>+[4]Report1!BE29</f>
        <v>477.28615310780742</v>
      </c>
      <c r="BD24" s="511">
        <f>+[4]Report1!BJ29</f>
        <v>3.3503082283570089</v>
      </c>
      <c r="BE24" s="511">
        <f>+[4]Report1!BK29</f>
        <v>2.7956811385877378</v>
      </c>
      <c r="BF24" s="513">
        <f>+[5]Report1!J29</f>
        <v>0.81316847105021561</v>
      </c>
      <c r="BG24" s="514">
        <f>+[5]Report1!K29</f>
        <v>0.86425918758821818</v>
      </c>
      <c r="BH24" s="514">
        <f>+[5]Report1!AN29</f>
        <v>0.81316847105021561</v>
      </c>
      <c r="BI24" s="514">
        <f>+[5]Report1!AO29</f>
        <v>0.87290468598092164</v>
      </c>
      <c r="BJ24" s="511">
        <f>+[5]Report1!R29</f>
        <v>42.328000000000003</v>
      </c>
      <c r="BK24" s="511">
        <f>+[5]Report1!S29</f>
        <v>958.55200000000013</v>
      </c>
      <c r="BL24" s="511">
        <f>+[5]Report1!AD29</f>
        <v>3.113778113778114</v>
      </c>
      <c r="BM24" s="511">
        <f>+[5]Report1!AE29</f>
        <v>2.7071040486066478</v>
      </c>
      <c r="BN24" s="515">
        <v>0</v>
      </c>
      <c r="BO24" s="515">
        <v>0</v>
      </c>
      <c r="BP24" s="515">
        <f>+[5]Report1!AJ29</f>
        <v>1136.8902381402249</v>
      </c>
      <c r="BQ24" s="515">
        <f>+[5]Report1!AK29</f>
        <v>1073.1262337358842</v>
      </c>
      <c r="BR24" s="515">
        <v>0</v>
      </c>
      <c r="BS24" s="516">
        <v>0</v>
      </c>
      <c r="BT24" s="513">
        <f>+[6]Report1!J29</f>
        <v>0.815387169305125</v>
      </c>
      <c r="BU24" s="514">
        <f>+[6]Report1!K29</f>
        <v>0.49463714927567271</v>
      </c>
      <c r="BV24" s="514">
        <f>+[6]Report1!BA29</f>
        <v>0.815387169305125</v>
      </c>
      <c r="BW24" s="514">
        <f>+[6]Report1!BB29</f>
        <v>0.81994139104052155</v>
      </c>
      <c r="BX24" s="511">
        <f>+[6]Report1!R29</f>
        <v>38.347000000000001</v>
      </c>
      <c r="BY24" s="511">
        <f>+[6]Report1!S29</f>
        <v>541.00000000000011</v>
      </c>
      <c r="BZ24" s="515">
        <f>+[6]Report1!X29</f>
        <v>117.99635237697272</v>
      </c>
      <c r="CA24" s="515">
        <f>+[6]Report1!Y29</f>
        <v>96.240800058858653</v>
      </c>
      <c r="CB24" s="511">
        <f>+[6]Report1!AD29</f>
        <v>2.3939291209221061</v>
      </c>
      <c r="CC24" s="511">
        <f>+[6]Report1!AE29</f>
        <v>2.2953789279112748</v>
      </c>
      <c r="CD24" s="515">
        <f>+[6]Report1!AJ29</f>
        <v>0</v>
      </c>
      <c r="CE24" s="515">
        <f>+[6]Report1!AK29</f>
        <v>0</v>
      </c>
      <c r="CF24" s="515">
        <f>+[6]Report1!AP29</f>
        <v>1095.060630557799</v>
      </c>
      <c r="CG24" s="515">
        <f>+[6]Report1!AQ29</f>
        <v>988.5465109057302</v>
      </c>
      <c r="CH24" s="515">
        <f>+[6]Report1!AV29</f>
        <v>0</v>
      </c>
      <c r="CI24" s="515">
        <f>+[6]Report1!AW29</f>
        <v>0</v>
      </c>
      <c r="CJ24" s="515"/>
      <c r="CK24" s="516"/>
    </row>
    <row r="25" spans="1:89" ht="12.75" customHeight="1">
      <c r="A25" s="568">
        <f t="shared" si="0"/>
        <v>45952</v>
      </c>
      <c r="B25" s="513">
        <f>+Report1!J30</f>
        <v>0.95425820406309725</v>
      </c>
      <c r="C25" s="514">
        <f>+Report1!K30</f>
        <v>0.85251914800085171</v>
      </c>
      <c r="D25" s="514">
        <f>+Report1!AJ30</f>
        <v>0.95425820406309725</v>
      </c>
      <c r="E25" s="514">
        <f>+Report1!AK30</f>
        <v>0.8706162273756648</v>
      </c>
      <c r="F25" s="511">
        <f>+Report1!R30</f>
        <v>52.610999999999997</v>
      </c>
      <c r="G25" s="511">
        <f>+Report1!S30</f>
        <v>1207.2339999999997</v>
      </c>
      <c r="H25" s="511">
        <f>+Report1!X30</f>
        <v>2.2892550987436087</v>
      </c>
      <c r="I25" s="511">
        <f>+Report1!Y30</f>
        <v>2.2848171936840753</v>
      </c>
      <c r="J25" s="511">
        <f>+Report1!AD30</f>
        <v>1049.732565433095</v>
      </c>
      <c r="K25" s="512">
        <f>+Report1!AE30</f>
        <v>991.99475826558898</v>
      </c>
      <c r="L25" s="513">
        <f>+[1]Report1!J30</f>
        <v>0.81392113754927475</v>
      </c>
      <c r="M25" s="514">
        <f>+[1]Report1!K30</f>
        <v>0.79454384876481365</v>
      </c>
      <c r="N25" s="514">
        <f>+[1]Report1!BJ30</f>
        <v>0.81392113754927475</v>
      </c>
      <c r="O25" s="514">
        <f>+[1]Report1!BK30</f>
        <v>0.84393984397142885</v>
      </c>
      <c r="P25" s="511">
        <f>+[1]Report1!R30</f>
        <v>51.372999999999998</v>
      </c>
      <c r="Q25" s="511">
        <f>+[1]Report1!S30</f>
        <v>1071.81</v>
      </c>
      <c r="R25" s="511">
        <f>+[1]Report1!AL30</f>
        <v>2.5981741381659629</v>
      </c>
      <c r="S25" s="511">
        <f>+[1]Report1!AM30</f>
        <v>2.4826275179369484</v>
      </c>
      <c r="T25" s="511">
        <f>+[1]Report1!AR30</f>
        <v>0.34259241235668547</v>
      </c>
      <c r="U25" s="511">
        <f>+[1]Report1!AS30</f>
        <v>0.24183390712906205</v>
      </c>
      <c r="V25" s="511">
        <f>+[1]Report1!AX30</f>
        <v>713.39263815622644</v>
      </c>
      <c r="W25" s="511">
        <f>+[1]Report1!AY30</f>
        <v>662.96685046789946</v>
      </c>
      <c r="X25" s="511">
        <f>+[1]Report1!BD30</f>
        <v>537.03307184707921</v>
      </c>
      <c r="Y25" s="589">
        <f>+[1]Report1!BE30</f>
        <v>533.02879055056394</v>
      </c>
      <c r="Z25" s="513">
        <f>+[2]Report1!J30</f>
        <v>0</v>
      </c>
      <c r="AA25" s="514">
        <f>+[2]Report1!K30</f>
        <v>0.68918635873105194</v>
      </c>
      <c r="AB25" s="514" t="e">
        <f>+[2]Report1!BC30</f>
        <v>#DIV/0!</v>
      </c>
      <c r="AC25" s="514">
        <f>+[2]Report1!BD30</f>
        <v>0.86113929798363087</v>
      </c>
      <c r="AD25" s="511">
        <f>+[2]Report1!R30</f>
        <v>0</v>
      </c>
      <c r="AE25" s="511">
        <f>+[2]Report1!S30</f>
        <v>665.55100000000004</v>
      </c>
      <c r="AF25" s="511">
        <f>+[2]Report1!X30</f>
        <v>0</v>
      </c>
      <c r="AG25" s="511">
        <f>+[2]Report1!Y30</f>
        <v>108.02163903640871</v>
      </c>
      <c r="AH25" s="511">
        <f>+[2]Report1!AD30</f>
        <v>0</v>
      </c>
      <c r="AI25" s="511">
        <f>+[2]Report1!AE30</f>
        <v>1.7366062104932607</v>
      </c>
      <c r="AJ25" s="511">
        <f>+[2]Report1!AJ30</f>
        <v>0</v>
      </c>
      <c r="AK25" s="589">
        <f>+[2]Report1!AK30</f>
        <v>1051.7718401745306</v>
      </c>
      <c r="AL25" s="600">
        <f>+[3]Report1!AP30</f>
        <v>0</v>
      </c>
      <c r="AM25" s="601">
        <f>+[3]Report1!AQ30</f>
        <v>0</v>
      </c>
      <c r="AN25" s="513">
        <f>+[4]Report1!J30</f>
        <v>0.96970922546271421</v>
      </c>
      <c r="AO25" s="514">
        <f>+[4]Report1!K30</f>
        <v>0.77940576858532828</v>
      </c>
      <c r="AP25" s="514">
        <f>+[4]Report1!BN30</f>
        <v>0.96970922546271421</v>
      </c>
      <c r="AQ25" s="514">
        <f>+[4]Report1!BO30</f>
        <v>0.78357800694030377</v>
      </c>
      <c r="AR25" s="511">
        <f>+[4]Report1!R30</f>
        <v>49.948</v>
      </c>
      <c r="AS25" s="511">
        <f>+[4]Report1!S30</f>
        <v>908.41500000000008</v>
      </c>
      <c r="AT25" s="515">
        <f>+[4]Report1!AF30</f>
        <v>114.21301051796424</v>
      </c>
      <c r="AU25" s="515">
        <f>+[4]Report1!AG30</f>
        <v>122.46883718915683</v>
      </c>
      <c r="AV25" s="511">
        <f>+[4]Report1!AL30</f>
        <v>1.4074637623128052</v>
      </c>
      <c r="AW25" s="511">
        <f>+[4]Report1!AM30</f>
        <v>1.4870956556199535</v>
      </c>
      <c r="AX25" s="511">
        <f>+[4]Report1!AR30</f>
        <v>0.19019780571794667</v>
      </c>
      <c r="AY25" s="511">
        <f>+[4]Report1!AS30</f>
        <v>0.18713913794906514</v>
      </c>
      <c r="AZ25" s="511">
        <f>+[4]Report1!AX30</f>
        <v>792.77408504845232</v>
      </c>
      <c r="BA25" s="511">
        <f>+[4]Report1!AY30</f>
        <v>917.79395980911818</v>
      </c>
      <c r="BB25" s="511">
        <f>+[4]Report1!BD30</f>
        <v>510.73116040682396</v>
      </c>
      <c r="BC25" s="589">
        <f>+[4]Report1!BE30</f>
        <v>479.12508269898689</v>
      </c>
      <c r="BD25" s="511">
        <f>+[4]Report1!BJ30</f>
        <v>2.8029150316328981</v>
      </c>
      <c r="BE25" s="511">
        <f>+[4]Report1!BK30</f>
        <v>2.7960788846507376</v>
      </c>
      <c r="BF25" s="513">
        <f>+[5]Report1!J30</f>
        <v>0.9509244795551024</v>
      </c>
      <c r="BG25" s="514">
        <f>+[5]Report1!K30</f>
        <v>0.86842517031950572</v>
      </c>
      <c r="BH25" s="514">
        <f>+[5]Report1!AN30</f>
        <v>0.9509244795551024</v>
      </c>
      <c r="BI25" s="514">
        <f>+[5]Report1!AO30</f>
        <v>0.87669077737378776</v>
      </c>
      <c r="BJ25" s="511">
        <f>+[5]Report1!R30</f>
        <v>53.258000000000003</v>
      </c>
      <c r="BK25" s="511">
        <f>+[5]Report1!S30</f>
        <v>1011.8100000000002</v>
      </c>
      <c r="BL25" s="511">
        <f>+[5]Report1!AD30</f>
        <v>2.5198092305381348</v>
      </c>
      <c r="BM25" s="511">
        <f>+[5]Report1!AE30</f>
        <v>2.6972455302873057</v>
      </c>
      <c r="BN25" s="515">
        <v>0</v>
      </c>
      <c r="BO25" s="515">
        <v>0</v>
      </c>
      <c r="BP25" s="515">
        <f>+[5]Report1!AJ30</f>
        <v>830.03905516542068</v>
      </c>
      <c r="BQ25" s="515">
        <f>+[5]Report1!AK30</f>
        <v>1060.3310083909028</v>
      </c>
      <c r="BR25" s="515">
        <v>0</v>
      </c>
      <c r="BS25" s="516">
        <v>0</v>
      </c>
      <c r="BT25" s="513">
        <f>+[6]Report1!J30</f>
        <v>0.83047657000280273</v>
      </c>
      <c r="BU25" s="514">
        <f>+[6]Report1!K30</f>
        <v>0.50809846652076174</v>
      </c>
      <c r="BV25" s="514">
        <f>+[6]Report1!BA30</f>
        <v>0.83047657000280273</v>
      </c>
      <c r="BW25" s="514">
        <f>+[6]Report1!BB30</f>
        <v>0.82062340587383142</v>
      </c>
      <c r="BX25" s="511">
        <f>+[6]Report1!R30</f>
        <v>37.927999999999997</v>
      </c>
      <c r="BY25" s="511">
        <f>+[6]Report1!S30</f>
        <v>578.92800000000011</v>
      </c>
      <c r="BZ25" s="515">
        <f>+[6]Report1!X30</f>
        <v>121.34276921136684</v>
      </c>
      <c r="CA25" s="515">
        <f>+[6]Report1!Y30</f>
        <v>97.885335279156052</v>
      </c>
      <c r="CB25" s="511">
        <f>+[6]Report1!AD30</f>
        <v>2.4098291499683615</v>
      </c>
      <c r="CC25" s="511">
        <f>+[6]Report1!AE30</f>
        <v>2.3028770417046678</v>
      </c>
      <c r="CD25" s="515">
        <f>+[6]Report1!AJ30</f>
        <v>0</v>
      </c>
      <c r="CE25" s="515">
        <f>+[6]Report1!AK30</f>
        <v>0</v>
      </c>
      <c r="CF25" s="515">
        <f>+[6]Report1!AP30</f>
        <v>1117.8079519088797</v>
      </c>
      <c r="CG25" s="515">
        <f>+[6]Report1!AQ30</f>
        <v>997.01496973716939</v>
      </c>
      <c r="CH25" s="515">
        <f>+[6]Report1!AV30</f>
        <v>0</v>
      </c>
      <c r="CI25" s="515">
        <f>+[6]Report1!AW30</f>
        <v>0</v>
      </c>
      <c r="CJ25" s="515"/>
      <c r="CK25" s="516"/>
    </row>
    <row r="26" spans="1:89" ht="12.75" customHeight="1">
      <c r="A26" s="568">
        <f t="shared" si="0"/>
        <v>45953</v>
      </c>
      <c r="B26" s="513">
        <f>+Report1!J31</f>
        <v>0.9626202669149595</v>
      </c>
      <c r="C26" s="514">
        <f>+Report1!K31</f>
        <v>0.85671392674254199</v>
      </c>
      <c r="D26" s="514">
        <f>+Report1!AJ31</f>
        <v>0.9626202669149595</v>
      </c>
      <c r="E26" s="514">
        <f>+Report1!AK31</f>
        <v>0.87419303627638945</v>
      </c>
      <c r="F26" s="511">
        <f>+Report1!R31</f>
        <v>53.991999999999997</v>
      </c>
      <c r="G26" s="511">
        <f>+Report1!S31</f>
        <v>1261.2259999999997</v>
      </c>
      <c r="H26" s="511">
        <f>+Report1!X31</f>
        <v>2.2411468365683809</v>
      </c>
      <c r="I26" s="511">
        <f>+Report1!Y31</f>
        <v>2.2829477032665051</v>
      </c>
      <c r="J26" s="511">
        <f>+Report1!AD31</f>
        <v>1019.112831530588</v>
      </c>
      <c r="K26" s="512">
        <f>+Report1!AE31</f>
        <v>993.15565965179871</v>
      </c>
      <c r="L26" s="513">
        <f>+[1]Report1!J31</f>
        <v>1.0250072621696076</v>
      </c>
      <c r="M26" s="514">
        <f>+[1]Report1!K31</f>
        <v>0.80570668371982901</v>
      </c>
      <c r="N26" s="514">
        <f>+[1]Report1!BJ31</f>
        <v>1.0250072621696076</v>
      </c>
      <c r="O26" s="514">
        <f>+[1]Report1!BK31</f>
        <v>0.85322738277724575</v>
      </c>
      <c r="P26" s="511">
        <f>+[1]Report1!R31</f>
        <v>70.382000000000005</v>
      </c>
      <c r="Q26" s="511">
        <f>+[1]Report1!S31</f>
        <v>1142.192</v>
      </c>
      <c r="R26" s="511">
        <f>+[1]Report1!AL31</f>
        <v>1.9997584609701344</v>
      </c>
      <c r="S26" s="511">
        <f>+[1]Report1!AM31</f>
        <v>2.452873072127979</v>
      </c>
      <c r="T26" s="511">
        <f>+[1]Report1!AR31</f>
        <v>0.2386973942201131</v>
      </c>
      <c r="U26" s="511">
        <f>+[1]Report1!AS31</f>
        <v>0.24164063484948239</v>
      </c>
      <c r="V26" s="511">
        <f>+[1]Report1!AX31</f>
        <v>520.80659827797592</v>
      </c>
      <c r="W26" s="511">
        <f>+[1]Report1!AY31</f>
        <v>654.20691967725202</v>
      </c>
      <c r="X26" s="511">
        <f>+[1]Report1!BD31</f>
        <v>373.2204256770197</v>
      </c>
      <c r="Y26" s="589">
        <f>+[1]Report1!BE31</f>
        <v>523.1813810637791</v>
      </c>
      <c r="Z26" s="513">
        <f>+[2]Report1!J31</f>
        <v>0</v>
      </c>
      <c r="AA26" s="514">
        <f>+[2]Report1!K31</f>
        <v>0.65983297122143314</v>
      </c>
      <c r="AB26" s="514" t="e">
        <f>+[2]Report1!BC31</f>
        <v>#DIV/0!</v>
      </c>
      <c r="AC26" s="514">
        <f>+[2]Report1!BD31</f>
        <v>0.86113929798363087</v>
      </c>
      <c r="AD26" s="511">
        <f>+[2]Report1!R31</f>
        <v>0</v>
      </c>
      <c r="AE26" s="511">
        <f>+[2]Report1!S31</f>
        <v>665.55100000000004</v>
      </c>
      <c r="AF26" s="511">
        <f>+[2]Report1!X31</f>
        <v>0</v>
      </c>
      <c r="AG26" s="511">
        <f>+[2]Report1!Y31</f>
        <v>108.02163903640871</v>
      </c>
      <c r="AH26" s="511">
        <f>+[2]Report1!AD31</f>
        <v>0</v>
      </c>
      <c r="AI26" s="511">
        <f>+[2]Report1!AE31</f>
        <v>1.7624494591699211</v>
      </c>
      <c r="AJ26" s="511">
        <f>+[2]Report1!AJ31</f>
        <v>0</v>
      </c>
      <c r="AK26" s="589">
        <f>+[2]Report1!AK31</f>
        <v>1058.5991757205679</v>
      </c>
      <c r="AL26" s="600">
        <f>+[3]Report1!AP31</f>
        <v>0</v>
      </c>
      <c r="AM26" s="601">
        <f>+[3]Report1!AQ31</f>
        <v>0</v>
      </c>
      <c r="AN26" s="513">
        <f>+[4]Report1!J31</f>
        <v>0.9739415593129358</v>
      </c>
      <c r="AO26" s="514">
        <f>+[4]Report1!K31</f>
        <v>0.78763907976127889</v>
      </c>
      <c r="AP26" s="514">
        <f>+[4]Report1!BN31</f>
        <v>0.9739415593129358</v>
      </c>
      <c r="AQ26" s="514">
        <f>+[4]Report1!BO31</f>
        <v>0.79167603087244942</v>
      </c>
      <c r="AR26" s="511">
        <f>+[4]Report1!R31</f>
        <v>50.165999999999997</v>
      </c>
      <c r="AS26" s="511">
        <f>+[4]Report1!S31</f>
        <v>958.58100000000013</v>
      </c>
      <c r="AT26" s="515">
        <f>+[4]Report1!AF31</f>
        <v>114.1190442624054</v>
      </c>
      <c r="AU26" s="515">
        <f>+[4]Report1!AG31</f>
        <v>122.03186241919641</v>
      </c>
      <c r="AV26" s="511">
        <f>+[4]Report1!AL31</f>
        <v>1.3973607622692661</v>
      </c>
      <c r="AW26" s="511">
        <f>+[4]Report1!AM31</f>
        <v>1.4823995051018117</v>
      </c>
      <c r="AX26" s="511">
        <f>+[4]Report1!AR31</f>
        <v>0.18937128732607744</v>
      </c>
      <c r="AY26" s="511">
        <f>+[4]Report1!AS31</f>
        <v>0.18725595437422607</v>
      </c>
      <c r="AZ26" s="511">
        <f>+[4]Report1!AX31</f>
        <v>772.11537694853064</v>
      </c>
      <c r="BA26" s="511">
        <f>+[4]Report1!AY31</f>
        <v>910.17007430775277</v>
      </c>
      <c r="BB26" s="511">
        <f>+[4]Report1!BD31</f>
        <v>484.98983375193995</v>
      </c>
      <c r="BC26" s="589">
        <f>+[4]Report1!BE31</f>
        <v>479.43200626759761</v>
      </c>
      <c r="BD26" s="511">
        <f>+[4]Report1!BJ31</f>
        <v>2.7907347605948249</v>
      </c>
      <c r="BE26" s="511">
        <f>+[4]Report1!BK31</f>
        <v>2.7957992073700604</v>
      </c>
      <c r="BF26" s="513">
        <f>+[5]Report1!J31</f>
        <v>0.67091061566078947</v>
      </c>
      <c r="BG26" s="514">
        <f>+[5]Report1!K31</f>
        <v>0.85930990015527031</v>
      </c>
      <c r="BH26" s="514">
        <f>+[5]Report1!AN31</f>
        <v>0.76272745024648581</v>
      </c>
      <c r="BI26" s="514">
        <f>+[5]Report1!AO31</f>
        <v>0.8719962094218594</v>
      </c>
      <c r="BJ26" s="511">
        <f>+[5]Report1!R31</f>
        <v>37.82</v>
      </c>
      <c r="BK26" s="511">
        <f>+[5]Report1!S31</f>
        <v>1049.6300000000001</v>
      </c>
      <c r="BL26" s="511">
        <f>+[5]Report1!AD31</f>
        <v>3.4082496033844527</v>
      </c>
      <c r="BM26" s="511">
        <f>+[5]Report1!AE31</f>
        <v>2.7228642474014646</v>
      </c>
      <c r="BN26" s="515">
        <v>0</v>
      </c>
      <c r="BO26" s="515">
        <v>0</v>
      </c>
      <c r="BP26" s="515">
        <f>+[5]Report1!AJ31</f>
        <v>1127.3376520359652</v>
      </c>
      <c r="BQ26" s="515">
        <f>+[5]Report1!AK31</f>
        <v>1062.7453746558306</v>
      </c>
      <c r="BR26" s="515">
        <v>0</v>
      </c>
      <c r="BS26" s="516">
        <v>0</v>
      </c>
      <c r="BT26" s="513">
        <f>+[6]Report1!J31</f>
        <v>0.83073164472014116</v>
      </c>
      <c r="BU26" s="514">
        <f>+[6]Report1!K31</f>
        <v>0.52187274663598016</v>
      </c>
      <c r="BV26" s="514">
        <f>+[6]Report1!BA31</f>
        <v>0.83073164472014116</v>
      </c>
      <c r="BW26" s="514">
        <f>+[6]Report1!BB31</f>
        <v>0.82130256875662688</v>
      </c>
      <c r="BX26" s="511">
        <f>+[6]Report1!R31</f>
        <v>42.213000000000001</v>
      </c>
      <c r="BY26" s="511">
        <f>+[6]Report1!S31</f>
        <v>621.14100000000008</v>
      </c>
      <c r="BZ26" s="515">
        <f>+[6]Report1!X31</f>
        <v>110.86878510250803</v>
      </c>
      <c r="CA26" s="515">
        <f>+[6]Report1!Y31</f>
        <v>98.767695914491924</v>
      </c>
      <c r="CB26" s="511">
        <f>+[6]Report1!AD31</f>
        <v>2.2812877549570039</v>
      </c>
      <c r="CC26" s="511">
        <f>+[6]Report1!AE31</f>
        <v>2.3014098248223829</v>
      </c>
      <c r="CD26" s="515">
        <f>+[6]Report1!AJ31</f>
        <v>0</v>
      </c>
      <c r="CE26" s="515">
        <f>+[6]Report1!AK31</f>
        <v>0</v>
      </c>
      <c r="CF26" s="515">
        <f>+[6]Report1!AP31</f>
        <v>1052.422476488289</v>
      </c>
      <c r="CG26" s="515">
        <f>+[6]Report1!AQ31</f>
        <v>1000.7804868781809</v>
      </c>
      <c r="CH26" s="515">
        <f>+[6]Report1!AV31</f>
        <v>0</v>
      </c>
      <c r="CI26" s="515">
        <f>+[6]Report1!AW31</f>
        <v>0</v>
      </c>
      <c r="CJ26" s="515"/>
      <c r="CK26" s="516"/>
    </row>
    <row r="27" spans="1:89" ht="12.75" customHeight="1">
      <c r="A27" s="568">
        <f t="shared" si="0"/>
        <v>45954</v>
      </c>
      <c r="B27" s="513">
        <f>+Report1!J32</f>
        <v>0.49253600332099595</v>
      </c>
      <c r="C27" s="514">
        <f>+Report1!K32</f>
        <v>0.8425928011410283</v>
      </c>
      <c r="D27" s="514">
        <f>+Report1!AJ32</f>
        <v>0.6548955168811027</v>
      </c>
      <c r="E27" s="514">
        <f>+Report1!AK32</f>
        <v>0.86760795461155571</v>
      </c>
      <c r="F27" s="511">
        <f>+Report1!R32</f>
        <v>29.25</v>
      </c>
      <c r="G27" s="511">
        <f>+Report1!S32</f>
        <v>1290.4759999999997</v>
      </c>
      <c r="H27" s="511">
        <f>+Report1!X32</f>
        <v>3.6125470085470086</v>
      </c>
      <c r="I27" s="511">
        <f>+Report1!Y32</f>
        <v>2.3130844742560117</v>
      </c>
      <c r="J27" s="511">
        <f>+Report1!AD32</f>
        <v>1263.4345299145266</v>
      </c>
      <c r="K27" s="512">
        <f>+Report1!AE32</f>
        <v>999.2818153921495</v>
      </c>
      <c r="L27" s="513">
        <f>+[1]Report1!J32</f>
        <v>0.98454249440749664</v>
      </c>
      <c r="M27" s="514">
        <f>+[1]Report1!K32</f>
        <v>0.81418748443585043</v>
      </c>
      <c r="N27" s="514">
        <f>+[1]Report1!BJ32</f>
        <v>0.98454249440749664</v>
      </c>
      <c r="O27" s="514">
        <f>+[1]Report1!BK32</f>
        <v>0.85980353536926135</v>
      </c>
      <c r="P27" s="511">
        <f>+[1]Report1!R32</f>
        <v>69.483000000000004</v>
      </c>
      <c r="Q27" s="511">
        <f>+[1]Report1!S32</f>
        <v>1211.675</v>
      </c>
      <c r="R27" s="511">
        <f>+[1]Report1!AL32</f>
        <v>1.8538491429558308</v>
      </c>
      <c r="S27" s="511">
        <f>+[1]Report1!AM32</f>
        <v>2.4185222935193025</v>
      </c>
      <c r="T27" s="511">
        <f>+[1]Report1!AR32</f>
        <v>0.26481297583581592</v>
      </c>
      <c r="U27" s="511">
        <f>+[1]Report1!AS32</f>
        <v>0.24296944312625085</v>
      </c>
      <c r="V27" s="511">
        <f>+[1]Report1!AX32</f>
        <v>464.11625865319559</v>
      </c>
      <c r="W27" s="511">
        <f>+[1]Report1!AY32</f>
        <v>643.30624961313868</v>
      </c>
      <c r="X27" s="511">
        <f>+[1]Report1!BD32</f>
        <v>403.10579566224828</v>
      </c>
      <c r="Y27" s="589">
        <f>+[1]Report1!BE32</f>
        <v>516.29569645325682</v>
      </c>
      <c r="Z27" s="513">
        <f>+[2]Report1!J32</f>
        <v>0</v>
      </c>
      <c r="AA27" s="514">
        <f>+[2]Report1!K32</f>
        <v>0.63287784035049799</v>
      </c>
      <c r="AB27" s="514" t="e">
        <f>+[2]Report1!BC32</f>
        <v>#DIV/0!</v>
      </c>
      <c r="AC27" s="514">
        <f>+[2]Report1!BD32</f>
        <v>0.86113929798363087</v>
      </c>
      <c r="AD27" s="511">
        <f>+[2]Report1!R32</f>
        <v>0</v>
      </c>
      <c r="AE27" s="511">
        <f>+[2]Report1!S32</f>
        <v>665.55100000000004</v>
      </c>
      <c r="AF27" s="511">
        <f>+[2]Report1!X32</f>
        <v>0</v>
      </c>
      <c r="AG27" s="511">
        <f>+[2]Report1!Y32</f>
        <v>108.02163903640871</v>
      </c>
      <c r="AH27" s="511">
        <f>+[2]Report1!AD32</f>
        <v>0</v>
      </c>
      <c r="AI27" s="511">
        <f>+[2]Report1!AE32</f>
        <v>1.7882927078465816</v>
      </c>
      <c r="AJ27" s="511">
        <f>+[2]Report1!AJ32</f>
        <v>0</v>
      </c>
      <c r="AK27" s="589">
        <f>+[2]Report1!AK32</f>
        <v>1069.3954332575549</v>
      </c>
      <c r="AL27" s="600">
        <f>+[3]Report1!AP32</f>
        <v>0</v>
      </c>
      <c r="AM27" s="601">
        <f>+[3]Report1!AQ32</f>
        <v>0</v>
      </c>
      <c r="AN27" s="513">
        <f>+[4]Report1!J32</f>
        <v>0.93084164579232986</v>
      </c>
      <c r="AO27" s="514">
        <f>+[4]Report1!K32</f>
        <v>0.79345372941085435</v>
      </c>
      <c r="AP27" s="514">
        <f>+[4]Report1!BN32</f>
        <v>0.93084164579232986</v>
      </c>
      <c r="AQ27" s="514">
        <f>+[4]Report1!BO32</f>
        <v>0.79735454306174236</v>
      </c>
      <c r="AR27" s="511">
        <f>+[4]Report1!R32</f>
        <v>47.945999999999998</v>
      </c>
      <c r="AS27" s="511">
        <f>+[4]Report1!S32</f>
        <v>1006.5270000000002</v>
      </c>
      <c r="AT27" s="515">
        <f>+[4]Report1!AF32</f>
        <v>111.57051764572327</v>
      </c>
      <c r="AU27" s="515">
        <f>+[4]Report1!AG32</f>
        <v>121.53353536338078</v>
      </c>
      <c r="AV27" s="511">
        <f>+[4]Report1!AL32</f>
        <v>1.4495474075001042</v>
      </c>
      <c r="AW27" s="511">
        <f>+[4]Report1!AM32</f>
        <v>1.4808345926140081</v>
      </c>
      <c r="AX27" s="511">
        <f>+[4]Report1!AR32</f>
        <v>0.20648229257915157</v>
      </c>
      <c r="AY27" s="511">
        <f>+[4]Report1!AS32</f>
        <v>0.18817180264414168</v>
      </c>
      <c r="AZ27" s="511">
        <f>+[4]Report1!AX32</f>
        <v>864.83669127768576</v>
      </c>
      <c r="BA27" s="511">
        <f>+[4]Report1!AY32</f>
        <v>908.01061471773721</v>
      </c>
      <c r="BB27" s="511">
        <f>+[4]Report1!BD32</f>
        <v>533.30830517665709</v>
      </c>
      <c r="BC27" s="589">
        <f>+[4]Report1!BE32</f>
        <v>481.99840838844858</v>
      </c>
      <c r="BD27" s="511">
        <f>+[4]Report1!BJ32</f>
        <v>3.128519584532599</v>
      </c>
      <c r="BE27" s="511">
        <f>+[4]Report1!BK32</f>
        <v>2.8116483710819478</v>
      </c>
      <c r="BF27" s="513">
        <f>+[5]Report1!J32</f>
        <v>0.77639116918864315</v>
      </c>
      <c r="BG27" s="514">
        <f>+[5]Report1!K32</f>
        <v>0.85572903697865932</v>
      </c>
      <c r="BH27" s="514">
        <f>+[5]Report1!AN32</f>
        <v>0.77639116918864315</v>
      </c>
      <c r="BI27" s="514">
        <f>+[5]Report1!AO32</f>
        <v>0.86780920084649926</v>
      </c>
      <c r="BJ27" s="511">
        <f>+[5]Report1!R32</f>
        <v>42.802999999999997</v>
      </c>
      <c r="BK27" s="511">
        <f>+[5]Report1!S32</f>
        <v>1092.433</v>
      </c>
      <c r="BL27" s="511">
        <f>+[5]Report1!AD32</f>
        <v>3.0838959885989303</v>
      </c>
      <c r="BM27" s="511">
        <f>+[5]Report1!AE32</f>
        <v>2.7370099585054639</v>
      </c>
      <c r="BN27" s="515">
        <v>0</v>
      </c>
      <c r="BO27" s="515">
        <v>0</v>
      </c>
      <c r="BP27" s="515">
        <f>+[5]Report1!AJ32</f>
        <v>1102.9177861364892</v>
      </c>
      <c r="BQ27" s="515">
        <f>+[5]Report1!AK32</f>
        <v>1064.3193839805276</v>
      </c>
      <c r="BR27" s="515">
        <v>0</v>
      </c>
      <c r="BS27" s="516">
        <v>0</v>
      </c>
      <c r="BT27" s="513">
        <f>+[6]Report1!J32</f>
        <v>0.80693926922324177</v>
      </c>
      <c r="BU27" s="514">
        <f>+[6]Report1!K32</f>
        <v>0.53287600769733623</v>
      </c>
      <c r="BV27" s="514">
        <f>+[6]Report1!BA32</f>
        <v>0.83318679818975483</v>
      </c>
      <c r="BW27" s="514">
        <f>+[6]Report1!BB32</f>
        <v>0.82198787382093152</v>
      </c>
      <c r="BX27" s="511">
        <f>+[6]Report1!R32</f>
        <v>38.56</v>
      </c>
      <c r="BY27" s="511">
        <f>+[6]Report1!S32</f>
        <v>659.70100000000002</v>
      </c>
      <c r="BZ27" s="515">
        <f>+[6]Report1!X32</f>
        <v>110.54564214103092</v>
      </c>
      <c r="CA27" s="515">
        <f>+[6]Report1!Y32</f>
        <v>99.456125379500079</v>
      </c>
      <c r="CB27" s="511">
        <f>+[6]Report1!AD32</f>
        <v>2.3314315352697097</v>
      </c>
      <c r="CC27" s="511">
        <f>+[6]Report1!AE32</f>
        <v>2.3031646154848939</v>
      </c>
      <c r="CD27" s="515">
        <f>+[6]Report1!AJ32</f>
        <v>0</v>
      </c>
      <c r="CE27" s="515">
        <f>+[6]Report1!AK32</f>
        <v>0</v>
      </c>
      <c r="CF27" s="515">
        <f>+[6]Report1!AP32</f>
        <v>1166.7061721991709</v>
      </c>
      <c r="CG27" s="515">
        <f>+[6]Report1!AQ32</f>
        <v>1010.4789630453801</v>
      </c>
      <c r="CH27" s="515">
        <f>+[6]Report1!AV32</f>
        <v>0</v>
      </c>
      <c r="CI27" s="515">
        <f>+[6]Report1!AW32</f>
        <v>0</v>
      </c>
      <c r="CJ27" s="515"/>
      <c r="CK27" s="516"/>
    </row>
    <row r="28" spans="1:89" ht="12.75" customHeight="1">
      <c r="A28" s="568">
        <f t="shared" si="0"/>
        <v>45955</v>
      </c>
      <c r="B28" s="513">
        <f>+Report1!J33</f>
        <v>0.67129498069958682</v>
      </c>
      <c r="C28" s="514">
        <f>+Report1!K33</f>
        <v>0.83528664300508237</v>
      </c>
      <c r="D28" s="514">
        <f>+Report1!AJ33</f>
        <v>0.67129498069958682</v>
      </c>
      <c r="E28" s="514">
        <f>+Report1!AK33</f>
        <v>0.85899717582447566</v>
      </c>
      <c r="F28" s="511">
        <f>+Report1!R33</f>
        <v>45.805</v>
      </c>
      <c r="G28" s="511">
        <f>+Report1!S33</f>
        <v>1336.2809999999997</v>
      </c>
      <c r="H28" s="511">
        <f>+Report1!X33</f>
        <v>2.9895644580285996</v>
      </c>
      <c r="I28" s="511">
        <f>+Report1!Y33</f>
        <v>2.3362728348303992</v>
      </c>
      <c r="J28" s="511">
        <f>+Report1!AD33</f>
        <v>1031.9973801986364</v>
      </c>
      <c r="K28" s="512">
        <f>+Report1!AE33</f>
        <v>1000.4032385403954</v>
      </c>
      <c r="L28" s="513">
        <f>+[1]Report1!J33</f>
        <v>0.97513906297977015</v>
      </c>
      <c r="M28" s="514">
        <f>+[1]Report1!K33</f>
        <v>0.82116510293691014</v>
      </c>
      <c r="N28" s="514">
        <f>+[1]Report1!BJ33</f>
        <v>0.97513906297977015</v>
      </c>
      <c r="O28" s="514">
        <f>+[1]Report1!BK33</f>
        <v>0.865070935658247</v>
      </c>
      <c r="P28" s="511">
        <f>+[1]Report1!R33</f>
        <v>65.763999999999996</v>
      </c>
      <c r="Q28" s="511">
        <f>+[1]Report1!S33</f>
        <v>1277.4389999999999</v>
      </c>
      <c r="R28" s="511">
        <f>+[1]Report1!AL33</f>
        <v>1.8971017578006204</v>
      </c>
      <c r="S28" s="511">
        <f>+[1]Report1!AM33</f>
        <v>2.3916789764521051</v>
      </c>
      <c r="T28" s="511">
        <f>+[1]Report1!AR33</f>
        <v>0.29195304421872148</v>
      </c>
      <c r="U28" s="511">
        <f>+[1]Report1!AS33</f>
        <v>0.2454911741382563</v>
      </c>
      <c r="V28" s="511">
        <f>+[1]Report1!AX33</f>
        <v>471.32412870263062</v>
      </c>
      <c r="W28" s="511">
        <f>+[1]Report1!AY33</f>
        <v>634.45241612319626</v>
      </c>
      <c r="X28" s="511">
        <f>+[1]Report1!BD33</f>
        <v>448.11751110029803</v>
      </c>
      <c r="Y28" s="589">
        <f>+[1]Report1!BE33</f>
        <v>512.78580660211571</v>
      </c>
      <c r="Z28" s="513">
        <f>+[2]Report1!J33</f>
        <v>0</v>
      </c>
      <c r="AA28" s="514">
        <f>+[2]Report1!K33</f>
        <v>0.60803858504017794</v>
      </c>
      <c r="AB28" s="514" t="e">
        <f>+[2]Report1!BC33</f>
        <v>#DIV/0!</v>
      </c>
      <c r="AC28" s="514">
        <f>+[2]Report1!BD33</f>
        <v>0.86113929798363087</v>
      </c>
      <c r="AD28" s="511">
        <f>+[2]Report1!R33</f>
        <v>0</v>
      </c>
      <c r="AE28" s="511">
        <f>+[2]Report1!S33</f>
        <v>665.55100000000004</v>
      </c>
      <c r="AF28" s="511">
        <f>+[2]Report1!X33</f>
        <v>0</v>
      </c>
      <c r="AG28" s="511">
        <f>+[2]Report1!Y33</f>
        <v>108.02163903640871</v>
      </c>
      <c r="AH28" s="511">
        <f>+[2]Report1!AD33</f>
        <v>0</v>
      </c>
      <c r="AI28" s="511">
        <f>+[2]Report1!AE33</f>
        <v>1.8088771559204333</v>
      </c>
      <c r="AJ28" s="511">
        <f>+[2]Report1!AJ33</f>
        <v>0</v>
      </c>
      <c r="AK28" s="589">
        <f>+[2]Report1!AK33</f>
        <v>1078.3363558915846</v>
      </c>
      <c r="AL28" s="600">
        <f>+[3]Report1!AP33</f>
        <v>0</v>
      </c>
      <c r="AM28" s="601">
        <f>+[3]Report1!AQ33</f>
        <v>0</v>
      </c>
      <c r="AN28" s="513">
        <f>+[4]Report1!J33</f>
        <v>0.8343555785071024</v>
      </c>
      <c r="AO28" s="514">
        <f>+[4]Report1!K33</f>
        <v>0.79508764768484597</v>
      </c>
      <c r="AP28" s="514">
        <f>+[4]Report1!BN33</f>
        <v>0.8343555785071024</v>
      </c>
      <c r="AQ28" s="514">
        <f>+[4]Report1!BO33</f>
        <v>0.79883960938519316</v>
      </c>
      <c r="AR28" s="511">
        <f>+[4]Report1!R33</f>
        <v>44.04</v>
      </c>
      <c r="AS28" s="511">
        <f>+[4]Report1!S33</f>
        <v>1050.5670000000002</v>
      </c>
      <c r="AT28" s="515">
        <f>+[4]Report1!AF33</f>
        <v>83.64112792172709</v>
      </c>
      <c r="AU28" s="515">
        <f>+[4]Report1!AG33</f>
        <v>119.94507729861152</v>
      </c>
      <c r="AV28" s="511">
        <f>+[4]Report1!AL33</f>
        <v>1.530426884650318</v>
      </c>
      <c r="AW28" s="511">
        <f>+[4]Report1!AM33</f>
        <v>1.4829135124175801</v>
      </c>
      <c r="AX28" s="511">
        <f>+[4]Report1!AR33</f>
        <v>0.22479564032697549</v>
      </c>
      <c r="AY28" s="511">
        <f>+[4]Report1!AS33</f>
        <v>0.18970708198525177</v>
      </c>
      <c r="AZ28" s="511">
        <f>+[4]Report1!AX33</f>
        <v>866.49954586739307</v>
      </c>
      <c r="BA28" s="511">
        <f>+[4]Report1!AY33</f>
        <v>906.27046156979986</v>
      </c>
      <c r="BB28" s="511">
        <f>+[4]Report1!BD33</f>
        <v>535.87647593097188</v>
      </c>
      <c r="BC28" s="589">
        <f>+[4]Report1!BE33</f>
        <v>484.25698884507125</v>
      </c>
      <c r="BD28" s="511">
        <f>+[4]Report1!BJ33</f>
        <v>2.7247956403269753</v>
      </c>
      <c r="BE28" s="511">
        <f>+[4]Report1!BK33</f>
        <v>2.8080074854816486</v>
      </c>
      <c r="BF28" s="513">
        <f>+[5]Report1!J33</f>
        <v>0.88950665109299365</v>
      </c>
      <c r="BG28" s="514">
        <f>+[5]Report1!K33</f>
        <v>0.85705205286257669</v>
      </c>
      <c r="BH28" s="514">
        <f>+[5]Report1!AN33</f>
        <v>0.88950665109299365</v>
      </c>
      <c r="BI28" s="514">
        <f>+[5]Report1!AO33</f>
        <v>0.8686705767165499</v>
      </c>
      <c r="BJ28" s="511">
        <f>+[5]Report1!R33</f>
        <v>46.290999999999997</v>
      </c>
      <c r="BK28" s="511">
        <f>+[5]Report1!S33</f>
        <v>1138.7239999999999</v>
      </c>
      <c r="BL28" s="511">
        <f>+[5]Report1!AD33</f>
        <v>2.9141733814348365</v>
      </c>
      <c r="BM28" s="511">
        <f>+[5]Report1!AE33</f>
        <v>2.7442119424900149</v>
      </c>
      <c r="BN28" s="515">
        <v>0</v>
      </c>
      <c r="BO28" s="515">
        <v>0</v>
      </c>
      <c r="BP28" s="515">
        <f>+[5]Report1!AJ33</f>
        <v>1077.4439955930961</v>
      </c>
      <c r="BQ28" s="515">
        <f>+[5]Report1!AK33</f>
        <v>1064.8529209887556</v>
      </c>
      <c r="BR28" s="515">
        <v>0</v>
      </c>
      <c r="BS28" s="516">
        <v>0</v>
      </c>
      <c r="BT28" s="513">
        <f>+[6]Report1!J33</f>
        <v>0.46427469827431206</v>
      </c>
      <c r="BU28" s="514">
        <f>+[6]Report1!K33</f>
        <v>0.53022159835193838</v>
      </c>
      <c r="BV28" s="514">
        <f>+[6]Report1!BA33</f>
        <v>0.46427469827431206</v>
      </c>
      <c r="BW28" s="514">
        <f>+[6]Report1!BB33</f>
        <v>0.80107629163125771</v>
      </c>
      <c r="BX28" s="511">
        <f>+[6]Report1!R33</f>
        <v>23.135000000000002</v>
      </c>
      <c r="BY28" s="511">
        <f>+[6]Report1!S33</f>
        <v>682.83600000000001</v>
      </c>
      <c r="BZ28" s="515">
        <f>+[6]Report1!X33</f>
        <v>134.53402750495522</v>
      </c>
      <c r="CA28" s="515">
        <f>+[6]Report1!Y33</f>
        <v>100.6445912273353</v>
      </c>
      <c r="CB28" s="511">
        <f>+[6]Report1!AD33</f>
        <v>3.7907931705208555</v>
      </c>
      <c r="CC28" s="511">
        <f>+[6]Report1!AE33</f>
        <v>2.3535665957858112</v>
      </c>
      <c r="CD28" s="515">
        <f>+[6]Report1!AJ33</f>
        <v>0</v>
      </c>
      <c r="CE28" s="515">
        <f>+[6]Report1!AK33</f>
        <v>0</v>
      </c>
      <c r="CF28" s="515">
        <f>+[6]Report1!AP33</f>
        <v>1845.0814782796624</v>
      </c>
      <c r="CG28" s="515">
        <f>+[6]Report1!AQ33</f>
        <v>1038.7559273383365</v>
      </c>
      <c r="CH28" s="515">
        <f>+[6]Report1!AV33</f>
        <v>0</v>
      </c>
      <c r="CI28" s="515">
        <f>+[6]Report1!AW33</f>
        <v>0</v>
      </c>
      <c r="CJ28" s="515"/>
      <c r="CK28" s="516"/>
    </row>
    <row r="29" spans="1:89" ht="12.75" customHeight="1">
      <c r="A29" s="568">
        <f t="shared" si="0"/>
        <v>45956</v>
      </c>
      <c r="B29" s="513">
        <f>+Report1!J34</f>
        <v>0.66534898440076218</v>
      </c>
      <c r="C29" s="514">
        <f>+Report1!K34</f>
        <v>0.82857742267349421</v>
      </c>
      <c r="D29" s="514">
        <f>+Report1!AJ34</f>
        <v>0.66534898440076218</v>
      </c>
      <c r="E29" s="514">
        <f>+Report1!AK34</f>
        <v>0.8511436327751507</v>
      </c>
      <c r="F29" s="511">
        <f>+Report1!R34</f>
        <v>43.750999999999998</v>
      </c>
      <c r="G29" s="511">
        <f>+Report1!S34</f>
        <v>1380.0319999999997</v>
      </c>
      <c r="H29" s="511">
        <f>+Report1!X34</f>
        <v>2.857671824644008</v>
      </c>
      <c r="I29" s="511">
        <f>+Report1!Y34</f>
        <v>2.3528026886333073</v>
      </c>
      <c r="J29" s="511">
        <f>+Report1!AD34</f>
        <v>1026.9529839318816</v>
      </c>
      <c r="K29" s="512">
        <f>+Report1!AE34</f>
        <v>1001.2449421462703</v>
      </c>
      <c r="L29" s="513">
        <f>+[1]Report1!J34</f>
        <v>0.97980613190252985</v>
      </c>
      <c r="M29" s="514">
        <f>+[1]Report1!K34</f>
        <v>0.82770200876517019</v>
      </c>
      <c r="N29" s="514">
        <f>+[1]Report1!BJ34</f>
        <v>0.97026283953750847</v>
      </c>
      <c r="O29" s="514">
        <f>+[1]Report1!BK34</f>
        <v>0.86967000824856766</v>
      </c>
      <c r="P29" s="511">
        <f>+[1]Report1!R34</f>
        <v>65.506</v>
      </c>
      <c r="Q29" s="511">
        <f>+[1]Report1!S34</f>
        <v>1342.9449999999999</v>
      </c>
      <c r="R29" s="511">
        <f>+[1]Report1!AL34</f>
        <v>1.8967728147039966</v>
      </c>
      <c r="S29" s="511">
        <f>+[1]Report1!AM34</f>
        <v>2.3675385067891841</v>
      </c>
      <c r="T29" s="511">
        <f>+[1]Report1!AR34</f>
        <v>0.19540194791316826</v>
      </c>
      <c r="U29" s="511">
        <f>+[1]Report1!AS34</f>
        <v>0.24304792824724764</v>
      </c>
      <c r="V29" s="511">
        <f>+[1]Report1!AX34</f>
        <v>499.03413427777895</v>
      </c>
      <c r="W29" s="511">
        <f>+[1]Report1!AY34</f>
        <v>627.84700043560963</v>
      </c>
      <c r="X29" s="511">
        <f>+[1]Report1!BD34</f>
        <v>307.13217109883061</v>
      </c>
      <c r="Y29" s="589">
        <f>+[1]Report1!BE34</f>
        <v>502.75445978800326</v>
      </c>
      <c r="Z29" s="513">
        <f>+[2]Report1!J34</f>
        <v>0</v>
      </c>
      <c r="AA29" s="514">
        <f>+[2]Report1!K34</f>
        <v>0.58507548167555523</v>
      </c>
      <c r="AB29" s="514" t="e">
        <f>+[2]Report1!BC34</f>
        <v>#DIV/0!</v>
      </c>
      <c r="AC29" s="514">
        <f>+[2]Report1!BD34</f>
        <v>0.86113929798363087</v>
      </c>
      <c r="AD29" s="511">
        <f>+[2]Report1!R34</f>
        <v>0</v>
      </c>
      <c r="AE29" s="511">
        <f>+[2]Report1!S34</f>
        <v>665.55100000000004</v>
      </c>
      <c r="AF29" s="511">
        <f>+[2]Report1!X34</f>
        <v>0</v>
      </c>
      <c r="AG29" s="511">
        <f>+[2]Report1!Y34</f>
        <v>108.15280690087724</v>
      </c>
      <c r="AH29" s="511">
        <f>+[2]Report1!AD34</f>
        <v>0</v>
      </c>
      <c r="AI29" s="511">
        <f>+[2]Report1!AE34</f>
        <v>1.8494450462849583</v>
      </c>
      <c r="AJ29" s="511">
        <f>+[2]Report1!AJ34</f>
        <v>0</v>
      </c>
      <c r="AK29" s="589">
        <f>+[2]Report1!AK34</f>
        <v>1085.3985043971074</v>
      </c>
      <c r="AL29" s="600">
        <f>+[3]Report1!AP34</f>
        <v>0</v>
      </c>
      <c r="AM29" s="601">
        <f>+[3]Report1!AQ34</f>
        <v>0</v>
      </c>
      <c r="AN29" s="513">
        <f>+[4]Report1!J34</f>
        <v>0.32501563337149919</v>
      </c>
      <c r="AO29" s="514">
        <f>+[4]Report1!K34</f>
        <v>0.77689869989566374</v>
      </c>
      <c r="AP29" s="514">
        <f>+[4]Report1!BN34</f>
        <v>0.6056308259807226</v>
      </c>
      <c r="AQ29" s="514">
        <f>+[4]Report1!BO34</f>
        <v>0.79473544720239964</v>
      </c>
      <c r="AR29" s="511">
        <f>+[4]Report1!R34</f>
        <v>17.286000000000001</v>
      </c>
      <c r="AS29" s="511">
        <f>+[4]Report1!S34</f>
        <v>1067.8530000000003</v>
      </c>
      <c r="AT29" s="515">
        <f>+[4]Report1!AF34</f>
        <v>106.76847015210043</v>
      </c>
      <c r="AU29" s="515">
        <f>+[4]Report1!AG34</f>
        <v>119.73177937171091</v>
      </c>
      <c r="AV29" s="511">
        <f>+[4]Report1!AL34</f>
        <v>3.5346523197963666</v>
      </c>
      <c r="AW29" s="511">
        <f>+[4]Report1!AM34</f>
        <v>1.5161262832992926</v>
      </c>
      <c r="AX29" s="511">
        <f>+[4]Report1!AR34</f>
        <v>0.30082147402522269</v>
      </c>
      <c r="AY29" s="511">
        <f>+[4]Report1!AS34</f>
        <v>0.1915057596878971</v>
      </c>
      <c r="AZ29" s="511">
        <f>+[4]Report1!AX34</f>
        <v>1938.5757260210582</v>
      </c>
      <c r="BA29" s="511">
        <f>+[4]Report1!AY34</f>
        <v>922.98102828760125</v>
      </c>
      <c r="BB29" s="511">
        <f>+[4]Report1!BD34</f>
        <v>670.48478537544827</v>
      </c>
      <c r="BC29" s="589">
        <f>+[4]Report1!BE34</f>
        <v>487.27157389640706</v>
      </c>
      <c r="BD29" s="511">
        <f>+[4]Report1!BJ34</f>
        <v>4.0495198426472285</v>
      </c>
      <c r="BE29" s="511">
        <f>+[4]Report1!BK34</f>
        <v>2.8281046173958395</v>
      </c>
      <c r="BF29" s="513">
        <f>+[5]Report1!J34</f>
        <v>0.81208703577124641</v>
      </c>
      <c r="BG29" s="514">
        <f>+[5]Report1!K34</f>
        <v>0.85533759323814884</v>
      </c>
      <c r="BH29" s="514">
        <f>+[5]Report1!AN34</f>
        <v>0.81208703577124641</v>
      </c>
      <c r="BI29" s="514">
        <f>+[5]Report1!AO34</f>
        <v>0.866484999728655</v>
      </c>
      <c r="BJ29" s="511">
        <f>+[5]Report1!R34</f>
        <v>42.771000000000001</v>
      </c>
      <c r="BK29" s="511">
        <f>+[5]Report1!S34</f>
        <v>1181.4949999999999</v>
      </c>
      <c r="BL29" s="511">
        <f>+[5]Report1!AD34</f>
        <v>3.175048514180169</v>
      </c>
      <c r="BM29" s="511">
        <f>+[5]Report1!AE34</f>
        <v>2.7598085476451444</v>
      </c>
      <c r="BN29" s="515">
        <v>0</v>
      </c>
      <c r="BO29" s="515">
        <v>0</v>
      </c>
      <c r="BP29" s="515">
        <f>+[5]Report1!AJ34</f>
        <v>1108.9366626920107</v>
      </c>
      <c r="BQ29" s="515">
        <f>+[5]Report1!AK34</f>
        <v>1066.4487853101366</v>
      </c>
      <c r="BR29" s="515">
        <v>0</v>
      </c>
      <c r="BS29" s="516">
        <v>0</v>
      </c>
      <c r="BT29" s="513">
        <f>+[6]Report1!J34</f>
        <v>0.49465140196536939</v>
      </c>
      <c r="BU29" s="514">
        <f>+[6]Report1!K34</f>
        <v>0.5289248069736836</v>
      </c>
      <c r="BV29" s="514">
        <f>+[6]Report1!BA34</f>
        <v>0.83570358095048725</v>
      </c>
      <c r="BW29" s="514">
        <f>+[6]Report1!BB34</f>
        <v>0.80220958732884828</v>
      </c>
      <c r="BX29" s="511">
        <f>+[6]Report1!R34</f>
        <v>24.103000000000002</v>
      </c>
      <c r="BY29" s="511">
        <f>+[6]Report1!S34</f>
        <v>706.93899999999996</v>
      </c>
      <c r="BZ29" s="515">
        <f>+[6]Report1!X34</f>
        <v>51.242638741480434</v>
      </c>
      <c r="CA29" s="515">
        <f>+[6]Report1!Y34</f>
        <v>98.960237611582656</v>
      </c>
      <c r="CB29" s="511">
        <f>+[6]Report1!AD34</f>
        <v>3.2858980209932374</v>
      </c>
      <c r="CC29" s="511">
        <f>+[6]Report1!AE34</f>
        <v>2.3853543233574612</v>
      </c>
      <c r="CD29" s="515">
        <f>+[6]Report1!AJ34</f>
        <v>0</v>
      </c>
      <c r="CE29" s="515">
        <f>+[6]Report1!AK34</f>
        <v>0</v>
      </c>
      <c r="CF29" s="515">
        <f>+[6]Report1!AP34</f>
        <v>1365.4038916317477</v>
      </c>
      <c r="CG29" s="515">
        <f>+[6]Report1!AQ34</f>
        <v>1049.8929503111308</v>
      </c>
      <c r="CH29" s="515">
        <f>+[6]Report1!AV34</f>
        <v>0</v>
      </c>
      <c r="CI29" s="515">
        <f>+[6]Report1!AW34</f>
        <v>0</v>
      </c>
      <c r="CJ29" s="515"/>
      <c r="CK29" s="516"/>
    </row>
    <row r="30" spans="1:89" ht="12.75" customHeight="1">
      <c r="A30" s="568">
        <f t="shared" si="0"/>
        <v>45957</v>
      </c>
      <c r="B30" s="513">
        <f>+Report1!J35</f>
        <v>0.72930116213233642</v>
      </c>
      <c r="C30" s="514">
        <f>+Report1!K35</f>
        <v>0.82457683940231963</v>
      </c>
      <c r="D30" s="514">
        <f>+Report1!AJ35</f>
        <v>0.72930116213233642</v>
      </c>
      <c r="E30" s="514">
        <f>+Report1!AK35</f>
        <v>0.84610549563665283</v>
      </c>
      <c r="F30" s="511">
        <f>+Report1!R35</f>
        <v>51.003999999999998</v>
      </c>
      <c r="G30" s="511">
        <f>+Report1!S35</f>
        <v>1431.0359999999996</v>
      </c>
      <c r="H30" s="511">
        <f>+Report1!X35</f>
        <v>2.6512430397615874</v>
      </c>
      <c r="I30" s="511">
        <f>+Report1!Y35</f>
        <v>2.3634394941846333</v>
      </c>
      <c r="J30" s="511">
        <f>+Report1!AD35</f>
        <v>975.25331346554935</v>
      </c>
      <c r="K30" s="512">
        <f>+Report1!AE35</f>
        <v>1000.31856640923</v>
      </c>
      <c r="L30" s="513">
        <f>+[1]Report1!J35</f>
        <v>0.90811978066880017</v>
      </c>
      <c r="M30" s="514">
        <f>+[1]Report1!K35</f>
        <v>0.83081240986881533</v>
      </c>
      <c r="N30" s="514">
        <f>+[1]Report1!BJ35</f>
        <v>0.90811978066880017</v>
      </c>
      <c r="O30" s="514">
        <f>+[1]Report1!BK35</f>
        <v>0.87122951672795923</v>
      </c>
      <c r="P30" s="511">
        <f>+[1]Report1!R35</f>
        <v>59.281999999999996</v>
      </c>
      <c r="Q30" s="511">
        <f>+[1]Report1!S35</f>
        <v>1402.2269999999999</v>
      </c>
      <c r="R30" s="511">
        <f>+[1]Report1!AL35</f>
        <v>1.9202962113289026</v>
      </c>
      <c r="S30" s="511">
        <f>+[1]Report1!AM35</f>
        <v>2.3486304285967972</v>
      </c>
      <c r="T30" s="511">
        <f>+[1]Report1!AR35</f>
        <v>0.32387571269525323</v>
      </c>
      <c r="U30" s="511">
        <f>+[1]Report1!AS35</f>
        <v>0.24646508732181024</v>
      </c>
      <c r="V30" s="511">
        <f>+[1]Report1!AX35</f>
        <v>494.61944603758582</v>
      </c>
      <c r="W30" s="511">
        <f>+[1]Report1!AY35</f>
        <v>622.21453445126929</v>
      </c>
      <c r="X30" s="511">
        <f>+[1]Report1!BD35</f>
        <v>486.94376033197261</v>
      </c>
      <c r="Y30" s="589">
        <f>+[1]Report1!BE35</f>
        <v>502.08603029324075</v>
      </c>
      <c r="Z30" s="513">
        <f>+[2]Report1!J35</f>
        <v>0.27892518175260894</v>
      </c>
      <c r="AA30" s="514">
        <f>+[2]Report1!K35</f>
        <v>0.57172778935844437</v>
      </c>
      <c r="AB30" s="514">
        <f>+[2]Report1!BC35</f>
        <v>0.44040818171464569</v>
      </c>
      <c r="AC30" s="514">
        <f>+[2]Report1!BD35</f>
        <v>0.84398960799525446</v>
      </c>
      <c r="AD30" s="511">
        <f>+[2]Report1!R35</f>
        <v>14.464</v>
      </c>
      <c r="AE30" s="511">
        <f>+[2]Report1!S35</f>
        <v>680.0150000000001</v>
      </c>
      <c r="AF30" s="511">
        <f>+[2]Report1!X35</f>
        <v>191.76796484896425</v>
      </c>
      <c r="AG30" s="511">
        <f>+[2]Report1!Y35</f>
        <v>109.93131126410617</v>
      </c>
      <c r="AH30" s="511">
        <f>+[2]Report1!AD35</f>
        <v>3.2148783185840708</v>
      </c>
      <c r="AI30" s="511">
        <f>+[2]Report1!AE35</f>
        <v>1.8784879745299738</v>
      </c>
      <c r="AJ30" s="511">
        <f>+[2]Report1!AJ35</f>
        <v>1643.5163163717568</v>
      </c>
      <c r="AK30" s="589">
        <f>+[2]Report1!AK35</f>
        <v>1097.2697366969851</v>
      </c>
      <c r="AL30" s="600">
        <f>+[3]Report1!AP35</f>
        <v>0</v>
      </c>
      <c r="AM30" s="601">
        <f>+[3]Report1!AQ35</f>
        <v>0</v>
      </c>
      <c r="AN30" s="513">
        <f>+[4]Report1!J35</f>
        <v>0.91180863207174212</v>
      </c>
      <c r="AO30" s="514">
        <f>+[4]Report1!K35</f>
        <v>0.78205065864074841</v>
      </c>
      <c r="AP30" s="514">
        <f>+[4]Report1!BN35</f>
        <v>0.91180863207174212</v>
      </c>
      <c r="AQ30" s="514">
        <f>+[4]Report1!BO35</f>
        <v>0.79930489237715385</v>
      </c>
      <c r="AR30" s="511">
        <f>+[4]Report1!R35</f>
        <v>49.761000000000003</v>
      </c>
      <c r="AS30" s="511">
        <f>+[4]Report1!S35</f>
        <v>1117.6140000000003</v>
      </c>
      <c r="AT30" s="515">
        <f>+[4]Report1!AF35</f>
        <v>114.200154893877</v>
      </c>
      <c r="AU30" s="515">
        <f>+[4]Report1!AG35</f>
        <v>119.48548757003208</v>
      </c>
      <c r="AV30" s="511">
        <f>+[4]Report1!AL35</f>
        <v>1.2459556680934869</v>
      </c>
      <c r="AW30" s="511">
        <f>+[4]Report1!AM35</f>
        <v>1.5040971211885317</v>
      </c>
      <c r="AX30" s="511">
        <f>+[4]Report1!AR35</f>
        <v>0.1728261088000643</v>
      </c>
      <c r="AY30" s="511">
        <f>+[4]Report1!AS35</f>
        <v>0.19067406099064613</v>
      </c>
      <c r="AZ30" s="511">
        <f>+[4]Report1!AX35</f>
        <v>784.18480336006235</v>
      </c>
      <c r="BA30" s="511">
        <f>+[4]Report1!AY35</f>
        <v>916.80122117296298</v>
      </c>
      <c r="BB30" s="511">
        <f>+[4]Report1!BD35</f>
        <v>445.73059223086631</v>
      </c>
      <c r="BC30" s="589">
        <f>+[4]Report1!BE35</f>
        <v>485.42199006096934</v>
      </c>
      <c r="BD30" s="511">
        <f>+[4]Report1!BJ35</f>
        <v>2.8134482827917444</v>
      </c>
      <c r="BE30" s="511">
        <f>+[4]Report1!BK35</f>
        <v>2.8274520541081261</v>
      </c>
      <c r="BF30" s="513">
        <f>+[5]Report1!J35</f>
        <v>0.73505445590878105</v>
      </c>
      <c r="BG30" s="514">
        <f>+[5]Report1!K35</f>
        <v>0.85098125627830346</v>
      </c>
      <c r="BH30" s="514">
        <f>+[5]Report1!AN35</f>
        <v>0.73505445590878105</v>
      </c>
      <c r="BI30" s="514">
        <f>+[5]Report1!AO35</f>
        <v>0.86166517143131294</v>
      </c>
      <c r="BJ30" s="511">
        <f>+[5]Report1!R35</f>
        <v>38.155000000000001</v>
      </c>
      <c r="BK30" s="511">
        <f>+[5]Report1!S35</f>
        <v>1219.6499999999999</v>
      </c>
      <c r="BL30" s="511">
        <f>+[5]Report1!AD35</f>
        <v>3.4884025684707112</v>
      </c>
      <c r="BM30" s="511">
        <f>+[5]Report1!AE35</f>
        <v>2.7826015660230397</v>
      </c>
      <c r="BN30" s="515">
        <v>0</v>
      </c>
      <c r="BO30" s="515">
        <v>0</v>
      </c>
      <c r="BP30" s="515">
        <f>+[5]Report1!AJ35</f>
        <v>1310.3847464290407</v>
      </c>
      <c r="BQ30" s="515">
        <f>+[5]Report1!AK35</f>
        <v>1074.0799717951872</v>
      </c>
      <c r="BR30" s="515">
        <v>0</v>
      </c>
      <c r="BS30" s="516">
        <v>0</v>
      </c>
      <c r="BT30" s="513">
        <f>+[6]Report1!J35</f>
        <v>0.56080583350215796</v>
      </c>
      <c r="BU30" s="514">
        <f>+[6]Report1!K35</f>
        <v>0.53005399515933571</v>
      </c>
      <c r="BV30" s="514">
        <f>+[6]Report1!BA35</f>
        <v>0.56080583350215796</v>
      </c>
      <c r="BW30" s="514">
        <f>+[6]Report1!BB35</f>
        <v>0.78947466982232872</v>
      </c>
      <c r="BX30" s="511">
        <f>+[6]Report1!R35</f>
        <v>27.523</v>
      </c>
      <c r="BY30" s="511">
        <f>+[6]Report1!S35</f>
        <v>734.46199999999999</v>
      </c>
      <c r="BZ30" s="515">
        <f>+[6]Report1!X35</f>
        <v>119.15685967192412</v>
      </c>
      <c r="CA30" s="515">
        <f>+[6]Report1!Y35</f>
        <v>99.717079529839523</v>
      </c>
      <c r="CB30" s="511">
        <f>+[6]Report1!AD35</f>
        <v>2.8594266613377903</v>
      </c>
      <c r="CC30" s="511">
        <f>+[6]Report1!AE35</f>
        <v>2.4031195623463164</v>
      </c>
      <c r="CD30" s="515">
        <f>+[6]Report1!AJ35</f>
        <v>0</v>
      </c>
      <c r="CE30" s="515">
        <f>+[6]Report1!AK35</f>
        <v>0</v>
      </c>
      <c r="CF30" s="515">
        <f>+[6]Report1!AP35</f>
        <v>1336.6177378919385</v>
      </c>
      <c r="CG30" s="515">
        <f>+[6]Report1!AQ35</f>
        <v>1060.6375856068798</v>
      </c>
      <c r="CH30" s="515">
        <f>+[6]Report1!AV35</f>
        <v>0</v>
      </c>
      <c r="CI30" s="515">
        <f>+[6]Report1!AW35</f>
        <v>0</v>
      </c>
      <c r="CJ30" s="515"/>
      <c r="CK30" s="516"/>
    </row>
    <row r="31" spans="1:89" ht="12.75" customHeight="1">
      <c r="A31" s="568">
        <f t="shared" si="0"/>
        <v>45958</v>
      </c>
      <c r="B31" s="513">
        <f>+Report1!J36</f>
        <v>0.7313933022456568</v>
      </c>
      <c r="C31" s="514">
        <f>+Report1!K36</f>
        <v>0.8211548736172527</v>
      </c>
      <c r="D31" s="514">
        <f>+Report1!AJ36</f>
        <v>0.7313933022456568</v>
      </c>
      <c r="E31" s="514">
        <f>+Report1!AK36</f>
        <v>0.84178709190901391</v>
      </c>
      <c r="F31" s="511">
        <f>+Report1!R36</f>
        <v>48.39</v>
      </c>
      <c r="G31" s="511">
        <f>+Report1!S36</f>
        <v>1479.4259999999997</v>
      </c>
      <c r="H31" s="511">
        <f>+Report1!X36</f>
        <v>2.6605290349245712</v>
      </c>
      <c r="I31" s="511">
        <f>+Report1!Y36</f>
        <v>2.3731568865222057</v>
      </c>
      <c r="J31" s="511">
        <f>+Report1!AD36</f>
        <v>922.47943790044064</v>
      </c>
      <c r="K31" s="512">
        <f>+Report1!AE36</f>
        <v>997.77255503147899</v>
      </c>
      <c r="L31" s="513">
        <f>+[1]Report1!J36</f>
        <v>0.97036088299112544</v>
      </c>
      <c r="M31" s="514">
        <f>+[1]Report1!K36</f>
        <v>0.83605348193671636</v>
      </c>
      <c r="N31" s="514">
        <f>+[1]Report1!BJ36</f>
        <v>0.97036088299112544</v>
      </c>
      <c r="O31" s="514">
        <f>+[1]Report1!BK36</f>
        <v>0.87512662950424813</v>
      </c>
      <c r="P31" s="511">
        <f>+[1]Report1!R36</f>
        <v>63.91</v>
      </c>
      <c r="Q31" s="511">
        <f>+[1]Report1!S36</f>
        <v>1466.1369999999999</v>
      </c>
      <c r="R31" s="511">
        <f>+[1]Report1!AL36</f>
        <v>1.8992332968236583</v>
      </c>
      <c r="S31" s="511">
        <f>+[1]Report1!AM36</f>
        <v>2.3290408740792987</v>
      </c>
      <c r="T31" s="511">
        <f>+[1]Report1!AR36</f>
        <v>0.28321076513847604</v>
      </c>
      <c r="U31" s="511">
        <f>+[1]Report1!AS36</f>
        <v>0.24806685869055894</v>
      </c>
      <c r="V31" s="511">
        <f>+[1]Report1!AX36</f>
        <v>420.42356438741388</v>
      </c>
      <c r="W31" s="511">
        <f>+[1]Report1!AY36</f>
        <v>613.41831629649857</v>
      </c>
      <c r="X31" s="511">
        <f>+[1]Report1!BD36</f>
        <v>461.86825222969804</v>
      </c>
      <c r="Y31" s="589">
        <f>+[1]Report1!BE36</f>
        <v>500.33290749773039</v>
      </c>
      <c r="Z31" s="513">
        <f>+[2]Report1!J36</f>
        <v>0.2042365760857677</v>
      </c>
      <c r="AA31" s="514">
        <f>+[2]Report1!K36</f>
        <v>0.55695656792940307</v>
      </c>
      <c r="AB31" s="514">
        <f>+[2]Report1!BC36</f>
        <v>0.2042365760857677</v>
      </c>
      <c r="AC31" s="514">
        <f>+[2]Report1!BD36</f>
        <v>0.80674226632022272</v>
      </c>
      <c r="AD31" s="511">
        <f>+[2]Report1!R36</f>
        <v>10.173</v>
      </c>
      <c r="AE31" s="511">
        <f>+[2]Report1!S36</f>
        <v>690.1880000000001</v>
      </c>
      <c r="AF31" s="511">
        <f>+[2]Report1!X36</f>
        <v>191.48266055033284</v>
      </c>
      <c r="AG31" s="511">
        <f>+[2]Report1!Y36</f>
        <v>111.13333430172604</v>
      </c>
      <c r="AH31" s="511">
        <f>+[2]Report1!AD36</f>
        <v>3.6862282512533175</v>
      </c>
      <c r="AI31" s="511">
        <f>+[2]Report1!AE36</f>
        <v>1.9051330941714433</v>
      </c>
      <c r="AJ31" s="511">
        <f>+[2]Report1!AJ36</f>
        <v>1898.041875552791</v>
      </c>
      <c r="AK31" s="589">
        <f>+[2]Report1!AK36</f>
        <v>1109.072687441681</v>
      </c>
      <c r="AL31" s="600">
        <f>+[3]Report1!AP36</f>
        <v>0</v>
      </c>
      <c r="AM31" s="601">
        <f>+[3]Report1!AQ36</f>
        <v>0</v>
      </c>
      <c r="AN31" s="513">
        <f>+[4]Report1!J36</f>
        <v>0.88749759282178886</v>
      </c>
      <c r="AO31" s="514">
        <f>+[4]Report1!K36</f>
        <v>0.78592278373794733</v>
      </c>
      <c r="AP31" s="514">
        <f>+[4]Report1!BN36</f>
        <v>0.88749759282178886</v>
      </c>
      <c r="AQ31" s="514">
        <f>+[4]Report1!BO36</f>
        <v>0.80261219502265613</v>
      </c>
      <c r="AR31" s="511">
        <f>+[4]Report1!R36</f>
        <v>48.348999999999997</v>
      </c>
      <c r="AS31" s="511">
        <f>+[4]Report1!S36</f>
        <v>1165.9630000000002</v>
      </c>
      <c r="AT31" s="515">
        <f>+[4]Report1!AF36</f>
        <v>120.94420605671908</v>
      </c>
      <c r="AU31" s="515">
        <f>+[4]Report1!AG36</f>
        <v>119.54597626488162</v>
      </c>
      <c r="AV31" s="511">
        <f>+[4]Report1!AL36</f>
        <v>1.2761380793811663</v>
      </c>
      <c r="AW31" s="511">
        <f>+[4]Report1!AM36</f>
        <v>1.4946443412012214</v>
      </c>
      <c r="AX31" s="511">
        <f>+[4]Report1!AR36</f>
        <v>0.17787337897371197</v>
      </c>
      <c r="AY31" s="511">
        <f>+[4]Report1!AS36</f>
        <v>0.19014325497464327</v>
      </c>
      <c r="AZ31" s="511">
        <f>+[4]Report1!AX36</f>
        <v>811.16010672402717</v>
      </c>
      <c r="BA31" s="511">
        <f>+[4]Report1!AY36</f>
        <v>912.42059996758042</v>
      </c>
      <c r="BB31" s="511">
        <f>+[4]Report1!BD36</f>
        <v>467.0210345612121</v>
      </c>
      <c r="BC31" s="589">
        <f>+[4]Report1!BE36</f>
        <v>484.65895744547652</v>
      </c>
      <c r="BD31" s="511">
        <f>+[4]Report1!BJ36</f>
        <v>2.8956131460836834</v>
      </c>
      <c r="BE31" s="511">
        <f>+[4]Report1!BK36</f>
        <v>2.8302784908268954</v>
      </c>
      <c r="BF31" s="513">
        <f>+[5]Report1!J36</f>
        <v>0.79284083043622589</v>
      </c>
      <c r="BG31" s="514">
        <f>+[5]Report1!K36</f>
        <v>0.84898180014360647</v>
      </c>
      <c r="BH31" s="514">
        <f>+[5]Report1!AN36</f>
        <v>0.79284083043622589</v>
      </c>
      <c r="BI31" s="514">
        <f>+[5]Report1!AO36</f>
        <v>0.85926961278484226</v>
      </c>
      <c r="BJ31" s="511">
        <f>+[5]Report1!R36</f>
        <v>40.47</v>
      </c>
      <c r="BK31" s="511">
        <f>+[5]Report1!S36</f>
        <v>1260.1199999999999</v>
      </c>
      <c r="BL31" s="511">
        <f>+[5]Report1!AD36</f>
        <v>3.3012107734124041</v>
      </c>
      <c r="BM31" s="511">
        <f>+[5]Report1!AE36</f>
        <v>2.7992572135987048</v>
      </c>
      <c r="BN31" s="515">
        <v>0</v>
      </c>
      <c r="BO31" s="515">
        <v>0</v>
      </c>
      <c r="BP31" s="515">
        <f>+[5]Report1!AJ36</f>
        <v>1117.2021250308771</v>
      </c>
      <c r="BQ31" s="515">
        <f>+[5]Report1!AK36</f>
        <v>1075.4648823921527</v>
      </c>
      <c r="BR31" s="515">
        <v>0</v>
      </c>
      <c r="BS31" s="516">
        <v>0</v>
      </c>
      <c r="BT31" s="513">
        <f>+[6]Report1!J36</f>
        <v>1.0354079048772293</v>
      </c>
      <c r="BU31" s="514">
        <f>+[6]Report1!K36</f>
        <v>0.54731994830388797</v>
      </c>
      <c r="BV31" s="514">
        <f>+[6]Report1!BA36</f>
        <v>1.0354079048772293</v>
      </c>
      <c r="BW31" s="514">
        <f>+[6]Report1!BB36</f>
        <v>0.80178382261850023</v>
      </c>
      <c r="BX31" s="511">
        <f>+[6]Report1!R36</f>
        <v>50.752000000000002</v>
      </c>
      <c r="BY31" s="511">
        <f>+[6]Report1!S36</f>
        <v>785.21399999999994</v>
      </c>
      <c r="BZ31" s="515">
        <f>+[6]Report1!X36</f>
        <v>78.568637208093321</v>
      </c>
      <c r="CA31" s="515">
        <f>+[6]Report1!Y36</f>
        <v>98.350158225948789</v>
      </c>
      <c r="CB31" s="511">
        <f>+[6]Report1!AD36</f>
        <v>1.8087957124842369</v>
      </c>
      <c r="CC31" s="511">
        <f>+[6]Report1!AE36</f>
        <v>2.3647056725937139</v>
      </c>
      <c r="CD31" s="515">
        <f>+[6]Report1!AJ36</f>
        <v>0</v>
      </c>
      <c r="CE31" s="515">
        <f>+[6]Report1!AK36</f>
        <v>0</v>
      </c>
      <c r="CF31" s="515">
        <f>+[6]Report1!AP36</f>
        <v>812.05016551071867</v>
      </c>
      <c r="CG31" s="515">
        <f>+[6]Report1!AQ36</f>
        <v>1044.5702348659097</v>
      </c>
      <c r="CH31" s="515">
        <f>+[6]Report1!AV36</f>
        <v>0</v>
      </c>
      <c r="CI31" s="515">
        <f>+[6]Report1!AW36</f>
        <v>0</v>
      </c>
      <c r="CJ31" s="515"/>
      <c r="CK31" s="516"/>
    </row>
    <row r="32" spans="1:89" ht="12.75" customHeight="1">
      <c r="A32" s="568">
        <f t="shared" si="0"/>
        <v>45959</v>
      </c>
      <c r="B32" s="513">
        <f>+Report1!J37</f>
        <v>0.94014828377734716</v>
      </c>
      <c r="C32" s="514">
        <f>+Report1!K37</f>
        <v>0.82534027937267795</v>
      </c>
      <c r="D32" s="514">
        <f>+Report1!AJ37</f>
        <v>0.94014828377734716</v>
      </c>
      <c r="E32" s="514">
        <f>+Report1!AK37</f>
        <v>0.8453305881987182</v>
      </c>
      <c r="F32" s="511">
        <f>+Report1!R37</f>
        <v>61.749000000000002</v>
      </c>
      <c r="G32" s="511">
        <f>+Report1!S37</f>
        <v>1541.1749999999997</v>
      </c>
      <c r="H32" s="511">
        <f>+Report1!X37</f>
        <v>2.0970542033069361</v>
      </c>
      <c r="I32" s="511">
        <f>+Report1!Y37</f>
        <v>2.3620945058153686</v>
      </c>
      <c r="J32" s="511">
        <f>+Report1!AD37</f>
        <v>860.25393123773779</v>
      </c>
      <c r="K32" s="512">
        <f>+Report1!AE37</f>
        <v>992.26270864762273</v>
      </c>
      <c r="L32" s="513">
        <f>+[1]Report1!J37</f>
        <v>0.98321760510606426</v>
      </c>
      <c r="M32" s="514">
        <f>+[1]Report1!K37</f>
        <v>0.84202816349355303</v>
      </c>
      <c r="N32" s="514">
        <f>+[1]Report1!BJ37</f>
        <v>0.98321760510606426</v>
      </c>
      <c r="O32" s="514">
        <f>+[1]Report1!BK37</f>
        <v>0.87971138147126959</v>
      </c>
      <c r="P32" s="511">
        <f>+[1]Report1!R37</f>
        <v>72.962999999999994</v>
      </c>
      <c r="Q32" s="511">
        <f>+[1]Report1!S37</f>
        <v>1539.1</v>
      </c>
      <c r="R32" s="511">
        <f>+[1]Report1!AL37</f>
        <v>1.98750051395913</v>
      </c>
      <c r="S32" s="511">
        <f>+[1]Report1!AM37</f>
        <v>2.3128497173672931</v>
      </c>
      <c r="T32" s="511">
        <f>+[1]Report1!AR37</f>
        <v>0.17406082534983486</v>
      </c>
      <c r="U32" s="511">
        <f>+[1]Report1!AS37</f>
        <v>0.24455850821908909</v>
      </c>
      <c r="V32" s="511">
        <f>+[1]Report1!AX37</f>
        <v>567.89523457095231</v>
      </c>
      <c r="W32" s="511">
        <f>+[1]Report1!AY37</f>
        <v>611.26023650185164</v>
      </c>
      <c r="X32" s="511">
        <f>+[1]Report1!BD37</f>
        <v>314.1181146608555</v>
      </c>
      <c r="Y32" s="589">
        <f>+[1]Report1!BE37</f>
        <v>491.50515755961277</v>
      </c>
      <c r="Z32" s="513">
        <f>+[2]Report1!J37</f>
        <v>0.23000544920340599</v>
      </c>
      <c r="AA32" s="514">
        <f>+[2]Report1!K37</f>
        <v>0.54544356618776801</v>
      </c>
      <c r="AB32" s="514">
        <f>+[2]Report1!BC37</f>
        <v>0.86028012169585621</v>
      </c>
      <c r="AC32" s="514">
        <f>+[2]Report1!BD37</f>
        <v>0.80748845980230732</v>
      </c>
      <c r="AD32" s="511">
        <f>+[2]Report1!R37</f>
        <v>10.403</v>
      </c>
      <c r="AE32" s="511">
        <f>+[2]Report1!S37</f>
        <v>700.59100000000012</v>
      </c>
      <c r="AF32" s="511">
        <f>+[2]Report1!X37</f>
        <v>56.619495384260659</v>
      </c>
      <c r="AG32" s="511">
        <f>+[2]Report1!Y37</f>
        <v>110.32386420254063</v>
      </c>
      <c r="AH32" s="511">
        <f>+[2]Report1!AD37</f>
        <v>1.3361530327790061</v>
      </c>
      <c r="AI32" s="511">
        <f>+[2]Report1!AE37</f>
        <v>1.8966843707669669</v>
      </c>
      <c r="AJ32" s="511">
        <f>+[2]Report1!AJ37</f>
        <v>1347.6074209363733</v>
      </c>
      <c r="AK32" s="589">
        <f>+[2]Report1!AK37</f>
        <v>1112.6146639051885</v>
      </c>
      <c r="AL32" s="600">
        <f>+[3]Report1!AP37</f>
        <v>0</v>
      </c>
      <c r="AM32" s="601">
        <f>+[3]Report1!AQ37</f>
        <v>0</v>
      </c>
      <c r="AN32" s="513">
        <f>+[4]Report1!J37</f>
        <v>0.84773450984723719</v>
      </c>
      <c r="AO32" s="514">
        <f>+[4]Report1!K37</f>
        <v>0.78803843059556644</v>
      </c>
      <c r="AP32" s="514">
        <f>+[4]Report1!BN37</f>
        <v>0.84773450984723719</v>
      </c>
      <c r="AQ32" s="514">
        <f>+[4]Report1!BO37</f>
        <v>0.80418825959973583</v>
      </c>
      <c r="AR32" s="511">
        <f>+[4]Report1!R37</f>
        <v>44.572000000000003</v>
      </c>
      <c r="AS32" s="511">
        <f>+[4]Report1!S37</f>
        <v>1210.5350000000003</v>
      </c>
      <c r="AT32" s="515">
        <f>+[4]Report1!AF37</f>
        <v>124.64298229155791</v>
      </c>
      <c r="AU32" s="515">
        <f>+[4]Report1!AG37</f>
        <v>119.73364845331153</v>
      </c>
      <c r="AV32" s="511">
        <f>+[4]Report1!AL37</f>
        <v>1.4201741003320469</v>
      </c>
      <c r="AW32" s="511">
        <f>+[4]Report1!AM37</f>
        <v>1.4919023407005989</v>
      </c>
      <c r="AX32" s="511">
        <f>+[4]Report1!AR37</f>
        <v>0.24230458583864309</v>
      </c>
      <c r="AY32" s="511">
        <f>+[4]Report1!AS37</f>
        <v>0.19206383954202066</v>
      </c>
      <c r="AZ32" s="511">
        <f>+[4]Report1!AX37</f>
        <v>917.37323880462986</v>
      </c>
      <c r="BA32" s="511">
        <f>+[4]Report1!AY37</f>
        <v>912.60295654400727</v>
      </c>
      <c r="BB32" s="511">
        <f>+[4]Report1!BD37</f>
        <v>608.67809387059049</v>
      </c>
      <c r="BC32" s="589">
        <f>+[4]Report1!BE37</f>
        <v>489.22535242681965</v>
      </c>
      <c r="BD32" s="511">
        <f>+[4]Report1!BJ37</f>
        <v>2.9166292739836668</v>
      </c>
      <c r="BE32" s="511">
        <f>+[4]Report1!BK37</f>
        <v>2.8334579338887349</v>
      </c>
      <c r="BF32" s="513">
        <f>+[5]Report1!J37</f>
        <v>0.82674455884845854</v>
      </c>
      <c r="BG32" s="514">
        <f>+[5]Report1!K37</f>
        <v>0.84822770152224869</v>
      </c>
      <c r="BH32" s="514">
        <f>+[5]Report1!AN37</f>
        <v>0.82674455884845854</v>
      </c>
      <c r="BI32" s="514">
        <f>+[5]Report1!AO37</f>
        <v>0.85815373172199161</v>
      </c>
      <c r="BJ32" s="511">
        <f>+[5]Report1!R37</f>
        <v>43.073999999999998</v>
      </c>
      <c r="BK32" s="511">
        <f>+[5]Report1!S37</f>
        <v>1303.194</v>
      </c>
      <c r="BL32" s="511">
        <f>+[5]Report1!AD37</f>
        <v>3.1620002785903329</v>
      </c>
      <c r="BM32" s="511">
        <f>+[5]Report1!AE37</f>
        <v>2.8112468289448844</v>
      </c>
      <c r="BN32" s="515">
        <v>0</v>
      </c>
      <c r="BO32" s="515">
        <v>0</v>
      </c>
      <c r="BP32" s="515">
        <f>+[5]Report1!AJ37</f>
        <v>1139.2891303338567</v>
      </c>
      <c r="BQ32" s="515">
        <f>+[5]Report1!AK37</f>
        <v>1077.5744421782174</v>
      </c>
      <c r="BR32" s="515">
        <v>0</v>
      </c>
      <c r="BS32" s="516">
        <v>0</v>
      </c>
      <c r="BT32" s="513">
        <f>+[6]Report1!J37</f>
        <v>0.82954698594074572</v>
      </c>
      <c r="BU32" s="514">
        <f>+[6]Report1!K37</f>
        <v>0.55677131086856846</v>
      </c>
      <c r="BV32" s="514">
        <f>+[6]Report1!BA37</f>
        <v>0.82954698594074572</v>
      </c>
      <c r="BW32" s="514">
        <f>+[6]Report1!BB37</f>
        <v>0.80312495307355136</v>
      </c>
      <c r="BX32" s="511">
        <f>+[6]Report1!R37</f>
        <v>41.235999999999997</v>
      </c>
      <c r="BY32" s="511">
        <f>+[6]Report1!S37</f>
        <v>826.44999999999993</v>
      </c>
      <c r="BZ32" s="515">
        <f>+[6]Report1!X37</f>
        <v>100.31041766461873</v>
      </c>
      <c r="CA32" s="515">
        <f>+[6]Report1!Y37</f>
        <v>98.447966028251415</v>
      </c>
      <c r="CB32" s="511">
        <f>+[6]Report1!AD37</f>
        <v>2.2553108933941219</v>
      </c>
      <c r="CC32" s="511">
        <f>+[6]Report1!AE37</f>
        <v>2.3592473833867751</v>
      </c>
      <c r="CD32" s="515">
        <f>+[6]Report1!AJ37</f>
        <v>0</v>
      </c>
      <c r="CE32" s="515">
        <f>+[6]Report1!AK37</f>
        <v>0</v>
      </c>
      <c r="CF32" s="515">
        <f>+[6]Report1!AP37</f>
        <v>1070.999611989525</v>
      </c>
      <c r="CG32" s="515">
        <f>+[6]Report1!AQ37</f>
        <v>1045.8889375037816</v>
      </c>
      <c r="CH32" s="515">
        <f>+[6]Report1!AV37</f>
        <v>0</v>
      </c>
      <c r="CI32" s="515">
        <f>+[6]Report1!AW37</f>
        <v>0</v>
      </c>
      <c r="CJ32" s="515"/>
      <c r="CK32" s="516"/>
    </row>
    <row r="33" spans="1:89" ht="12.75" customHeight="1">
      <c r="A33" s="568">
        <f t="shared" si="0"/>
        <v>45960</v>
      </c>
      <c r="B33" s="513">
        <f>+Report1!J38</f>
        <v>0.70458464433047752</v>
      </c>
      <c r="C33" s="514">
        <f>+Report1!K38</f>
        <v>0.82060090513527884</v>
      </c>
      <c r="D33" s="514">
        <f>+Report1!AJ38</f>
        <v>0.70458464433047752</v>
      </c>
      <c r="E33" s="514">
        <f>+Report1!AK38</f>
        <v>0.83967822080759025</v>
      </c>
      <c r="F33" s="511">
        <f>+Report1!R38</f>
        <v>53.747</v>
      </c>
      <c r="G33" s="511">
        <f>+Report1!S38</f>
        <v>1594.9219999999998</v>
      </c>
      <c r="H33" s="511">
        <f>+Report1!X38</f>
        <v>2.7069975998660389</v>
      </c>
      <c r="I33" s="511">
        <f>+Report1!Y38</f>
        <v>2.3737173353932044</v>
      </c>
      <c r="J33" s="511">
        <f>+Report1!AD38</f>
        <v>934.00450257687919</v>
      </c>
      <c r="K33" s="512">
        <f>+Report1!AE38</f>
        <v>990.29947546024152</v>
      </c>
      <c r="L33" s="513">
        <f>+[1]Report1!J38</f>
        <v>0.91218582770484657</v>
      </c>
      <c r="M33" s="514">
        <f>+[1]Report1!K38</f>
        <v>0.84479646872284542</v>
      </c>
      <c r="N33" s="514">
        <f>+[1]Report1!BJ38</f>
        <v>0.91218582770484657</v>
      </c>
      <c r="O33" s="514">
        <f>+[1]Report1!BK38</f>
        <v>0.88104775530928203</v>
      </c>
      <c r="P33" s="511">
        <f>+[1]Report1!R38</f>
        <v>68.492999999999995</v>
      </c>
      <c r="Q33" s="511">
        <f>+[1]Report1!S38</f>
        <v>1607.5929999999998</v>
      </c>
      <c r="R33" s="511">
        <f>+[1]Report1!AL38</f>
        <v>2.0809425780736714</v>
      </c>
      <c r="S33" s="511">
        <f>+[1]Report1!AM38</f>
        <v>2.3029690972777321</v>
      </c>
      <c r="T33" s="511">
        <f>+[1]Report1!AR38</f>
        <v>0.23360051392113065</v>
      </c>
      <c r="U33" s="511">
        <f>+[1]Report1!AS38</f>
        <v>0.24409163264582517</v>
      </c>
      <c r="V33" s="511">
        <f>+[1]Report1!AX38</f>
        <v>552.68421590527578</v>
      </c>
      <c r="W33" s="511">
        <f>+[1]Report1!AY38</f>
        <v>608.76455048012781</v>
      </c>
      <c r="X33" s="511">
        <f>+[1]Report1!BD38</f>
        <v>348.09396580672473</v>
      </c>
      <c r="Y33" s="589">
        <f>+[1]Report1!BE38</f>
        <v>485.39498990105091</v>
      </c>
      <c r="Z33" s="513">
        <f>+[2]Report1!J38</f>
        <v>0</v>
      </c>
      <c r="AA33" s="514">
        <f>+[2]Report1!K38</f>
        <v>0.52756301818136786</v>
      </c>
      <c r="AB33" s="514" t="e">
        <f>+[2]Report1!BC38</f>
        <v>#DIV/0!</v>
      </c>
      <c r="AC33" s="514">
        <f>+[2]Report1!BD38</f>
        <v>0.80748845980230732</v>
      </c>
      <c r="AD33" s="511">
        <f>+[2]Report1!R38</f>
        <v>0</v>
      </c>
      <c r="AE33" s="511">
        <f>+[2]Report1!S38</f>
        <v>700.59100000000012</v>
      </c>
      <c r="AF33" s="511">
        <f>+[2]Report1!X38</f>
        <v>0</v>
      </c>
      <c r="AG33" s="511">
        <f>+[2]Report1!Y38</f>
        <v>110.32386420254063</v>
      </c>
      <c r="AH33" s="511">
        <f>+[2]Report1!AD38</f>
        <v>0</v>
      </c>
      <c r="AI33" s="511">
        <f>+[2]Report1!AE38</f>
        <v>1.9172384458264526</v>
      </c>
      <c r="AJ33" s="511">
        <f>+[2]Report1!AJ38</f>
        <v>0</v>
      </c>
      <c r="AK33" s="589">
        <f>+[2]Report1!AK38</f>
        <v>1119.8522675855097</v>
      </c>
      <c r="AL33" s="600">
        <f>+[3]Report1!AP38</f>
        <v>0</v>
      </c>
      <c r="AM33" s="601">
        <f>+[3]Report1!AQ38</f>
        <v>0</v>
      </c>
      <c r="AN33" s="513">
        <f>+[4]Report1!J38</f>
        <v>0.82012367549707033</v>
      </c>
      <c r="AO33" s="514">
        <f>+[4]Report1!K38</f>
        <v>0.78914349694359243</v>
      </c>
      <c r="AP33" s="514">
        <f>+[4]Report1!BN38</f>
        <v>0.82012367549707033</v>
      </c>
      <c r="AQ33" s="514">
        <f>+[4]Report1!BO38</f>
        <v>0.80474795314266201</v>
      </c>
      <c r="AR33" s="511">
        <f>+[4]Report1!R38</f>
        <v>44.938000000000002</v>
      </c>
      <c r="AS33" s="511">
        <f>+[4]Report1!S38</f>
        <v>1255.4730000000004</v>
      </c>
      <c r="AT33" s="515">
        <f>+[4]Report1!AF38</f>
        <v>124.21549961800871</v>
      </c>
      <c r="AU33" s="515">
        <f>+[4]Report1!AG38</f>
        <v>119.89407040395415</v>
      </c>
      <c r="AV33" s="511">
        <f>+[4]Report1!AL38</f>
        <v>1.4108327028350169</v>
      </c>
      <c r="AW33" s="511">
        <f>+[4]Report1!AM38</f>
        <v>1.4890005599483218</v>
      </c>
      <c r="AX33" s="511">
        <f>+[4]Report1!AR38</f>
        <v>0.26480929280341803</v>
      </c>
      <c r="AY33" s="511">
        <f>+[4]Report1!AS38</f>
        <v>0.19466766708642874</v>
      </c>
      <c r="AZ33" s="511">
        <f>+[4]Report1!AX38</f>
        <v>912.82656103965553</v>
      </c>
      <c r="BA33" s="511">
        <f>+[4]Report1!AY38</f>
        <v>912.6109601719827</v>
      </c>
      <c r="BB33" s="511">
        <f>+[4]Report1!BD38</f>
        <v>600.0756597979431</v>
      </c>
      <c r="BC33" s="589">
        <f>+[4]Report1!BE38</f>
        <v>493.19309296177613</v>
      </c>
      <c r="BD33" s="511">
        <f>+[4]Report1!BJ38</f>
        <v>5.1181628020828693</v>
      </c>
      <c r="BE33" s="511">
        <f>+[4]Report1!BK38</f>
        <v>2.9152359309997098</v>
      </c>
      <c r="BF33" s="513">
        <f>+[5]Report1!J38</f>
        <v>0.74764744878637046</v>
      </c>
      <c r="BG33" s="514">
        <f>+[5]Report1!K38</f>
        <v>0.84492620435648247</v>
      </c>
      <c r="BH33" s="514">
        <f>+[5]Report1!AN38</f>
        <v>0.74764744878637046</v>
      </c>
      <c r="BI33" s="514">
        <f>+[5]Report1!AO38</f>
        <v>0.85448537945354086</v>
      </c>
      <c r="BJ33" s="511">
        <f>+[5]Report1!R38</f>
        <v>38.984000000000002</v>
      </c>
      <c r="BK33" s="511">
        <f>+[5]Report1!S38</f>
        <v>1342.1779999999999</v>
      </c>
      <c r="BL33" s="511">
        <f>+[5]Report1!AD38</f>
        <v>3.5476092756002462</v>
      </c>
      <c r="BM33" s="511">
        <f>+[5]Report1!AE38</f>
        <v>2.8326347176007949</v>
      </c>
      <c r="BN33" s="515">
        <v>0</v>
      </c>
      <c r="BO33" s="515">
        <v>0</v>
      </c>
      <c r="BP33" s="515">
        <f>+[5]Report1!AJ38</f>
        <v>1413.8626103016481</v>
      </c>
      <c r="BQ33" s="515">
        <f>+[5]Report1!AK38</f>
        <v>1087.3420422626502</v>
      </c>
      <c r="BR33" s="515">
        <v>0</v>
      </c>
      <c r="BS33" s="516">
        <v>0</v>
      </c>
      <c r="BT33" s="513">
        <f>+[6]Report1!J38</f>
        <v>0.73589135703641773</v>
      </c>
      <c r="BU33" s="514">
        <f>+[6]Report1!K38</f>
        <v>0.56292282912310532</v>
      </c>
      <c r="BV33" s="514">
        <f>+[6]Report1!BA38</f>
        <v>0.74544484712513037</v>
      </c>
      <c r="BW33" s="514">
        <f>+[6]Report1!BB38</f>
        <v>0.800344660182427</v>
      </c>
      <c r="BX33" s="511">
        <f>+[6]Report1!R38</f>
        <v>38.847999999999999</v>
      </c>
      <c r="BY33" s="511">
        <f>+[6]Report1!S38</f>
        <v>865.29799999999989</v>
      </c>
      <c r="BZ33" s="515">
        <f>+[6]Report1!X38</f>
        <v>105.66834529875221</v>
      </c>
      <c r="CA33" s="515">
        <f>+[6]Report1!Y38</f>
        <v>98.772128679615932</v>
      </c>
      <c r="CB33" s="511">
        <f>+[6]Report1!AD38</f>
        <v>2.3990939044481054</v>
      </c>
      <c r="CC33" s="511">
        <f>+[6]Report1!AE38</f>
        <v>2.3610363135012453</v>
      </c>
      <c r="CD33" s="515">
        <f>+[6]Report1!AJ38</f>
        <v>0.11068780889621087</v>
      </c>
      <c r="CE33" s="515">
        <f>+[6]Report1!AK38</f>
        <v>4.9693862692390374E-3</v>
      </c>
      <c r="CF33" s="515">
        <f>+[6]Report1!AP38</f>
        <v>972.8629530477773</v>
      </c>
      <c r="CG33" s="515">
        <f>+[6]Report1!AQ38</f>
        <v>1042.6103982674183</v>
      </c>
      <c r="CH33" s="515">
        <f>+[6]Report1!AV38</f>
        <v>256.73908566721553</v>
      </c>
      <c r="CI33" s="515">
        <f>+[6]Report1!AW38</f>
        <v>11.526433667938663</v>
      </c>
      <c r="CJ33" s="515"/>
      <c r="CK33" s="516"/>
    </row>
    <row r="34" spans="1:89" ht="12.75" customHeight="1">
      <c r="A34" s="568">
        <f t="shared" si="0"/>
        <v>45961</v>
      </c>
      <c r="B34" s="513">
        <f>+Report1!J39</f>
        <v>0.79466554557845026</v>
      </c>
      <c r="C34" s="514">
        <f>+Report1!K39</f>
        <v>0.81961610597326295</v>
      </c>
      <c r="D34" s="514">
        <f>+Report1!AJ39</f>
        <v>0.79466554557845026</v>
      </c>
      <c r="E34" s="514">
        <f>+Report1!AK39</f>
        <v>0.83793083858755912</v>
      </c>
      <c r="F34" s="511">
        <f>+Report1!R39</f>
        <v>60.962000000000003</v>
      </c>
      <c r="G34" s="511">
        <f>+Report1!S39</f>
        <v>1655.8839999999998</v>
      </c>
      <c r="H34" s="511">
        <f>+Report1!X39</f>
        <v>2.5448148026639545</v>
      </c>
      <c r="I34" s="511">
        <f>+Report1!Y39</f>
        <v>2.3800163538025614</v>
      </c>
      <c r="J34" s="511">
        <f>+Report1!AD39</f>
        <v>906.79406843608024</v>
      </c>
      <c r="K34" s="512">
        <f>+Report1!AE39</f>
        <v>987.22519210282826</v>
      </c>
      <c r="L34" s="513">
        <f>+[1]Report1!J39</f>
        <v>0.73917937601684491</v>
      </c>
      <c r="M34" s="514">
        <f>+[1]Report1!K39</f>
        <v>0.84175524031029192</v>
      </c>
      <c r="N34" s="514">
        <f>+[1]Report1!BJ39</f>
        <v>0.73917937601684491</v>
      </c>
      <c r="O34" s="514">
        <f>+[1]Report1!BK39</f>
        <v>0.87679263832975451</v>
      </c>
      <c r="P34" s="511">
        <f>+[1]Report1!R39</f>
        <v>41.704000000000001</v>
      </c>
      <c r="Q34" s="511">
        <f>+[1]Report1!S39</f>
        <v>1649.2969999999998</v>
      </c>
      <c r="R34" s="511">
        <f>+[1]Report1!AL39</f>
        <v>2.9641521197007483</v>
      </c>
      <c r="S34" s="511">
        <f>+[1]Report1!AM39</f>
        <v>2.3196877214958866</v>
      </c>
      <c r="T34" s="511">
        <f>+[1]Report1!AR39</f>
        <v>0.32610780740456552</v>
      </c>
      <c r="U34" s="511">
        <f>+[1]Report1!AS39</f>
        <v>0.24616548747739192</v>
      </c>
      <c r="V34" s="511">
        <f>+[1]Report1!AX39</f>
        <v>898.98259159794077</v>
      </c>
      <c r="W34" s="511">
        <f>+[1]Report1!AY39</f>
        <v>616.10298205841684</v>
      </c>
      <c r="X34" s="511">
        <f>+[1]Report1!BD39</f>
        <v>525.58507577210821</v>
      </c>
      <c r="Y34" s="589">
        <f>+[1]Report1!BE39</f>
        <v>486.41123339216654</v>
      </c>
      <c r="Z34" s="513">
        <f>+[2]Report1!J39</f>
        <v>0</v>
      </c>
      <c r="AA34" s="514">
        <f>+[2]Report1!K39</f>
        <v>0.51081756803054779</v>
      </c>
      <c r="AB34" s="514" t="e">
        <f>+[2]Report1!BC39</f>
        <v>#DIV/0!</v>
      </c>
      <c r="AC34" s="514">
        <f>+[2]Report1!BD39</f>
        <v>0.80748845980230732</v>
      </c>
      <c r="AD34" s="511">
        <f>+[2]Report1!R39</f>
        <v>0</v>
      </c>
      <c r="AE34" s="511">
        <f>+[2]Report1!S39</f>
        <v>700.59100000000012</v>
      </c>
      <c r="AF34" s="511">
        <f>+[2]Report1!X39</f>
        <v>0</v>
      </c>
      <c r="AG34" s="511">
        <f>+[2]Report1!Y39</f>
        <v>110.32386420254063</v>
      </c>
      <c r="AH34" s="511">
        <f>+[2]Report1!AD39</f>
        <v>0</v>
      </c>
      <c r="AI34" s="511">
        <f>+[2]Report1!AE39</f>
        <v>1.9417891465919492</v>
      </c>
      <c r="AJ34" s="511">
        <f>+[2]Report1!AJ39</f>
        <v>0</v>
      </c>
      <c r="AK34" s="589">
        <f>+[2]Report1!AK39</f>
        <v>1127.8883114399123</v>
      </c>
      <c r="AL34" s="600">
        <f>+[3]Report1!AP39</f>
        <v>0</v>
      </c>
      <c r="AM34" s="601">
        <f>+[3]Report1!AQ39</f>
        <v>0</v>
      </c>
      <c r="AN34" s="513">
        <f>+[4]Report1!J39</f>
        <v>0.78131922183136659</v>
      </c>
      <c r="AO34" s="514">
        <f>+[4]Report1!K39</f>
        <v>0.78888926318585439</v>
      </c>
      <c r="AP34" s="514">
        <f>+[4]Report1!BN39</f>
        <v>0.78131922183136659</v>
      </c>
      <c r="AQ34" s="514">
        <f>+[4]Report1!BO39</f>
        <v>0.80397212983171706</v>
      </c>
      <c r="AR34" s="511">
        <f>+[4]Report1!R39</f>
        <v>41.746000000000002</v>
      </c>
      <c r="AS34" s="511">
        <f>+[4]Report1!S39</f>
        <v>1297.2190000000005</v>
      </c>
      <c r="AT34" s="515">
        <f>+[4]Report1!AF39</f>
        <v>124.92287478783395</v>
      </c>
      <c r="AU34" s="515">
        <f>+[4]Report1!AG39</f>
        <v>120.055903115169</v>
      </c>
      <c r="AV34" s="511">
        <f>+[4]Report1!AL39</f>
        <v>1.4779859148181862</v>
      </c>
      <c r="AW34" s="511">
        <f>+[4]Report1!AM39</f>
        <v>1.4886460959945849</v>
      </c>
      <c r="AX34" s="511">
        <f>+[4]Report1!AR39</f>
        <v>0.21319407847458438</v>
      </c>
      <c r="AY34" s="511">
        <f>+[4]Report1!AS39</f>
        <v>0.19526386832138592</v>
      </c>
      <c r="AZ34" s="511">
        <f>+[4]Report1!AX39</f>
        <v>931.10669285680035</v>
      </c>
      <c r="BA34" s="511">
        <f>+[4]Report1!AY39</f>
        <v>913.20617413096761</v>
      </c>
      <c r="BB34" s="511">
        <f>+[4]Report1!BD39</f>
        <v>501.86365160733959</v>
      </c>
      <c r="BC34" s="589">
        <f>+[4]Report1!BE39</f>
        <v>493.47212151533398</v>
      </c>
      <c r="BD34" s="511">
        <f>+[4]Report1!BJ39</f>
        <v>5.5095098931634165</v>
      </c>
      <c r="BE34" s="511">
        <f>+[4]Report1!BK39</f>
        <v>2.9987226520733956</v>
      </c>
      <c r="BF34" s="513">
        <f>+[5]Report1!J39</f>
        <v>0.84111558774454287</v>
      </c>
      <c r="BG34" s="514">
        <f>+[5]Report1!K39</f>
        <v>0.84480150722122049</v>
      </c>
      <c r="BH34" s="514">
        <f>+[5]Report1!AN39</f>
        <v>0.84111558774454287</v>
      </c>
      <c r="BI34" s="514">
        <f>+[5]Report1!AO39</f>
        <v>0.85404308554088593</v>
      </c>
      <c r="BJ34" s="511">
        <f>+[5]Report1!R39</f>
        <v>45.201999999999998</v>
      </c>
      <c r="BK34" s="511">
        <f>+[5]Report1!S39</f>
        <v>1387.3799999999999</v>
      </c>
      <c r="BL34" s="511">
        <f>+[5]Report1!AD39</f>
        <v>3.1038449626122744</v>
      </c>
      <c r="BM34" s="511">
        <f>+[5]Report1!AE39</f>
        <v>2.8414709740662256</v>
      </c>
      <c r="BN34" s="515">
        <v>0</v>
      </c>
      <c r="BO34" s="515">
        <v>0</v>
      </c>
      <c r="BP34" s="515">
        <f>+[5]Report1!AJ39</f>
        <v>1309.8969072165071</v>
      </c>
      <c r="BQ34" s="515">
        <f>+[5]Report1!AK39</f>
        <v>1094.5930657786623</v>
      </c>
      <c r="BR34" s="515">
        <v>0</v>
      </c>
      <c r="BS34" s="516">
        <v>0</v>
      </c>
      <c r="BT34" s="513">
        <f>+[6]Report1!J39</f>
        <v>0.74858932356270591</v>
      </c>
      <c r="BU34" s="514">
        <f>+[6]Report1!K39</f>
        <v>0.56906056118136883</v>
      </c>
      <c r="BV34" s="514">
        <f>+[6]Report1!BA39</f>
        <v>0.74858932356270591</v>
      </c>
      <c r="BW34" s="514">
        <f>+[6]Report1!BB39</f>
        <v>0.79794558249051384</v>
      </c>
      <c r="BX34" s="511">
        <f>+[6]Report1!R39</f>
        <v>39.340000000000003</v>
      </c>
      <c r="BY34" s="511">
        <f>+[6]Report1!S39</f>
        <v>904.63799999999992</v>
      </c>
      <c r="BZ34" s="515">
        <f>+[6]Report1!X39</f>
        <v>85.230545732259358</v>
      </c>
      <c r="CA34" s="515">
        <f>+[6]Report1!Y39</f>
        <v>98.183245752799891</v>
      </c>
      <c r="CB34" s="511">
        <f>+[6]Report1!AD39</f>
        <v>2.0081342145399081</v>
      </c>
      <c r="CC34" s="511">
        <f>+[6]Report1!AE39</f>
        <v>2.3456896570783012</v>
      </c>
      <c r="CD34" s="515">
        <f>+[6]Report1!AJ39</f>
        <v>0.20843924758515503</v>
      </c>
      <c r="CE34" s="515">
        <f>+[6]Report1!AK39</f>
        <v>1.3817681768840134E-2</v>
      </c>
      <c r="CF34" s="515">
        <f>+[6]Report1!AP39</f>
        <v>646.66954753431617</v>
      </c>
      <c r="CG34" s="515">
        <f>+[6]Report1!AQ39</f>
        <v>1025.3921152991588</v>
      </c>
      <c r="CH34" s="515">
        <f>+[6]Report1!AV39</f>
        <v>491.5912557193696</v>
      </c>
      <c r="CI34" s="515">
        <f>+[6]Report1!AW39</f>
        <v>32.403016455200856</v>
      </c>
      <c r="CJ34" s="515"/>
      <c r="CK34" s="516"/>
    </row>
    <row r="35" spans="1:89" ht="12.75" customHeight="1">
      <c r="A35" s="568"/>
      <c r="B35" s="513"/>
      <c r="C35" s="514"/>
      <c r="D35" s="514"/>
      <c r="E35" s="514"/>
      <c r="F35" s="511"/>
      <c r="G35" s="511"/>
      <c r="H35" s="511"/>
      <c r="I35" s="511"/>
      <c r="J35" s="511"/>
      <c r="K35" s="512"/>
      <c r="L35" s="513"/>
      <c r="M35" s="514"/>
      <c r="N35" s="514"/>
      <c r="O35" s="514"/>
      <c r="P35" s="511"/>
      <c r="Q35" s="511"/>
      <c r="R35" s="511"/>
      <c r="S35" s="511"/>
      <c r="T35" s="511"/>
      <c r="U35" s="511"/>
      <c r="V35" s="511"/>
      <c r="W35" s="511"/>
      <c r="X35" s="511"/>
      <c r="Y35" s="589"/>
      <c r="Z35" s="513"/>
      <c r="AA35" s="514"/>
      <c r="AB35" s="514"/>
      <c r="AC35" s="514"/>
      <c r="AD35" s="511"/>
      <c r="AE35" s="511"/>
      <c r="AF35" s="511"/>
      <c r="AG35" s="511"/>
      <c r="AH35" s="511"/>
      <c r="AI35" s="511"/>
      <c r="AJ35" s="511"/>
      <c r="AK35" s="589"/>
      <c r="AL35" s="511"/>
      <c r="AM35" s="589"/>
      <c r="AN35" s="513"/>
      <c r="AO35" s="514"/>
      <c r="AP35" s="514"/>
      <c r="AQ35" s="514"/>
      <c r="AR35" s="511"/>
      <c r="AS35" s="511"/>
      <c r="AT35" s="515"/>
      <c r="AU35" s="515"/>
      <c r="AV35" s="511"/>
      <c r="AW35" s="511"/>
      <c r="AX35" s="511"/>
      <c r="AY35" s="511"/>
      <c r="AZ35" s="511"/>
      <c r="BA35" s="511"/>
      <c r="BB35" s="511"/>
      <c r="BC35" s="589"/>
      <c r="BD35" s="511"/>
      <c r="BE35" s="512"/>
      <c r="BF35" s="513"/>
      <c r="BG35" s="514"/>
      <c r="BH35" s="514"/>
      <c r="BI35" s="514"/>
      <c r="BJ35" s="511"/>
      <c r="BK35" s="511"/>
      <c r="BL35" s="511"/>
      <c r="BM35" s="511"/>
      <c r="BN35" s="515"/>
      <c r="BO35" s="515"/>
      <c r="BP35" s="515"/>
      <c r="BQ35" s="515"/>
      <c r="BR35" s="515"/>
      <c r="BS35" s="516"/>
      <c r="BT35" s="513"/>
      <c r="BU35" s="514"/>
      <c r="BV35" s="514"/>
      <c r="BW35" s="514"/>
      <c r="BX35" s="511"/>
      <c r="BY35" s="511"/>
      <c r="BZ35" s="511"/>
      <c r="CA35" s="511"/>
      <c r="CB35" s="511"/>
      <c r="CC35" s="511"/>
      <c r="CD35" s="511"/>
      <c r="CE35" s="511"/>
      <c r="CF35" s="593"/>
      <c r="CG35" s="515"/>
      <c r="CH35" s="515"/>
      <c r="CI35" s="515"/>
      <c r="CJ35" s="515"/>
      <c r="CK35" s="516"/>
    </row>
    <row r="36" spans="1:89" ht="12.75" hidden="1" customHeight="1">
      <c r="A36" s="569" t="s">
        <v>326</v>
      </c>
      <c r="B36" s="632"/>
      <c r="C36" s="633"/>
      <c r="D36" s="634"/>
      <c r="E36" s="633"/>
      <c r="F36" s="653"/>
      <c r="G36" s="654"/>
      <c r="H36" s="655"/>
      <c r="I36" s="656"/>
      <c r="J36" s="655"/>
      <c r="K36" s="657"/>
      <c r="L36" s="632"/>
      <c r="M36" s="633"/>
      <c r="N36" s="634"/>
      <c r="O36" s="633"/>
      <c r="P36" s="653"/>
      <c r="Q36" s="654"/>
      <c r="R36" s="653"/>
      <c r="S36" s="654"/>
      <c r="T36" s="653"/>
      <c r="U36" s="654"/>
      <c r="V36" s="629"/>
      <c r="W36" s="630"/>
      <c r="X36" s="629"/>
      <c r="Y36" s="666"/>
      <c r="Z36" s="664"/>
      <c r="AA36" s="665"/>
      <c r="AB36" s="634"/>
      <c r="AC36" s="633"/>
      <c r="AD36" s="663"/>
      <c r="AE36" s="663"/>
      <c r="AF36" s="663"/>
      <c r="AG36" s="663"/>
      <c r="AH36" s="663"/>
      <c r="AI36" s="663"/>
      <c r="AJ36" s="663"/>
      <c r="AK36" s="663"/>
      <c r="AL36" s="631"/>
      <c r="AM36" s="629"/>
      <c r="AN36" s="664"/>
      <c r="AO36" s="665"/>
      <c r="AP36" s="665"/>
      <c r="AQ36" s="665"/>
      <c r="AR36" s="631"/>
      <c r="AS36" s="631"/>
      <c r="AT36" s="631"/>
      <c r="AU36" s="631"/>
      <c r="AV36" s="631"/>
      <c r="AW36" s="631"/>
      <c r="AX36" s="631"/>
      <c r="AY36" s="631"/>
      <c r="AZ36" s="631"/>
      <c r="BA36" s="631"/>
      <c r="BB36" s="631"/>
      <c r="BC36" s="629"/>
      <c r="BD36" s="631"/>
      <c r="BE36" s="800"/>
      <c r="BF36" s="632"/>
      <c r="BG36" s="633"/>
      <c r="BH36" s="634"/>
      <c r="BI36" s="633"/>
      <c r="BJ36" s="629"/>
      <c r="BK36" s="630"/>
      <c r="BL36" s="629"/>
      <c r="BM36" s="630"/>
      <c r="BN36" s="629"/>
      <c r="BO36" s="630"/>
      <c r="BP36" s="629"/>
      <c r="BQ36" s="630"/>
      <c r="BR36" s="629"/>
      <c r="BS36" s="674"/>
      <c r="BT36" s="632"/>
      <c r="BU36" s="633"/>
      <c r="BV36" s="634"/>
      <c r="BW36" s="633"/>
      <c r="BX36" s="629"/>
      <c r="BY36" s="630"/>
      <c r="BZ36" s="629"/>
      <c r="CA36" s="630"/>
      <c r="CB36" s="629"/>
      <c r="CC36" s="630"/>
      <c r="CD36" s="629"/>
      <c r="CE36" s="630"/>
      <c r="CF36" s="629"/>
      <c r="CG36" s="630"/>
      <c r="CH36" s="631"/>
      <c r="CI36" s="631"/>
      <c r="CJ36" s="631"/>
      <c r="CK36" s="800"/>
    </row>
    <row r="37" spans="1:89" ht="12.75" hidden="1" customHeight="1">
      <c r="A37" s="570" t="s">
        <v>224</v>
      </c>
      <c r="B37" s="673"/>
      <c r="C37" s="636"/>
      <c r="D37" s="635"/>
      <c r="E37" s="636"/>
      <c r="F37" s="677"/>
      <c r="G37" s="678"/>
      <c r="H37" s="679"/>
      <c r="I37" s="680"/>
      <c r="J37" s="679"/>
      <c r="K37" s="681"/>
      <c r="L37" s="673"/>
      <c r="M37" s="636"/>
      <c r="N37" s="635"/>
      <c r="O37" s="636"/>
      <c r="P37" s="677"/>
      <c r="Q37" s="678"/>
      <c r="R37" s="677"/>
      <c r="S37" s="678"/>
      <c r="T37" s="677"/>
      <c r="U37" s="678"/>
      <c r="V37" s="671"/>
      <c r="W37" s="672"/>
      <c r="X37" s="671"/>
      <c r="Y37" s="694"/>
      <c r="Z37" s="667"/>
      <c r="AA37" s="668"/>
      <c r="AB37" s="635"/>
      <c r="AC37" s="636"/>
      <c r="AD37" s="669"/>
      <c r="AE37" s="669"/>
      <c r="AF37" s="669"/>
      <c r="AG37" s="669"/>
      <c r="AH37" s="669"/>
      <c r="AI37" s="669"/>
      <c r="AJ37" s="669"/>
      <c r="AK37" s="669"/>
      <c r="AL37" s="670"/>
      <c r="AM37" s="693"/>
      <c r="AN37" s="667"/>
      <c r="AO37" s="668"/>
      <c r="AP37" s="668"/>
      <c r="AQ37" s="668"/>
      <c r="AR37" s="670"/>
      <c r="AS37" s="670"/>
      <c r="AT37" s="670"/>
      <c r="AU37" s="670"/>
      <c r="AV37" s="670"/>
      <c r="AW37" s="670"/>
      <c r="AX37" s="670"/>
      <c r="AY37" s="670"/>
      <c r="AZ37" s="670"/>
      <c r="BA37" s="670"/>
      <c r="BB37" s="670"/>
      <c r="BC37" s="671"/>
      <c r="BD37" s="670"/>
      <c r="BE37" s="693"/>
      <c r="BF37" s="673"/>
      <c r="BG37" s="636"/>
      <c r="BH37" s="635"/>
      <c r="BI37" s="636"/>
      <c r="BJ37" s="671"/>
      <c r="BK37" s="672"/>
      <c r="BL37" s="671"/>
      <c r="BM37" s="672"/>
      <c r="BN37" s="671"/>
      <c r="BO37" s="672"/>
      <c r="BP37" s="671"/>
      <c r="BQ37" s="672"/>
      <c r="BR37" s="671"/>
      <c r="BS37" s="682"/>
      <c r="BT37" s="673"/>
      <c r="BU37" s="636"/>
      <c r="BV37" s="635"/>
      <c r="BW37" s="636"/>
      <c r="BX37" s="671"/>
      <c r="BY37" s="672"/>
      <c r="BZ37" s="671"/>
      <c r="CA37" s="672"/>
      <c r="CB37" s="671"/>
      <c r="CC37" s="672"/>
      <c r="CD37" s="671"/>
      <c r="CE37" s="672"/>
      <c r="CF37" s="671"/>
      <c r="CG37" s="672"/>
      <c r="CH37" s="670"/>
      <c r="CI37" s="670"/>
      <c r="CJ37" s="670"/>
      <c r="CK37" s="693"/>
    </row>
    <row r="38" spans="1:89" s="628" customFormat="1" ht="12.75" customHeight="1">
      <c r="A38" s="571" t="s">
        <v>225</v>
      </c>
      <c r="B38" s="688">
        <f>+C34</f>
        <v>0.81961610597326295</v>
      </c>
      <c r="C38" s="689"/>
      <c r="D38" s="691">
        <f>+E34</f>
        <v>0.83793083858755912</v>
      </c>
      <c r="E38" s="689"/>
      <c r="F38" s="685">
        <f>+G34</f>
        <v>1655.8839999999998</v>
      </c>
      <c r="G38" s="686"/>
      <c r="H38" s="683">
        <f>+I34</f>
        <v>2.3800163538025614</v>
      </c>
      <c r="I38" s="684"/>
      <c r="J38" s="685">
        <f>+K34</f>
        <v>987.22519210282826</v>
      </c>
      <c r="K38" s="695"/>
      <c r="L38" s="688">
        <f>+M34</f>
        <v>0.84175524031029192</v>
      </c>
      <c r="M38" s="689"/>
      <c r="N38" s="691">
        <f>+O34</f>
        <v>0.87679263832975451</v>
      </c>
      <c r="O38" s="689"/>
      <c r="P38" s="685">
        <f>+Q34</f>
        <v>1649.2969999999998</v>
      </c>
      <c r="Q38" s="686"/>
      <c r="R38" s="683">
        <f>+S34</f>
        <v>2.3196877214958866</v>
      </c>
      <c r="S38" s="684"/>
      <c r="T38" s="683">
        <f>+U34</f>
        <v>0.24616548747739192</v>
      </c>
      <c r="U38" s="684"/>
      <c r="V38" s="685">
        <f>+W34</f>
        <v>616.10298205841684</v>
      </c>
      <c r="W38" s="686"/>
      <c r="X38" s="683">
        <f>+Y34</f>
        <v>486.41123339216654</v>
      </c>
      <c r="Y38" s="687"/>
      <c r="Z38" s="688">
        <f>+AA34</f>
        <v>0.51081756803054779</v>
      </c>
      <c r="AA38" s="689"/>
      <c r="AB38" s="691">
        <f>+AC34</f>
        <v>0.80748845980230732</v>
      </c>
      <c r="AC38" s="689"/>
      <c r="AD38" s="685">
        <f>+AE34</f>
        <v>700.59100000000012</v>
      </c>
      <c r="AE38" s="686"/>
      <c r="AF38" s="683">
        <f>+AG34</f>
        <v>110.32386420254063</v>
      </c>
      <c r="AG38" s="684"/>
      <c r="AH38" s="683">
        <f>+AI34</f>
        <v>1.9417891465919492</v>
      </c>
      <c r="AI38" s="684"/>
      <c r="AJ38" s="683">
        <f>+AK34</f>
        <v>1127.8883114399123</v>
      </c>
      <c r="AK38" s="684"/>
      <c r="AL38" s="685">
        <f>+AM34</f>
        <v>0</v>
      </c>
      <c r="AM38" s="695"/>
      <c r="AN38" s="688">
        <f>+AO34</f>
        <v>0.78888926318585439</v>
      </c>
      <c r="AO38" s="689"/>
      <c r="AP38" s="691">
        <f>+AQ34</f>
        <v>0.80397212983171706</v>
      </c>
      <c r="AQ38" s="689"/>
      <c r="AR38" s="696">
        <f>+AS34</f>
        <v>1297.2190000000005</v>
      </c>
      <c r="AS38" s="697"/>
      <c r="AT38" s="683">
        <f>+AU34</f>
        <v>120.055903115169</v>
      </c>
      <c r="AU38" s="684"/>
      <c r="AV38" s="683">
        <f>+AW34</f>
        <v>1.4886460959945849</v>
      </c>
      <c r="AW38" s="684"/>
      <c r="AX38" s="683">
        <f>+AY34</f>
        <v>0.19526386832138592</v>
      </c>
      <c r="AY38" s="684"/>
      <c r="AZ38" s="685">
        <f>+BA34</f>
        <v>913.20617413096761</v>
      </c>
      <c r="BA38" s="686"/>
      <c r="BB38" s="685">
        <f>+BC34</f>
        <v>493.47212151533398</v>
      </c>
      <c r="BC38" s="686"/>
      <c r="BD38" s="685">
        <f>+BE34</f>
        <v>2.9987226520733956</v>
      </c>
      <c r="BE38" s="695"/>
      <c r="BF38" s="688">
        <f>+BG34</f>
        <v>0.84480150722122049</v>
      </c>
      <c r="BG38" s="689"/>
      <c r="BH38" s="691">
        <f>+BI34</f>
        <v>0.85404308554088593</v>
      </c>
      <c r="BI38" s="689"/>
      <c r="BJ38" s="685">
        <f>+BK34</f>
        <v>1387.3799999999999</v>
      </c>
      <c r="BK38" s="686"/>
      <c r="BL38" s="683">
        <f>+BM34</f>
        <v>2.8414709740662256</v>
      </c>
      <c r="BM38" s="684"/>
      <c r="BN38" s="683">
        <f>+BO34</f>
        <v>0</v>
      </c>
      <c r="BO38" s="684"/>
      <c r="BP38" s="685">
        <f>+BQ34</f>
        <v>1094.5930657786623</v>
      </c>
      <c r="BQ38" s="686"/>
      <c r="BR38" s="685">
        <f>+BS34</f>
        <v>0</v>
      </c>
      <c r="BS38" s="695"/>
      <c r="BT38" s="688">
        <f>+BU34</f>
        <v>0.56906056118136883</v>
      </c>
      <c r="BU38" s="689"/>
      <c r="BV38" s="691">
        <f>+BW34</f>
        <v>0.79794558249051384</v>
      </c>
      <c r="BW38" s="689"/>
      <c r="BX38" s="685">
        <f>+BY34</f>
        <v>904.63799999999992</v>
      </c>
      <c r="BY38" s="686"/>
      <c r="BZ38" s="692">
        <f>+CA34</f>
        <v>98.183245752799891</v>
      </c>
      <c r="CA38" s="692"/>
      <c r="CB38" s="692">
        <f>+CC34</f>
        <v>2.3456896570783012</v>
      </c>
      <c r="CC38" s="692"/>
      <c r="CD38" s="692">
        <f>+CE34</f>
        <v>1.3817681768840134E-2</v>
      </c>
      <c r="CE38" s="692"/>
      <c r="CF38" s="685">
        <f>+CG34</f>
        <v>1025.3921152991588</v>
      </c>
      <c r="CG38" s="686"/>
      <c r="CH38" s="690">
        <f>+CI34</f>
        <v>32.403016455200856</v>
      </c>
      <c r="CI38" s="690"/>
      <c r="CJ38" s="690">
        <f>+CK34</f>
        <v>0</v>
      </c>
      <c r="CK38" s="815"/>
    </row>
    <row r="39" spans="1:89" ht="12.75" customHeight="1">
      <c r="A39" s="572" t="s">
        <v>430</v>
      </c>
      <c r="B39" s="698">
        <f>+'[7]eff all'!$B$39:$C$39</f>
        <v>0.903990808274441</v>
      </c>
      <c r="C39" s="660"/>
      <c r="D39" s="659">
        <f>+'[7]eff all'!$D$39:$E$39</f>
        <v>0.90437903832375621</v>
      </c>
      <c r="E39" s="660"/>
      <c r="F39" s="699">
        <f>+'[7]eff all'!$F$39:$G$39</f>
        <v>1787.5840000000001</v>
      </c>
      <c r="G39" s="700"/>
      <c r="H39" s="661">
        <f>+'[7]eff all'!$H$39:$I$39</f>
        <v>2.2781228742257711</v>
      </c>
      <c r="I39" s="662"/>
      <c r="J39" s="699">
        <f>+'[7]eff all'!$J$39:$K$39</f>
        <v>915.86317621997148</v>
      </c>
      <c r="K39" s="701"/>
      <c r="L39" s="698">
        <f>+'[7]eff all'!$L$39:$M$39</f>
        <v>0.9123567896542889</v>
      </c>
      <c r="M39" s="660"/>
      <c r="N39" s="659">
        <f>+'[7]eff all'!$N$39:$O$39</f>
        <v>0.91641187210867769</v>
      </c>
      <c r="O39" s="660"/>
      <c r="P39" s="699">
        <f>+'[7]eff all'!$P$39:$Q$39</f>
        <v>1733.4829999999997</v>
      </c>
      <c r="Q39" s="700"/>
      <c r="R39" s="661">
        <f>+'[7]eff all'!$R$39:$S$39</f>
        <v>2.0999496389638668</v>
      </c>
      <c r="S39" s="662"/>
      <c r="T39" s="661">
        <f>+'[7]eff all'!$T$39:$U$39</f>
        <v>0.29126331207170764</v>
      </c>
      <c r="U39" s="662"/>
      <c r="V39" s="699">
        <f>+'[7]eff all'!$V$39:$W$39</f>
        <v>594.5770105619722</v>
      </c>
      <c r="W39" s="700"/>
      <c r="X39" s="661">
        <f>+'[7]eff all'!$X$39:$Y$39</f>
        <v>459.61050670817082</v>
      </c>
      <c r="Y39" s="704"/>
      <c r="Z39" s="698">
        <f>+'[7]eff all'!$Z$39:$AA$39</f>
        <v>0.31795967338482251</v>
      </c>
      <c r="AA39" s="660"/>
      <c r="AB39" s="659">
        <f>+'[7]eff all'!$AB$39:$AC$39</f>
        <v>0.77060412200599582</v>
      </c>
      <c r="AC39" s="660"/>
      <c r="AD39" s="705">
        <f>+'[7]eff all'!$AD$39:$AE$39</f>
        <v>413.67199999999991</v>
      </c>
      <c r="AE39" s="706"/>
      <c r="AF39" s="661">
        <f>+'[7]eff all'!$AF$39:$AG$39</f>
        <v>99.280285249300306</v>
      </c>
      <c r="AG39" s="662"/>
      <c r="AH39" s="707">
        <f>+'[7]eff all'!$AH$39:$AI$39</f>
        <v>1.8947378599470119</v>
      </c>
      <c r="AI39" s="708"/>
      <c r="AJ39" s="707">
        <f>+'[7]eff all'!$AJ$39:$AK$39</f>
        <v>1272.9030729660244</v>
      </c>
      <c r="AK39" s="708"/>
      <c r="AL39" s="705">
        <f>+'[7]eff all'!$AL$39:$AM$39</f>
        <v>0</v>
      </c>
      <c r="AM39" s="711"/>
      <c r="AN39" s="698">
        <f>+'[7]eff all'!$AN$39:$AO$39</f>
        <v>0.880306580757235</v>
      </c>
      <c r="AO39" s="660"/>
      <c r="AP39" s="659">
        <f>+'[7]eff all'!$AP$39:$AQ$39</f>
        <v>0.89025454042732222</v>
      </c>
      <c r="AQ39" s="660"/>
      <c r="AR39" s="702">
        <f>+'[7]eff all'!$AR$39:$AS$39</f>
        <v>1341.886</v>
      </c>
      <c r="AS39" s="703"/>
      <c r="AT39" s="661">
        <f>+'[7]eff all'!$AT$39:$AU$39</f>
        <v>122.30106022435156</v>
      </c>
      <c r="AU39" s="662"/>
      <c r="AV39" s="661">
        <f>+'[7]eff all'!$AV$39:$AW$39</f>
        <v>1.4501977068096692</v>
      </c>
      <c r="AW39" s="662"/>
      <c r="AX39" s="661">
        <f>+'[7]eff all'!$AX$39:$AY$39</f>
        <v>6.3790813824721321E-2</v>
      </c>
      <c r="AY39" s="662"/>
      <c r="AZ39" s="705">
        <f>+'[7]eff all'!$AZ$39:$BA$39</f>
        <v>910.28921979959557</v>
      </c>
      <c r="BA39" s="706"/>
      <c r="BB39" s="705">
        <f>+'[7]eff all'!$BB$39:$BC$39</f>
        <v>164.14175272713183</v>
      </c>
      <c r="BC39" s="706"/>
      <c r="BD39" s="705">
        <f>+'[7]eff all'!$BD$39:$BE$39</f>
        <v>2.0120934267143409</v>
      </c>
      <c r="BE39" s="711"/>
      <c r="BF39" s="698">
        <f>+'[7]eff all'!$BF$39:$BG$39</f>
        <v>0.84682779620148241</v>
      </c>
      <c r="BG39" s="660"/>
      <c r="BH39" s="659">
        <f>+'[7]eff all'!$BH$39:$BI$39</f>
        <v>0.84682779620148241</v>
      </c>
      <c r="BI39" s="660"/>
      <c r="BJ39" s="705">
        <f>+'[7]eff all'!$BJ$39:$BK$39</f>
        <v>1322.9140000000002</v>
      </c>
      <c r="BK39" s="706"/>
      <c r="BL39" s="661">
        <f>+'[7]eff all'!$BL$39:$BM$39</f>
        <v>2.6480179361621383</v>
      </c>
      <c r="BM39" s="662"/>
      <c r="BN39" s="661">
        <f>+'[7]eff all'!$BN$39:$BO$39</f>
        <v>0</v>
      </c>
      <c r="BO39" s="662"/>
      <c r="BP39" s="705">
        <f>+'[7]eff all'!$BP$39:$BQ$39</f>
        <v>1045.6073032714144</v>
      </c>
      <c r="BQ39" s="706"/>
      <c r="BR39" s="705">
        <f>+'[7]eff all'!$BR$39:$BS$39</f>
        <v>0</v>
      </c>
      <c r="BS39" s="711"/>
      <c r="BT39" s="698">
        <f>+'[7]eff all'!$BT$39:$BU$39</f>
        <v>0.84513581917015268</v>
      </c>
      <c r="BU39" s="660"/>
      <c r="BV39" s="659">
        <f>+'[7]eff all'!$BV$39:$BW$39</f>
        <v>0.84822809271497868</v>
      </c>
      <c r="BW39" s="660"/>
      <c r="BX39" s="699">
        <f>+'[7]eff all'!$BX$39:$BY$39</f>
        <v>1346.3750000000002</v>
      </c>
      <c r="BY39" s="700"/>
      <c r="BZ39" s="709">
        <f>+'[7]eff all'!$BZ$39:$CA$39</f>
        <v>79.267993939383302</v>
      </c>
      <c r="CA39" s="709"/>
      <c r="CB39" s="709">
        <f>+'[7]eff all'!$CB$39:$CC$39</f>
        <v>1.9571070466994711</v>
      </c>
      <c r="CC39" s="709"/>
      <c r="CD39" s="709">
        <f>+'[7]eff all'!$CD$39:$CE$39</f>
        <v>0.21004549252622781</v>
      </c>
      <c r="CE39" s="709"/>
      <c r="CF39" s="699">
        <f>+'[7]eff all'!$CF$39:$CG$39</f>
        <v>810.96020053848281</v>
      </c>
      <c r="CG39" s="700"/>
      <c r="CH39" s="710">
        <f>+'[7]eff all'!$CH$39:$CI$39</f>
        <v>541.04427072695194</v>
      </c>
      <c r="CI39" s="710"/>
      <c r="CJ39" s="710">
        <f>+'[7]eff all'!$CJ$39:$CK$393</f>
        <v>2.8892396249187628</v>
      </c>
      <c r="CK39" s="780"/>
    </row>
    <row r="40" spans="1:89" ht="12.75" customHeight="1">
      <c r="A40" s="573" t="s">
        <v>429</v>
      </c>
      <c r="B40" s="712">
        <f>+'[8]eff all'!$B$40:$C$40</f>
        <v>0.89986679210292397</v>
      </c>
      <c r="C40" s="713"/>
      <c r="D40" s="719">
        <f>+'[8]eff all'!$D$40:$E$40</f>
        <v>0.90007770455700553</v>
      </c>
      <c r="E40" s="713"/>
      <c r="F40" s="714">
        <f>+'[8]eff all'!$F$40:$G$40</f>
        <v>1865.5170000000001</v>
      </c>
      <c r="G40" s="715"/>
      <c r="H40" s="714">
        <f>+'[8]eff all'!$H$40:$I$40</f>
        <v>2.2984748999875095</v>
      </c>
      <c r="I40" s="715"/>
      <c r="J40" s="714">
        <f>+'[8]eff all'!$J$40:$K$40</f>
        <v>910.11683088387656</v>
      </c>
      <c r="K40" s="716"/>
      <c r="L40" s="712">
        <f>+'[8]eff all'!$L$40:$M$40</f>
        <v>0.88665975535746266</v>
      </c>
      <c r="M40" s="713"/>
      <c r="N40" s="719">
        <f>+'[8]eff all'!$N$40:$O$40</f>
        <v>0.91130227636045102</v>
      </c>
      <c r="O40" s="713"/>
      <c r="P40" s="714">
        <f>+'[8]eff all'!$P$40:$Q$40</f>
        <v>1681.0409999999997</v>
      </c>
      <c r="Q40" s="715"/>
      <c r="R40" s="714">
        <f>+'[8]eff all'!$R$40:$S$40</f>
        <v>2.3611024359310693</v>
      </c>
      <c r="S40" s="715"/>
      <c r="T40" s="714">
        <f>+'[8]eff all'!$T$40:$U$40</f>
        <v>8.5601719410769897E-2</v>
      </c>
      <c r="U40" s="715"/>
      <c r="V40" s="714">
        <f>+'[8]eff all'!$V$40:$W$40</f>
        <v>751.421904641232</v>
      </c>
      <c r="W40" s="715"/>
      <c r="X40" s="714">
        <f>+'[8]eff all'!$X$40:$Y$40</f>
        <v>160.39777732964276</v>
      </c>
      <c r="Y40" s="716"/>
      <c r="Z40" s="712">
        <f>+'[8]eff all'!$Z$40:$AA$40</f>
        <v>0.90643195002874466</v>
      </c>
      <c r="AA40" s="722"/>
      <c r="AB40" s="712">
        <f>+'[8]eff all'!$AB$40:$AC$40</f>
        <v>0.90643195002874466</v>
      </c>
      <c r="AC40" s="713"/>
      <c r="AD40" s="714">
        <f>+'[8]eff all'!$AD$40:$AE$40</f>
        <v>1304.5220000000002</v>
      </c>
      <c r="AE40" s="715"/>
      <c r="AF40" s="717">
        <f>+'[8]eff all'!$AF$40:$AG$40</f>
        <v>93.687912863926385</v>
      </c>
      <c r="AG40" s="718"/>
      <c r="AH40" s="717">
        <f>+'[8]eff all'!$AH$40:$AI$40</f>
        <v>1.3601917024013392</v>
      </c>
      <c r="AI40" s="718"/>
      <c r="AJ40" s="717">
        <f>+'[8]eff all'!$AJ$40:$AK$40</f>
        <v>867.9948824167011</v>
      </c>
      <c r="AK40" s="718"/>
      <c r="AL40" s="714">
        <f>+'[8]eff all'!$AL$40:$AM$40</f>
        <v>0</v>
      </c>
      <c r="AM40" s="716"/>
      <c r="AN40" s="712">
        <f>+'[8]eff all'!$AN$40:$AO$40</f>
        <v>0.89554898846394682</v>
      </c>
      <c r="AO40" s="713"/>
      <c r="AP40" s="719">
        <f>+'[8]eff all'!$AP$40:$AQ$40</f>
        <v>0.90516622970016913</v>
      </c>
      <c r="AQ40" s="713"/>
      <c r="AR40" s="720">
        <f>+'[8]eff all'!$AR$40:$AS$40</f>
        <v>1480.133</v>
      </c>
      <c r="AS40" s="721"/>
      <c r="AT40" s="717">
        <f>+'[8]eff all'!$AT$40:$AU$40</f>
        <v>101.4464316391317</v>
      </c>
      <c r="AU40" s="718"/>
      <c r="AV40" s="717">
        <f>+'[8]eff all'!$AV$40:$AW$40</f>
        <v>1.4403435366956892</v>
      </c>
      <c r="AW40" s="718"/>
      <c r="AX40" s="717">
        <f>+'[8]eff all'!$AX$40:$AY$40</f>
        <v>0.14586527021558199</v>
      </c>
      <c r="AY40" s="718"/>
      <c r="AZ40" s="714">
        <f>+'[8]eff all'!$AZ$40:$BA$40</f>
        <v>849.3617938387971</v>
      </c>
      <c r="BA40" s="715"/>
      <c r="BB40" s="714">
        <f>+'[8]eff all'!$BB$40:$BC$40</f>
        <v>387.77382640614013</v>
      </c>
      <c r="BC40" s="715"/>
      <c r="BD40" s="714">
        <f>+'[8]eff all'!$BD$40:$BE$40</f>
        <v>4.1014476401782778</v>
      </c>
      <c r="BE40" s="716"/>
      <c r="BF40" s="712">
        <f>+'[8]eff all'!$BF$40:$BG$40</f>
        <v>0.90695192925845458</v>
      </c>
      <c r="BG40" s="713"/>
      <c r="BH40" s="719">
        <f>+'[8]eff all'!$BH$40:$BI$40</f>
        <v>0.90825057016469368</v>
      </c>
      <c r="BI40" s="713"/>
      <c r="BJ40" s="714">
        <f>+'[8]eff all'!$BJ$40:$BK$40</f>
        <v>1465.1599999999999</v>
      </c>
      <c r="BK40" s="715"/>
      <c r="BL40" s="714">
        <f>+'[8]eff all'!$BL$40:$BM$40</f>
        <v>2.859209915640613</v>
      </c>
      <c r="BM40" s="715"/>
      <c r="BN40" s="714">
        <f>+'[8]eff all'!$BN$40:$BO$40</f>
        <v>0</v>
      </c>
      <c r="BO40" s="715"/>
      <c r="BP40" s="714">
        <f>+'[8]eff all'!$BP$40:$BQ$40</f>
        <v>1013.158972398919</v>
      </c>
      <c r="BQ40" s="715"/>
      <c r="BR40" s="714">
        <f>+'[8]eff all'!$BR$40:$BS$40</f>
        <v>0</v>
      </c>
      <c r="BS40" s="716"/>
      <c r="BT40" s="712">
        <f>+'[8]eff all'!$BT$40:$BU$40</f>
        <v>0.86462303428543996</v>
      </c>
      <c r="BU40" s="713"/>
      <c r="BV40" s="719">
        <f>+'[8]eff all'!$BV$40:$BW$40</f>
        <v>0.87445112764829958</v>
      </c>
      <c r="BW40" s="713"/>
      <c r="BX40" s="714">
        <f>+'[8]eff all'!$BX$40:$BY$40</f>
        <v>1364.3539999999998</v>
      </c>
      <c r="BY40" s="715"/>
      <c r="BZ40" s="714">
        <f>+'[8]eff all'!$BZ$40:$CA$40</f>
        <v>84.357025620624938</v>
      </c>
      <c r="CA40" s="715"/>
      <c r="CB40" s="714">
        <f>+'[8]eff all'!$CB$40:$CC$40</f>
        <v>2.027780180217158</v>
      </c>
      <c r="CC40" s="715"/>
      <c r="CD40" s="714">
        <f>+'[8]eff all'!$CD$40:$CE$40</f>
        <v>7.468736119804685E-2</v>
      </c>
      <c r="CE40" s="715"/>
      <c r="CF40" s="714">
        <f>+'[8]eff all'!$CF$40:$CG$40</f>
        <v>883.67533645959929</v>
      </c>
      <c r="CG40" s="715"/>
      <c r="CH40" s="731">
        <f>+'[8]eff all'!$CH$40:$CI$40</f>
        <v>193.15194077197017</v>
      </c>
      <c r="CI40" s="731"/>
      <c r="CJ40" s="731">
        <f>+'[8]eff all'!$CJ$40:$CK$40</f>
        <v>2.4682831581832825</v>
      </c>
      <c r="CK40" s="816"/>
    </row>
    <row r="41" spans="1:89" ht="12.75" customHeight="1">
      <c r="A41" s="574" t="s">
        <v>226</v>
      </c>
      <c r="B41" s="728">
        <f>+'[9]eff all'!$B$41:$C$41</f>
        <v>0.83939758980569712</v>
      </c>
      <c r="C41" s="729"/>
      <c r="D41" s="730">
        <f>+'[9]eff all'!$D$41:$E$41</f>
        <v>0.84053150634019802</v>
      </c>
      <c r="E41" s="729"/>
      <c r="F41" s="732">
        <f>+'[9]eff all'!$F$41:$G$41</f>
        <v>1669.0300000000004</v>
      </c>
      <c r="G41" s="733"/>
      <c r="H41" s="723">
        <f>+'[9]eff all'!$H$41:$I$41</f>
        <v>2.4391880313715144</v>
      </c>
      <c r="I41" s="724"/>
      <c r="J41" s="725">
        <f>+'[9]eff all'!$J$41:$K$41</f>
        <v>1033.4658693971942</v>
      </c>
      <c r="K41" s="727"/>
      <c r="L41" s="728">
        <f>+'[9]eff all'!$L$41:$M$41</f>
        <v>0.88164645374478923</v>
      </c>
      <c r="M41" s="729"/>
      <c r="N41" s="730">
        <f>+'[9]eff all'!$N$41:$O$41</f>
        <v>0.90721678437063535</v>
      </c>
      <c r="O41" s="729"/>
      <c r="P41" s="725">
        <f>+'[9]eff all'!$P$41:$Q$41</f>
        <v>1849.2530000000002</v>
      </c>
      <c r="Q41" s="726"/>
      <c r="R41" s="723">
        <f>+'[9]eff all'!$R$41:$S$41</f>
        <v>2.6039627892992474</v>
      </c>
      <c r="S41" s="724"/>
      <c r="T41" s="723">
        <f>+'[9]eff all'!$T$41:$U$41</f>
        <v>0.22857878289233541</v>
      </c>
      <c r="U41" s="724"/>
      <c r="V41" s="725">
        <f>+'[9]eff all'!$V$41:$W$41</f>
        <v>604.72261502347192</v>
      </c>
      <c r="W41" s="726"/>
      <c r="X41" s="725">
        <f>+'[9]eff all'!$X$41:$Y$41</f>
        <v>521.7858237893895</v>
      </c>
      <c r="Y41" s="727"/>
      <c r="Z41" s="728">
        <f>+'[9]eff all'!$Z$41:$AA$41</f>
        <v>0.88193173114859524</v>
      </c>
      <c r="AA41" s="729"/>
      <c r="AB41" s="730">
        <f>+'[9]eff all'!$AB$41:$AC$41</f>
        <v>0.88340653340367237</v>
      </c>
      <c r="AC41" s="729"/>
      <c r="AD41" s="732">
        <f>+'[9]eff all'!$AD$41:$AE$41</f>
        <v>1253.7050000000004</v>
      </c>
      <c r="AE41" s="733"/>
      <c r="AF41" s="725">
        <f>+'[9]eff all'!$AF$41:$AG$41</f>
        <v>98.517030917360543</v>
      </c>
      <c r="AG41" s="726"/>
      <c r="AH41" s="723">
        <f>+'[9]eff all'!$AH$41:$AI$41</f>
        <v>1.4871121994408565</v>
      </c>
      <c r="AI41" s="724"/>
      <c r="AJ41" s="723">
        <f>+'[9]eff all'!$AJ$41:$AK$41</f>
        <v>885.26051981925434</v>
      </c>
      <c r="AK41" s="724"/>
      <c r="AL41" s="725">
        <f>+'[9]eff all'!$AL$41:$AM$41</f>
        <v>0</v>
      </c>
      <c r="AM41" s="727"/>
      <c r="AN41" s="728">
        <f>+'[9]eff all'!$AN$41:$AO$41</f>
        <v>0.88320076687716276</v>
      </c>
      <c r="AO41" s="729"/>
      <c r="AP41" s="730">
        <f>+'[9]eff all'!$AP$41:$AQ$41</f>
        <v>0.89534439715396263</v>
      </c>
      <c r="AQ41" s="729"/>
      <c r="AR41" s="734">
        <f>+'[9]eff all'!$AR$41:$AS$41</f>
        <v>1406.635</v>
      </c>
      <c r="AS41" s="735"/>
      <c r="AT41" s="725">
        <f>+'[9]eff all'!$AT$41:$AU$41</f>
        <v>105.33379299664101</v>
      </c>
      <c r="AU41" s="726"/>
      <c r="AV41" s="723">
        <f>+'[9]eff all'!$AV$41:$AW$41</f>
        <v>1.5242049287839419</v>
      </c>
      <c r="AW41" s="724"/>
      <c r="AX41" s="723">
        <f>+'[9]eff all'!$AX$41:$AY$41</f>
        <v>8.076011189825362E-2</v>
      </c>
      <c r="AY41" s="724"/>
      <c r="AZ41" s="725">
        <f>+'[9]eff all'!$AZ$41:$BA$41</f>
        <v>927.60064977766092</v>
      </c>
      <c r="BA41" s="726"/>
      <c r="BB41" s="725">
        <f>+'[9]eff all'!$BB$41:$BC$41</f>
        <v>240.2739175407979</v>
      </c>
      <c r="BC41" s="726"/>
      <c r="BD41" s="725">
        <f>+'[9]eff all'!$BD$41:$BE$41</f>
        <v>16.955357999765397</v>
      </c>
      <c r="BE41" s="727"/>
      <c r="BF41" s="728">
        <f>+'[9]eff all'!$BF$41:$BG$41</f>
        <v>0.88101947107260103</v>
      </c>
      <c r="BG41" s="729"/>
      <c r="BH41" s="745">
        <f>+'[9]eff all'!$BH$41:$BI$41</f>
        <v>0.88362769927484108</v>
      </c>
      <c r="BI41" s="746"/>
      <c r="BJ41" s="732">
        <f>+'[9]eff all'!$BJ$41:$BK$41</f>
        <v>1457.0090000000002</v>
      </c>
      <c r="BK41" s="733"/>
      <c r="BL41" s="723">
        <f>+'[9]eff all'!$BL$41:$BM$41</f>
        <v>2.7597633233562728</v>
      </c>
      <c r="BM41" s="724"/>
      <c r="BN41" s="723">
        <f>+'[9]eff all'!$BN$41:$BO$41</f>
        <v>0</v>
      </c>
      <c r="BO41" s="724"/>
      <c r="BP41" s="725">
        <f>+'[9]eff all'!$BP$41:$BQ$41</f>
        <v>932.94369492569979</v>
      </c>
      <c r="BQ41" s="726"/>
      <c r="BR41" s="725">
        <f>+'[9]eff all'!$BR$41:$BS$41</f>
        <v>0</v>
      </c>
      <c r="BS41" s="727"/>
      <c r="BT41" s="728">
        <f>+'[9]eff all'!$BT$41:$BU$41</f>
        <v>0.89958178262093658</v>
      </c>
      <c r="BU41" s="729"/>
      <c r="BV41" s="730">
        <f>+'[9]eff all'!$BV$41:$BW$41</f>
        <v>0.90458737037626458</v>
      </c>
      <c r="BW41" s="729"/>
      <c r="BX41" s="732">
        <f>+'[9]eff all'!$BX$41:$BY$41</f>
        <v>1385.694</v>
      </c>
      <c r="BY41" s="733"/>
      <c r="BZ41" s="725">
        <f>+'[9]eff all'!$BZ$41:$CA$41</f>
        <v>82.805082393313654</v>
      </c>
      <c r="CA41" s="726"/>
      <c r="CB41" s="723">
        <f>+'[9]eff all'!$CB$41:$CC$41</f>
        <v>1.9750969550275892</v>
      </c>
      <c r="CC41" s="724"/>
      <c r="CD41" s="723">
        <f>+'[9]eff all'!$CD$41:$CE$41</f>
        <v>5.6505981840146526E-2</v>
      </c>
      <c r="CE41" s="724"/>
      <c r="CF41" s="725">
        <f>+'[9]eff all'!$CF$41:$CG$41</f>
        <v>886.8080976030775</v>
      </c>
      <c r="CG41" s="726"/>
      <c r="CH41" s="740">
        <f>+'[9]eff all'!$CH$41:$CI$41</f>
        <v>150.23872370090368</v>
      </c>
      <c r="CI41" s="740"/>
      <c r="CJ41" s="740">
        <f>+'[9]eff all'!$CJ$41:$CK$41</f>
        <v>14.750731402459706</v>
      </c>
      <c r="CK41" s="817"/>
    </row>
    <row r="42" spans="1:89" ht="12.75" customHeight="1">
      <c r="A42" s="575" t="s">
        <v>227</v>
      </c>
      <c r="B42" s="741">
        <f>+'[10]eff all'!$B$42:$C$42</f>
        <v>0.89683016748794442</v>
      </c>
      <c r="C42" s="742"/>
      <c r="D42" s="743">
        <f>+'[10]eff all'!$D$42:$E$42</f>
        <v>0.91651254782215474</v>
      </c>
      <c r="E42" s="742"/>
      <c r="F42" s="736">
        <f>+'[10]eff all'!$F$42:$G$42</f>
        <v>1608.12</v>
      </c>
      <c r="G42" s="737"/>
      <c r="H42" s="738">
        <f>+'[10]eff all'!$H$42:$I$42</f>
        <v>2.3160037808123777</v>
      </c>
      <c r="I42" s="739"/>
      <c r="J42" s="736">
        <f>+'[10]eff all'!$J$42:$K$42</f>
        <v>1025.4408439668696</v>
      </c>
      <c r="K42" s="744"/>
      <c r="L42" s="741">
        <f>+'[10]eff all'!$L$42:$M$42</f>
        <v>0.92866754762333059</v>
      </c>
      <c r="M42" s="742"/>
      <c r="N42" s="743">
        <f>+'[10]eff all'!$N$42:$O$42</f>
        <v>0.93793898235070616</v>
      </c>
      <c r="O42" s="742"/>
      <c r="P42" s="736">
        <f>+'[10]eff all'!$P$42:$Q$42</f>
        <v>1827.3590000000004</v>
      </c>
      <c r="Q42" s="737"/>
      <c r="R42" s="738">
        <f>+'[10]eff all'!$R$42:$S$42</f>
        <v>2.0916446631450083</v>
      </c>
      <c r="S42" s="739"/>
      <c r="T42" s="738">
        <f>+'[10]eff all'!$T$42:$U$42</f>
        <v>0.23153633194134263</v>
      </c>
      <c r="U42" s="739"/>
      <c r="V42" s="736">
        <f>+'[10]eff all'!$V$42:$W$42</f>
        <v>614.27862833739778</v>
      </c>
      <c r="W42" s="737"/>
      <c r="X42" s="736">
        <f>+'[10]eff all'!$X$42:$Y$42</f>
        <v>437.11553121198392</v>
      </c>
      <c r="Y42" s="744"/>
      <c r="Z42" s="741">
        <f>+'[10]eff all'!$Z$42:$AA$42</f>
        <v>0.83629623576679857</v>
      </c>
      <c r="AA42" s="742"/>
      <c r="AB42" s="743">
        <f>+'[10]eff all'!$AB$42:$AC$42</f>
        <v>0.84011645284697367</v>
      </c>
      <c r="AC42" s="742"/>
      <c r="AD42" s="736">
        <f>+'[10]eff all'!$AD$42:$AE$42</f>
        <v>1132.2849999999999</v>
      </c>
      <c r="AE42" s="737"/>
      <c r="AF42" s="736">
        <f>+'[10]eff all'!$AF$42:$AG$42</f>
        <v>111.28199961501578</v>
      </c>
      <c r="AG42" s="737"/>
      <c r="AH42" s="738">
        <f>+'[10]eff all'!$AH$42:$AI$42</f>
        <v>1.6594761919481404</v>
      </c>
      <c r="AI42" s="739"/>
      <c r="AJ42" s="738">
        <f>+'[10]eff all'!$AJ$42:$AK$42</f>
        <v>964.83334142905812</v>
      </c>
      <c r="AK42" s="739"/>
      <c r="AL42" s="736">
        <f>+'[10]eff all'!$AL$42:$AM$42</f>
        <v>0</v>
      </c>
      <c r="AM42" s="744"/>
      <c r="AN42" s="741">
        <f>+'[10]eff all'!$AN$42:$AO$42</f>
        <v>0.841493556505851</v>
      </c>
      <c r="AO42" s="742"/>
      <c r="AP42" s="743">
        <f>+'[10]eff all'!$AP$42:$AQ$42</f>
        <v>0.85108230952572761</v>
      </c>
      <c r="AQ42" s="742"/>
      <c r="AR42" s="755">
        <f>+'[10]eff all'!$AR$42:$AS$42</f>
        <v>1316.3440000000001</v>
      </c>
      <c r="AS42" s="756"/>
      <c r="AT42" s="736">
        <f>+'[10]eff all'!$AT$42:$AU$42</f>
        <v>121.83943867945894</v>
      </c>
      <c r="AU42" s="737"/>
      <c r="AV42" s="738">
        <f>+'[10]eff all'!$AV$42:$AW$42</f>
        <v>1.4904158791318984</v>
      </c>
      <c r="AW42" s="739"/>
      <c r="AX42" s="738">
        <f>+'[10]eff all'!$AX$42:$AY$42</f>
        <v>0.19523771901569797</v>
      </c>
      <c r="AY42" s="739"/>
      <c r="AZ42" s="736">
        <f>+'[10]eff all'!$AZ$42:$BA$42</f>
        <v>883.63400448514949</v>
      </c>
      <c r="BA42" s="737"/>
      <c r="BB42" s="736">
        <f>+'[10]eff all'!$BB$42:$BC$42</f>
        <v>521.88219796648889</v>
      </c>
      <c r="BC42" s="737"/>
      <c r="BD42" s="736">
        <f>+'[10]eff all'!$BD$42:$BE$42</f>
        <v>0</v>
      </c>
      <c r="BE42" s="744"/>
      <c r="BF42" s="741">
        <f>+'[10]eff all'!$BF$42:$BG$42</f>
        <v>0.81559727954315242</v>
      </c>
      <c r="BG42" s="742"/>
      <c r="BH42" s="743">
        <f>+'[10]eff all'!$BH$42:$BI$42</f>
        <v>0.82877820530328572</v>
      </c>
      <c r="BI42" s="742"/>
      <c r="BJ42" s="736">
        <f>+'[10]eff all'!$BJ$42:$BK$42</f>
        <v>1259.7350000000001</v>
      </c>
      <c r="BK42" s="737"/>
      <c r="BL42" s="738">
        <f>+'[10]eff all'!$BL$42:$BM$42</f>
        <v>2.8948151793829653</v>
      </c>
      <c r="BM42" s="739"/>
      <c r="BN42" s="738">
        <f>+'[10]eff all'!$BN$42:$BO$42</f>
        <v>0</v>
      </c>
      <c r="BO42" s="739"/>
      <c r="BP42" s="736">
        <f>+'[10]eff all'!$BP$42:$BQ$42</f>
        <v>971.01940308418136</v>
      </c>
      <c r="BQ42" s="737"/>
      <c r="BR42" s="736">
        <f>+'[10]eff all'!$BR$42:$BS$42</f>
        <v>0</v>
      </c>
      <c r="BS42" s="744"/>
      <c r="BT42" s="741">
        <f>+'[10]eff all'!$BT$42:$BU$42</f>
        <v>0.90927146053562879</v>
      </c>
      <c r="BU42" s="742"/>
      <c r="BV42" s="743">
        <f>+'[10]eff all'!$BV$42:$BW$42</f>
        <v>0.93351910522430248</v>
      </c>
      <c r="BW42" s="742"/>
      <c r="BX42" s="736">
        <f>+'[10]eff all'!$BX$42:$BY$42</f>
        <v>1433.0600000000002</v>
      </c>
      <c r="BY42" s="737"/>
      <c r="BZ42" s="736">
        <f>+'[10]eff all'!$BZ$42:$CA$42</f>
        <v>77.094083288095504</v>
      </c>
      <c r="CA42" s="737"/>
      <c r="CB42" s="738">
        <f>+'[10]eff all'!$CB$42:$CC$42</f>
        <v>1.8864527654110776</v>
      </c>
      <c r="CC42" s="739"/>
      <c r="CD42" s="738">
        <f>+'[10]eff all'!$CD$42:$CE$42</f>
        <v>0.14263185072502196</v>
      </c>
      <c r="CE42" s="739"/>
      <c r="CF42" s="736">
        <f>+'[10]eff all'!$CF$42:$CG$42</f>
        <v>754.59782022786919</v>
      </c>
      <c r="CG42" s="737"/>
      <c r="CH42" s="766">
        <f>+'[10]eff all'!$CH$42:$CI$42</f>
        <v>384.70371094022579</v>
      </c>
      <c r="CI42" s="766"/>
      <c r="CJ42" s="766">
        <v>0</v>
      </c>
      <c r="CK42" s="818"/>
    </row>
    <row r="43" spans="1:89" ht="12.75" customHeight="1">
      <c r="A43" s="576" t="s">
        <v>228</v>
      </c>
      <c r="B43" s="752">
        <f>+'[11]eff all'!$B$43:$C$43</f>
        <v>0.81728992699563985</v>
      </c>
      <c r="C43" s="750"/>
      <c r="D43" s="749">
        <f>+'[11]eff all'!$D$43:$E$43</f>
        <v>0.81728992699563985</v>
      </c>
      <c r="E43" s="750"/>
      <c r="F43" s="747">
        <f>+'[11]eff all'!$F$43:$G$43</f>
        <v>1753.6980000000001</v>
      </c>
      <c r="G43" s="751"/>
      <c r="H43" s="753">
        <f>+'[11]eff all'!$H$43:$I$43</f>
        <v>2.3283626941468825</v>
      </c>
      <c r="I43" s="754"/>
      <c r="J43" s="747">
        <f>+'[11]eff all'!$J$43:$K$43</f>
        <v>919.17354641449094</v>
      </c>
      <c r="K43" s="748"/>
      <c r="L43" s="752">
        <f>+'[11]eff all'!$L$43:$M$43</f>
        <v>0.88541366395827092</v>
      </c>
      <c r="M43" s="750"/>
      <c r="N43" s="749">
        <f>+'[11]eff all'!$N$43:$O$43</f>
        <v>0.92564375346980865</v>
      </c>
      <c r="O43" s="750"/>
      <c r="P43" s="747">
        <f>+'[11]eff all'!$P$43:$Q$43</f>
        <v>1848.3660000000002</v>
      </c>
      <c r="Q43" s="751"/>
      <c r="R43" s="753">
        <f>+'[11]eff all'!$R$43:$S$43</f>
        <v>2.3081272864789759</v>
      </c>
      <c r="S43" s="754"/>
      <c r="T43" s="753">
        <f>+'[11]eff all'!$T$43:$U$43</f>
        <v>0.22165523494805681</v>
      </c>
      <c r="U43" s="754"/>
      <c r="V43" s="747">
        <f>+'[11]eff all'!$V$43:$W$43</f>
        <v>640.41014604250449</v>
      </c>
      <c r="W43" s="751"/>
      <c r="X43" s="747">
        <f>+'[11]eff all'!$X$43:$Y$43</f>
        <v>434.93518058652887</v>
      </c>
      <c r="Y43" s="748"/>
      <c r="Z43" s="752">
        <f>+'[11]eff all'!$Z$43:$AA$43</f>
        <v>0.80335180840639453</v>
      </c>
      <c r="AA43" s="750"/>
      <c r="AB43" s="749">
        <f>+'[11]eff all'!$AB$43:$AC$43</f>
        <v>0.86162048557993176</v>
      </c>
      <c r="AC43" s="750"/>
      <c r="AD43" s="747">
        <f>+'[11]eff all'!$AD$43:$AE$43</f>
        <v>1130.835</v>
      </c>
      <c r="AE43" s="751"/>
      <c r="AF43" s="747">
        <f>+'[11]eff all'!$AF$43:$AG$43</f>
        <v>107.89351601751943</v>
      </c>
      <c r="AG43" s="751"/>
      <c r="AH43" s="753">
        <f>+'[11]eff all'!$AH$43:$AI$43</f>
        <v>1.5947507815021644</v>
      </c>
      <c r="AI43" s="754"/>
      <c r="AJ43" s="753">
        <f>+'[11]eff all'!$AJ$43:$AK$43</f>
        <v>914.38361918405428</v>
      </c>
      <c r="AK43" s="754"/>
      <c r="AL43" s="747">
        <f>+'[11]eff all'!$AL$43:$AM$43</f>
        <v>20.165629822211024</v>
      </c>
      <c r="AM43" s="748"/>
      <c r="AN43" s="752">
        <f>+'[11]eff all'!$AN$43:$AO$43</f>
        <v>0.85071018918198382</v>
      </c>
      <c r="AO43" s="750"/>
      <c r="AP43" s="749">
        <f>+'[11]eff all'!$AP$43:$AQ$43</f>
        <v>0.85071018918198382</v>
      </c>
      <c r="AQ43" s="750"/>
      <c r="AR43" s="764">
        <f>+'[11]eff all'!$AR$43:$AS$43</f>
        <v>1375.3570000000002</v>
      </c>
      <c r="AS43" s="765"/>
      <c r="AT43" s="747">
        <f>+'[11]eff all'!$AT$43:$AU$43</f>
        <v>113.79764973808959</v>
      </c>
      <c r="AU43" s="751"/>
      <c r="AV43" s="753">
        <f>+'[11]eff all'!$AV$43:$AW$43</f>
        <v>1.4656558260873356</v>
      </c>
      <c r="AW43" s="754"/>
      <c r="AX43" s="753">
        <f>+'[11]eff all'!$AX$43:$AY$43</f>
        <v>0.1861334911590227</v>
      </c>
      <c r="AY43" s="754"/>
      <c r="AZ43" s="747">
        <f>+'[11]eff all'!$AZ$43:$BA$43</f>
        <v>878.4606469447566</v>
      </c>
      <c r="BA43" s="751"/>
      <c r="BB43" s="747">
        <f>+'[11]eff all'!$BB$43:$BC$43</f>
        <v>550.25945990750074</v>
      </c>
      <c r="BC43" s="748"/>
      <c r="BD43" s="801">
        <f>+'[11]eff all'!$BD$43:$BE$43</f>
        <v>0</v>
      </c>
      <c r="BE43" s="748"/>
      <c r="BF43" s="752">
        <f>+'[11]eff all'!$BF$43:$BG$43</f>
        <v>0.89363459307778192</v>
      </c>
      <c r="BG43" s="750"/>
      <c r="BH43" s="749">
        <f>+'[11]eff all'!$BH$43:$BI$43</f>
        <v>0.89363459307778192</v>
      </c>
      <c r="BI43" s="750"/>
      <c r="BJ43" s="747">
        <f>+'[11]eff all'!$BJ$43:$BK$43</f>
        <v>1430.6919999999998</v>
      </c>
      <c r="BK43" s="751"/>
      <c r="BL43" s="753">
        <f>+'[11]eff all'!$BL$43:$BM$43</f>
        <v>2.6821286482345617</v>
      </c>
      <c r="BM43" s="754"/>
      <c r="BN43" s="753">
        <f>+'[11]eff all'!$BN$43:$BO$43</f>
        <v>0</v>
      </c>
      <c r="BO43" s="754"/>
      <c r="BP43" s="747">
        <f>+'[11]eff all'!$BP$43:$BQ$43</f>
        <v>974.33568621579991</v>
      </c>
      <c r="BQ43" s="751"/>
      <c r="BR43" s="747">
        <f>+'[11]eff all'!$BR$43:$BS$43</f>
        <v>0</v>
      </c>
      <c r="BS43" s="748"/>
      <c r="BT43" s="752">
        <f>+'[11]eff all'!$BT$43:$BU$43</f>
        <v>0.90863447914298279</v>
      </c>
      <c r="BU43" s="750"/>
      <c r="BV43" s="749">
        <f>+'[11]eff all'!$BV$43:$BW$43</f>
        <v>0.91878389692957507</v>
      </c>
      <c r="BW43" s="750"/>
      <c r="BX43" s="747">
        <f>+'[11]eff all'!$BX$43:$BY$43</f>
        <v>1460.105</v>
      </c>
      <c r="BY43" s="751"/>
      <c r="BZ43" s="747">
        <f>+'[11]eff all'!$BZ$43:$CA$43</f>
        <v>77.669648185232361</v>
      </c>
      <c r="CA43" s="751"/>
      <c r="CB43" s="753">
        <f>+'[11]eff all'!$CB$43:$CC$43</f>
        <v>2.0032805859852543</v>
      </c>
      <c r="CC43" s="754"/>
      <c r="CD43" s="753">
        <f>+'[11]eff all'!$CD$43:$CE$43</f>
        <v>8.3692611147828416E-2</v>
      </c>
      <c r="CE43" s="754"/>
      <c r="CF43" s="747">
        <f>+'[11]eff all'!$CF$43:$CG$43</f>
        <v>840.7660191674878</v>
      </c>
      <c r="CG43" s="751"/>
      <c r="CH43" s="747">
        <f>+'[11]eff all'!$CH$43:$CI$43</f>
        <v>246.27502816578257</v>
      </c>
      <c r="CI43" s="748"/>
      <c r="CJ43" s="801">
        <f>+'[11]eff all'!$CJ$43:$CK$43</f>
        <v>19.550648754712846</v>
      </c>
      <c r="CK43" s="748"/>
    </row>
    <row r="44" spans="1:89" ht="12.75" customHeight="1">
      <c r="A44" s="577" t="s">
        <v>229</v>
      </c>
      <c r="B44" s="759">
        <f>+'[12]eff all'!$B$44:$C$44</f>
        <v>0.85128629745489748</v>
      </c>
      <c r="C44" s="760"/>
      <c r="D44" s="761">
        <f>+'[12]eff all'!$D$44:$E$44</f>
        <v>0.88261388777069127</v>
      </c>
      <c r="E44" s="760"/>
      <c r="F44" s="762">
        <f>+'[12]eff all'!$F$44:$G$44</f>
        <v>1626.8629999999996</v>
      </c>
      <c r="G44" s="763"/>
      <c r="H44" s="757">
        <f>+'[12]eff all'!$H$44:$I$44</f>
        <v>2.4992417923328527</v>
      </c>
      <c r="I44" s="758"/>
      <c r="J44" s="762">
        <f>+'[12]eff all'!$J$44:$K$44</f>
        <v>943.70529048850415</v>
      </c>
      <c r="K44" s="767"/>
      <c r="L44" s="759">
        <f>+'[12]eff all'!$L$44:$M$44</f>
        <v>0.91684997474795549</v>
      </c>
      <c r="M44" s="760"/>
      <c r="N44" s="761">
        <f>+'[12]eff all'!$N$44:$O$44</f>
        <v>0.9454769668630435</v>
      </c>
      <c r="O44" s="760"/>
      <c r="P44" s="762">
        <f>+'[12]eff all'!$P$44:$Q$44</f>
        <v>1788.1659999999997</v>
      </c>
      <c r="Q44" s="763"/>
      <c r="R44" s="757">
        <f>+'[12]eff all'!$R$44:$S$44</f>
        <v>2.1331811476115754</v>
      </c>
      <c r="S44" s="758"/>
      <c r="T44" s="757">
        <f>+'[12]eff all'!$T$44:$U$44</f>
        <v>0.21231250342529728</v>
      </c>
      <c r="U44" s="758"/>
      <c r="V44" s="757">
        <f>+'[12]eff all'!$V$44:$W$44</f>
        <v>722.2509375527776</v>
      </c>
      <c r="W44" s="758"/>
      <c r="X44" s="757">
        <f>+'[12]eff all'!$X$44:$Y$44</f>
        <v>464.24761459506601</v>
      </c>
      <c r="Y44" s="768"/>
      <c r="Z44" s="759">
        <f>+'[12]eff all'!$Z$44:$AA$44</f>
        <v>0.86206949583301151</v>
      </c>
      <c r="AA44" s="760"/>
      <c r="AB44" s="761">
        <f>+'[12]eff all'!$AB$44:$AC$44</f>
        <v>0.90942581099977049</v>
      </c>
      <c r="AC44" s="760"/>
      <c r="AD44" s="762">
        <f>+'[12]eff all'!$AD$44:$AE$44</f>
        <v>1188.7909999999999</v>
      </c>
      <c r="AE44" s="763"/>
      <c r="AF44" s="762">
        <f>+'[12]eff all'!$AF$44:$AG$44</f>
        <v>106.25948485661435</v>
      </c>
      <c r="AG44" s="763"/>
      <c r="AH44" s="757">
        <f>+'[12]eff all'!$AH$44:$AI$44</f>
        <v>1.5097691688446497</v>
      </c>
      <c r="AI44" s="758"/>
      <c r="AJ44" s="757">
        <f>+'[12]eff all'!$AJ$44:$AK$44</f>
        <v>921.84495003747463</v>
      </c>
      <c r="AK44" s="758"/>
      <c r="AL44" s="762">
        <f>+'[12]eff all'!$AL$44:$AM$44</f>
        <v>7.5538929887591681</v>
      </c>
      <c r="AM44" s="767"/>
      <c r="AN44" s="759">
        <f>+'[12]eff all'!$AN$44:$AO$44</f>
        <v>0.9113017975148916</v>
      </c>
      <c r="AO44" s="760"/>
      <c r="AP44" s="761">
        <f>+'[12]eff all'!$AP$44:$AQ$44</f>
        <v>0.94321744444989342</v>
      </c>
      <c r="AQ44" s="760"/>
      <c r="AR44" s="774">
        <f>+'[12]eff all'!$AR$44:$AS$44</f>
        <v>1441.538</v>
      </c>
      <c r="AS44" s="775"/>
      <c r="AT44" s="762">
        <f>+'[12]eff all'!$AT$44:$AU$44</f>
        <v>98.381360721465839</v>
      </c>
      <c r="AU44" s="763"/>
      <c r="AV44" s="757">
        <f>+'[12]eff all'!$AV$44:$AW$44</f>
        <v>1.4245895703061591</v>
      </c>
      <c r="AW44" s="758"/>
      <c r="AX44" s="762">
        <f>+'[12]eff all'!$AX$44:$AY$44</f>
        <v>6.3755312952158888E-2</v>
      </c>
      <c r="AY44" s="763"/>
      <c r="AZ44" s="762">
        <f>+'[12]eff all'!$AZ$44:$BA$44</f>
        <v>884.49349236718024</v>
      </c>
      <c r="BA44" s="763"/>
      <c r="BB44" s="762">
        <f>+'[12]eff all'!$BB$44:$BC$44</f>
        <v>178.9753721372584</v>
      </c>
      <c r="BC44" s="767"/>
      <c r="BD44" s="802">
        <f>+'[12]eff all'!$BD$44:$BE$44</f>
        <v>0</v>
      </c>
      <c r="BE44" s="767"/>
      <c r="BF44" s="759">
        <f>+'[12]eff all'!$BF$44:$BG$44</f>
        <v>0.83968007638049036</v>
      </c>
      <c r="BG44" s="760"/>
      <c r="BH44" s="761">
        <f>+'[12]eff all'!$BH$44:$BI$44</f>
        <v>0.88025535162218882</v>
      </c>
      <c r="BI44" s="760"/>
      <c r="BJ44" s="762">
        <f>+'[12]eff all'!$BJ$44:$BK$44</f>
        <v>1283.7219999999998</v>
      </c>
      <c r="BK44" s="763"/>
      <c r="BL44" s="757">
        <f>+'[12]eff all'!$BL$44:$BM$44</f>
        <v>2.9010175100216404</v>
      </c>
      <c r="BM44" s="758"/>
      <c r="BN44" s="757">
        <f>+'[12]eff all'!$BN$44:$BO$44</f>
        <v>0</v>
      </c>
      <c r="BO44" s="758"/>
      <c r="BP44" s="762">
        <f>+'[12]eff all'!$BP$44:$BQ$44</f>
        <v>1018.1901188326394</v>
      </c>
      <c r="BQ44" s="763"/>
      <c r="BR44" s="762">
        <f>+'[12]eff all'!$BR$44:$BS$44</f>
        <v>0</v>
      </c>
      <c r="BS44" s="767"/>
      <c r="BT44" s="772">
        <f>+'[12]eff all'!$BT$44:$BU$44</f>
        <v>0.86479672437549404</v>
      </c>
      <c r="BU44" s="773"/>
      <c r="BV44" s="773">
        <f>+'[12]eff all'!$BV$44:$BW$44</f>
        <v>0.91368891665471463</v>
      </c>
      <c r="BW44" s="773"/>
      <c r="BX44" s="770">
        <f>+'[12]eff all'!$BX$44:$BY$44</f>
        <v>1364.9880000000001</v>
      </c>
      <c r="BY44" s="770"/>
      <c r="BZ44" s="769">
        <f>+'[12]eff all'!$BZ$44:$CA$44</f>
        <v>71.774411764880114</v>
      </c>
      <c r="CA44" s="769"/>
      <c r="CB44" s="769">
        <f>+'[12]eff all'!$CB$44:$CC$44</f>
        <v>1.9880760856505704</v>
      </c>
      <c r="CC44" s="769"/>
      <c r="CD44" s="769">
        <f>+'[12]eff all'!$CD$44:$CE$44</f>
        <v>0.17403816004243261</v>
      </c>
      <c r="CE44" s="769"/>
      <c r="CF44" s="770">
        <f>+'[12]eff all'!$CF$44:$CG$44</f>
        <v>844.20451628287208</v>
      </c>
      <c r="CG44" s="770"/>
      <c r="CH44" s="770">
        <f>+'[12]eff all'!$CH$44:$CI$44</f>
        <v>469.40954792276608</v>
      </c>
      <c r="CI44" s="771"/>
      <c r="CJ44" s="763">
        <f>+'[12]eff all'!$CJ$44:$CK$44</f>
        <v>0</v>
      </c>
      <c r="CK44" s="771"/>
    </row>
    <row r="45" spans="1:89">
      <c r="A45" s="569" t="s">
        <v>230</v>
      </c>
      <c r="B45" s="632">
        <f>+'[13]eff all'!$B$45:$C$45</f>
        <v>0.84979165368605014</v>
      </c>
      <c r="C45" s="633"/>
      <c r="D45" s="634">
        <f>+'[13]eff all'!$D$45:$E$45</f>
        <v>0.85889246846907286</v>
      </c>
      <c r="E45" s="633"/>
      <c r="F45" s="629">
        <f>+'[13]eff all'!$F$45:$G$45</f>
        <v>1534.4690000000003</v>
      </c>
      <c r="G45" s="630"/>
      <c r="H45" s="653">
        <f>+'[13]eff all'!$H$45:$I$45</f>
        <v>2.4307190304919817</v>
      </c>
      <c r="I45" s="654"/>
      <c r="J45" s="629">
        <f>+'[13]eff all'!$J$45:$K$45</f>
        <v>1009.2876688939294</v>
      </c>
      <c r="K45" s="674"/>
      <c r="L45" s="632">
        <f>+'[13]eff all'!$L$45:$M$45</f>
        <v>0.85741705611332952</v>
      </c>
      <c r="M45" s="633"/>
      <c r="N45" s="634">
        <f>+'[13]eff all'!$N$45:$O$45</f>
        <v>0.89481520731611941</v>
      </c>
      <c r="O45" s="633"/>
      <c r="P45" s="629">
        <f>+'[13]eff all'!$P$45:$Q$45</f>
        <v>1704.768</v>
      </c>
      <c r="Q45" s="630"/>
      <c r="R45" s="653">
        <f>+'[13]eff all'!$R$45:$S$45</f>
        <v>2.4058077110785745</v>
      </c>
      <c r="S45" s="654"/>
      <c r="T45" s="653">
        <f>+'[13]eff all'!$T$45:$U$45</f>
        <v>0.14817265457821827</v>
      </c>
      <c r="U45" s="654"/>
      <c r="V45" s="653">
        <f>+'[13]eff all'!$V$45:$W$45</f>
        <v>708.74890307654778</v>
      </c>
      <c r="W45" s="654"/>
      <c r="X45" s="653">
        <f>+'[13]eff all'!$X$45:$Y$45</f>
        <v>419.01830630326219</v>
      </c>
      <c r="Y45" s="777"/>
      <c r="Z45" s="632">
        <f>+'[13]eff all'!$Z$45:$AA$45</f>
        <v>0.87132155033301406</v>
      </c>
      <c r="AA45" s="633"/>
      <c r="AB45" s="634">
        <f>+'[13]eff all'!$AB$45:$AC$45</f>
        <v>0.87132155033301406</v>
      </c>
      <c r="AC45" s="633"/>
      <c r="AD45" s="629">
        <f>+'[13]eff all'!$AD$45:$AE$45</f>
        <v>1204.6450000000002</v>
      </c>
      <c r="AE45" s="630"/>
      <c r="AF45" s="653">
        <f>+'[13]eff all'!$AF$45:$AG$45</f>
        <v>105.43835507766659</v>
      </c>
      <c r="AG45" s="654"/>
      <c r="AH45" s="653">
        <f>+'[13]eff all'!$AH$45:$AI$45</f>
        <v>1.5603767084908828</v>
      </c>
      <c r="AI45" s="654"/>
      <c r="AJ45" s="653">
        <f>+'[13]eff all'!$AJ$45:$AK$45</f>
        <v>928.04959137339199</v>
      </c>
      <c r="AK45" s="654"/>
      <c r="AL45" s="629">
        <f>+'[13]eff all'!$AL$45:$AM$45</f>
        <v>0</v>
      </c>
      <c r="AM45" s="674"/>
      <c r="AN45" s="632">
        <f>+'[13]eff all'!$AN$45:$AO$45</f>
        <v>0.47758007033586591</v>
      </c>
      <c r="AO45" s="633"/>
      <c r="AP45" s="634">
        <f>+'[13]eff all'!$AP$45:$AQ$45</f>
        <v>0.8638562625636298</v>
      </c>
      <c r="AQ45" s="633"/>
      <c r="AR45" s="778">
        <f>+'[13]eff all'!$AR$45:$AS$45</f>
        <v>764.20999999999992</v>
      </c>
      <c r="AS45" s="779"/>
      <c r="AT45" s="653">
        <f>+'[13]eff all'!$AT$45:$AU$45</f>
        <v>117.91593614950136</v>
      </c>
      <c r="AU45" s="654"/>
      <c r="AV45" s="653">
        <f>+'[13]eff all'!$AV$45:$AW$45</f>
        <v>1.737087973201084</v>
      </c>
      <c r="AW45" s="654"/>
      <c r="AX45" s="653">
        <f>+'[13]eff all'!$AX$45:$AY$45</f>
        <v>0</v>
      </c>
      <c r="AY45" s="654"/>
      <c r="AZ45" s="629">
        <f>+'[13]eff all'!$AZ$45:$BA$45</f>
        <v>1171.1575352324626</v>
      </c>
      <c r="BA45" s="630"/>
      <c r="BB45" s="653">
        <f>+'[13]eff all'!$BB$45:$BC$45</f>
        <v>0</v>
      </c>
      <c r="BC45" s="777"/>
      <c r="BD45" s="803">
        <f>+'[13]eff all'!$BD$45:$BE$45</f>
        <v>23.422881145234534</v>
      </c>
      <c r="BE45" s="674"/>
      <c r="BF45" s="632">
        <f>+'[13]eff all'!$BF$45:$BG$45</f>
        <v>0.79411423930112257</v>
      </c>
      <c r="BG45" s="633"/>
      <c r="BH45" s="634">
        <f>+'[13]eff all'!$BH$45:$BI$45</f>
        <v>0.80751482141228126</v>
      </c>
      <c r="BI45" s="633"/>
      <c r="BJ45" s="629">
        <f>+'[13]eff all'!$BJ$45:$BK$45</f>
        <v>1316.4520000000002</v>
      </c>
      <c r="BK45" s="630"/>
      <c r="BL45" s="653">
        <f>+'[13]eff all'!$BL$45:$BM$45</f>
        <v>2.6146034948482737</v>
      </c>
      <c r="BM45" s="654"/>
      <c r="BN45" s="653">
        <f>+'[13]eff all'!$BN$45:$BO$45</f>
        <v>0</v>
      </c>
      <c r="BO45" s="654"/>
      <c r="BP45" s="629">
        <f>+'[13]eff all'!$BP$45:$BQ$45</f>
        <v>1083.3644303830235</v>
      </c>
      <c r="BQ45" s="630"/>
      <c r="BR45" s="653">
        <f>+'[13]eff all'!$BR$45:$BS$45</f>
        <v>0</v>
      </c>
      <c r="BS45" s="777"/>
      <c r="BT45" s="664">
        <f>+'[13]eff all'!$BT$45:$BU$45</f>
        <v>0.79215109753247104</v>
      </c>
      <c r="BU45" s="665"/>
      <c r="BV45" s="665">
        <f>+'[13]eff all'!$BV$45:$BW$45</f>
        <v>0.80246910810737848</v>
      </c>
      <c r="BW45" s="665"/>
      <c r="BX45" s="631">
        <f>+'[13]eff all'!$BX$45:$BY$45</f>
        <v>1219.0239999999997</v>
      </c>
      <c r="BY45" s="631"/>
      <c r="BZ45" s="663">
        <f>+'[13]eff all'!$BZ$45:$CA$45</f>
        <v>89.967609483204555</v>
      </c>
      <c r="CA45" s="663"/>
      <c r="CB45" s="663">
        <f>+'[13]eff all'!$CB$45:$CC$45</f>
        <v>2.2528678680649445</v>
      </c>
      <c r="CC45" s="663"/>
      <c r="CD45" s="663">
        <f>+'[13]eff all'!$CD$45:$CE$45</f>
        <v>0</v>
      </c>
      <c r="CE45" s="663"/>
      <c r="CF45" s="631">
        <f>+'[13]eff all'!$CF$45:$CG$45</f>
        <v>1093.3749039341374</v>
      </c>
      <c r="CG45" s="631"/>
      <c r="CH45" s="663">
        <f>+'[13]eff all'!$CH$45:$CI$45</f>
        <v>0</v>
      </c>
      <c r="CI45" s="776"/>
      <c r="CJ45" s="654">
        <f>+'[13]eff all'!$CJ$45:$CK$45</f>
        <v>3.7653073278297011</v>
      </c>
      <c r="CK45" s="776"/>
    </row>
    <row r="46" spans="1:89">
      <c r="A46" s="578" t="s">
        <v>231</v>
      </c>
      <c r="B46" s="698">
        <f>+'[14]eff all'!$B$46:$C$46</f>
        <v>0.83769523903512089</v>
      </c>
      <c r="C46" s="660"/>
      <c r="D46" s="659">
        <f>+'[14]eff all'!$D$46:$E$46</f>
        <v>0.8766254011798259</v>
      </c>
      <c r="E46" s="660"/>
      <c r="F46" s="699">
        <f>+'[14]eff all'!$F$46:$G$46</f>
        <v>1634.1919999999996</v>
      </c>
      <c r="G46" s="700"/>
      <c r="H46" s="661">
        <f>+'[14]eff all'!$H$46:$I$46</f>
        <v>2.3108465835103833</v>
      </c>
      <c r="I46" s="662"/>
      <c r="J46" s="699">
        <f>+'[14]eff all'!$J$46:$K$46</f>
        <v>925.52625884841029</v>
      </c>
      <c r="K46" s="701"/>
      <c r="L46" s="698">
        <f>+'[14]eff all'!$L$46:$M$46</f>
        <v>0.84617170172403267</v>
      </c>
      <c r="M46" s="660"/>
      <c r="N46" s="659">
        <f>+'[14]eff all'!$N$46:$O$46</f>
        <v>0.9204051477742291</v>
      </c>
      <c r="O46" s="660"/>
      <c r="P46" s="699">
        <f>+'[14]eff all'!$P$46:$Q$46</f>
        <v>1544.1629999999998</v>
      </c>
      <c r="Q46" s="700"/>
      <c r="R46" s="661">
        <f>+'[14]eff all'!$R$46:$S$46</f>
        <v>2.2768451258060192</v>
      </c>
      <c r="S46" s="662"/>
      <c r="T46" s="661">
        <f>+'[14]eff all'!$T$46:$U$46</f>
        <v>0.21063190867803475</v>
      </c>
      <c r="U46" s="662"/>
      <c r="V46" s="699">
        <f>+'[14]eff all'!$V$46:$W$46</f>
        <v>556.96866198710893</v>
      </c>
      <c r="W46" s="700"/>
      <c r="X46" s="661">
        <f>+'[14]eff all'!$X$46:$Y$46</f>
        <v>505.65160543284605</v>
      </c>
      <c r="Y46" s="704"/>
      <c r="Z46" s="698">
        <f>+'[14]eff all'!$Z$46:$AA$46</f>
        <v>0.81429519491858005</v>
      </c>
      <c r="AA46" s="660"/>
      <c r="AB46" s="659">
        <f>+'[14]eff all'!$AB$46:$AC$46</f>
        <v>0.84116945725970971</v>
      </c>
      <c r="AC46" s="660"/>
      <c r="AD46" s="699">
        <f>+'[14]eff all'!$AD$46:$AE$46</f>
        <v>1037.251</v>
      </c>
      <c r="AE46" s="700"/>
      <c r="AF46" s="699">
        <f>+'[14]eff all'!$AF$46:$AG$46</f>
        <v>107.29574153254443</v>
      </c>
      <c r="AG46" s="700"/>
      <c r="AH46" s="661">
        <f>+'[14]eff all'!$AH$46:$AI$46</f>
        <v>1.536754363215846</v>
      </c>
      <c r="AI46" s="662"/>
      <c r="AJ46" s="661">
        <f>+'[14]eff all'!$AJ$46:$AK$46</f>
        <v>927.08314573810958</v>
      </c>
      <c r="AK46" s="662"/>
      <c r="AL46" s="699">
        <f>+'[14]eff all'!$AL$46:$AM$46</f>
        <v>0</v>
      </c>
      <c r="AM46" s="701"/>
      <c r="AN46" s="698">
        <f>+'[14]eff all'!$AN$46:$AO$46</f>
        <v>0.88342597272628431</v>
      </c>
      <c r="AO46" s="660"/>
      <c r="AP46" s="659">
        <f>+'[14]eff all'!$AP$46:$AQ$46</f>
        <v>0.90448559347378232</v>
      </c>
      <c r="AQ46" s="660"/>
      <c r="AR46" s="809">
        <f>+'[14]eff all'!$AR$46:$AS$46</f>
        <v>1294.864</v>
      </c>
      <c r="AS46" s="810"/>
      <c r="AT46" s="699">
        <f>+'[14]eff all'!$AT$46:$AU$46</f>
        <v>106.60047579603155</v>
      </c>
      <c r="AU46" s="700"/>
      <c r="AV46" s="661">
        <f>+'[14]eff all'!$AV$46:$AW$46</f>
        <v>1.7585630614489243</v>
      </c>
      <c r="AW46" s="662"/>
      <c r="AX46" s="661">
        <f>+'[14]eff all'!$AX$46:$AY$46</f>
        <v>7.321232191179923E-2</v>
      </c>
      <c r="AY46" s="662"/>
      <c r="AZ46" s="699">
        <f>+'[14]eff all'!$AZ$46:$BA$46</f>
        <v>932.75272152133323</v>
      </c>
      <c r="BA46" s="700"/>
      <c r="BB46" s="699">
        <f>+'[14]eff all'!$BB$46:$BC$46</f>
        <v>205.07134339976946</v>
      </c>
      <c r="BC46" s="701"/>
      <c r="BD46" s="804">
        <f>+'[14]eff all'!$BD$46:$BE$46</f>
        <v>0</v>
      </c>
      <c r="BE46" s="701"/>
      <c r="BF46" s="698">
        <f>+'[14]eff all'!$BF$46:$BG$46</f>
        <v>0.85694754288718977</v>
      </c>
      <c r="BG46" s="660"/>
      <c r="BH46" s="659">
        <f>+'[14]eff all'!$BH$46:$BI$46</f>
        <v>0.88509205317544382</v>
      </c>
      <c r="BI46" s="660"/>
      <c r="BJ46" s="699">
        <f>+'[14]eff all'!$BJ$46:$BK$46</f>
        <v>1241.78</v>
      </c>
      <c r="BK46" s="700"/>
      <c r="BL46" s="699">
        <f>+'[14]eff all'!$BL$46:$BM$46</f>
        <v>2.5784760585610975</v>
      </c>
      <c r="BM46" s="700"/>
      <c r="BN46" s="661">
        <f>+'[14]eff all'!$BN$46:$BO$46</f>
        <v>0</v>
      </c>
      <c r="BO46" s="662"/>
      <c r="BP46" s="699">
        <f>+'[14]eff all'!$BP$46:$BQ$46</f>
        <v>1074.7242034080921</v>
      </c>
      <c r="BQ46" s="700"/>
      <c r="BR46" s="661">
        <f>+'[14]eff all'!$BR$46:$BS$46</f>
        <v>0</v>
      </c>
      <c r="BS46" s="704"/>
      <c r="BT46" s="781">
        <f>+'[14]eff all'!$BT$46:$BU$46</f>
        <v>0.52741321849552625</v>
      </c>
      <c r="BU46" s="782"/>
      <c r="BV46" s="782">
        <f>+'[14]eff all'!$BV$46:$BW$46</f>
        <v>0.87317352495084033</v>
      </c>
      <c r="BW46" s="782"/>
      <c r="BX46" s="710">
        <f>+'[14]eff all'!$BX$46:$BY$46</f>
        <v>769.93799999999987</v>
      </c>
      <c r="BY46" s="710"/>
      <c r="BZ46" s="709">
        <f>+'[14]eff all'!$BZ$46:$CA$46</f>
        <v>79.808070660850817</v>
      </c>
      <c r="CA46" s="709"/>
      <c r="CB46" s="709">
        <f>+'[14]eff all'!$CB$46:$CC$46</f>
        <v>2.0515937646927416</v>
      </c>
      <c r="CC46" s="709"/>
      <c r="CD46" s="709">
        <f>+'[14]eff all'!$CD$46:$CE$46</f>
        <v>7.8512815317597004E-2</v>
      </c>
      <c r="CE46" s="709"/>
      <c r="CF46" s="710">
        <f>+'[14]eff all'!$CF$46:$CG$46</f>
        <v>1021.1664039077168</v>
      </c>
      <c r="CG46" s="710"/>
      <c r="CH46" s="710">
        <f>+'[14]eff all'!$CH$46:$CI$46</f>
        <v>210.64553249742193</v>
      </c>
      <c r="CI46" s="780"/>
      <c r="CJ46" s="700">
        <f>+'[14]eff all'!$CJ$46:$CK$46</f>
        <v>0</v>
      </c>
      <c r="CK46" s="780"/>
    </row>
    <row r="47" spans="1:89" ht="13.5" thickBot="1">
      <c r="A47" s="579" t="s">
        <v>232</v>
      </c>
      <c r="B47" s="790">
        <f>+'[15]eff all'!$B$47:$C$47</f>
        <v>0.83356468968646791</v>
      </c>
      <c r="C47" s="784"/>
      <c r="D47" s="783">
        <f>+'[15]eff all'!$D$47:$E$47</f>
        <v>0.83361178337123676</v>
      </c>
      <c r="E47" s="784"/>
      <c r="F47" s="785">
        <f>+'[15]eff all'!$F$47:$G$47</f>
        <v>1793.9010000000003</v>
      </c>
      <c r="G47" s="786"/>
      <c r="H47" s="787">
        <f>+'[15]eff all'!$H$47:$I$47</f>
        <v>2.2654867799282119</v>
      </c>
      <c r="I47" s="788"/>
      <c r="J47" s="785">
        <f>+'[15]eff all'!$J$47:$K$47</f>
        <v>869.87488161275269</v>
      </c>
      <c r="K47" s="791"/>
      <c r="L47" s="790">
        <f>+'[15]eff all'!$L$47:$M$47</f>
        <v>0.92571232966703221</v>
      </c>
      <c r="M47" s="784"/>
      <c r="N47" s="783">
        <f>+'[15]eff all'!$N$47:$O$47</f>
        <v>0.92998023945781472</v>
      </c>
      <c r="O47" s="784"/>
      <c r="P47" s="785">
        <f>+'[15]eff all'!$P$47:$Q$47</f>
        <v>1900.5750000000003</v>
      </c>
      <c r="Q47" s="786"/>
      <c r="R47" s="787">
        <f>+'[15]eff all'!$R$47:$S$47</f>
        <v>2.404628073083146</v>
      </c>
      <c r="S47" s="788"/>
      <c r="T47" s="787">
        <f>+'[15]eff all'!$T$47:$U$47</f>
        <v>0.23240335161727366</v>
      </c>
      <c r="U47" s="788"/>
      <c r="V47" s="785">
        <f>+'[15]eff all'!$V$47:$W$47</f>
        <v>527.49748365626192</v>
      </c>
      <c r="W47" s="786"/>
      <c r="X47" s="787">
        <f>+'[15]eff all'!$X$47:$Y$47</f>
        <v>446.15971482314541</v>
      </c>
      <c r="Y47" s="789"/>
      <c r="Z47" s="790">
        <f>+'[15]eff all'!$Z$47:$AA$47</f>
        <v>0.89180765054163103</v>
      </c>
      <c r="AA47" s="784"/>
      <c r="AB47" s="783">
        <f>+'[15]eff all'!$AB$47:$AC$47</f>
        <v>0.89180765054163103</v>
      </c>
      <c r="AC47" s="784"/>
      <c r="AD47" s="787">
        <f>+'[15]eff all'!$AD$47:$AE$47</f>
        <v>1235.4100000000003</v>
      </c>
      <c r="AE47" s="788"/>
      <c r="AF47" s="785">
        <f>+'[15]eff all'!$AF$47:$AG$47</f>
        <v>96.393123699060041</v>
      </c>
      <c r="AG47" s="786"/>
      <c r="AH47" s="787">
        <f>+'[15]eff all'!$AH$47:$AI$47</f>
        <v>1.4614581394031132</v>
      </c>
      <c r="AI47" s="788"/>
      <c r="AJ47" s="787">
        <f>+'[15]eff all'!$AJ$47:$AK$47</f>
        <v>901.21823524174181</v>
      </c>
      <c r="AK47" s="788"/>
      <c r="AL47" s="785">
        <f>+'[15]eff all'!$AL$47:$AM$47</f>
        <v>0</v>
      </c>
      <c r="AM47" s="791"/>
      <c r="AN47" s="790">
        <f>+'[15]eff all'!$AN$47:$AO$47</f>
        <v>0.65645764284355046</v>
      </c>
      <c r="AO47" s="784"/>
      <c r="AP47" s="783">
        <f>+'[15]eff all'!$AP$47:$AQ$47</f>
        <v>0.84659221514529037</v>
      </c>
      <c r="AQ47" s="784"/>
      <c r="AR47" s="794">
        <f>+'[15]eff all'!$AR$47:$AS$47</f>
        <v>1045.3910000000001</v>
      </c>
      <c r="AS47" s="795"/>
      <c r="AT47" s="785">
        <f>+'[15]eff all'!$AT$47:$AU$47</f>
        <v>0</v>
      </c>
      <c r="AU47" s="786"/>
      <c r="AV47" s="787">
        <f>+'[15]eff all'!$AV$47:$AW$47</f>
        <v>1.7690031768017898</v>
      </c>
      <c r="AW47" s="788"/>
      <c r="AX47" s="787">
        <f>+'[15]eff all'!$AX$47:$AY$47</f>
        <v>9.0148088131617746E-2</v>
      </c>
      <c r="AY47" s="788"/>
      <c r="AZ47" s="785">
        <f>+'[15]eff all'!$AZ$47:$BA$47</f>
        <v>1055.9628120004859</v>
      </c>
      <c r="BA47" s="786"/>
      <c r="BB47" s="785">
        <f>+'[15]eff all'!$BB$47:$BC$47</f>
        <v>340.1813292825363</v>
      </c>
      <c r="BC47" s="791"/>
      <c r="BD47" s="805">
        <f>+'[15]eff all'!$BD$47:$BE$47</f>
        <v>7.6095929656941745</v>
      </c>
      <c r="BE47" s="791"/>
      <c r="BF47" s="790">
        <f>+'[15]eff all'!$BF$47:$BG$47</f>
        <v>0.90491767701928916</v>
      </c>
      <c r="BG47" s="784"/>
      <c r="BH47" s="783">
        <f>+'[15]eff all'!$BH$47:$BI$47</f>
        <v>0.90491767701928916</v>
      </c>
      <c r="BI47" s="784"/>
      <c r="BJ47" s="785">
        <f>+'[15]eff all'!$BJ$47:$BK$47</f>
        <v>1444.9050000000002</v>
      </c>
      <c r="BK47" s="786"/>
      <c r="BL47" s="785">
        <f>+'[15]eff all'!$BL$47:$BM$47</f>
        <v>2.4918593263916997</v>
      </c>
      <c r="BM47" s="786"/>
      <c r="BN47" s="787">
        <f>+'[15]eff all'!$BN$47:$BO$47</f>
        <v>0</v>
      </c>
      <c r="BO47" s="788"/>
      <c r="BP47" s="785">
        <f>+'[15]eff all'!$BP$47:$BQ$47</f>
        <v>1021.2881687593227</v>
      </c>
      <c r="BQ47" s="786"/>
      <c r="BR47" s="787">
        <f>+'[15]eff all'!$BR$47:$BS$47</f>
        <v>0</v>
      </c>
      <c r="BS47" s="789"/>
      <c r="BT47" s="792">
        <f>+'[15]eff all'!$BT$47:$BU$47</f>
        <v>0.83316575545335458</v>
      </c>
      <c r="BU47" s="793"/>
      <c r="BV47" s="793">
        <f>+'[15]eff all'!$BV$47:$BW$47</f>
        <v>0.84218323358645453</v>
      </c>
      <c r="BW47" s="793"/>
      <c r="BX47" s="820">
        <f>+'[15]eff all'!$BX$47:$BY$47</f>
        <v>1301.6999999999998</v>
      </c>
      <c r="BY47" s="820"/>
      <c r="BZ47" s="819">
        <f>+'[15]eff all'!$BZ$47:$CA$47</f>
        <v>87.852276445978333</v>
      </c>
      <c r="CA47" s="819"/>
      <c r="CB47" s="819">
        <f>+'[15]eff all'!$CB$47:$CC$47</f>
        <v>1.9540600752861652</v>
      </c>
      <c r="CC47" s="819"/>
      <c r="CD47" s="819">
        <f>+'[15]eff all'!$CD$47:$CE$47</f>
        <v>9.0078359068909902E-2</v>
      </c>
      <c r="CE47" s="819"/>
      <c r="CF47" s="820">
        <f>+'[15]eff all'!$CF$47:$CG$47</f>
        <v>925.71845933687518</v>
      </c>
      <c r="CG47" s="820"/>
      <c r="CH47" s="820">
        <f>+'[15]eff all'!$CH$47:$CI$47</f>
        <v>294.56672044249837</v>
      </c>
      <c r="CI47" s="811"/>
      <c r="CJ47" s="786">
        <f>+'[15]eff all'!$CJ$47:$CK$47</f>
        <v>8.7308903741261457</v>
      </c>
      <c r="CK47" s="811"/>
    </row>
    <row r="49" spans="1:2">
      <c r="A49" s="594"/>
      <c r="B49" s="595"/>
    </row>
    <row r="50" spans="1:2">
      <c r="B50" s="595"/>
    </row>
  </sheetData>
  <mergeCells count="579">
    <mergeCell ref="CJ44:CK44"/>
    <mergeCell ref="CJ45:CK45"/>
    <mergeCell ref="CJ46:CK46"/>
    <mergeCell ref="CJ47:CK47"/>
    <mergeCell ref="BT1:CK1"/>
    <mergeCell ref="CJ2:CK2"/>
    <mergeCell ref="CJ36:CK36"/>
    <mergeCell ref="CJ37:CK37"/>
    <mergeCell ref="CJ38:CK38"/>
    <mergeCell ref="CJ39:CK39"/>
    <mergeCell ref="CJ40:CK40"/>
    <mergeCell ref="CJ41:CK41"/>
    <mergeCell ref="CJ42:CK42"/>
    <mergeCell ref="CJ43:CK43"/>
    <mergeCell ref="BZ47:CA47"/>
    <mergeCell ref="CB47:CC47"/>
    <mergeCell ref="CD47:CE47"/>
    <mergeCell ref="CF47:CG47"/>
    <mergeCell ref="CH47:CI47"/>
    <mergeCell ref="BX47:BY47"/>
    <mergeCell ref="BX46:BY46"/>
    <mergeCell ref="BZ46:CA46"/>
    <mergeCell ref="CB46:CC46"/>
    <mergeCell ref="CD46:CE46"/>
    <mergeCell ref="AL45:AM45"/>
    <mergeCell ref="AL46:AM46"/>
    <mergeCell ref="AL47:AM47"/>
    <mergeCell ref="Z1:AM1"/>
    <mergeCell ref="BD2:BE2"/>
    <mergeCell ref="BD36:BE36"/>
    <mergeCell ref="BD37:BE37"/>
    <mergeCell ref="BD38:BE38"/>
    <mergeCell ref="BD39:BE39"/>
    <mergeCell ref="BD40:BE40"/>
    <mergeCell ref="BD41:BE41"/>
    <mergeCell ref="BD42:BE42"/>
    <mergeCell ref="BD43:BE43"/>
    <mergeCell ref="BD44:BE44"/>
    <mergeCell ref="BD45:BE45"/>
    <mergeCell ref="BD46:BE46"/>
    <mergeCell ref="BD47:BE47"/>
    <mergeCell ref="AN1:BE1"/>
    <mergeCell ref="AF47:AG47"/>
    <mergeCell ref="AH47:AI47"/>
    <mergeCell ref="AJ47:AK47"/>
    <mergeCell ref="AP46:AQ46"/>
    <mergeCell ref="AR46:AS46"/>
    <mergeCell ref="AT46:AU46"/>
    <mergeCell ref="D40:E40"/>
    <mergeCell ref="N40:O40"/>
    <mergeCell ref="AB40:AC40"/>
    <mergeCell ref="T40:U40"/>
    <mergeCell ref="BN47:BO47"/>
    <mergeCell ref="BP47:BQ47"/>
    <mergeCell ref="BR47:BS47"/>
    <mergeCell ref="BT47:BU47"/>
    <mergeCell ref="BV47:BW47"/>
    <mergeCell ref="AZ47:BA47"/>
    <mergeCell ref="BB47:BC47"/>
    <mergeCell ref="BF47:BG47"/>
    <mergeCell ref="BH47:BI47"/>
    <mergeCell ref="BJ47:BK47"/>
    <mergeCell ref="BL47:BM47"/>
    <mergeCell ref="AN47:AO47"/>
    <mergeCell ref="AP47:AQ47"/>
    <mergeCell ref="AR47:AS47"/>
    <mergeCell ref="AT47:AU47"/>
    <mergeCell ref="AV47:AW47"/>
    <mergeCell ref="AX47:AY47"/>
    <mergeCell ref="Z47:AA47"/>
    <mergeCell ref="AB47:AC47"/>
    <mergeCell ref="AD47:AE47"/>
    <mergeCell ref="N47:O47"/>
    <mergeCell ref="P47:Q47"/>
    <mergeCell ref="R47:S47"/>
    <mergeCell ref="T47:U47"/>
    <mergeCell ref="V47:W47"/>
    <mergeCell ref="X47:Y47"/>
    <mergeCell ref="B47:C47"/>
    <mergeCell ref="D47:E47"/>
    <mergeCell ref="F47:G47"/>
    <mergeCell ref="H47:I47"/>
    <mergeCell ref="J47:K47"/>
    <mergeCell ref="L47:M47"/>
    <mergeCell ref="CH46:CI46"/>
    <mergeCell ref="BL46:BM46"/>
    <mergeCell ref="BN46:BO46"/>
    <mergeCell ref="BP46:BQ46"/>
    <mergeCell ref="BR46:BS46"/>
    <mergeCell ref="BT46:BU46"/>
    <mergeCell ref="BV46:BW46"/>
    <mergeCell ref="AX46:AY46"/>
    <mergeCell ref="AZ46:BA46"/>
    <mergeCell ref="BB46:BC46"/>
    <mergeCell ref="BF46:BG46"/>
    <mergeCell ref="BH46:BI46"/>
    <mergeCell ref="BJ46:BK46"/>
    <mergeCell ref="AF46:AG46"/>
    <mergeCell ref="AH46:AI46"/>
    <mergeCell ref="L46:M46"/>
    <mergeCell ref="N46:O46"/>
    <mergeCell ref="P46:Q46"/>
    <mergeCell ref="R46:S46"/>
    <mergeCell ref="T46:U46"/>
    <mergeCell ref="V46:W46"/>
    <mergeCell ref="CF46:CG46"/>
    <mergeCell ref="N45:O45"/>
    <mergeCell ref="P45:Q45"/>
    <mergeCell ref="R45:S45"/>
    <mergeCell ref="T45:U45"/>
    <mergeCell ref="V45:W45"/>
    <mergeCell ref="X45:Y45"/>
    <mergeCell ref="AJ46:AK46"/>
    <mergeCell ref="AN46:AO46"/>
    <mergeCell ref="CF45:CG45"/>
    <mergeCell ref="BZ45:CA45"/>
    <mergeCell ref="CB45:CC45"/>
    <mergeCell ref="CD45:CE45"/>
    <mergeCell ref="AX45:AY45"/>
    <mergeCell ref="Z45:AA45"/>
    <mergeCell ref="AB45:AC45"/>
    <mergeCell ref="AD45:AE45"/>
    <mergeCell ref="AF45:AG45"/>
    <mergeCell ref="AH45:AI45"/>
    <mergeCell ref="AJ45:AK45"/>
    <mergeCell ref="AV46:AW46"/>
    <mergeCell ref="X46:Y46"/>
    <mergeCell ref="Z46:AA46"/>
    <mergeCell ref="AB46:AC46"/>
    <mergeCell ref="AD46:AE46"/>
    <mergeCell ref="CH45:CI45"/>
    <mergeCell ref="B46:C46"/>
    <mergeCell ref="D46:E46"/>
    <mergeCell ref="F46:G46"/>
    <mergeCell ref="H46:I46"/>
    <mergeCell ref="J46:K46"/>
    <mergeCell ref="BN45:BO45"/>
    <mergeCell ref="BP45:BQ45"/>
    <mergeCell ref="BR45:BS45"/>
    <mergeCell ref="BT45:BU45"/>
    <mergeCell ref="BV45:BW45"/>
    <mergeCell ref="BX45:BY45"/>
    <mergeCell ref="AZ45:BA45"/>
    <mergeCell ref="BB45:BC45"/>
    <mergeCell ref="BF45:BG45"/>
    <mergeCell ref="BH45:BI45"/>
    <mergeCell ref="BJ45:BK45"/>
    <mergeCell ref="BL45:BM45"/>
    <mergeCell ref="AN45:AO45"/>
    <mergeCell ref="AP45:AQ45"/>
    <mergeCell ref="AR45:AS45"/>
    <mergeCell ref="AT45:AU45"/>
    <mergeCell ref="AV45:AW45"/>
    <mergeCell ref="B45:C45"/>
    <mergeCell ref="D45:E45"/>
    <mergeCell ref="F45:G45"/>
    <mergeCell ref="H45:I45"/>
    <mergeCell ref="J45:K45"/>
    <mergeCell ref="L45:M45"/>
    <mergeCell ref="BX44:BY44"/>
    <mergeCell ref="BZ44:CA44"/>
    <mergeCell ref="CB44:CC44"/>
    <mergeCell ref="AX44:AY44"/>
    <mergeCell ref="AZ44:BA44"/>
    <mergeCell ref="BB44:BC44"/>
    <mergeCell ref="BF44:BG44"/>
    <mergeCell ref="BH44:BI44"/>
    <mergeCell ref="BJ44:BK44"/>
    <mergeCell ref="AJ44:AK44"/>
    <mergeCell ref="AN44:AO44"/>
    <mergeCell ref="AP44:AQ44"/>
    <mergeCell ref="AR44:AS44"/>
    <mergeCell ref="AT44:AU44"/>
    <mergeCell ref="AV44:AW44"/>
    <mergeCell ref="Z44:AA44"/>
    <mergeCell ref="AB44:AC44"/>
    <mergeCell ref="AD44:AE44"/>
    <mergeCell ref="AF44:AG44"/>
    <mergeCell ref="N43:O43"/>
    <mergeCell ref="P43:Q43"/>
    <mergeCell ref="R43:S43"/>
    <mergeCell ref="T43:U43"/>
    <mergeCell ref="V43:W43"/>
    <mergeCell ref="X43:Y43"/>
    <mergeCell ref="CD44:CE44"/>
    <mergeCell ref="CF44:CG44"/>
    <mergeCell ref="CH44:CI44"/>
    <mergeCell ref="BL44:BM44"/>
    <mergeCell ref="BN44:BO44"/>
    <mergeCell ref="BP44:BQ44"/>
    <mergeCell ref="BR44:BS44"/>
    <mergeCell ref="BT44:BU44"/>
    <mergeCell ref="BV44:BW44"/>
    <mergeCell ref="AL43:AM43"/>
    <mergeCell ref="AL44:AM44"/>
    <mergeCell ref="R44:S44"/>
    <mergeCell ref="T44:U44"/>
    <mergeCell ref="V44:W44"/>
    <mergeCell ref="CB43:CC43"/>
    <mergeCell ref="AX43:AY43"/>
    <mergeCell ref="Z43:AA43"/>
    <mergeCell ref="AB43:AC43"/>
    <mergeCell ref="AD43:AE43"/>
    <mergeCell ref="AF43:AG43"/>
    <mergeCell ref="AH43:AI43"/>
    <mergeCell ref="AJ43:AK43"/>
    <mergeCell ref="BZ43:CA43"/>
    <mergeCell ref="B44:C44"/>
    <mergeCell ref="D44:E44"/>
    <mergeCell ref="F44:G44"/>
    <mergeCell ref="H44:I44"/>
    <mergeCell ref="J44:K44"/>
    <mergeCell ref="BN43:BO43"/>
    <mergeCell ref="BP43:BQ43"/>
    <mergeCell ref="BR43:BS43"/>
    <mergeCell ref="BT43:BU43"/>
    <mergeCell ref="AZ43:BA43"/>
    <mergeCell ref="BB43:BC43"/>
    <mergeCell ref="BF43:BG43"/>
    <mergeCell ref="BH43:BI43"/>
    <mergeCell ref="BJ43:BK43"/>
    <mergeCell ref="BL43:BM43"/>
    <mergeCell ref="AN43:AO43"/>
    <mergeCell ref="AP43:AQ43"/>
    <mergeCell ref="X44:Y44"/>
    <mergeCell ref="AV43:AW43"/>
    <mergeCell ref="AH44:AI44"/>
    <mergeCell ref="L44:M44"/>
    <mergeCell ref="N44:O44"/>
    <mergeCell ref="P44:Q44"/>
    <mergeCell ref="X42:Y42"/>
    <mergeCell ref="Z42:AA42"/>
    <mergeCell ref="AR43:AS43"/>
    <mergeCell ref="AT43:AU43"/>
    <mergeCell ref="CH42:CI42"/>
    <mergeCell ref="BV42:BW42"/>
    <mergeCell ref="BX42:BY42"/>
    <mergeCell ref="BZ42:CA42"/>
    <mergeCell ref="CB42:CC42"/>
    <mergeCell ref="CD42:CE42"/>
    <mergeCell ref="CF42:CG42"/>
    <mergeCell ref="AZ42:BA42"/>
    <mergeCell ref="AB42:AC42"/>
    <mergeCell ref="AD42:AE42"/>
    <mergeCell ref="AF42:AG42"/>
    <mergeCell ref="AH42:AI42"/>
    <mergeCell ref="AJ42:AK42"/>
    <mergeCell ref="AN42:AO42"/>
    <mergeCell ref="CD43:CE43"/>
    <mergeCell ref="CF43:CG43"/>
    <mergeCell ref="CH43:CI43"/>
    <mergeCell ref="BV43:BW43"/>
    <mergeCell ref="BX43:BY43"/>
    <mergeCell ref="AL42:AM42"/>
    <mergeCell ref="B43:C43"/>
    <mergeCell ref="D43:E43"/>
    <mergeCell ref="F43:G43"/>
    <mergeCell ref="H43:I43"/>
    <mergeCell ref="J43:K43"/>
    <mergeCell ref="L43:M43"/>
    <mergeCell ref="BP42:BQ42"/>
    <mergeCell ref="BR42:BS42"/>
    <mergeCell ref="BT42:BU42"/>
    <mergeCell ref="BB42:BC42"/>
    <mergeCell ref="BF42:BG42"/>
    <mergeCell ref="BH42:BI42"/>
    <mergeCell ref="BJ42:BK42"/>
    <mergeCell ref="BL42:BM42"/>
    <mergeCell ref="BN42:BO42"/>
    <mergeCell ref="AP42:AQ42"/>
    <mergeCell ref="AR42:AS42"/>
    <mergeCell ref="AT42:AU42"/>
    <mergeCell ref="AV42:AW42"/>
    <mergeCell ref="AX42:AY42"/>
    <mergeCell ref="P42:Q42"/>
    <mergeCell ref="R42:S42"/>
    <mergeCell ref="T42:U42"/>
    <mergeCell ref="V42:W42"/>
    <mergeCell ref="CD41:CE41"/>
    <mergeCell ref="CF41:CG41"/>
    <mergeCell ref="CH41:CI41"/>
    <mergeCell ref="B42:C42"/>
    <mergeCell ref="D42:E42"/>
    <mergeCell ref="F42:G42"/>
    <mergeCell ref="H42:I42"/>
    <mergeCell ref="J42:K42"/>
    <mergeCell ref="L42:M42"/>
    <mergeCell ref="N42:O42"/>
    <mergeCell ref="BR41:BS41"/>
    <mergeCell ref="BT41:BU41"/>
    <mergeCell ref="BV41:BW41"/>
    <mergeCell ref="BX41:BY41"/>
    <mergeCell ref="BZ41:CA41"/>
    <mergeCell ref="CB41:CC41"/>
    <mergeCell ref="BF41:BG41"/>
    <mergeCell ref="BH41:BI41"/>
    <mergeCell ref="BJ41:BK41"/>
    <mergeCell ref="BL41:BM41"/>
    <mergeCell ref="BN41:BO41"/>
    <mergeCell ref="BP41:BQ41"/>
    <mergeCell ref="AR41:AS41"/>
    <mergeCell ref="AT41:AU41"/>
    <mergeCell ref="AV41:AW41"/>
    <mergeCell ref="AX41:AY41"/>
    <mergeCell ref="AZ41:BA41"/>
    <mergeCell ref="BB41:BC41"/>
    <mergeCell ref="AD41:AE41"/>
    <mergeCell ref="AF41:AG41"/>
    <mergeCell ref="AH41:AI41"/>
    <mergeCell ref="AJ41:AK41"/>
    <mergeCell ref="AN41:AO41"/>
    <mergeCell ref="AP41:AQ41"/>
    <mergeCell ref="AL41:AM41"/>
    <mergeCell ref="R41:S41"/>
    <mergeCell ref="T41:U41"/>
    <mergeCell ref="V41:W41"/>
    <mergeCell ref="X41:Y41"/>
    <mergeCell ref="Z41:AA41"/>
    <mergeCell ref="AB41:AC41"/>
    <mergeCell ref="CF40:CG40"/>
    <mergeCell ref="CH40:CI40"/>
    <mergeCell ref="B41:C41"/>
    <mergeCell ref="D41:E41"/>
    <mergeCell ref="F41:G41"/>
    <mergeCell ref="H41:I41"/>
    <mergeCell ref="J41:K41"/>
    <mergeCell ref="L41:M41"/>
    <mergeCell ref="N41:O41"/>
    <mergeCell ref="P41:Q41"/>
    <mergeCell ref="BT40:BU40"/>
    <mergeCell ref="BV40:BW40"/>
    <mergeCell ref="BX40:BY40"/>
    <mergeCell ref="BZ40:CA40"/>
    <mergeCell ref="CB40:CC40"/>
    <mergeCell ref="CD40:CE40"/>
    <mergeCell ref="BH40:BI40"/>
    <mergeCell ref="BJ40:BK40"/>
    <mergeCell ref="R40:S40"/>
    <mergeCell ref="V40:W40"/>
    <mergeCell ref="X40:Y40"/>
    <mergeCell ref="Z40:AA40"/>
    <mergeCell ref="AD40:AE40"/>
    <mergeCell ref="BL40:BM40"/>
    <mergeCell ref="BN40:BO40"/>
    <mergeCell ref="BP40:BQ40"/>
    <mergeCell ref="BR40:BS40"/>
    <mergeCell ref="AT40:AU40"/>
    <mergeCell ref="AV40:AW40"/>
    <mergeCell ref="AX40:AY40"/>
    <mergeCell ref="AZ40:BA40"/>
    <mergeCell ref="BB40:BC40"/>
    <mergeCell ref="BF40:BG40"/>
    <mergeCell ref="AL40:AM40"/>
    <mergeCell ref="B40:C40"/>
    <mergeCell ref="F40:G40"/>
    <mergeCell ref="H40:I40"/>
    <mergeCell ref="J40:K40"/>
    <mergeCell ref="L40:M40"/>
    <mergeCell ref="BN39:BO39"/>
    <mergeCell ref="BP39:BQ39"/>
    <mergeCell ref="BR39:BS39"/>
    <mergeCell ref="BT39:BU39"/>
    <mergeCell ref="AZ39:BA39"/>
    <mergeCell ref="BB39:BC39"/>
    <mergeCell ref="BF39:BG39"/>
    <mergeCell ref="BH39:BI39"/>
    <mergeCell ref="BJ39:BK39"/>
    <mergeCell ref="BL39:BM39"/>
    <mergeCell ref="AN39:AO39"/>
    <mergeCell ref="AP39:AQ39"/>
    <mergeCell ref="AF40:AG40"/>
    <mergeCell ref="AH40:AI40"/>
    <mergeCell ref="AJ40:AK40"/>
    <mergeCell ref="AN40:AO40"/>
    <mergeCell ref="AP40:AQ40"/>
    <mergeCell ref="AR40:AS40"/>
    <mergeCell ref="P40:Q40"/>
    <mergeCell ref="AF39:AG39"/>
    <mergeCell ref="AH39:AI39"/>
    <mergeCell ref="AJ39:AK39"/>
    <mergeCell ref="AB39:AC39"/>
    <mergeCell ref="BZ39:CA39"/>
    <mergeCell ref="CB39:CC39"/>
    <mergeCell ref="CD39:CE39"/>
    <mergeCell ref="CF39:CG39"/>
    <mergeCell ref="CH39:CI39"/>
    <mergeCell ref="BV39:BW39"/>
    <mergeCell ref="BX39:BY39"/>
    <mergeCell ref="AL39:AM39"/>
    <mergeCell ref="B39:C39"/>
    <mergeCell ref="F39:G39"/>
    <mergeCell ref="H39:I39"/>
    <mergeCell ref="J39:K39"/>
    <mergeCell ref="L39:M39"/>
    <mergeCell ref="P39:Q39"/>
    <mergeCell ref="R39:S39"/>
    <mergeCell ref="V39:W39"/>
    <mergeCell ref="BT38:BU38"/>
    <mergeCell ref="BH38:BI38"/>
    <mergeCell ref="BJ38:BK38"/>
    <mergeCell ref="BL38:BM38"/>
    <mergeCell ref="BN38:BO38"/>
    <mergeCell ref="BP38:BQ38"/>
    <mergeCell ref="BR38:BS38"/>
    <mergeCell ref="AT38:AU38"/>
    <mergeCell ref="AV38:AW38"/>
    <mergeCell ref="AR39:AS39"/>
    <mergeCell ref="AT39:AU39"/>
    <mergeCell ref="AV39:AW39"/>
    <mergeCell ref="AX39:AY39"/>
    <mergeCell ref="X39:Y39"/>
    <mergeCell ref="Z39:AA39"/>
    <mergeCell ref="AD39:AE39"/>
    <mergeCell ref="B38:C38"/>
    <mergeCell ref="F38:G38"/>
    <mergeCell ref="H38:I38"/>
    <mergeCell ref="J38:K38"/>
    <mergeCell ref="L38:M38"/>
    <mergeCell ref="P38:Q38"/>
    <mergeCell ref="AX38:AY38"/>
    <mergeCell ref="AZ38:BA38"/>
    <mergeCell ref="BB38:BC38"/>
    <mergeCell ref="AF38:AG38"/>
    <mergeCell ref="AH38:AI38"/>
    <mergeCell ref="AJ38:AK38"/>
    <mergeCell ref="AN38:AO38"/>
    <mergeCell ref="AP38:AQ38"/>
    <mergeCell ref="AR38:AS38"/>
    <mergeCell ref="D38:E38"/>
    <mergeCell ref="N38:O38"/>
    <mergeCell ref="AB38:AC38"/>
    <mergeCell ref="AL38:AM38"/>
    <mergeCell ref="CH37:CI37"/>
    <mergeCell ref="BL37:BM37"/>
    <mergeCell ref="BN37:BO37"/>
    <mergeCell ref="BP37:BQ37"/>
    <mergeCell ref="BR37:BS37"/>
    <mergeCell ref="BT37:BU37"/>
    <mergeCell ref="BV37:BW37"/>
    <mergeCell ref="R38:S38"/>
    <mergeCell ref="T38:U38"/>
    <mergeCell ref="V38:W38"/>
    <mergeCell ref="X38:Y38"/>
    <mergeCell ref="Z38:AA38"/>
    <mergeCell ref="AD38:AE38"/>
    <mergeCell ref="BF38:BG38"/>
    <mergeCell ref="CF38:CG38"/>
    <mergeCell ref="CH38:CI38"/>
    <mergeCell ref="BV38:BW38"/>
    <mergeCell ref="BX38:BY38"/>
    <mergeCell ref="BZ38:CA38"/>
    <mergeCell ref="CB38:CC38"/>
    <mergeCell ref="CD38:CE38"/>
    <mergeCell ref="AL37:AM37"/>
    <mergeCell ref="V37:W37"/>
    <mergeCell ref="X37:Y37"/>
    <mergeCell ref="CB2:CC2"/>
    <mergeCell ref="CD2:CE2"/>
    <mergeCell ref="CF2:CG2"/>
    <mergeCell ref="AL2:AM2"/>
    <mergeCell ref="AL36:AM36"/>
    <mergeCell ref="CH36:CI36"/>
    <mergeCell ref="B37:C37"/>
    <mergeCell ref="F37:G37"/>
    <mergeCell ref="H37:I37"/>
    <mergeCell ref="J37:K37"/>
    <mergeCell ref="L37:M37"/>
    <mergeCell ref="P37:Q37"/>
    <mergeCell ref="R37:S37"/>
    <mergeCell ref="T37:U37"/>
    <mergeCell ref="BT36:BU36"/>
    <mergeCell ref="BV36:BW36"/>
    <mergeCell ref="BX36:BY36"/>
    <mergeCell ref="BZ36:CA36"/>
    <mergeCell ref="CB36:CC36"/>
    <mergeCell ref="CD36:CE36"/>
    <mergeCell ref="BH36:BI36"/>
    <mergeCell ref="BJ36:BK36"/>
    <mergeCell ref="AX37:AY37"/>
    <mergeCell ref="AZ37:BA37"/>
    <mergeCell ref="Z37:AA37"/>
    <mergeCell ref="AD37:AE37"/>
    <mergeCell ref="AF37:AG37"/>
    <mergeCell ref="AH37:AI37"/>
    <mergeCell ref="CF36:CG36"/>
    <mergeCell ref="AN37:AO37"/>
    <mergeCell ref="AP37:AQ37"/>
    <mergeCell ref="AR37:AS37"/>
    <mergeCell ref="AT37:AU37"/>
    <mergeCell ref="AV37:AW37"/>
    <mergeCell ref="BX37:BY37"/>
    <mergeCell ref="BZ37:CA37"/>
    <mergeCell ref="CB37:CC37"/>
    <mergeCell ref="CD37:CE37"/>
    <mergeCell ref="CF37:CG37"/>
    <mergeCell ref="BB37:BC37"/>
    <mergeCell ref="BF37:BG37"/>
    <mergeCell ref="BH37:BI37"/>
    <mergeCell ref="BJ37:BK37"/>
    <mergeCell ref="AJ37:AK37"/>
    <mergeCell ref="BR36:BS36"/>
    <mergeCell ref="AT36:AU36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AT2:AU2"/>
    <mergeCell ref="AV2:AW2"/>
    <mergeCell ref="AX2:AY2"/>
    <mergeCell ref="AZ2:BA2"/>
    <mergeCell ref="AB2:AC2"/>
    <mergeCell ref="AD2:AE2"/>
    <mergeCell ref="AF2:AG2"/>
    <mergeCell ref="BV2:BW2"/>
    <mergeCell ref="BX2:BY2"/>
    <mergeCell ref="BT2:BU2"/>
    <mergeCell ref="AP2:AQ2"/>
    <mergeCell ref="BZ2:CA2"/>
    <mergeCell ref="BB2:BC2"/>
    <mergeCell ref="BF2:BG2"/>
    <mergeCell ref="BH2:BI2"/>
    <mergeCell ref="BJ2:BK2"/>
    <mergeCell ref="CH2:CI2"/>
    <mergeCell ref="D39:E39"/>
    <mergeCell ref="N39:O39"/>
    <mergeCell ref="T39:U39"/>
    <mergeCell ref="AR2:AS2"/>
    <mergeCell ref="AF36:AG36"/>
    <mergeCell ref="AH36:AI36"/>
    <mergeCell ref="AJ36:AK36"/>
    <mergeCell ref="AN36:AO36"/>
    <mergeCell ref="AP36:AQ36"/>
    <mergeCell ref="AR36:AS36"/>
    <mergeCell ref="X36:Y36"/>
    <mergeCell ref="Z36:AA36"/>
    <mergeCell ref="AD36:AE36"/>
    <mergeCell ref="BL36:BM36"/>
    <mergeCell ref="BL2:BM2"/>
    <mergeCell ref="BN2:BO2"/>
    <mergeCell ref="BN36:BO36"/>
    <mergeCell ref="BP36:BQ36"/>
    <mergeCell ref="D37:E37"/>
    <mergeCell ref="N37:O37"/>
    <mergeCell ref="AB37:AC37"/>
    <mergeCell ref="A1:A3"/>
    <mergeCell ref="B1:K1"/>
    <mergeCell ref="L1:Y1"/>
    <mergeCell ref="BF1:BS1"/>
    <mergeCell ref="T2:U2"/>
    <mergeCell ref="V2:W2"/>
    <mergeCell ref="X2:Y2"/>
    <mergeCell ref="Z2:AA2"/>
    <mergeCell ref="AH2:AI2"/>
    <mergeCell ref="AJ2:AK2"/>
    <mergeCell ref="AN2:AO2"/>
    <mergeCell ref="B36:C36"/>
    <mergeCell ref="F36:G36"/>
    <mergeCell ref="H36:I36"/>
    <mergeCell ref="J36:K36"/>
    <mergeCell ref="L36:M36"/>
    <mergeCell ref="P36:Q36"/>
    <mergeCell ref="BP2:BQ2"/>
    <mergeCell ref="BR2:BS2"/>
    <mergeCell ref="R36:S36"/>
    <mergeCell ref="T36:U36"/>
    <mergeCell ref="V36:W36"/>
    <mergeCell ref="AV36:AW36"/>
    <mergeCell ref="AX36:AY36"/>
    <mergeCell ref="AZ36:BA36"/>
    <mergeCell ref="BB36:BC36"/>
    <mergeCell ref="BF36:BG36"/>
    <mergeCell ref="D36:E36"/>
    <mergeCell ref="N36:O36"/>
    <mergeCell ref="AB36:AC36"/>
  </mergeCells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5536"/>
  <sheetViews>
    <sheetView zoomScaleNormal="100" workbookViewId="0">
      <pane xSplit="3" ySplit="8" topLeftCell="R27" activePane="bottomRight" state="frozen"/>
      <selection pane="topRight" activeCell="E1" sqref="E1"/>
      <selection pane="bottomLeft" activeCell="A9" sqref="A9"/>
      <selection pane="bottomRight" activeCell="Y35" sqref="Y35"/>
    </sheetView>
  </sheetViews>
  <sheetFormatPr defaultColWidth="9.140625" defaultRowHeight="12.75"/>
  <cols>
    <col min="1" max="1" width="7.5703125" style="293" customWidth="1"/>
    <col min="2" max="2" width="19.5703125" style="292" bestFit="1" customWidth="1"/>
    <col min="3" max="3" width="12.28515625" style="292" bestFit="1" customWidth="1"/>
    <col min="4" max="4" width="8.28515625" style="292" customWidth="1"/>
    <col min="5" max="5" width="8" style="292" customWidth="1"/>
    <col min="6" max="6" width="6.85546875" style="292" customWidth="1"/>
    <col min="7" max="11" width="8.7109375" style="292" customWidth="1"/>
    <col min="12" max="12" width="8.7109375" style="294" customWidth="1"/>
    <col min="13" max="15" width="8.7109375" style="295" customWidth="1"/>
    <col min="16" max="16" width="8.7109375" style="294" customWidth="1"/>
    <col min="17" max="17" width="8.7109375" style="295" customWidth="1"/>
    <col min="18" max="18" width="8.7109375" style="294" customWidth="1"/>
    <col min="19" max="19" width="8.7109375" style="296" customWidth="1"/>
    <col min="20" max="21" width="7.7109375" style="296" customWidth="1"/>
    <col min="22" max="23" width="7.7109375" style="297" customWidth="1"/>
    <col min="24" max="24" width="7.7109375" style="296" customWidth="1"/>
    <col min="25" max="25" width="7.7109375" style="297" customWidth="1"/>
    <col min="26" max="26" width="8.85546875" style="296" customWidth="1"/>
    <col min="27" max="27" width="11.140625" style="296" customWidth="1"/>
    <col min="28" max="28" width="7.5703125" style="297" customWidth="1"/>
    <col min="29" max="29" width="8.5703125" style="297" bestFit="1" customWidth="1"/>
    <col min="30" max="31" width="7.5703125" style="297" customWidth="1"/>
    <col min="32" max="32" width="11.140625" bestFit="1" customWidth="1"/>
    <col min="34" max="34" width="8.7109375" style="294" customWidth="1"/>
    <col min="35" max="35" width="8.7109375" style="295" customWidth="1"/>
    <col min="36" max="37" width="8.7109375" style="292" customWidth="1"/>
  </cols>
  <sheetData>
    <row r="1" spans="1:37" ht="12.75" customHeight="1">
      <c r="A1" s="291"/>
    </row>
    <row r="2" spans="1:37">
      <c r="A2" s="291"/>
    </row>
    <row r="3" spans="1:37" ht="12.75" customHeight="1">
      <c r="A3" s="826" t="s">
        <v>201</v>
      </c>
      <c r="B3" s="826"/>
      <c r="C3" s="826"/>
      <c r="D3" s="826"/>
      <c r="E3" s="826"/>
      <c r="F3" s="826"/>
      <c r="G3" s="826"/>
      <c r="H3" s="826"/>
      <c r="I3" s="826"/>
      <c r="J3" s="826"/>
      <c r="K3" s="826"/>
      <c r="L3" s="826"/>
      <c r="M3" s="826"/>
      <c r="N3" s="826"/>
      <c r="O3" s="826"/>
      <c r="P3" s="826"/>
      <c r="Q3" s="826"/>
      <c r="R3" s="826"/>
      <c r="S3" s="826"/>
      <c r="T3" s="826"/>
      <c r="U3" s="826"/>
      <c r="V3" s="826"/>
      <c r="W3" s="826"/>
      <c r="X3" s="826"/>
      <c r="Y3" s="826"/>
      <c r="Z3" s="826"/>
      <c r="AA3" s="826"/>
      <c r="AB3" s="826"/>
      <c r="AC3" s="826"/>
      <c r="AD3" s="826"/>
      <c r="AE3" s="826"/>
      <c r="AH3"/>
      <c r="AI3"/>
      <c r="AJ3"/>
      <c r="AK3"/>
    </row>
    <row r="4" spans="1:37" ht="12.75" customHeight="1">
      <c r="A4" s="826"/>
      <c r="B4" s="826"/>
      <c r="C4" s="826"/>
      <c r="D4" s="826"/>
      <c r="E4" s="826"/>
      <c r="F4" s="826"/>
      <c r="G4" s="826"/>
      <c r="H4" s="826"/>
      <c r="I4" s="826"/>
      <c r="J4" s="826"/>
      <c r="K4" s="826"/>
      <c r="L4" s="826"/>
      <c r="M4" s="826"/>
      <c r="N4" s="826"/>
      <c r="O4" s="826"/>
      <c r="P4" s="826"/>
      <c r="Q4" s="826"/>
      <c r="R4" s="826"/>
      <c r="S4" s="826"/>
      <c r="T4" s="826"/>
      <c r="U4" s="826"/>
      <c r="V4" s="826"/>
      <c r="W4" s="826"/>
      <c r="X4" s="826"/>
      <c r="Y4" s="826"/>
      <c r="Z4" s="826"/>
      <c r="AA4" s="826"/>
      <c r="AB4" s="826"/>
      <c r="AC4" s="826"/>
      <c r="AD4" s="826"/>
      <c r="AE4" s="826"/>
      <c r="AH4"/>
      <c r="AI4"/>
      <c r="AJ4"/>
      <c r="AK4"/>
    </row>
    <row r="5" spans="1:37">
      <c r="H5" s="294"/>
      <c r="I5" s="295"/>
      <c r="J5" s="295"/>
      <c r="K5" s="295"/>
      <c r="AJ5" s="295"/>
      <c r="AK5" s="295"/>
    </row>
    <row r="6" spans="1:37" ht="22.7" customHeight="1">
      <c r="A6" s="829" t="s">
        <v>8</v>
      </c>
      <c r="B6" s="828" t="s">
        <v>9</v>
      </c>
      <c r="C6" s="828" t="s">
        <v>5</v>
      </c>
      <c r="D6" s="828" t="s">
        <v>197</v>
      </c>
      <c r="E6" s="828" t="s">
        <v>198</v>
      </c>
      <c r="F6" s="828" t="s">
        <v>194</v>
      </c>
      <c r="G6" s="828" t="s">
        <v>193</v>
      </c>
      <c r="H6" s="828" t="s">
        <v>195</v>
      </c>
      <c r="I6" s="828" t="s">
        <v>196</v>
      </c>
      <c r="J6" s="832" t="s">
        <v>200</v>
      </c>
      <c r="K6" s="833"/>
      <c r="L6" s="821" t="s">
        <v>199</v>
      </c>
      <c r="M6" s="821"/>
      <c r="N6" s="821" t="s">
        <v>202</v>
      </c>
      <c r="O6" s="821"/>
      <c r="P6" s="839" t="s">
        <v>31</v>
      </c>
      <c r="Q6" s="839"/>
      <c r="R6" s="827" t="s">
        <v>23</v>
      </c>
      <c r="S6" s="827"/>
      <c r="T6" s="827" t="s">
        <v>32</v>
      </c>
      <c r="U6" s="827"/>
      <c r="V6" s="827"/>
      <c r="W6" s="827"/>
      <c r="X6" s="827"/>
      <c r="Y6" s="827"/>
      <c r="Z6" s="827" t="s">
        <v>33</v>
      </c>
      <c r="AA6" s="827"/>
      <c r="AB6" s="827"/>
      <c r="AC6" s="827"/>
      <c r="AD6" s="827"/>
      <c r="AE6" s="827"/>
      <c r="AF6" s="834" t="s">
        <v>315</v>
      </c>
      <c r="AG6" s="835"/>
      <c r="AH6" s="821" t="s">
        <v>409</v>
      </c>
      <c r="AI6" s="821"/>
      <c r="AJ6" s="822" t="s">
        <v>410</v>
      </c>
      <c r="AK6" s="823"/>
    </row>
    <row r="7" spans="1:37" ht="22.7" customHeight="1">
      <c r="A7" s="830"/>
      <c r="B7" s="828"/>
      <c r="C7" s="828"/>
      <c r="D7" s="828"/>
      <c r="E7" s="828"/>
      <c r="F7" s="828"/>
      <c r="G7" s="828"/>
      <c r="H7" s="828"/>
      <c r="I7" s="828"/>
      <c r="J7" s="824"/>
      <c r="K7" s="825"/>
      <c r="L7" s="821"/>
      <c r="M7" s="821"/>
      <c r="N7" s="821"/>
      <c r="O7" s="821"/>
      <c r="P7" s="839"/>
      <c r="Q7" s="839"/>
      <c r="R7" s="827"/>
      <c r="S7" s="827"/>
      <c r="T7" s="827" t="s">
        <v>36</v>
      </c>
      <c r="U7" s="827"/>
      <c r="V7" s="838" t="s">
        <v>34</v>
      </c>
      <c r="W7" s="838"/>
      <c r="X7" s="827" t="s">
        <v>35</v>
      </c>
      <c r="Y7" s="827"/>
      <c r="Z7" s="827" t="s">
        <v>36</v>
      </c>
      <c r="AA7" s="827"/>
      <c r="AB7" s="827" t="s">
        <v>26</v>
      </c>
      <c r="AC7" s="827"/>
      <c r="AD7" s="827" t="s">
        <v>27</v>
      </c>
      <c r="AE7" s="827"/>
      <c r="AF7" s="836"/>
      <c r="AG7" s="837"/>
      <c r="AH7" s="821"/>
      <c r="AI7" s="821"/>
      <c r="AJ7" s="824"/>
      <c r="AK7" s="825"/>
    </row>
    <row r="8" spans="1:37" s="1" customFormat="1">
      <c r="A8" s="831"/>
      <c r="B8" s="828"/>
      <c r="C8" s="828"/>
      <c r="D8" s="828"/>
      <c r="E8" s="828"/>
      <c r="F8" s="828"/>
      <c r="G8" s="828"/>
      <c r="H8" s="828"/>
      <c r="I8" s="828"/>
      <c r="J8" s="457" t="s">
        <v>37</v>
      </c>
      <c r="K8" s="455" t="s">
        <v>38</v>
      </c>
      <c r="L8" s="298" t="s">
        <v>37</v>
      </c>
      <c r="M8" s="299" t="s">
        <v>38</v>
      </c>
      <c r="N8" s="298" t="s">
        <v>37</v>
      </c>
      <c r="O8" s="299" t="s">
        <v>38</v>
      </c>
      <c r="P8" s="298" t="s">
        <v>37</v>
      </c>
      <c r="Q8" s="299" t="s">
        <v>38</v>
      </c>
      <c r="R8" s="298" t="s">
        <v>37</v>
      </c>
      <c r="S8" s="300" t="s">
        <v>38</v>
      </c>
      <c r="T8" s="301" t="s">
        <v>37</v>
      </c>
      <c r="U8" s="300" t="s">
        <v>38</v>
      </c>
      <c r="V8" s="302" t="s">
        <v>37</v>
      </c>
      <c r="W8" s="303" t="s">
        <v>38</v>
      </c>
      <c r="X8" s="301" t="s">
        <v>37</v>
      </c>
      <c r="Y8" s="303" t="s">
        <v>38</v>
      </c>
      <c r="Z8" s="301" t="s">
        <v>37</v>
      </c>
      <c r="AA8" s="300" t="s">
        <v>38</v>
      </c>
      <c r="AB8" s="302" t="s">
        <v>37</v>
      </c>
      <c r="AC8" s="303" t="s">
        <v>38</v>
      </c>
      <c r="AD8" s="302" t="s">
        <v>37</v>
      </c>
      <c r="AE8" s="303" t="s">
        <v>38</v>
      </c>
      <c r="AF8" s="524" t="s">
        <v>334</v>
      </c>
      <c r="AG8" s="524" t="s">
        <v>335</v>
      </c>
      <c r="AH8" s="298" t="s">
        <v>37</v>
      </c>
      <c r="AI8" s="299" t="s">
        <v>38</v>
      </c>
      <c r="AJ8" s="457" t="s">
        <v>37</v>
      </c>
      <c r="AK8" s="455" t="s">
        <v>38</v>
      </c>
    </row>
    <row r="9" spans="1:37" s="430" customFormat="1" ht="12.75" customHeight="1">
      <c r="A9" s="444">
        <v>45931</v>
      </c>
      <c r="B9" s="454" t="s">
        <v>7</v>
      </c>
      <c r="C9" s="504" t="s">
        <v>425</v>
      </c>
      <c r="D9" s="424">
        <f>+'1'!F42</f>
        <v>1653.3484162895927</v>
      </c>
      <c r="E9" s="424">
        <f>+'1'!G42</f>
        <v>1267.9619909502262</v>
      </c>
      <c r="F9" s="50">
        <f t="shared" ref="F9:F39" si="0">1-(E9/D9)</f>
        <v>0.23309450176523716</v>
      </c>
      <c r="G9" s="450">
        <f>+P9/N9</f>
        <v>0.27181548923184207</v>
      </c>
      <c r="H9" s="445">
        <f>+P9/L9</f>
        <v>0.26417515480200099</v>
      </c>
      <c r="I9" s="445">
        <f>+R9/P9</f>
        <v>1.0586534489880215</v>
      </c>
      <c r="J9" s="451">
        <f>+R9/L9</f>
        <v>0.27966993876808283</v>
      </c>
      <c r="K9" s="451">
        <f>+S9/M9</f>
        <v>0.27966993876808283</v>
      </c>
      <c r="L9" s="425">
        <f>+SUM(Efficiency1!K6:K7)</f>
        <v>64.150620116799999</v>
      </c>
      <c r="M9" s="426">
        <f>L9</f>
        <v>64.150620116799999</v>
      </c>
      <c r="N9" s="425">
        <f>+SUM(Efficiency1!C6:C7)</f>
        <v>62.347440345996027</v>
      </c>
      <c r="O9" s="426">
        <f>N9</f>
        <v>62.347440345996027</v>
      </c>
      <c r="P9" s="591">
        <f>'1'!I38</f>
        <v>16.946999999999999</v>
      </c>
      <c r="Q9" s="426">
        <f>P9</f>
        <v>16.946999999999999</v>
      </c>
      <c r="R9" s="14">
        <f>'1'!I40</f>
        <v>17.940999999999999</v>
      </c>
      <c r="S9" s="426">
        <f>R9</f>
        <v>17.940999999999999</v>
      </c>
      <c r="T9" s="580">
        <f t="shared" ref="T9:T39" si="1">+AF9+AG9</f>
        <v>52.613999999999997</v>
      </c>
      <c r="U9" s="428">
        <f>T9</f>
        <v>52.613999999999997</v>
      </c>
      <c r="V9" s="429">
        <f t="shared" ref="V9:V39" si="2">T9/(P9)</f>
        <v>3.1046202867764205</v>
      </c>
      <c r="W9" s="429">
        <f t="shared" ref="W9:W39" si="3">U9/(Q9)</f>
        <v>3.1046202867764205</v>
      </c>
      <c r="X9" s="425">
        <f t="shared" ref="X9:X39" si="4">IF(AND(R9&gt;0,T9&gt;0),T9/(R9),0)</f>
        <v>2.9326124519257566</v>
      </c>
      <c r="Y9" s="429">
        <f t="shared" ref="Y9:Y39" si="5">IF(AND(S9&gt;0,U9&gt;0),U9/(S9),0)</f>
        <v>2.9326124519257566</v>
      </c>
      <c r="Z9" s="428">
        <f>'1'!I46</f>
        <v>29809.29999999985</v>
      </c>
      <c r="AA9" s="428">
        <f>Z9</f>
        <v>29809.29999999985</v>
      </c>
      <c r="AB9" s="429">
        <f t="shared" ref="AB9:AB39" si="6">IF(AND(L9&gt;0,Z9&gt;0),(Z9/(P9*1000)*1000),0)</f>
        <v>1758.972089455352</v>
      </c>
      <c r="AC9" s="429">
        <f t="shared" ref="AC9:AC39" si="7">IF(AND(M9&gt;0,AA9&gt;0),(AA9/(Q9*1000)*1000),0)</f>
        <v>1758.972089455352</v>
      </c>
      <c r="AD9" s="429">
        <f t="shared" ref="AD9:AD39" si="8">IF(AND(R9&gt;0,Z9&gt;0),(Z9/(R9*1000)*1000),0)</f>
        <v>1661.5183100161557</v>
      </c>
      <c r="AE9" s="429">
        <f t="shared" ref="AE9:AE39" si="9">IF(AND(S9&gt;0,AA9&gt;0),(AA9/(S9*1000)*1000),0)</f>
        <v>1661.5183100161557</v>
      </c>
      <c r="AF9" s="506">
        <f>1.949</f>
        <v>1.9490000000000001</v>
      </c>
      <c r="AG9" s="525">
        <v>50.664999999999999</v>
      </c>
      <c r="AH9" s="425">
        <f>+SUM(Efficiency2!K6:K7)</f>
        <v>44.850000596800001</v>
      </c>
      <c r="AI9" s="426">
        <f>AH9</f>
        <v>44.850000596800001</v>
      </c>
      <c r="AJ9" s="451">
        <f>+R9/AH9</f>
        <v>0.40002229122110805</v>
      </c>
      <c r="AK9" s="451">
        <f>+S9/AI9</f>
        <v>0.40002229122110805</v>
      </c>
    </row>
    <row r="10" spans="1:37" s="430" customFormat="1" ht="12.75" customHeight="1">
      <c r="A10" s="444">
        <f t="shared" ref="A10:A38" si="10">A9+1</f>
        <v>45932</v>
      </c>
      <c r="B10" s="454" t="s">
        <v>507</v>
      </c>
      <c r="C10" s="504" t="s">
        <v>485</v>
      </c>
      <c r="D10" s="424">
        <f>+'2'!F42</f>
        <v>1343.125</v>
      </c>
      <c r="E10" s="424">
        <f>+'2'!G42</f>
        <v>1289.7134375000001</v>
      </c>
      <c r="F10" s="50">
        <f t="shared" si="0"/>
        <v>3.9766635644485793E-2</v>
      </c>
      <c r="G10" s="450">
        <f t="shared" ref="G10:G41" si="11">+P10/N10</f>
        <v>0.97271410322879437</v>
      </c>
      <c r="H10" s="445">
        <f t="shared" ref="H10:H41" si="12">+P10/L10</f>
        <v>0.96399383954135742</v>
      </c>
      <c r="I10" s="445">
        <f t="shared" ref="I10:I41" si="13">+R10/P10</f>
        <v>0.78743347933400876</v>
      </c>
      <c r="J10" s="451">
        <f t="shared" ref="J10:J41" si="14">+R10/L10</f>
        <v>0.7590810231266012</v>
      </c>
      <c r="K10" s="451">
        <f t="shared" ref="K10:K39" si="15">+S10/M10</f>
        <v>0.53436518019394696</v>
      </c>
      <c r="L10" s="425">
        <f>+SUM(Efficiency1!K13:K15)</f>
        <v>72.708970871999995</v>
      </c>
      <c r="M10" s="426">
        <f t="shared" ref="M10:O38" si="16">M9+L10</f>
        <v>136.85959098879999</v>
      </c>
      <c r="N10" s="425">
        <f>+SUM(Efficiency1!C13:C15)</f>
        <v>72.057143787000001</v>
      </c>
      <c r="O10" s="426">
        <f t="shared" si="16"/>
        <v>134.40458413299604</v>
      </c>
      <c r="P10" s="591">
        <f>'2'!I38</f>
        <v>70.090999999999994</v>
      </c>
      <c r="Q10" s="426">
        <f t="shared" ref="Q10:Q38" si="17">Q9+P10</f>
        <v>87.037999999999997</v>
      </c>
      <c r="R10" s="14">
        <f>'2'!I40</f>
        <v>55.192</v>
      </c>
      <c r="S10" s="426">
        <f t="shared" ref="S10:S38" si="18">S9+R10</f>
        <v>73.132999999999996</v>
      </c>
      <c r="T10" s="580">
        <f t="shared" si="1"/>
        <v>154.03500000000003</v>
      </c>
      <c r="U10" s="427">
        <f t="shared" ref="U10:U38" si="19">T10+U9</f>
        <v>206.64900000000003</v>
      </c>
      <c r="V10" s="429">
        <f t="shared" si="2"/>
        <v>2.1976430640167788</v>
      </c>
      <c r="W10" s="429">
        <f t="shared" si="3"/>
        <v>2.374238838208599</v>
      </c>
      <c r="X10" s="425">
        <f t="shared" si="4"/>
        <v>2.7908936077692426</v>
      </c>
      <c r="Y10" s="429">
        <f t="shared" si="5"/>
        <v>2.8256600987242426</v>
      </c>
      <c r="Z10" s="428">
        <f>'2'!I46</f>
        <v>57964.179999999753</v>
      </c>
      <c r="AA10" s="427">
        <f t="shared" ref="AA10:AA38" si="20">Z10+AA9</f>
        <v>87773.479999999603</v>
      </c>
      <c r="AB10" s="429">
        <f t="shared" si="6"/>
        <v>826.98463426117121</v>
      </c>
      <c r="AC10" s="429">
        <f t="shared" si="7"/>
        <v>1008.4501022541832</v>
      </c>
      <c r="AD10" s="429">
        <f t="shared" si="8"/>
        <v>1050.2279315842832</v>
      </c>
      <c r="AE10" s="429">
        <f t="shared" si="9"/>
        <v>1200.1897912023244</v>
      </c>
      <c r="AF10" s="506">
        <f>8.669</f>
        <v>8.6690000000000005</v>
      </c>
      <c r="AG10" s="525">
        <v>145.36600000000001</v>
      </c>
      <c r="AH10" s="425">
        <f>+SUM(Efficiency2!K13:K15)</f>
        <v>72.708970871999995</v>
      </c>
      <c r="AI10" s="426">
        <f t="shared" ref="AI10:AI38" si="21">AI9+AH10</f>
        <v>117.5589714688</v>
      </c>
      <c r="AJ10" s="451">
        <f t="shared" ref="AJ10:AJ41" si="22">+R10/AH10</f>
        <v>0.7590810231266012</v>
      </c>
      <c r="AK10" s="451">
        <f t="shared" ref="AK10:AK39" si="23">+S10/AI10</f>
        <v>0.62209628994082689</v>
      </c>
    </row>
    <row r="11" spans="1:37" s="430" customFormat="1" ht="12.75" customHeight="1">
      <c r="A11" s="444">
        <f t="shared" si="10"/>
        <v>45933</v>
      </c>
      <c r="B11" s="431" t="s">
        <v>234</v>
      </c>
      <c r="C11" s="504" t="s">
        <v>508</v>
      </c>
      <c r="D11" s="424">
        <f>+'3'!F42</f>
        <v>1088.5416666666667</v>
      </c>
      <c r="E11" s="424">
        <f>+'3'!G42</f>
        <v>1084.7317708333333</v>
      </c>
      <c r="F11" s="50">
        <f t="shared" si="0"/>
        <v>3.5000000000001696E-3</v>
      </c>
      <c r="G11" s="450">
        <f t="shared" si="11"/>
        <v>0.9786829555518255</v>
      </c>
      <c r="H11" s="445">
        <f>+P11/L11</f>
        <v>0.97525756520739415</v>
      </c>
      <c r="I11" s="445">
        <f t="shared" si="13"/>
        <v>1.0762388173339255</v>
      </c>
      <c r="J11" s="451">
        <f t="shared" si="14"/>
        <v>1.0496100485747695</v>
      </c>
      <c r="K11" s="451">
        <f t="shared" si="15"/>
        <v>0.72564173557081124</v>
      </c>
      <c r="L11" s="425">
        <f>+SUM(Efficiency1!K18:K19)</f>
        <v>80.804294999999996</v>
      </c>
      <c r="M11" s="426">
        <f t="shared" si="16"/>
        <v>217.66388598879999</v>
      </c>
      <c r="N11" s="425">
        <f>+SUM(Efficiency1!C18:C19)</f>
        <v>80.521479967499999</v>
      </c>
      <c r="O11" s="426">
        <f t="shared" si="16"/>
        <v>214.92606410049603</v>
      </c>
      <c r="P11" s="591">
        <f>'3'!I38</f>
        <v>78.805000000000007</v>
      </c>
      <c r="Q11" s="426">
        <f t="shared" si="17"/>
        <v>165.84300000000002</v>
      </c>
      <c r="R11" s="14">
        <f>'3'!I40</f>
        <v>84.813000000000002</v>
      </c>
      <c r="S11" s="426">
        <f t="shared" si="18"/>
        <v>157.946</v>
      </c>
      <c r="T11" s="580">
        <f t="shared" si="1"/>
        <v>160.93899999999999</v>
      </c>
      <c r="U11" s="427">
        <f t="shared" si="19"/>
        <v>367.58800000000002</v>
      </c>
      <c r="V11" s="429">
        <f t="shared" si="2"/>
        <v>2.0422435124674827</v>
      </c>
      <c r="W11" s="429">
        <f t="shared" si="3"/>
        <v>2.2164818533191029</v>
      </c>
      <c r="X11" s="425">
        <f t="shared" si="4"/>
        <v>1.8975746642613749</v>
      </c>
      <c r="Y11" s="429">
        <f t="shared" si="5"/>
        <v>2.3273017360363673</v>
      </c>
      <c r="Z11" s="428">
        <f>'3'!I46</f>
        <v>55282.219999999958</v>
      </c>
      <c r="AA11" s="427">
        <f t="shared" si="20"/>
        <v>143055.69999999955</v>
      </c>
      <c r="AB11" s="429">
        <f t="shared" si="6"/>
        <v>701.50650339445406</v>
      </c>
      <c r="AC11" s="429">
        <f t="shared" si="7"/>
        <v>862.5971551407024</v>
      </c>
      <c r="AD11" s="429">
        <f t="shared" si="8"/>
        <v>651.81304752809069</v>
      </c>
      <c r="AE11" s="429">
        <f t="shared" si="9"/>
        <v>905.72537449507774</v>
      </c>
      <c r="AF11" s="506">
        <f>10.017</f>
        <v>10.016999999999999</v>
      </c>
      <c r="AG11" s="525">
        <v>150.922</v>
      </c>
      <c r="AH11" s="425">
        <f>+SUM(Efficiency2!K18:K19)</f>
        <v>80.804294999999996</v>
      </c>
      <c r="AI11" s="426">
        <f t="shared" si="21"/>
        <v>198.36326646879999</v>
      </c>
      <c r="AJ11" s="451">
        <f t="shared" si="22"/>
        <v>1.0496100485747695</v>
      </c>
      <c r="AK11" s="451">
        <f t="shared" si="23"/>
        <v>0.79624621439092347</v>
      </c>
    </row>
    <row r="12" spans="1:37" s="430" customFormat="1" ht="12.75" customHeight="1">
      <c r="A12" s="444">
        <f t="shared" si="10"/>
        <v>45934</v>
      </c>
      <c r="B12" s="431" t="s">
        <v>234</v>
      </c>
      <c r="C12" s="504" t="s">
        <v>535</v>
      </c>
      <c r="D12" s="424">
        <f>+'4'!F42</f>
        <v>920.83333333333337</v>
      </c>
      <c r="E12" s="424">
        <f>+'4'!G42</f>
        <v>917.61041666666665</v>
      </c>
      <c r="F12" s="50">
        <f t="shared" si="0"/>
        <v>3.5000000000000586E-3</v>
      </c>
      <c r="G12" s="450">
        <f t="shared" si="11"/>
        <v>0.96656210327609726</v>
      </c>
      <c r="H12" s="445">
        <f t="shared" si="12"/>
        <v>0.90502801461366267</v>
      </c>
      <c r="I12" s="445">
        <f t="shared" si="13"/>
        <v>0.84924743283162185</v>
      </c>
      <c r="J12" s="451">
        <f t="shared" si="14"/>
        <v>0.76859271805135254</v>
      </c>
      <c r="K12" s="451">
        <f t="shared" si="15"/>
        <v>0.73703148317544442</v>
      </c>
      <c r="L12" s="425">
        <f>+Efficiency1!K24</f>
        <v>78.550054641509433</v>
      </c>
      <c r="M12" s="426">
        <f t="shared" si="16"/>
        <v>296.21394063030942</v>
      </c>
      <c r="N12" s="425">
        <f>+Efficiency1!C24</f>
        <v>73.54933507018869</v>
      </c>
      <c r="O12" s="426">
        <f t="shared" si="16"/>
        <v>288.47539917068474</v>
      </c>
      <c r="P12" s="591">
        <f>'4'!I38</f>
        <v>71.09</v>
      </c>
      <c r="Q12" s="426">
        <f t="shared" si="17"/>
        <v>236.93300000000002</v>
      </c>
      <c r="R12" s="14">
        <f>'4'!I40</f>
        <v>60.372999999999998</v>
      </c>
      <c r="S12" s="426">
        <f t="shared" si="18"/>
        <v>218.31899999999999</v>
      </c>
      <c r="T12" s="580">
        <f t="shared" si="1"/>
        <v>146.392</v>
      </c>
      <c r="U12" s="427">
        <f t="shared" si="19"/>
        <v>513.98</v>
      </c>
      <c r="V12" s="429">
        <f t="shared" si="2"/>
        <v>2.0592488394992263</v>
      </c>
      <c r="W12" s="429">
        <f t="shared" si="3"/>
        <v>2.1693052466309042</v>
      </c>
      <c r="X12" s="425">
        <f t="shared" si="4"/>
        <v>2.4247925397114605</v>
      </c>
      <c r="Y12" s="429">
        <f t="shared" si="5"/>
        <v>2.3542614247958267</v>
      </c>
      <c r="Z12" s="428">
        <f>'4'!I46</f>
        <v>48566.440000000766</v>
      </c>
      <c r="AA12" s="427">
        <f t="shared" si="20"/>
        <v>191622.14000000031</v>
      </c>
      <c r="AB12" s="429">
        <f t="shared" si="6"/>
        <v>683.16837811226287</v>
      </c>
      <c r="AC12" s="429">
        <f t="shared" si="7"/>
        <v>808.76087332705993</v>
      </c>
      <c r="AD12" s="429">
        <f t="shared" si="8"/>
        <v>804.43973299323807</v>
      </c>
      <c r="AE12" s="429">
        <f t="shared" si="9"/>
        <v>877.71627755715394</v>
      </c>
      <c r="AF12" s="506">
        <f>4.888</f>
        <v>4.8879999999999999</v>
      </c>
      <c r="AG12" s="525">
        <v>141.50399999999999</v>
      </c>
      <c r="AH12" s="425">
        <f>+Efficiency2!K24</f>
        <v>78.550054641509433</v>
      </c>
      <c r="AI12" s="426">
        <f t="shared" si="21"/>
        <v>276.91332111030943</v>
      </c>
      <c r="AJ12" s="451">
        <f t="shared" si="22"/>
        <v>0.76859271805135254</v>
      </c>
      <c r="AK12" s="451">
        <f t="shared" si="23"/>
        <v>0.78840194153401466</v>
      </c>
    </row>
    <row r="13" spans="1:37" s="430" customFormat="1" ht="12.75" customHeight="1">
      <c r="A13" s="444">
        <f t="shared" si="10"/>
        <v>45935</v>
      </c>
      <c r="B13" s="431" t="s">
        <v>234</v>
      </c>
      <c r="C13" s="504" t="s">
        <v>535</v>
      </c>
      <c r="D13" s="424">
        <f>+'5'!F42</f>
        <v>907.08333333333337</v>
      </c>
      <c r="E13" s="424">
        <f>+'5'!G42</f>
        <v>903.90854166666668</v>
      </c>
      <c r="F13" s="50">
        <f t="shared" si="0"/>
        <v>3.5000000000000586E-3</v>
      </c>
      <c r="G13" s="450">
        <f t="shared" si="11"/>
        <v>0.98916614862478436</v>
      </c>
      <c r="H13" s="445">
        <f t="shared" si="12"/>
        <v>0.91236299068312454</v>
      </c>
      <c r="I13" s="445">
        <f t="shared" si="13"/>
        <v>0.97583561038889366</v>
      </c>
      <c r="J13" s="451">
        <f t="shared" si="14"/>
        <v>0.89031629590950334</v>
      </c>
      <c r="K13" s="451">
        <f t="shared" si="15"/>
        <v>0.7694411269134559</v>
      </c>
      <c r="L13" s="425">
        <f>+Efficiency1!K29</f>
        <v>79.422336000000001</v>
      </c>
      <c r="M13" s="426">
        <f t="shared" si="16"/>
        <v>375.63627663030945</v>
      </c>
      <c r="N13" s="425">
        <f>+Efficiency1!C29</f>
        <v>73.255640724000003</v>
      </c>
      <c r="O13" s="426">
        <f t="shared" si="16"/>
        <v>361.73103989468473</v>
      </c>
      <c r="P13" s="591">
        <f>'5'!I38</f>
        <v>72.461999999999989</v>
      </c>
      <c r="Q13" s="426">
        <f t="shared" si="17"/>
        <v>309.39499999999998</v>
      </c>
      <c r="R13" s="14">
        <f>'5'!I40</f>
        <v>70.710999999999999</v>
      </c>
      <c r="S13" s="426">
        <f t="shared" si="18"/>
        <v>289.02999999999997</v>
      </c>
      <c r="T13" s="580">
        <f t="shared" si="1"/>
        <v>146.52500000000001</v>
      </c>
      <c r="U13" s="427">
        <f t="shared" si="19"/>
        <v>660.505</v>
      </c>
      <c r="V13" s="429">
        <f t="shared" si="2"/>
        <v>2.0220943391018746</v>
      </c>
      <c r="W13" s="429">
        <f t="shared" si="3"/>
        <v>2.1348276475056158</v>
      </c>
      <c r="X13" s="425">
        <f t="shared" si="4"/>
        <v>2.0721669895772936</v>
      </c>
      <c r="Y13" s="429">
        <f t="shared" si="5"/>
        <v>2.2852472061723699</v>
      </c>
      <c r="Z13" s="428">
        <f>'5'!I46</f>
        <v>49290.47999999937</v>
      </c>
      <c r="AA13" s="427">
        <f t="shared" si="20"/>
        <v>240912.61999999968</v>
      </c>
      <c r="AB13" s="429">
        <f t="shared" si="6"/>
        <v>680.22522149539589</v>
      </c>
      <c r="AC13" s="429">
        <f t="shared" si="7"/>
        <v>778.657121155803</v>
      </c>
      <c r="AD13" s="429">
        <f t="shared" si="8"/>
        <v>697.0694799960313</v>
      </c>
      <c r="AE13" s="429">
        <f t="shared" si="9"/>
        <v>833.5211569733234</v>
      </c>
      <c r="AF13" s="506">
        <f>4.715</f>
        <v>4.7149999999999999</v>
      </c>
      <c r="AG13" s="525">
        <v>141.81</v>
      </c>
      <c r="AH13" s="425">
        <f>+Efficiency2!K29</f>
        <v>79.422336000000001</v>
      </c>
      <c r="AI13" s="426">
        <f t="shared" si="21"/>
        <v>356.3356571103094</v>
      </c>
      <c r="AJ13" s="451">
        <f t="shared" si="22"/>
        <v>0.89031629590950334</v>
      </c>
      <c r="AK13" s="451">
        <f t="shared" si="23"/>
        <v>0.81111725484863872</v>
      </c>
    </row>
    <row r="14" spans="1:37" s="430" customFormat="1" ht="12.75" customHeight="1">
      <c r="A14" s="444">
        <f t="shared" si="10"/>
        <v>45936</v>
      </c>
      <c r="B14" s="431" t="s">
        <v>234</v>
      </c>
      <c r="C14" s="504" t="s">
        <v>548</v>
      </c>
      <c r="D14" s="424">
        <f>+'6'!F42</f>
        <v>1024.5138888888889</v>
      </c>
      <c r="E14" s="424">
        <f>+'6'!G42</f>
        <v>1020.9280902777778</v>
      </c>
      <c r="F14" s="50">
        <f t="shared" si="0"/>
        <v>3.5000000000000586E-3</v>
      </c>
      <c r="G14" s="450">
        <f t="shared" si="11"/>
        <v>0.96794389515911705</v>
      </c>
      <c r="H14" s="445">
        <f t="shared" si="12"/>
        <v>0.90370152229452838</v>
      </c>
      <c r="I14" s="445">
        <f t="shared" si="13"/>
        <v>0.91074825618262523</v>
      </c>
      <c r="J14" s="451">
        <f t="shared" si="14"/>
        <v>0.82304458553932547</v>
      </c>
      <c r="K14" s="451">
        <f t="shared" si="15"/>
        <v>0.77853841689111136</v>
      </c>
      <c r="L14" s="425">
        <f>+SUM(Efficiency1!K33:K36)</f>
        <v>76.781988619230773</v>
      </c>
      <c r="M14" s="426">
        <f t="shared" si="16"/>
        <v>452.41826524954024</v>
      </c>
      <c r="N14" s="425">
        <f>+SUM(Efficiency1!C33:C36)</f>
        <v>71.685973068298082</v>
      </c>
      <c r="O14" s="426">
        <f t="shared" si="16"/>
        <v>433.41701296298282</v>
      </c>
      <c r="P14" s="591">
        <f>'6'!I38</f>
        <v>69.388000000000005</v>
      </c>
      <c r="Q14" s="426">
        <f t="shared" si="17"/>
        <v>378.78300000000002</v>
      </c>
      <c r="R14" s="14">
        <f>'6'!I40</f>
        <v>63.195</v>
      </c>
      <c r="S14" s="426">
        <f t="shared" si="18"/>
        <v>352.22499999999997</v>
      </c>
      <c r="T14" s="580">
        <f t="shared" si="1"/>
        <v>144.67599999999999</v>
      </c>
      <c r="U14" s="427">
        <f t="shared" si="19"/>
        <v>805.18100000000004</v>
      </c>
      <c r="V14" s="429">
        <f t="shared" si="2"/>
        <v>2.0850291116619584</v>
      </c>
      <c r="W14" s="429">
        <f t="shared" si="3"/>
        <v>2.1257052190832217</v>
      </c>
      <c r="X14" s="425">
        <f t="shared" si="4"/>
        <v>2.2893583353113378</v>
      </c>
      <c r="Y14" s="429">
        <f t="shared" si="5"/>
        <v>2.2859848108453407</v>
      </c>
      <c r="Z14" s="428">
        <f>'6'!I46</f>
        <v>53234.739999998979</v>
      </c>
      <c r="AA14" s="427">
        <f t="shared" si="20"/>
        <v>294147.35999999865</v>
      </c>
      <c r="AB14" s="429">
        <f t="shared" si="6"/>
        <v>767.20383928055253</v>
      </c>
      <c r="AC14" s="429">
        <f t="shared" si="7"/>
        <v>776.55903248033474</v>
      </c>
      <c r="AD14" s="429">
        <f t="shared" si="8"/>
        <v>842.38848010125764</v>
      </c>
      <c r="AE14" s="429">
        <f t="shared" si="9"/>
        <v>835.11210163957332</v>
      </c>
      <c r="AF14" s="506">
        <f>3.872</f>
        <v>3.8719999999999999</v>
      </c>
      <c r="AG14" s="525">
        <v>140.804</v>
      </c>
      <c r="AH14" s="425">
        <f>+SUM(Efficiency2!K33:K36)</f>
        <v>76.781988619230773</v>
      </c>
      <c r="AI14" s="426">
        <f t="shared" si="21"/>
        <v>433.11764572954019</v>
      </c>
      <c r="AJ14" s="451">
        <f t="shared" si="22"/>
        <v>0.82304458553932547</v>
      </c>
      <c r="AK14" s="451">
        <f t="shared" si="23"/>
        <v>0.81323170153161217</v>
      </c>
    </row>
    <row r="15" spans="1:37" s="430" customFormat="1" ht="12.75" customHeight="1">
      <c r="A15" s="444">
        <f t="shared" si="10"/>
        <v>45937</v>
      </c>
      <c r="B15" s="431" t="s">
        <v>589</v>
      </c>
      <c r="C15" s="431" t="s">
        <v>574</v>
      </c>
      <c r="D15" s="424">
        <f>+'7'!F42</f>
        <v>1303.4166666666667</v>
      </c>
      <c r="E15" s="424">
        <f>+'7'!G42</f>
        <v>1205.3016041666667</v>
      </c>
      <c r="F15" s="50">
        <f t="shared" si="0"/>
        <v>7.5275286107026385E-2</v>
      </c>
      <c r="G15" s="450">
        <f t="shared" si="11"/>
        <v>0.99335832411767711</v>
      </c>
      <c r="H15" s="445">
        <f t="shared" si="12"/>
        <v>0.92594058936537826</v>
      </c>
      <c r="I15" s="445">
        <f t="shared" si="13"/>
        <v>0.91952879245040764</v>
      </c>
      <c r="J15" s="451">
        <f t="shared" si="14"/>
        <v>0.851429032019965</v>
      </c>
      <c r="K15" s="451">
        <f t="shared" si="15"/>
        <v>0.78797622982582805</v>
      </c>
      <c r="L15" s="425">
        <f>+SUM(Efficiency1!K38:K41)</f>
        <v>67.291574335999996</v>
      </c>
      <c r="M15" s="426">
        <f t="shared" si="16"/>
        <v>519.70983958554029</v>
      </c>
      <c r="N15" s="425">
        <f>+SUM(Efficiency1!C38:C41)</f>
        <v>62.724596439400003</v>
      </c>
      <c r="O15" s="426">
        <f t="shared" si="16"/>
        <v>496.14160940238281</v>
      </c>
      <c r="P15" s="591">
        <f>'7'!I38</f>
        <v>62.308</v>
      </c>
      <c r="Q15" s="426">
        <f t="shared" si="17"/>
        <v>441.09100000000001</v>
      </c>
      <c r="R15" s="14">
        <f>'7'!I40</f>
        <v>57.293999999999997</v>
      </c>
      <c r="S15" s="426">
        <f t="shared" si="18"/>
        <v>409.51899999999995</v>
      </c>
      <c r="T15" s="580">
        <f t="shared" si="1"/>
        <v>140.36999999999998</v>
      </c>
      <c r="U15" s="427">
        <f t="shared" si="19"/>
        <v>945.55100000000004</v>
      </c>
      <c r="V15" s="429">
        <f t="shared" si="2"/>
        <v>2.2528407267124604</v>
      </c>
      <c r="W15" s="429">
        <f t="shared" si="3"/>
        <v>2.1436642325506527</v>
      </c>
      <c r="X15" s="425">
        <f t="shared" si="4"/>
        <v>2.4499947638496176</v>
      </c>
      <c r="Y15" s="429">
        <f t="shared" si="5"/>
        <v>2.3089307211631209</v>
      </c>
      <c r="Z15" s="428">
        <f>'7'!I46</f>
        <v>58033.299999999304</v>
      </c>
      <c r="AA15" s="427">
        <f t="shared" si="20"/>
        <v>352180.65999999794</v>
      </c>
      <c r="AB15" s="429">
        <f t="shared" si="6"/>
        <v>931.39404249854442</v>
      </c>
      <c r="AC15" s="429">
        <f t="shared" si="7"/>
        <v>798.43084533576507</v>
      </c>
      <c r="AD15" s="429">
        <f t="shared" si="8"/>
        <v>1012.9036199252854</v>
      </c>
      <c r="AE15" s="429">
        <f t="shared" si="9"/>
        <v>859.98613006966218</v>
      </c>
      <c r="AF15" s="506">
        <f>1.664</f>
        <v>1.6639999999999999</v>
      </c>
      <c r="AG15" s="525">
        <v>138.70599999999999</v>
      </c>
      <c r="AH15" s="425">
        <f>+SUM(Efficiency2!K38:K41)</f>
        <v>67.291574335999996</v>
      </c>
      <c r="AI15" s="426">
        <f t="shared" si="21"/>
        <v>500.40922006554018</v>
      </c>
      <c r="AJ15" s="451">
        <f t="shared" si="22"/>
        <v>0.851429032019965</v>
      </c>
      <c r="AK15" s="451">
        <f t="shared" si="23"/>
        <v>0.81836821461116149</v>
      </c>
    </row>
    <row r="16" spans="1:37" s="430" customFormat="1" ht="12.75" customHeight="1">
      <c r="A16" s="444">
        <f t="shared" si="10"/>
        <v>45938</v>
      </c>
      <c r="B16" s="431" t="s">
        <v>7</v>
      </c>
      <c r="C16" s="431" t="s">
        <v>590</v>
      </c>
      <c r="D16" s="424">
        <f>+'8'!F42</f>
        <v>1680</v>
      </c>
      <c r="E16" s="424">
        <f>+'8'!G42</f>
        <v>1344</v>
      </c>
      <c r="F16" s="50">
        <f t="shared" si="0"/>
        <v>0.19999999999999996</v>
      </c>
      <c r="G16" s="450">
        <f t="shared" si="11"/>
        <v>0.95432433908017389</v>
      </c>
      <c r="H16" s="445">
        <f t="shared" si="12"/>
        <v>0.94309699391452484</v>
      </c>
      <c r="I16" s="445">
        <f t="shared" si="13"/>
        <v>1.0385887541345094</v>
      </c>
      <c r="J16" s="451">
        <f t="shared" si="14"/>
        <v>0.9794899319376873</v>
      </c>
      <c r="K16" s="451">
        <f t="shared" si="15"/>
        <v>0.80853871239552189</v>
      </c>
      <c r="L16" s="425">
        <f>+Efficiency1!K43</f>
        <v>62.512127999999997</v>
      </c>
      <c r="M16" s="426">
        <f t="shared" si="16"/>
        <v>582.22196758554026</v>
      </c>
      <c r="N16" s="425">
        <f>+Efficiency1!C43</f>
        <v>61.776691200000002</v>
      </c>
      <c r="O16" s="426">
        <f t="shared" si="16"/>
        <v>557.91830060238283</v>
      </c>
      <c r="P16" s="591">
        <f>'8'!I38</f>
        <v>58.954999999999998</v>
      </c>
      <c r="Q16" s="426">
        <f t="shared" si="17"/>
        <v>500.04599999999999</v>
      </c>
      <c r="R16" s="14">
        <f>'8'!I40</f>
        <v>61.23</v>
      </c>
      <c r="S16" s="426">
        <f t="shared" si="18"/>
        <v>470.74899999999997</v>
      </c>
      <c r="T16" s="580">
        <f t="shared" si="1"/>
        <v>134.23599999999999</v>
      </c>
      <c r="U16" s="427">
        <f t="shared" si="19"/>
        <v>1079.787</v>
      </c>
      <c r="V16" s="429">
        <f t="shared" si="2"/>
        <v>2.2769230769230768</v>
      </c>
      <c r="W16" s="429">
        <f t="shared" si="3"/>
        <v>2.159375337468953</v>
      </c>
      <c r="X16" s="425">
        <f t="shared" si="4"/>
        <v>2.1923240241711577</v>
      </c>
      <c r="Y16" s="429">
        <f t="shared" si="5"/>
        <v>2.2937637679527731</v>
      </c>
      <c r="Z16" s="428">
        <f>'8'!I46</f>
        <v>57774.260000002636</v>
      </c>
      <c r="AA16" s="427">
        <f t="shared" si="20"/>
        <v>409954.92000000057</v>
      </c>
      <c r="AB16" s="429">
        <f t="shared" si="6"/>
        <v>979.97218217288844</v>
      </c>
      <c r="AC16" s="429">
        <f t="shared" si="7"/>
        <v>819.83441523379963</v>
      </c>
      <c r="AD16" s="429">
        <f t="shared" si="8"/>
        <v>943.56132614735645</v>
      </c>
      <c r="AE16" s="429">
        <f t="shared" si="9"/>
        <v>870.85669858034873</v>
      </c>
      <c r="AF16" s="506">
        <f>0.575</f>
        <v>0.57499999999999996</v>
      </c>
      <c r="AG16" s="525">
        <v>133.661</v>
      </c>
      <c r="AH16" s="425">
        <f>+Efficiency2!K43</f>
        <v>62.512127999999997</v>
      </c>
      <c r="AI16" s="426">
        <f t="shared" si="21"/>
        <v>562.9213480655402</v>
      </c>
      <c r="AJ16" s="451">
        <f t="shared" si="22"/>
        <v>0.9794899319376873</v>
      </c>
      <c r="AK16" s="451">
        <f t="shared" si="23"/>
        <v>0.83626069897280086</v>
      </c>
    </row>
    <row r="17" spans="1:37" s="430" customFormat="1" ht="12.75" customHeight="1">
      <c r="A17" s="444">
        <f t="shared" si="10"/>
        <v>45939</v>
      </c>
      <c r="B17" s="431" t="s">
        <v>7</v>
      </c>
      <c r="C17" s="431" t="s">
        <v>425</v>
      </c>
      <c r="D17" s="424">
        <f>+'9'!F42</f>
        <v>1713.7569444444443</v>
      </c>
      <c r="E17" s="424">
        <f>+'9'!G42</f>
        <v>1400.2502777777777</v>
      </c>
      <c r="F17" s="50">
        <f t="shared" si="0"/>
        <v>0.18293531511745231</v>
      </c>
      <c r="G17" s="450">
        <f t="shared" si="11"/>
        <v>0.99558771820615022</v>
      </c>
      <c r="H17" s="445">
        <f t="shared" si="12"/>
        <v>0.98336488747162609</v>
      </c>
      <c r="I17" s="445">
        <f t="shared" si="13"/>
        <v>0.96601376570900266</v>
      </c>
      <c r="J17" s="451">
        <f t="shared" si="14"/>
        <v>0.94994401801247519</v>
      </c>
      <c r="K17" s="451">
        <f t="shared" si="15"/>
        <v>0.82162852082026039</v>
      </c>
      <c r="L17" s="425">
        <f>+SUM(Efficiency1!K47:K48)</f>
        <v>59.394026311200001</v>
      </c>
      <c r="M17" s="426">
        <f t="shared" si="16"/>
        <v>641.61599389674029</v>
      </c>
      <c r="N17" s="425">
        <f>+SUM(Efficiency1!C47:C48)</f>
        <v>58.664845831199997</v>
      </c>
      <c r="O17" s="426">
        <f t="shared" si="16"/>
        <v>616.58314643358278</v>
      </c>
      <c r="P17" s="591">
        <f>'9'!I38</f>
        <v>58.405999999999992</v>
      </c>
      <c r="Q17" s="426">
        <f t="shared" si="17"/>
        <v>558.452</v>
      </c>
      <c r="R17" s="14">
        <f>'9'!I40</f>
        <v>56.420999999999999</v>
      </c>
      <c r="S17" s="426">
        <f t="shared" si="18"/>
        <v>527.16999999999996</v>
      </c>
      <c r="T17" s="580">
        <f t="shared" si="1"/>
        <v>133.48600000000002</v>
      </c>
      <c r="U17" s="427">
        <f t="shared" si="19"/>
        <v>1213.2730000000001</v>
      </c>
      <c r="V17" s="429">
        <f t="shared" si="2"/>
        <v>2.2854843680443797</v>
      </c>
      <c r="W17" s="429">
        <f t="shared" si="3"/>
        <v>2.1725645176308799</v>
      </c>
      <c r="X17" s="425">
        <f t="shared" si="4"/>
        <v>2.3658921323620641</v>
      </c>
      <c r="Y17" s="429">
        <f t="shared" si="5"/>
        <v>2.3014833924540476</v>
      </c>
      <c r="Z17" s="428">
        <f>'9'!I46</f>
        <v>59679.860000002096</v>
      </c>
      <c r="AA17" s="427">
        <f t="shared" si="20"/>
        <v>469634.78000000265</v>
      </c>
      <c r="AB17" s="429">
        <f t="shared" si="6"/>
        <v>1021.8104304352653</v>
      </c>
      <c r="AC17" s="429">
        <f t="shared" si="7"/>
        <v>840.95818440976598</v>
      </c>
      <c r="AD17" s="429">
        <f t="shared" si="8"/>
        <v>1057.7596994027419</v>
      </c>
      <c r="AE17" s="429">
        <f t="shared" si="9"/>
        <v>890.86021586964864</v>
      </c>
      <c r="AF17" s="506">
        <f>0.442</f>
        <v>0.442</v>
      </c>
      <c r="AG17" s="525">
        <v>133.04400000000001</v>
      </c>
      <c r="AH17" s="425">
        <f>+SUM(Efficiency2!K47:K48)</f>
        <v>59.394026311200001</v>
      </c>
      <c r="AI17" s="426">
        <f t="shared" si="21"/>
        <v>622.31537437674024</v>
      </c>
      <c r="AJ17" s="451">
        <f t="shared" si="22"/>
        <v>0.94994401801247519</v>
      </c>
      <c r="AK17" s="451">
        <f t="shared" si="23"/>
        <v>0.8471106800598811</v>
      </c>
    </row>
    <row r="18" spans="1:37" s="430" customFormat="1" ht="12.75" customHeight="1">
      <c r="A18" s="444">
        <f t="shared" si="10"/>
        <v>45940</v>
      </c>
      <c r="B18" s="431" t="s">
        <v>7</v>
      </c>
      <c r="C18" s="431" t="s">
        <v>620</v>
      </c>
      <c r="D18" s="424">
        <f>+'10'!F42</f>
        <v>1681.5277777777778</v>
      </c>
      <c r="E18" s="424">
        <f>+'10'!G42</f>
        <v>1277.9611111111112</v>
      </c>
      <c r="F18" s="50">
        <f t="shared" si="0"/>
        <v>0.24</v>
      </c>
      <c r="G18" s="450">
        <f t="shared" si="11"/>
        <v>0.88184746648506629</v>
      </c>
      <c r="H18" s="445">
        <f t="shared" si="12"/>
        <v>0.83338164480030608</v>
      </c>
      <c r="I18" s="445">
        <f>+R18/P18</f>
        <v>0.9661371484953134</v>
      </c>
      <c r="J18" s="451">
        <f t="shared" si="14"/>
        <v>0.80516096591570174</v>
      </c>
      <c r="K18" s="451">
        <f t="shared" si="15"/>
        <v>0.82020297706668377</v>
      </c>
      <c r="L18" s="425">
        <f>+SUM(Efficiency1!K52:K53)</f>
        <v>60.806474820000005</v>
      </c>
      <c r="M18" s="426">
        <f t="shared" si="16"/>
        <v>702.42246871674024</v>
      </c>
      <c r="N18" s="425">
        <f>+SUM(Efficiency1!C52:C53)</f>
        <v>57.464586480000001</v>
      </c>
      <c r="O18" s="426">
        <f t="shared" si="16"/>
        <v>674.04773291358276</v>
      </c>
      <c r="P18" s="591">
        <f>'10'!I38</f>
        <v>50.674999999999997</v>
      </c>
      <c r="Q18" s="426">
        <f t="shared" si="17"/>
        <v>609.12699999999995</v>
      </c>
      <c r="R18" s="14">
        <f>'10'!I40</f>
        <v>48.959000000000003</v>
      </c>
      <c r="S18" s="426">
        <f t="shared" si="18"/>
        <v>576.12899999999991</v>
      </c>
      <c r="T18" s="580">
        <f t="shared" si="1"/>
        <v>124.40600000000001</v>
      </c>
      <c r="U18" s="427">
        <f t="shared" si="19"/>
        <v>1337.6790000000001</v>
      </c>
      <c r="V18" s="429">
        <f t="shared" si="2"/>
        <v>2.4549777997039963</v>
      </c>
      <c r="W18" s="429">
        <f t="shared" si="3"/>
        <v>2.1960592782785859</v>
      </c>
      <c r="X18" s="425">
        <f t="shared" si="4"/>
        <v>2.5410241222247185</v>
      </c>
      <c r="Y18" s="429">
        <f t="shared" si="5"/>
        <v>2.3218393797222503</v>
      </c>
      <c r="Z18" s="428">
        <f>'10'!I46</f>
        <v>59107.339999996904</v>
      </c>
      <c r="AA18" s="427">
        <f t="shared" si="20"/>
        <v>528742.11999999953</v>
      </c>
      <c r="AB18" s="429">
        <f t="shared" si="6"/>
        <v>1166.4003946718681</v>
      </c>
      <c r="AC18" s="429">
        <f t="shared" si="7"/>
        <v>868.03264343888793</v>
      </c>
      <c r="AD18" s="429">
        <f t="shared" si="8"/>
        <v>1207.2824199840052</v>
      </c>
      <c r="AE18" s="429">
        <f t="shared" si="9"/>
        <v>917.749531788887</v>
      </c>
      <c r="AF18" s="506">
        <f>1.188</f>
        <v>1.1879999999999999</v>
      </c>
      <c r="AG18" s="525">
        <v>123.218</v>
      </c>
      <c r="AH18" s="425">
        <f>+SUM(Efficiency2!K52:K53)</f>
        <v>60.806474820000005</v>
      </c>
      <c r="AI18" s="426">
        <f t="shared" si="21"/>
        <v>683.12184919674019</v>
      </c>
      <c r="AJ18" s="451">
        <f t="shared" si="22"/>
        <v>0.80516096591570174</v>
      </c>
      <c r="AK18" s="451">
        <f t="shared" si="23"/>
        <v>0.84337662552800863</v>
      </c>
    </row>
    <row r="19" spans="1:37" s="430" customFormat="1" ht="12.75" customHeight="1">
      <c r="A19" s="444">
        <f t="shared" si="10"/>
        <v>45941</v>
      </c>
      <c r="B19" s="431" t="s">
        <v>7</v>
      </c>
      <c r="C19" s="431" t="s">
        <v>646</v>
      </c>
      <c r="D19" s="424">
        <f>+'11'!F42</f>
        <v>1667.0833333333333</v>
      </c>
      <c r="E19" s="424">
        <f>+'11'!G42</f>
        <v>1308.4833333333333</v>
      </c>
      <c r="F19" s="50">
        <f t="shared" si="0"/>
        <v>0.21510622344413888</v>
      </c>
      <c r="G19" s="450">
        <f t="shared" si="11"/>
        <v>1.0032822167310835</v>
      </c>
      <c r="H19" s="445">
        <f t="shared" si="12"/>
        <v>0.97091122242912598</v>
      </c>
      <c r="I19" s="445">
        <f t="shared" si="13"/>
        <v>0.92065103061393949</v>
      </c>
      <c r="J19" s="451">
        <f t="shared" si="14"/>
        <v>0.89387041756401464</v>
      </c>
      <c r="K19" s="451">
        <f t="shared" si="15"/>
        <v>0.8256257101164387</v>
      </c>
      <c r="L19" s="425">
        <f>+SUM(Efficiency1!K56:K58)</f>
        <v>55.814577839999998</v>
      </c>
      <c r="M19" s="426">
        <f t="shared" si="16"/>
        <v>758.23704655674021</v>
      </c>
      <c r="N19" s="425">
        <f>+SUM(Efficiency1!C56:C58)</f>
        <v>54.01371528</v>
      </c>
      <c r="O19" s="426">
        <f t="shared" si="16"/>
        <v>728.06144819358281</v>
      </c>
      <c r="P19" s="591">
        <f>'11'!I38</f>
        <v>54.191000000000003</v>
      </c>
      <c r="Q19" s="426">
        <f t="shared" si="17"/>
        <v>663.31799999999998</v>
      </c>
      <c r="R19" s="14">
        <f>'11'!I40</f>
        <v>49.890999999999998</v>
      </c>
      <c r="S19" s="426">
        <f t="shared" si="18"/>
        <v>626.01999999999987</v>
      </c>
      <c r="T19" s="580">
        <f t="shared" si="1"/>
        <v>122.58799999999999</v>
      </c>
      <c r="U19" s="427">
        <f t="shared" si="19"/>
        <v>1460.2670000000001</v>
      </c>
      <c r="V19" s="429">
        <f t="shared" si="2"/>
        <v>2.2621468509531102</v>
      </c>
      <c r="W19" s="429">
        <f t="shared" si="3"/>
        <v>2.2014584256721514</v>
      </c>
      <c r="X19" s="425">
        <f t="shared" si="4"/>
        <v>2.4571165140005209</v>
      </c>
      <c r="Y19" s="429">
        <f t="shared" si="5"/>
        <v>2.3326203635666598</v>
      </c>
      <c r="Z19" s="428">
        <f>'11'!I46</f>
        <v>56892.779999999366</v>
      </c>
      <c r="AA19" s="427">
        <f t="shared" si="20"/>
        <v>585634.89999999886</v>
      </c>
      <c r="AB19" s="429">
        <f t="shared" si="6"/>
        <v>1049.8566182576326</v>
      </c>
      <c r="AC19" s="429">
        <f t="shared" si="7"/>
        <v>882.88709186242318</v>
      </c>
      <c r="AD19" s="429">
        <f t="shared" si="8"/>
        <v>1140.3415445671437</v>
      </c>
      <c r="AE19" s="429">
        <f t="shared" si="9"/>
        <v>935.48912175329701</v>
      </c>
      <c r="AF19" s="590">
        <f>0.925</f>
        <v>0.92500000000000004</v>
      </c>
      <c r="AG19" s="525">
        <v>121.663</v>
      </c>
      <c r="AH19" s="425">
        <f>+SUM(Efficiency2!K56:K58)</f>
        <v>55.814577839999998</v>
      </c>
      <c r="AI19" s="426">
        <f t="shared" si="21"/>
        <v>738.93642703674016</v>
      </c>
      <c r="AJ19" s="451">
        <f t="shared" si="22"/>
        <v>0.89387041756401464</v>
      </c>
      <c r="AK19" s="451">
        <f t="shared" si="23"/>
        <v>0.84719060678933611</v>
      </c>
    </row>
    <row r="20" spans="1:37" s="430" customFormat="1" ht="12.75" customHeight="1">
      <c r="A20" s="444">
        <f t="shared" si="10"/>
        <v>45942</v>
      </c>
      <c r="B20" s="431" t="s">
        <v>7</v>
      </c>
      <c r="C20" s="431" t="s">
        <v>590</v>
      </c>
      <c r="D20" s="424">
        <f>+'12'!F42</f>
        <v>1669.375</v>
      </c>
      <c r="E20" s="424">
        <f>+'12'!G42</f>
        <v>1300.2249999999999</v>
      </c>
      <c r="F20" s="50">
        <f t="shared" si="0"/>
        <v>0.22113066267315618</v>
      </c>
      <c r="G20" s="450">
        <f t="shared" si="11"/>
        <v>0.87643882341358814</v>
      </c>
      <c r="H20" s="445">
        <f t="shared" si="12"/>
        <v>0.86065003578591692</v>
      </c>
      <c r="I20" s="445">
        <f t="shared" si="13"/>
        <v>0.933619702176403</v>
      </c>
      <c r="J20" s="451">
        <f t="shared" si="14"/>
        <v>0.80351983008855832</v>
      </c>
      <c r="K20" s="451">
        <f t="shared" si="15"/>
        <v>0.82398318947921234</v>
      </c>
      <c r="L20" s="425">
        <f>+Efficiency1!K61</f>
        <v>60.860974637813548</v>
      </c>
      <c r="M20" s="426">
        <f t="shared" si="16"/>
        <v>819.09802119455378</v>
      </c>
      <c r="N20" s="425">
        <f>+Efficiency1!C61</f>
        <v>59.764582079999997</v>
      </c>
      <c r="O20" s="426">
        <f t="shared" si="16"/>
        <v>787.82603027358277</v>
      </c>
      <c r="P20" s="591">
        <f>'12'!I38</f>
        <v>52.38000000000001</v>
      </c>
      <c r="Q20" s="426">
        <f t="shared" si="17"/>
        <v>715.69799999999998</v>
      </c>
      <c r="R20" s="14">
        <f>'12'!I40</f>
        <v>48.902999999999999</v>
      </c>
      <c r="S20" s="426">
        <f t="shared" si="18"/>
        <v>674.92299999999989</v>
      </c>
      <c r="T20" s="580">
        <f t="shared" si="1"/>
        <v>124.95299999999999</v>
      </c>
      <c r="U20" s="427">
        <f t="shared" si="19"/>
        <v>1585.22</v>
      </c>
      <c r="V20" s="429">
        <f t="shared" si="2"/>
        <v>2.3855097365406639</v>
      </c>
      <c r="W20" s="429">
        <f t="shared" si="3"/>
        <v>2.2149286430868886</v>
      </c>
      <c r="X20" s="425">
        <f t="shared" si="4"/>
        <v>2.5551193178332614</v>
      </c>
      <c r="Y20" s="429">
        <f t="shared" si="5"/>
        <v>2.3487420046434933</v>
      </c>
      <c r="Z20" s="428">
        <f>'12'!I46</f>
        <v>57111.079999999725</v>
      </c>
      <c r="AA20" s="427">
        <f t="shared" si="20"/>
        <v>642745.97999999858</v>
      </c>
      <c r="AB20" s="429">
        <f t="shared" si="6"/>
        <v>1090.3222604047291</v>
      </c>
      <c r="AC20" s="429">
        <f t="shared" si="7"/>
        <v>898.06871054550743</v>
      </c>
      <c r="AD20" s="429">
        <f t="shared" si="8"/>
        <v>1167.8440995439896</v>
      </c>
      <c r="AE20" s="429">
        <f t="shared" si="9"/>
        <v>952.32490224810635</v>
      </c>
      <c r="AF20" s="590">
        <f>0.389</f>
        <v>0.38900000000000001</v>
      </c>
      <c r="AG20" s="525">
        <v>124.56399999999999</v>
      </c>
      <c r="AH20" s="425">
        <f>+Efficiency2!K61</f>
        <v>60.860974637813548</v>
      </c>
      <c r="AI20" s="426">
        <f t="shared" si="21"/>
        <v>799.79740167455373</v>
      </c>
      <c r="AJ20" s="451">
        <f t="shared" si="22"/>
        <v>0.80351983008855832</v>
      </c>
      <c r="AK20" s="451">
        <f t="shared" si="23"/>
        <v>0.84386745766727733</v>
      </c>
    </row>
    <row r="21" spans="1:37" s="430" customFormat="1" ht="12.75" customHeight="1">
      <c r="A21" s="444">
        <f t="shared" si="10"/>
        <v>45943</v>
      </c>
      <c r="B21" s="431" t="s">
        <v>7</v>
      </c>
      <c r="C21" s="431" t="s">
        <v>590</v>
      </c>
      <c r="D21" s="424">
        <f>+'13'!F42</f>
        <v>1666.6666666666667</v>
      </c>
      <c r="E21" s="424">
        <f>+'13'!G42</f>
        <v>1266.6666666666667</v>
      </c>
      <c r="F21" s="50">
        <f t="shared" si="0"/>
        <v>0.24</v>
      </c>
      <c r="G21" s="450">
        <f t="shared" si="11"/>
        <v>0.94738645791998854</v>
      </c>
      <c r="H21" s="445">
        <f t="shared" si="12"/>
        <v>0.92881025286273389</v>
      </c>
      <c r="I21" s="445">
        <f t="shared" si="13"/>
        <v>1.0011452879581151</v>
      </c>
      <c r="J21" s="451">
        <f t="shared" si="14"/>
        <v>0.92987400806071141</v>
      </c>
      <c r="K21" s="451">
        <f t="shared" si="15"/>
        <v>0.83112327334542857</v>
      </c>
      <c r="L21" s="425">
        <f>+Efficiency1!K65</f>
        <v>59.224152436363632</v>
      </c>
      <c r="M21" s="426">
        <f t="shared" si="16"/>
        <v>878.3221736309174</v>
      </c>
      <c r="N21" s="425">
        <f>+Efficiency1!C65</f>
        <v>58.06289454545454</v>
      </c>
      <c r="O21" s="426">
        <f t="shared" si="16"/>
        <v>845.88892481903736</v>
      </c>
      <c r="P21" s="591">
        <f>'13'!I38</f>
        <v>55.008000000000003</v>
      </c>
      <c r="Q21" s="426">
        <f t="shared" si="17"/>
        <v>770.70600000000002</v>
      </c>
      <c r="R21" s="14">
        <f>'13'!I40</f>
        <v>55.070999999999998</v>
      </c>
      <c r="S21" s="426">
        <f t="shared" si="18"/>
        <v>729.99399999999991</v>
      </c>
      <c r="T21" s="580">
        <f t="shared" si="1"/>
        <v>119.947</v>
      </c>
      <c r="U21" s="427">
        <f t="shared" si="19"/>
        <v>1705.1669999999999</v>
      </c>
      <c r="V21" s="429">
        <f t="shared" si="2"/>
        <v>2.1805373763816172</v>
      </c>
      <c r="W21" s="429">
        <f t="shared" si="3"/>
        <v>2.2124740173295652</v>
      </c>
      <c r="X21" s="425">
        <f t="shared" si="4"/>
        <v>2.1780428900873421</v>
      </c>
      <c r="Y21" s="429">
        <f t="shared" si="5"/>
        <v>2.3358644043649677</v>
      </c>
      <c r="Z21" s="428">
        <f>'13'!I46</f>
        <v>53052.940000002462</v>
      </c>
      <c r="AA21" s="427">
        <f t="shared" si="20"/>
        <v>695798.92000000109</v>
      </c>
      <c r="AB21" s="429">
        <f t="shared" si="6"/>
        <v>964.45862420016113</v>
      </c>
      <c r="AC21" s="429">
        <f t="shared" si="7"/>
        <v>902.80719236648099</v>
      </c>
      <c r="AD21" s="429">
        <f t="shared" si="8"/>
        <v>963.35530496999252</v>
      </c>
      <c r="AE21" s="429">
        <f t="shared" si="9"/>
        <v>953.15703964690294</v>
      </c>
      <c r="AF21" s="590">
        <f>0.994</f>
        <v>0.99399999999999999</v>
      </c>
      <c r="AG21" s="525">
        <v>118.953</v>
      </c>
      <c r="AH21" s="425">
        <f>+Efficiency2!K65</f>
        <v>59.224152436363632</v>
      </c>
      <c r="AI21" s="426">
        <f t="shared" si="21"/>
        <v>859.02155411091735</v>
      </c>
      <c r="AJ21" s="451">
        <f t="shared" si="22"/>
        <v>0.92987400806071141</v>
      </c>
      <c r="AK21" s="451">
        <f t="shared" si="23"/>
        <v>0.84979707029067475</v>
      </c>
    </row>
    <row r="22" spans="1:37" s="430" customFormat="1" ht="12.75" customHeight="1">
      <c r="A22" s="444">
        <f t="shared" si="10"/>
        <v>45944</v>
      </c>
      <c r="B22" s="431" t="s">
        <v>7</v>
      </c>
      <c r="C22" s="431" t="s">
        <v>590</v>
      </c>
      <c r="D22" s="424">
        <f>+'14'!F42</f>
        <v>1671.3888888888889</v>
      </c>
      <c r="E22" s="424">
        <f>+'14'!G42</f>
        <v>1270.2555555555555</v>
      </c>
      <c r="F22" s="50">
        <f t="shared" si="0"/>
        <v>0.2400000000000001</v>
      </c>
      <c r="G22" s="450">
        <f t="shared" si="11"/>
        <v>1.0081585704156344</v>
      </c>
      <c r="H22" s="445">
        <f t="shared" si="12"/>
        <v>0.99119119578282244</v>
      </c>
      <c r="I22" s="445">
        <f t="shared" si="13"/>
        <v>1.0279678818268057</v>
      </c>
      <c r="J22" s="451">
        <f t="shared" si="14"/>
        <v>1.0189127140142467</v>
      </c>
      <c r="K22" s="451">
        <f t="shared" si="15"/>
        <v>0.84304816694164642</v>
      </c>
      <c r="L22" s="425">
        <f>+Efficiency1!K69</f>
        <v>59.556622628571418</v>
      </c>
      <c r="M22" s="426">
        <f t="shared" si="16"/>
        <v>937.87879625948881</v>
      </c>
      <c r="N22" s="425">
        <f>+Efficiency1!C69</f>
        <v>58.55428077714285</v>
      </c>
      <c r="O22" s="426">
        <f t="shared" si="16"/>
        <v>904.44320559618018</v>
      </c>
      <c r="P22" s="591">
        <f>'14'!I38</f>
        <v>59.032000000000004</v>
      </c>
      <c r="Q22" s="426">
        <f t="shared" si="17"/>
        <v>829.73800000000006</v>
      </c>
      <c r="R22" s="14">
        <f>'14'!I40</f>
        <v>60.683</v>
      </c>
      <c r="S22" s="426">
        <f t="shared" si="18"/>
        <v>790.67699999999991</v>
      </c>
      <c r="T22" s="580">
        <f t="shared" si="1"/>
        <v>117.72099999999999</v>
      </c>
      <c r="U22" s="427">
        <f t="shared" si="19"/>
        <v>1822.8879999999999</v>
      </c>
      <c r="V22" s="429">
        <f t="shared" si="2"/>
        <v>1.9941895920856481</v>
      </c>
      <c r="W22" s="429">
        <f t="shared" si="3"/>
        <v>2.1969440956060828</v>
      </c>
      <c r="X22" s="425">
        <f t="shared" si="4"/>
        <v>1.939933754099171</v>
      </c>
      <c r="Y22" s="429">
        <f t="shared" si="5"/>
        <v>2.305477457925297</v>
      </c>
      <c r="Z22" s="428">
        <f>'14'!I46</f>
        <v>53332.399999998212</v>
      </c>
      <c r="AA22" s="427">
        <f t="shared" si="20"/>
        <v>749131.31999999925</v>
      </c>
      <c r="AB22" s="429">
        <f t="shared" si="6"/>
        <v>903.44897682609792</v>
      </c>
      <c r="AC22" s="429">
        <f t="shared" si="7"/>
        <v>902.8528523461614</v>
      </c>
      <c r="AD22" s="429">
        <f t="shared" si="8"/>
        <v>878.86887596193685</v>
      </c>
      <c r="AE22" s="429">
        <f t="shared" si="9"/>
        <v>947.45556023508891</v>
      </c>
      <c r="AF22" s="590">
        <f>0.832</f>
        <v>0.83199999999999996</v>
      </c>
      <c r="AG22" s="525">
        <v>116.889</v>
      </c>
      <c r="AH22" s="425">
        <f>+Efficiency2!K69</f>
        <v>59.556622628571418</v>
      </c>
      <c r="AI22" s="426">
        <f t="shared" si="21"/>
        <v>918.57817673948875</v>
      </c>
      <c r="AJ22" s="451">
        <f t="shared" si="22"/>
        <v>1.0189127140142467</v>
      </c>
      <c r="AK22" s="451">
        <f t="shared" si="23"/>
        <v>0.86076179471901171</v>
      </c>
    </row>
    <row r="23" spans="1:37" s="430" customFormat="1" ht="12.75" customHeight="1">
      <c r="A23" s="444">
        <f t="shared" si="10"/>
        <v>45945</v>
      </c>
      <c r="B23" s="431" t="s">
        <v>7</v>
      </c>
      <c r="C23" s="431" t="s">
        <v>590</v>
      </c>
      <c r="D23" s="424">
        <f>+'15'!F42</f>
        <v>1660</v>
      </c>
      <c r="E23" s="424">
        <f>+'15'!G42</f>
        <v>1261.5999999999999</v>
      </c>
      <c r="F23" s="50">
        <f t="shared" si="0"/>
        <v>0.2400000000000001</v>
      </c>
      <c r="G23" s="450">
        <f t="shared" si="11"/>
        <v>0.96739389269268961</v>
      </c>
      <c r="H23" s="445">
        <f t="shared" si="12"/>
        <v>0.94463168345286186</v>
      </c>
      <c r="I23" s="445">
        <f t="shared" si="13"/>
        <v>0.96461020946039677</v>
      </c>
      <c r="J23" s="451">
        <f t="shared" si="14"/>
        <v>0.9112013660383923</v>
      </c>
      <c r="K23" s="451">
        <f t="shared" si="15"/>
        <v>0.84721353314679637</v>
      </c>
      <c r="L23" s="425">
        <f>+Efficiency1!K74</f>
        <v>61.052366769230744</v>
      </c>
      <c r="M23" s="426">
        <f t="shared" si="16"/>
        <v>998.93116302871954</v>
      </c>
      <c r="N23" s="425">
        <f>+Efficiency1!C74</f>
        <v>59.615840492307683</v>
      </c>
      <c r="O23" s="426">
        <f t="shared" si="16"/>
        <v>964.05904608848789</v>
      </c>
      <c r="P23" s="591">
        <f>'15'!I38</f>
        <v>57.671999999999997</v>
      </c>
      <c r="Q23" s="426">
        <f t="shared" si="17"/>
        <v>887.41000000000008</v>
      </c>
      <c r="R23" s="14">
        <f>'15'!I40</f>
        <v>55.631</v>
      </c>
      <c r="S23" s="426">
        <f t="shared" si="18"/>
        <v>846.30799999999988</v>
      </c>
      <c r="T23" s="580">
        <f t="shared" si="1"/>
        <v>118.06899999999999</v>
      </c>
      <c r="U23" s="427">
        <f t="shared" si="19"/>
        <v>1940.9569999999999</v>
      </c>
      <c r="V23" s="429">
        <f t="shared" si="2"/>
        <v>2.0472499653211265</v>
      </c>
      <c r="W23" s="429">
        <f t="shared" si="3"/>
        <v>2.1872156049627565</v>
      </c>
      <c r="X23" s="425">
        <f t="shared" si="4"/>
        <v>2.1223598353436031</v>
      </c>
      <c r="Y23" s="429">
        <f t="shared" si="5"/>
        <v>2.2934404495762775</v>
      </c>
      <c r="Z23" s="428">
        <f>'15'!I46</f>
        <v>56947.200000001729</v>
      </c>
      <c r="AA23" s="427">
        <f t="shared" si="20"/>
        <v>806078.52000000095</v>
      </c>
      <c r="AB23" s="429">
        <f t="shared" si="6"/>
        <v>987.43237619645106</v>
      </c>
      <c r="AC23" s="429">
        <f t="shared" si="7"/>
        <v>908.34960164974575</v>
      </c>
      <c r="AD23" s="429">
        <f t="shared" si="8"/>
        <v>1023.6594704391748</v>
      </c>
      <c r="AE23" s="429">
        <f t="shared" si="9"/>
        <v>952.46472915298102</v>
      </c>
      <c r="AF23" s="590">
        <f>1.862</f>
        <v>1.8620000000000001</v>
      </c>
      <c r="AG23" s="525">
        <v>116.20699999999999</v>
      </c>
      <c r="AH23" s="425">
        <f>+Efficiency2!K74</f>
        <v>61.052366769230744</v>
      </c>
      <c r="AI23" s="426">
        <f t="shared" si="21"/>
        <v>979.63054350871948</v>
      </c>
      <c r="AJ23" s="451">
        <f t="shared" si="22"/>
        <v>0.9112013660383923</v>
      </c>
      <c r="AK23" s="451">
        <f t="shared" si="23"/>
        <v>0.86390528103462205</v>
      </c>
    </row>
    <row r="24" spans="1:37" s="430" customFormat="1" ht="12.75" customHeight="1">
      <c r="A24" s="444">
        <f t="shared" si="10"/>
        <v>45946</v>
      </c>
      <c r="B24" s="431" t="s">
        <v>7</v>
      </c>
      <c r="C24" s="431" t="s">
        <v>686</v>
      </c>
      <c r="D24" s="424">
        <f>+'16'!F42</f>
        <v>1660</v>
      </c>
      <c r="E24" s="424">
        <f>+'16'!G42</f>
        <v>1261.5999999999999</v>
      </c>
      <c r="F24" s="50">
        <f t="shared" si="0"/>
        <v>0.2400000000000001</v>
      </c>
      <c r="G24" s="450">
        <f t="shared" si="11"/>
        <v>0.84543705205045394</v>
      </c>
      <c r="H24" s="445">
        <f t="shared" si="12"/>
        <v>0.82554441553161984</v>
      </c>
      <c r="I24" s="445">
        <f t="shared" si="13"/>
        <v>0.89873291429711666</v>
      </c>
      <c r="J24" s="451">
        <f t="shared" si="14"/>
        <v>0.74194393845244266</v>
      </c>
      <c r="K24" s="451">
        <f t="shared" si="15"/>
        <v>0.84118275561384037</v>
      </c>
      <c r="L24" s="425">
        <f>+SUM(Efficiency1!K78:K79)</f>
        <v>60.705395199999991</v>
      </c>
      <c r="M24" s="426">
        <f t="shared" si="16"/>
        <v>1059.6365582287194</v>
      </c>
      <c r="N24" s="425">
        <f>+SUM(Efficiency1!C78:C79)</f>
        <v>59.27703296</v>
      </c>
      <c r="O24" s="426">
        <f t="shared" si="16"/>
        <v>1023.3360790484879</v>
      </c>
      <c r="P24" s="591">
        <f>'16'!I38</f>
        <v>50.114999999999995</v>
      </c>
      <c r="Q24" s="426">
        <f t="shared" si="17"/>
        <v>937.52500000000009</v>
      </c>
      <c r="R24" s="14">
        <f>'16'!I40</f>
        <v>45.04</v>
      </c>
      <c r="S24" s="426">
        <f t="shared" si="18"/>
        <v>891.34799999999984</v>
      </c>
      <c r="T24" s="580">
        <f t="shared" si="1"/>
        <v>118.93899999999999</v>
      </c>
      <c r="U24" s="427">
        <f t="shared" si="19"/>
        <v>2059.8959999999997</v>
      </c>
      <c r="V24" s="429">
        <f t="shared" si="2"/>
        <v>2.373321360869999</v>
      </c>
      <c r="W24" s="429">
        <f t="shared" si="3"/>
        <v>2.1971638089650938</v>
      </c>
      <c r="X24" s="425">
        <f t="shared" si="4"/>
        <v>2.6407415630550619</v>
      </c>
      <c r="Y24" s="429">
        <f t="shared" si="5"/>
        <v>2.3109896471411839</v>
      </c>
      <c r="Z24" s="428">
        <f>'16'!I46</f>
        <v>55710.400000000263</v>
      </c>
      <c r="AA24" s="427">
        <f t="shared" si="20"/>
        <v>861788.92000000121</v>
      </c>
      <c r="AB24" s="429">
        <f t="shared" si="6"/>
        <v>1111.6512022348652</v>
      </c>
      <c r="AC24" s="429">
        <f t="shared" si="7"/>
        <v>919.21700221327546</v>
      </c>
      <c r="AD24" s="429">
        <f t="shared" si="8"/>
        <v>1236.9094138543576</v>
      </c>
      <c r="AE24" s="429">
        <f t="shared" si="9"/>
        <v>966.83777828637221</v>
      </c>
      <c r="AF24" s="590">
        <f>1.588</f>
        <v>1.5880000000000001</v>
      </c>
      <c r="AG24" s="525">
        <v>117.351</v>
      </c>
      <c r="AH24" s="425">
        <f>+SUM(Efficiency2!K78:K79)</f>
        <v>60.705395199999991</v>
      </c>
      <c r="AI24" s="426">
        <f t="shared" si="21"/>
        <v>1040.3359387087194</v>
      </c>
      <c r="AJ24" s="451">
        <f t="shared" si="22"/>
        <v>0.74194393845244266</v>
      </c>
      <c r="AK24" s="451">
        <f t="shared" si="23"/>
        <v>0.85678862647613074</v>
      </c>
    </row>
    <row r="25" spans="1:37" s="430" customFormat="1" ht="12.75" customHeight="1">
      <c r="A25" s="444">
        <f t="shared" si="10"/>
        <v>45947</v>
      </c>
      <c r="B25" s="431" t="s">
        <v>7</v>
      </c>
      <c r="C25" s="469" t="s">
        <v>695</v>
      </c>
      <c r="D25" s="424">
        <f>+'17'!F42</f>
        <v>1687.9166666666667</v>
      </c>
      <c r="E25" s="424">
        <f>+'17'!G42</f>
        <v>1282.8166666666666</v>
      </c>
      <c r="F25" s="50">
        <f t="shared" si="0"/>
        <v>0.2400000000000001</v>
      </c>
      <c r="G25" s="450">
        <f t="shared" si="11"/>
        <v>0.99218565101782807</v>
      </c>
      <c r="H25" s="445">
        <f t="shared" si="12"/>
        <v>0.96884010628799722</v>
      </c>
      <c r="I25" s="445">
        <f t="shared" si="13"/>
        <v>0.96400335602955889</v>
      </c>
      <c r="J25" s="451">
        <f t="shared" si="14"/>
        <v>0.93396511391766379</v>
      </c>
      <c r="K25" s="451">
        <f t="shared" si="15"/>
        <v>0.84646521385609053</v>
      </c>
      <c r="L25" s="425">
        <f>+SUM(Efficiency1!K85:K86)</f>
        <v>63.971340159999976</v>
      </c>
      <c r="M25" s="426">
        <f t="shared" si="16"/>
        <v>1123.6078983887194</v>
      </c>
      <c r="N25" s="425">
        <f>+SUM(Efficiency1!C85:C86)</f>
        <v>62.466132156235297</v>
      </c>
      <c r="O25" s="426">
        <f t="shared" si="16"/>
        <v>1085.8022112047233</v>
      </c>
      <c r="P25" s="591">
        <f>'17'!I38</f>
        <v>61.978000000000002</v>
      </c>
      <c r="Q25" s="426">
        <f t="shared" si="17"/>
        <v>999.50300000000004</v>
      </c>
      <c r="R25" s="14">
        <f>'17'!I40</f>
        <v>59.747</v>
      </c>
      <c r="S25" s="426">
        <f t="shared" si="18"/>
        <v>951.0949999999998</v>
      </c>
      <c r="T25" s="580">
        <f t="shared" si="1"/>
        <v>121.21000000000001</v>
      </c>
      <c r="U25" s="427">
        <f t="shared" si="19"/>
        <v>2181.1059999999998</v>
      </c>
      <c r="V25" s="429">
        <f t="shared" si="2"/>
        <v>1.9556939559198425</v>
      </c>
      <c r="W25" s="429">
        <f t="shared" si="3"/>
        <v>2.1821905487027049</v>
      </c>
      <c r="X25" s="425">
        <f t="shared" si="4"/>
        <v>2.0287211073359335</v>
      </c>
      <c r="Y25" s="429">
        <f t="shared" si="5"/>
        <v>2.2932577713057056</v>
      </c>
      <c r="Z25" s="428">
        <f>'17'!I46</f>
        <v>57318.759999999711</v>
      </c>
      <c r="AA25" s="427">
        <f t="shared" si="20"/>
        <v>919107.68000000087</v>
      </c>
      <c r="AB25" s="429">
        <f t="shared" si="6"/>
        <v>924.8242924908792</v>
      </c>
      <c r="AC25" s="429">
        <f t="shared" si="7"/>
        <v>919.56470365771884</v>
      </c>
      <c r="AD25" s="429">
        <f t="shared" si="8"/>
        <v>959.35795939544596</v>
      </c>
      <c r="AE25" s="429">
        <f t="shared" si="9"/>
        <v>966.36790226002779</v>
      </c>
      <c r="AF25" s="590">
        <f>2.629</f>
        <v>2.629</v>
      </c>
      <c r="AG25" s="525">
        <v>118.581</v>
      </c>
      <c r="AH25" s="425">
        <f>+SUM(Efficiency2!K85:K86)</f>
        <v>63.971340159999976</v>
      </c>
      <c r="AI25" s="426">
        <f t="shared" si="21"/>
        <v>1104.3072788687193</v>
      </c>
      <c r="AJ25" s="451">
        <f t="shared" si="22"/>
        <v>0.93396511391766379</v>
      </c>
      <c r="AK25" s="451">
        <f t="shared" si="23"/>
        <v>0.86125937789192686</v>
      </c>
    </row>
    <row r="26" spans="1:37" s="430" customFormat="1" ht="12.75" customHeight="1">
      <c r="A26" s="444">
        <f t="shared" si="10"/>
        <v>45948</v>
      </c>
      <c r="B26" s="431" t="s">
        <v>7</v>
      </c>
      <c r="C26" s="469" t="s">
        <v>707</v>
      </c>
      <c r="D26" s="424">
        <f>+'18'!F42</f>
        <v>1667.5</v>
      </c>
      <c r="E26" s="424">
        <f>+'18'!G42</f>
        <v>1267.3</v>
      </c>
      <c r="F26" s="50">
        <f t="shared" si="0"/>
        <v>0.24</v>
      </c>
      <c r="G26" s="450">
        <f t="shared" si="11"/>
        <v>0.9363669875778996</v>
      </c>
      <c r="H26" s="445">
        <f t="shared" si="12"/>
        <v>0.91863563901980005</v>
      </c>
      <c r="I26" s="445">
        <f t="shared" si="13"/>
        <v>0.95671852899575671</v>
      </c>
      <c r="J26" s="451">
        <f t="shared" si="14"/>
        <v>0.87887573724610002</v>
      </c>
      <c r="K26" s="451">
        <f t="shared" si="15"/>
        <v>0.8481489295855662</v>
      </c>
      <c r="L26" s="425">
        <f>+SUM(Efficiency1!K91:K92)</f>
        <v>61.569568605405394</v>
      </c>
      <c r="M26" s="426">
        <f t="shared" si="16"/>
        <v>1185.1774669941249</v>
      </c>
      <c r="N26" s="425">
        <f>+SUM(Efficiency1!C91:C92)</f>
        <v>60.403667312432432</v>
      </c>
      <c r="O26" s="426">
        <f t="shared" si="16"/>
        <v>1146.2058785171557</v>
      </c>
      <c r="P26" s="591">
        <f>'18'!I38</f>
        <v>56.56</v>
      </c>
      <c r="Q26" s="426">
        <f t="shared" si="17"/>
        <v>1056.0630000000001</v>
      </c>
      <c r="R26" s="14">
        <f>'18'!I40</f>
        <v>54.112000000000002</v>
      </c>
      <c r="S26" s="426">
        <f t="shared" si="18"/>
        <v>1005.2069999999998</v>
      </c>
      <c r="T26" s="580">
        <f t="shared" si="1"/>
        <v>117.956</v>
      </c>
      <c r="U26" s="427">
        <f t="shared" si="19"/>
        <v>2299.0619999999999</v>
      </c>
      <c r="V26" s="429">
        <f t="shared" si="2"/>
        <v>2.0855021216407357</v>
      </c>
      <c r="W26" s="429">
        <f t="shared" si="3"/>
        <v>2.1770121668877707</v>
      </c>
      <c r="X26" s="425">
        <f t="shared" si="4"/>
        <v>2.1798492016558249</v>
      </c>
      <c r="Y26" s="429">
        <f t="shared" si="5"/>
        <v>2.2871527953943818</v>
      </c>
      <c r="Z26" s="428">
        <f>'18'!I46</f>
        <v>57317.979999999588</v>
      </c>
      <c r="AA26" s="427">
        <f t="shared" si="20"/>
        <v>976425.6600000005</v>
      </c>
      <c r="AB26" s="429">
        <f t="shared" si="6"/>
        <v>1013.4013437057919</v>
      </c>
      <c r="AC26" s="429">
        <f t="shared" si="7"/>
        <v>924.59035114382425</v>
      </c>
      <c r="AD26" s="429">
        <f t="shared" si="8"/>
        <v>1059.2471170904714</v>
      </c>
      <c r="AE26" s="429">
        <f t="shared" si="9"/>
        <v>971.36774813545935</v>
      </c>
      <c r="AF26" s="590">
        <f>2.111</f>
        <v>2.1110000000000002</v>
      </c>
      <c r="AG26" s="525">
        <v>115.845</v>
      </c>
      <c r="AH26" s="425">
        <f>+SUM(Efficiency2!K91:K92)</f>
        <v>61.569568605405394</v>
      </c>
      <c r="AI26" s="426">
        <f t="shared" si="21"/>
        <v>1165.8768474741248</v>
      </c>
      <c r="AJ26" s="451">
        <f t="shared" si="22"/>
        <v>0.87887573724610002</v>
      </c>
      <c r="AK26" s="451">
        <f t="shared" si="23"/>
        <v>0.86218969197114026</v>
      </c>
    </row>
    <row r="27" spans="1:37" s="430" customFormat="1" ht="12.75" customHeight="1">
      <c r="A27" s="444">
        <f t="shared" si="10"/>
        <v>45949</v>
      </c>
      <c r="B27" s="431" t="s">
        <v>7</v>
      </c>
      <c r="C27" s="469" t="s">
        <v>590</v>
      </c>
      <c r="D27" s="424">
        <f>+'19'!F42</f>
        <v>1666.99604743083</v>
      </c>
      <c r="E27" s="424">
        <f>+'19'!G42</f>
        <v>1266.9169960474308</v>
      </c>
      <c r="F27" s="50">
        <f t="shared" si="0"/>
        <v>0.24</v>
      </c>
      <c r="G27" s="450">
        <f t="shared" si="11"/>
        <v>0.94179188617222176</v>
      </c>
      <c r="H27" s="445">
        <f t="shared" si="12"/>
        <v>0.92350785397148194</v>
      </c>
      <c r="I27" s="445">
        <f t="shared" si="13"/>
        <v>0.96159126977051046</v>
      </c>
      <c r="J27" s="451">
        <f t="shared" si="14"/>
        <v>0.88803708994347652</v>
      </c>
      <c r="K27" s="451">
        <f t="shared" si="15"/>
        <v>0.85009310185886</v>
      </c>
      <c r="L27" s="425">
        <f>+Efficiency1!K96</f>
        <v>60.726067200000003</v>
      </c>
      <c r="M27" s="426">
        <f t="shared" si="16"/>
        <v>1245.9035341941249</v>
      </c>
      <c r="N27" s="425">
        <f>+Efficiency1!C96</f>
        <v>59.547125881422907</v>
      </c>
      <c r="O27" s="426">
        <f t="shared" si="16"/>
        <v>1205.7530043985787</v>
      </c>
      <c r="P27" s="591">
        <f>'19'!I38</f>
        <v>56.081000000000003</v>
      </c>
      <c r="Q27" s="426">
        <f t="shared" si="17"/>
        <v>1112.144</v>
      </c>
      <c r="R27" s="14">
        <f>'19'!I40</f>
        <v>53.927</v>
      </c>
      <c r="S27" s="426">
        <f t="shared" si="18"/>
        <v>1059.1339999999998</v>
      </c>
      <c r="T27" s="580">
        <f t="shared" si="1"/>
        <v>116.164</v>
      </c>
      <c r="U27" s="427">
        <f t="shared" si="19"/>
        <v>2415.2260000000001</v>
      </c>
      <c r="V27" s="429">
        <f t="shared" si="2"/>
        <v>2.0713610670280485</v>
      </c>
      <c r="W27" s="429">
        <f t="shared" si="3"/>
        <v>2.1716846019939866</v>
      </c>
      <c r="X27" s="425">
        <f t="shared" si="4"/>
        <v>2.1540972054814844</v>
      </c>
      <c r="Y27" s="429">
        <f t="shared" si="5"/>
        <v>2.2803781202378555</v>
      </c>
      <c r="Z27" s="428">
        <f>'19'!I46</f>
        <v>59946.579999999296</v>
      </c>
      <c r="AA27" s="427">
        <f t="shared" si="20"/>
        <v>1036372.2399999998</v>
      </c>
      <c r="AB27" s="429">
        <f t="shared" si="6"/>
        <v>1068.9285141135019</v>
      </c>
      <c r="AC27" s="429">
        <f t="shared" si="7"/>
        <v>931.86875080924744</v>
      </c>
      <c r="AD27" s="429">
        <f t="shared" si="8"/>
        <v>1111.6246036308212</v>
      </c>
      <c r="AE27" s="429">
        <f t="shared" si="9"/>
        <v>978.50908383641729</v>
      </c>
      <c r="AF27" s="590">
        <f>1.423</f>
        <v>1.423</v>
      </c>
      <c r="AG27" s="525">
        <v>114.741</v>
      </c>
      <c r="AH27" s="425">
        <f>+Efficiency2!K96</f>
        <v>60.726067200000003</v>
      </c>
      <c r="AI27" s="426">
        <f t="shared" si="21"/>
        <v>1226.6029146741248</v>
      </c>
      <c r="AJ27" s="451">
        <f t="shared" si="22"/>
        <v>0.88803708994347652</v>
      </c>
      <c r="AK27" s="451">
        <f t="shared" si="23"/>
        <v>0.86346933251938585</v>
      </c>
    </row>
    <row r="28" spans="1:37" s="430" customFormat="1" ht="12.75" customHeight="1">
      <c r="A28" s="444">
        <f t="shared" si="10"/>
        <v>45950</v>
      </c>
      <c r="B28" s="431" t="s">
        <v>7</v>
      </c>
      <c r="C28" s="469" t="s">
        <v>590</v>
      </c>
      <c r="D28" s="424">
        <f>+'20'!F42</f>
        <v>1676.6666666666667</v>
      </c>
      <c r="E28" s="424">
        <f>+'20'!G42</f>
        <v>1274.2666666666667</v>
      </c>
      <c r="F28" s="50">
        <f t="shared" si="0"/>
        <v>0.24</v>
      </c>
      <c r="G28" s="450">
        <f t="shared" si="11"/>
        <v>0.95719716038991376</v>
      </c>
      <c r="H28" s="445">
        <f t="shared" si="12"/>
        <v>0.94405916014926794</v>
      </c>
      <c r="I28" s="445">
        <f t="shared" si="13"/>
        <v>0.96396239250641025</v>
      </c>
      <c r="J28" s="451">
        <f t="shared" si="14"/>
        <v>0.91003752668508053</v>
      </c>
      <c r="K28" s="451">
        <f t="shared" si="15"/>
        <v>0.85287903994443404</v>
      </c>
      <c r="L28" s="425">
        <f>+Efficiency1!K100</f>
        <v>60.726067200000003</v>
      </c>
      <c r="M28" s="426">
        <f t="shared" si="16"/>
        <v>1306.6296013941248</v>
      </c>
      <c r="N28" s="425">
        <f>+Efficiency1!C100</f>
        <v>59.892572160000007</v>
      </c>
      <c r="O28" s="426">
        <f t="shared" si="16"/>
        <v>1265.6455765585788</v>
      </c>
      <c r="P28" s="591">
        <f>'20'!I38</f>
        <v>57.329000000000008</v>
      </c>
      <c r="Q28" s="426">
        <f t="shared" si="17"/>
        <v>1169.473</v>
      </c>
      <c r="R28" s="14">
        <f>'20'!I40</f>
        <v>55.262999999999998</v>
      </c>
      <c r="S28" s="426">
        <f t="shared" si="18"/>
        <v>1114.3969999999997</v>
      </c>
      <c r="T28" s="580">
        <f t="shared" si="1"/>
        <v>117.47800000000001</v>
      </c>
      <c r="U28" s="427">
        <f t="shared" si="19"/>
        <v>2532.7040000000002</v>
      </c>
      <c r="V28" s="429">
        <f t="shared" si="2"/>
        <v>2.0491897643426538</v>
      </c>
      <c r="W28" s="429">
        <f t="shared" si="3"/>
        <v>2.1656797548981466</v>
      </c>
      <c r="X28" s="425">
        <f t="shared" si="4"/>
        <v>2.1257984546622515</v>
      </c>
      <c r="Y28" s="429">
        <f t="shared" si="5"/>
        <v>2.2727125073021561</v>
      </c>
      <c r="Z28" s="428">
        <f>'20'!I46</f>
        <v>56795.219999999295</v>
      </c>
      <c r="AA28" s="427">
        <f t="shared" si="20"/>
        <v>1093167.459999999</v>
      </c>
      <c r="AB28" s="429">
        <f t="shared" si="6"/>
        <v>990.68917999615019</v>
      </c>
      <c r="AC28" s="429">
        <f t="shared" si="7"/>
        <v>934.75220035007135</v>
      </c>
      <c r="AD28" s="429">
        <f t="shared" si="8"/>
        <v>1027.7259649313155</v>
      </c>
      <c r="AE28" s="429">
        <f t="shared" si="9"/>
        <v>980.94975130047851</v>
      </c>
      <c r="AF28" s="590">
        <f>1.304</f>
        <v>1.304</v>
      </c>
      <c r="AG28" s="525">
        <v>116.17400000000001</v>
      </c>
      <c r="AH28" s="425">
        <f>+Efficiency2!K100</f>
        <v>60.726067200000003</v>
      </c>
      <c r="AI28" s="426">
        <f t="shared" si="21"/>
        <v>1287.3289818741248</v>
      </c>
      <c r="AJ28" s="451">
        <f t="shared" si="22"/>
        <v>0.91003752668508053</v>
      </c>
      <c r="AK28" s="451">
        <f t="shared" si="23"/>
        <v>0.86566605404753139</v>
      </c>
    </row>
    <row r="29" spans="1:37" s="430" customFormat="1" ht="12.75" customHeight="1">
      <c r="A29" s="444">
        <f t="shared" si="10"/>
        <v>45951</v>
      </c>
      <c r="B29" s="618" t="s">
        <v>722</v>
      </c>
      <c r="C29" s="469" t="s">
        <v>723</v>
      </c>
      <c r="D29" s="424">
        <f>+'21'!F42</f>
        <v>1175.8536585365853</v>
      </c>
      <c r="E29" s="424">
        <f>+'21'!G42</f>
        <v>937.40487804878046</v>
      </c>
      <c r="F29" s="50">
        <f t="shared" si="0"/>
        <v>0.20278780336029867</v>
      </c>
      <c r="G29" s="450">
        <f t="shared" si="11"/>
        <v>0.77513002982629786</v>
      </c>
      <c r="H29" s="445">
        <f t="shared" si="12"/>
        <v>0.7747075652462877</v>
      </c>
      <c r="I29" s="445">
        <f t="shared" si="13"/>
        <v>0.9559637824092776</v>
      </c>
      <c r="J29" s="451">
        <f t="shared" si="14"/>
        <v>0.74059237433392344</v>
      </c>
      <c r="K29" s="451">
        <f t="shared" si="15"/>
        <v>0.8483976262268661</v>
      </c>
      <c r="L29" s="425">
        <f>+SUM(Efficiency1!K104:K105)</f>
        <v>54.315979200000001</v>
      </c>
      <c r="M29" s="426">
        <f t="shared" si="16"/>
        <v>1360.9455805941247</v>
      </c>
      <c r="N29" s="425">
        <f>+SUM(Efficiency1!C104:C105)</f>
        <v>54.286375679999999</v>
      </c>
      <c r="O29" s="426">
        <f t="shared" si="16"/>
        <v>1319.9319522385788</v>
      </c>
      <c r="P29" s="591">
        <f>'21'!I38</f>
        <v>42.079000000000008</v>
      </c>
      <c r="Q29" s="426">
        <f t="shared" si="17"/>
        <v>1211.5519999999999</v>
      </c>
      <c r="R29" s="14">
        <f>'21'!I40</f>
        <v>40.225999999999999</v>
      </c>
      <c r="S29" s="426">
        <f t="shared" si="18"/>
        <v>1154.6229999999996</v>
      </c>
      <c r="T29" s="580">
        <f t="shared" si="1"/>
        <v>105.16499999999999</v>
      </c>
      <c r="U29" s="427">
        <f t="shared" si="19"/>
        <v>2637.8690000000001</v>
      </c>
      <c r="V29" s="429">
        <f t="shared" si="2"/>
        <v>2.499227643242472</v>
      </c>
      <c r="W29" s="429">
        <f t="shared" si="3"/>
        <v>2.1772643683473762</v>
      </c>
      <c r="X29" s="425">
        <f t="shared" si="4"/>
        <v>2.6143539004623872</v>
      </c>
      <c r="Y29" s="429">
        <f t="shared" si="5"/>
        <v>2.2846149782223297</v>
      </c>
      <c r="Z29" s="428">
        <f>'21'!I46</f>
        <v>49174.860000000153</v>
      </c>
      <c r="AA29" s="427">
        <f t="shared" si="20"/>
        <v>1142342.3199999991</v>
      </c>
      <c r="AB29" s="429">
        <f t="shared" si="6"/>
        <v>1168.6318591221309</v>
      </c>
      <c r="AC29" s="429">
        <f t="shared" si="7"/>
        <v>942.87518818837259</v>
      </c>
      <c r="AD29" s="429">
        <f t="shared" si="8"/>
        <v>1222.464575150404</v>
      </c>
      <c r="AE29" s="429">
        <f t="shared" si="9"/>
        <v>989.36390492827502</v>
      </c>
      <c r="AF29" s="590">
        <f>1.315</f>
        <v>1.3149999999999999</v>
      </c>
      <c r="AG29" s="525">
        <v>103.85</v>
      </c>
      <c r="AH29" s="425">
        <f>+SUM(Efficiency2!K104:K105)</f>
        <v>44.1812592</v>
      </c>
      <c r="AI29" s="426">
        <f t="shared" si="21"/>
        <v>1331.5102410741247</v>
      </c>
      <c r="AJ29" s="451">
        <f t="shared" si="22"/>
        <v>0.91047653979042764</v>
      </c>
      <c r="AK29" s="451">
        <f t="shared" si="23"/>
        <v>0.86715292483861728</v>
      </c>
    </row>
    <row r="30" spans="1:37" s="430" customFormat="1" ht="12.75" customHeight="1">
      <c r="A30" s="444">
        <f t="shared" si="10"/>
        <v>45952</v>
      </c>
      <c r="B30" s="619" t="s">
        <v>473</v>
      </c>
      <c r="C30" s="448" t="s">
        <v>731</v>
      </c>
      <c r="D30" s="424">
        <f>+'22'!F42</f>
        <v>1173</v>
      </c>
      <c r="E30" s="424">
        <f>+'22'!G42</f>
        <v>938.4</v>
      </c>
      <c r="F30" s="50">
        <f t="shared" si="0"/>
        <v>0.20000000000000007</v>
      </c>
      <c r="G30" s="450">
        <f t="shared" si="11"/>
        <v>1.0169975385721211</v>
      </c>
      <c r="H30" s="445">
        <f t="shared" si="12"/>
        <v>1.0169975385721211</v>
      </c>
      <c r="I30" s="445">
        <f t="shared" si="13"/>
        <v>0.9383092562867843</v>
      </c>
      <c r="J30" s="451">
        <f t="shared" si="14"/>
        <v>0.95425820406309725</v>
      </c>
      <c r="K30" s="451">
        <f t="shared" si="15"/>
        <v>0.85251914800085171</v>
      </c>
      <c r="L30" s="425">
        <f>+Efficiency1!K109</f>
        <v>55.132876799999998</v>
      </c>
      <c r="M30" s="426">
        <f t="shared" si="16"/>
        <v>1416.0784573941248</v>
      </c>
      <c r="N30" s="425">
        <f>+Efficiency1!C109</f>
        <v>55.132876799999998</v>
      </c>
      <c r="O30" s="426">
        <f t="shared" si="16"/>
        <v>1375.0648290385789</v>
      </c>
      <c r="P30" s="591">
        <f>'22'!I38</f>
        <v>56.07</v>
      </c>
      <c r="Q30" s="426">
        <f t="shared" si="17"/>
        <v>1267.6219999999998</v>
      </c>
      <c r="R30" s="14">
        <f>'22'!I40</f>
        <v>52.610999999999997</v>
      </c>
      <c r="S30" s="426">
        <f t="shared" si="18"/>
        <v>1207.2339999999997</v>
      </c>
      <c r="T30" s="580">
        <f t="shared" si="1"/>
        <v>120.44</v>
      </c>
      <c r="U30" s="427">
        <f t="shared" si="19"/>
        <v>2758.3090000000002</v>
      </c>
      <c r="V30" s="429">
        <f t="shared" si="2"/>
        <v>2.1480292491528448</v>
      </c>
      <c r="W30" s="429">
        <f t="shared" si="3"/>
        <v>2.1759712280159231</v>
      </c>
      <c r="X30" s="425">
        <f t="shared" si="4"/>
        <v>2.2892550987436087</v>
      </c>
      <c r="Y30" s="429">
        <f t="shared" si="5"/>
        <v>2.2848171936840753</v>
      </c>
      <c r="Z30" s="428">
        <f>'22'!I46</f>
        <v>55227.480000000571</v>
      </c>
      <c r="AA30" s="427">
        <f t="shared" si="20"/>
        <v>1197569.7999999998</v>
      </c>
      <c r="AB30" s="429">
        <f t="shared" si="6"/>
        <v>984.97378277154576</v>
      </c>
      <c r="AC30" s="429">
        <f t="shared" si="7"/>
        <v>944.73731128049224</v>
      </c>
      <c r="AD30" s="429">
        <f t="shared" si="8"/>
        <v>1049.732565433095</v>
      </c>
      <c r="AE30" s="429">
        <f t="shared" si="9"/>
        <v>991.99475826558898</v>
      </c>
      <c r="AF30" s="590">
        <f>2.465</f>
        <v>2.4649999999999999</v>
      </c>
      <c r="AG30" s="525">
        <v>117.97499999999999</v>
      </c>
      <c r="AH30" s="425">
        <f>+Efficiency2!K109</f>
        <v>55.132876799999998</v>
      </c>
      <c r="AI30" s="426">
        <f t="shared" si="21"/>
        <v>1386.6431178741248</v>
      </c>
      <c r="AJ30" s="451">
        <f t="shared" si="22"/>
        <v>0.95425820406309725</v>
      </c>
      <c r="AK30" s="451">
        <f t="shared" si="23"/>
        <v>0.8706162273756648</v>
      </c>
    </row>
    <row r="31" spans="1:37" s="430" customFormat="1" ht="12.75" customHeight="1">
      <c r="A31" s="444">
        <f t="shared" si="10"/>
        <v>45953</v>
      </c>
      <c r="B31" s="619" t="s">
        <v>473</v>
      </c>
      <c r="C31" s="448" t="s">
        <v>731</v>
      </c>
      <c r="D31" s="424">
        <f>+'23'!F42</f>
        <v>1193.3333333333333</v>
      </c>
      <c r="E31" s="424">
        <f>+'23'!G42</f>
        <v>954.66666666666663</v>
      </c>
      <c r="F31" s="50">
        <f t="shared" si="0"/>
        <v>0.19999999999999996</v>
      </c>
      <c r="G31" s="450">
        <f t="shared" si="11"/>
        <v>0.99267986407784703</v>
      </c>
      <c r="H31" s="445">
        <f t="shared" si="12"/>
        <v>0.99267986407784703</v>
      </c>
      <c r="I31" s="445">
        <f t="shared" si="13"/>
        <v>0.96971873989726642</v>
      </c>
      <c r="J31" s="451">
        <f t="shared" si="14"/>
        <v>0.9626202669149595</v>
      </c>
      <c r="K31" s="451">
        <f t="shared" si="15"/>
        <v>0.85671392674254199</v>
      </c>
      <c r="L31" s="425">
        <f>+Efficiency1!K113</f>
        <v>56.088576000000003</v>
      </c>
      <c r="M31" s="426">
        <f t="shared" si="16"/>
        <v>1472.1670333941249</v>
      </c>
      <c r="N31" s="425">
        <f>+Efficiency1!C113</f>
        <v>56.088576000000003</v>
      </c>
      <c r="O31" s="426">
        <f t="shared" si="16"/>
        <v>1431.153405038579</v>
      </c>
      <c r="P31" s="591">
        <f>'23'!I38</f>
        <v>55.677999999999997</v>
      </c>
      <c r="Q31" s="426">
        <f t="shared" si="17"/>
        <v>1323.2999999999997</v>
      </c>
      <c r="R31" s="14">
        <f>'23'!I40</f>
        <v>53.991999999999997</v>
      </c>
      <c r="S31" s="426">
        <f t="shared" si="18"/>
        <v>1261.2259999999997</v>
      </c>
      <c r="T31" s="580">
        <f t="shared" si="1"/>
        <v>121.004</v>
      </c>
      <c r="U31" s="427">
        <f t="shared" si="19"/>
        <v>2879.3130000000001</v>
      </c>
      <c r="V31" s="429">
        <f t="shared" si="2"/>
        <v>2.1732820862818349</v>
      </c>
      <c r="W31" s="429">
        <f t="shared" si="3"/>
        <v>2.1758580820675588</v>
      </c>
      <c r="X31" s="425">
        <f t="shared" si="4"/>
        <v>2.2411468365683809</v>
      </c>
      <c r="Y31" s="429">
        <f t="shared" si="5"/>
        <v>2.2829477032665051</v>
      </c>
      <c r="Z31" s="428">
        <f>'23'!I46</f>
        <v>55023.9399999995</v>
      </c>
      <c r="AA31" s="427">
        <f t="shared" si="20"/>
        <v>1252593.7399999993</v>
      </c>
      <c r="AB31" s="429">
        <f t="shared" si="6"/>
        <v>988.25281080497689</v>
      </c>
      <c r="AC31" s="429">
        <f t="shared" si="7"/>
        <v>946.56823093780667</v>
      </c>
      <c r="AD31" s="429">
        <f t="shared" si="8"/>
        <v>1019.112831530588</v>
      </c>
      <c r="AE31" s="429">
        <f t="shared" si="9"/>
        <v>993.15565965179871</v>
      </c>
      <c r="AF31" s="590">
        <f>2.435</f>
        <v>2.4350000000000001</v>
      </c>
      <c r="AG31" s="525">
        <v>118.569</v>
      </c>
      <c r="AH31" s="425">
        <f>+Efficiency2!K113</f>
        <v>56.088576000000003</v>
      </c>
      <c r="AI31" s="426">
        <f t="shared" si="21"/>
        <v>1442.7316938741249</v>
      </c>
      <c r="AJ31" s="451">
        <f t="shared" si="22"/>
        <v>0.9626202669149595</v>
      </c>
      <c r="AK31" s="451">
        <f t="shared" si="23"/>
        <v>0.87419303627638945</v>
      </c>
    </row>
    <row r="32" spans="1:37" s="430" customFormat="1" ht="12.75" customHeight="1">
      <c r="A32" s="444">
        <f t="shared" si="10"/>
        <v>45954</v>
      </c>
      <c r="B32" s="431" t="s">
        <v>7</v>
      </c>
      <c r="C32" s="469" t="s">
        <v>590</v>
      </c>
      <c r="D32" s="424">
        <f>+'24'!F42</f>
        <v>1267.4045801526718</v>
      </c>
      <c r="E32" s="424">
        <f>+'24'!G42</f>
        <v>963.22748091603057</v>
      </c>
      <c r="F32" s="50">
        <f t="shared" si="0"/>
        <v>0.24</v>
      </c>
      <c r="G32" s="450">
        <f t="shared" si="11"/>
        <v>0.67819987386111213</v>
      </c>
      <c r="H32" s="445">
        <f t="shared" si="12"/>
        <v>0.50561978022972809</v>
      </c>
      <c r="I32" s="445">
        <f t="shared" si="13"/>
        <v>0.97412328903986412</v>
      </c>
      <c r="J32" s="451">
        <f t="shared" si="14"/>
        <v>0.49253600332099595</v>
      </c>
      <c r="K32" s="451">
        <f t="shared" si="15"/>
        <v>0.8425928011410283</v>
      </c>
      <c r="L32" s="425">
        <f>+Efficiency1!K117</f>
        <v>59.386521600000002</v>
      </c>
      <c r="M32" s="426">
        <f t="shared" si="16"/>
        <v>1531.5535549941249</v>
      </c>
      <c r="N32" s="425">
        <f>+Efficiency1!C117</f>
        <v>44.274558514809158</v>
      </c>
      <c r="O32" s="426">
        <f t="shared" si="16"/>
        <v>1475.4279635533881</v>
      </c>
      <c r="P32" s="591">
        <f>'24'!I38</f>
        <v>30.027000000000001</v>
      </c>
      <c r="Q32" s="426">
        <f t="shared" si="17"/>
        <v>1353.3269999999998</v>
      </c>
      <c r="R32" s="14">
        <f>'24'!I40</f>
        <v>29.25</v>
      </c>
      <c r="S32" s="426">
        <f t="shared" si="18"/>
        <v>1290.4759999999997</v>
      </c>
      <c r="T32" s="580">
        <f t="shared" si="1"/>
        <v>105.667</v>
      </c>
      <c r="U32" s="427">
        <f t="shared" si="19"/>
        <v>2984.98</v>
      </c>
      <c r="V32" s="429">
        <f t="shared" si="2"/>
        <v>3.5190661737769342</v>
      </c>
      <c r="W32" s="429">
        <f t="shared" si="3"/>
        <v>2.2056605683622661</v>
      </c>
      <c r="X32" s="425">
        <f t="shared" si="4"/>
        <v>3.6125470085470086</v>
      </c>
      <c r="Y32" s="429">
        <f t="shared" si="5"/>
        <v>2.3130844742560117</v>
      </c>
      <c r="Z32" s="428">
        <f>+'24'!I46</f>
        <v>36955.459999999905</v>
      </c>
      <c r="AA32" s="427">
        <f t="shared" si="20"/>
        <v>1289549.1999999993</v>
      </c>
      <c r="AB32" s="429">
        <f t="shared" si="6"/>
        <v>1230.7409997668733</v>
      </c>
      <c r="AC32" s="429">
        <f t="shared" si="7"/>
        <v>952.87332625448209</v>
      </c>
      <c r="AD32" s="429">
        <f t="shared" si="8"/>
        <v>1263.4345299145266</v>
      </c>
      <c r="AE32" s="429">
        <f t="shared" si="9"/>
        <v>999.2818153921495</v>
      </c>
      <c r="AF32" s="590">
        <f>2.301</f>
        <v>2.3010000000000002</v>
      </c>
      <c r="AG32" s="525">
        <v>103.366</v>
      </c>
      <c r="AH32" s="425">
        <f>+Efficiency2!K117</f>
        <v>44.663613120000001</v>
      </c>
      <c r="AI32" s="426">
        <f t="shared" si="21"/>
        <v>1487.3953069941249</v>
      </c>
      <c r="AJ32" s="451">
        <f t="shared" si="22"/>
        <v>0.6548955168811027</v>
      </c>
      <c r="AK32" s="451">
        <f t="shared" si="23"/>
        <v>0.86760795461155571</v>
      </c>
    </row>
    <row r="33" spans="1:37" s="430" customFormat="1" ht="12.75" customHeight="1">
      <c r="A33" s="444">
        <f t="shared" si="10"/>
        <v>45955</v>
      </c>
      <c r="B33" s="431" t="s">
        <v>7</v>
      </c>
      <c r="C33" s="469" t="s">
        <v>778</v>
      </c>
      <c r="D33" s="424">
        <f>+'25'!F42</f>
        <v>1429.1666666666667</v>
      </c>
      <c r="E33" s="424">
        <f>+'25'!G42</f>
        <v>1099.9666666666667</v>
      </c>
      <c r="F33" s="50">
        <f t="shared" si="0"/>
        <v>0.23034402332361514</v>
      </c>
      <c r="G33" s="450">
        <f t="shared" si="11"/>
        <v>0.9365648776447707</v>
      </c>
      <c r="H33" s="445">
        <f t="shared" si="12"/>
        <v>0.78930103210430413</v>
      </c>
      <c r="I33" s="445">
        <f t="shared" si="13"/>
        <v>0.8504929721298996</v>
      </c>
      <c r="J33" s="451">
        <f t="shared" si="14"/>
        <v>0.67129498069958682</v>
      </c>
      <c r="K33" s="451">
        <f t="shared" si="15"/>
        <v>0.83528664300508237</v>
      </c>
      <c r="L33" s="425">
        <f>+SUM(Efficiency1!K123:K125)</f>
        <v>68.233788895999993</v>
      </c>
      <c r="M33" s="426">
        <f t="shared" si="16"/>
        <v>1599.7873438901249</v>
      </c>
      <c r="N33" s="425">
        <f>+SUM(Efficiency1!C123:C125)</f>
        <v>57.504825651200001</v>
      </c>
      <c r="O33" s="426">
        <f t="shared" si="16"/>
        <v>1532.9327892045881</v>
      </c>
      <c r="P33" s="591">
        <f>'25'!I38</f>
        <v>53.856999999999999</v>
      </c>
      <c r="Q33" s="426">
        <f t="shared" si="17"/>
        <v>1407.1839999999997</v>
      </c>
      <c r="R33" s="14">
        <f>'25'!I40</f>
        <v>45.805</v>
      </c>
      <c r="S33" s="426">
        <f t="shared" si="18"/>
        <v>1336.2809999999997</v>
      </c>
      <c r="T33" s="580">
        <f t="shared" si="1"/>
        <v>136.93700000000001</v>
      </c>
      <c r="U33" s="427">
        <f t="shared" si="19"/>
        <v>3121.9169999999999</v>
      </c>
      <c r="V33" s="429">
        <f t="shared" si="2"/>
        <v>2.5426035612826561</v>
      </c>
      <c r="W33" s="429">
        <f t="shared" si="3"/>
        <v>2.2185563508396915</v>
      </c>
      <c r="X33" s="425">
        <f t="shared" si="4"/>
        <v>2.9895644580285996</v>
      </c>
      <c r="Y33" s="429">
        <f t="shared" si="5"/>
        <v>2.3362728348303992</v>
      </c>
      <c r="Z33" s="428">
        <f>+'25'!I46</f>
        <v>47270.639999998544</v>
      </c>
      <c r="AA33" s="427">
        <f t="shared" si="20"/>
        <v>1336819.8399999978</v>
      </c>
      <c r="AB33" s="429">
        <f t="shared" si="6"/>
        <v>877.70651911540835</v>
      </c>
      <c r="AC33" s="429">
        <f t="shared" si="7"/>
        <v>949.99647522996133</v>
      </c>
      <c r="AD33" s="429">
        <f t="shared" si="8"/>
        <v>1031.9973801986364</v>
      </c>
      <c r="AE33" s="429">
        <f t="shared" si="9"/>
        <v>1000.4032385403954</v>
      </c>
      <c r="AF33" s="590">
        <f>1.804</f>
        <v>1.804</v>
      </c>
      <c r="AG33" s="525">
        <v>135.13300000000001</v>
      </c>
      <c r="AH33" s="425">
        <f>+SUM(Efficiency2!K123:K125)</f>
        <v>68.233788895999993</v>
      </c>
      <c r="AI33" s="426">
        <f t="shared" si="21"/>
        <v>1555.629095890125</v>
      </c>
      <c r="AJ33" s="451">
        <f t="shared" si="22"/>
        <v>0.67129498069958682</v>
      </c>
      <c r="AK33" s="451">
        <f t="shared" si="23"/>
        <v>0.85899717582447566</v>
      </c>
    </row>
    <row r="34" spans="1:37" s="430" customFormat="1" ht="12.75" customHeight="1">
      <c r="A34" s="444">
        <f t="shared" si="10"/>
        <v>45956</v>
      </c>
      <c r="B34" s="431" t="s">
        <v>7</v>
      </c>
      <c r="C34" s="431" t="s">
        <v>779</v>
      </c>
      <c r="D34" s="424">
        <f>+'26'!F42</f>
        <v>1400</v>
      </c>
      <c r="E34" s="424">
        <f>+'26'!G42</f>
        <v>1064</v>
      </c>
      <c r="F34" s="50">
        <f t="shared" si="0"/>
        <v>0.24</v>
      </c>
      <c r="G34" s="450">
        <f t="shared" si="11"/>
        <v>0.991516783829124</v>
      </c>
      <c r="H34" s="445">
        <f t="shared" si="12"/>
        <v>0.81654323374163162</v>
      </c>
      <c r="I34" s="445">
        <f t="shared" si="13"/>
        <v>0.81483619838712684</v>
      </c>
      <c r="J34" s="451">
        <f t="shared" si="14"/>
        <v>0.66534898440076218</v>
      </c>
      <c r="K34" s="451">
        <f t="shared" si="15"/>
        <v>0.82857742267349421</v>
      </c>
      <c r="L34" s="425">
        <f>+SUM(Efficiency1!K128:K129)</f>
        <v>65.756469199999998</v>
      </c>
      <c r="M34" s="426">
        <f t="shared" si="16"/>
        <v>1665.543813090125</v>
      </c>
      <c r="N34" s="425">
        <f>+SUM(Efficiency1!C128:C129)</f>
        <v>54.152386400000005</v>
      </c>
      <c r="O34" s="426">
        <f t="shared" si="16"/>
        <v>1587.0851756045881</v>
      </c>
      <c r="P34" s="591">
        <f>'26'!I38</f>
        <v>53.692999999999998</v>
      </c>
      <c r="Q34" s="426">
        <f t="shared" si="17"/>
        <v>1460.8769999999997</v>
      </c>
      <c r="R34" s="14">
        <f>'26'!I40</f>
        <v>43.750999999999998</v>
      </c>
      <c r="S34" s="426">
        <f t="shared" si="18"/>
        <v>1380.0319999999997</v>
      </c>
      <c r="T34" s="580">
        <f t="shared" si="1"/>
        <v>125.026</v>
      </c>
      <c r="U34" s="427">
        <f t="shared" si="19"/>
        <v>3246.9429999999998</v>
      </c>
      <c r="V34" s="429">
        <f t="shared" si="2"/>
        <v>2.3285344458309276</v>
      </c>
      <c r="W34" s="429">
        <f t="shared" si="3"/>
        <v>2.222598480227973</v>
      </c>
      <c r="X34" s="425">
        <f t="shared" si="4"/>
        <v>2.857671824644008</v>
      </c>
      <c r="Y34" s="429">
        <f t="shared" si="5"/>
        <v>2.3528026886333073</v>
      </c>
      <c r="Z34" s="428">
        <f>'26'!I46</f>
        <v>44930.220000003756</v>
      </c>
      <c r="AA34" s="427">
        <f t="shared" si="20"/>
        <v>1381750.0600000015</v>
      </c>
      <c r="AB34" s="429">
        <f t="shared" si="6"/>
        <v>836.79846534937064</v>
      </c>
      <c r="AC34" s="429">
        <f t="shared" si="7"/>
        <v>945.83600125130431</v>
      </c>
      <c r="AD34" s="429">
        <f t="shared" si="8"/>
        <v>1026.9529839318816</v>
      </c>
      <c r="AE34" s="429">
        <f t="shared" si="9"/>
        <v>1001.2449421462703</v>
      </c>
      <c r="AF34" s="590">
        <f>1.469</f>
        <v>1.4690000000000001</v>
      </c>
      <c r="AG34" s="525">
        <v>123.557</v>
      </c>
      <c r="AH34" s="425">
        <f>+SUM(Efficiency2!K128:K129)</f>
        <v>65.756469199999998</v>
      </c>
      <c r="AI34" s="426">
        <f t="shared" si="21"/>
        <v>1621.3855650901251</v>
      </c>
      <c r="AJ34" s="451">
        <f t="shared" si="22"/>
        <v>0.66534898440076218</v>
      </c>
      <c r="AK34" s="451">
        <f t="shared" si="23"/>
        <v>0.8511436327751507</v>
      </c>
    </row>
    <row r="35" spans="1:37" s="430" customFormat="1" ht="12.75" customHeight="1">
      <c r="A35" s="444">
        <f t="shared" si="10"/>
        <v>45957</v>
      </c>
      <c r="B35" s="431" t="s">
        <v>7</v>
      </c>
      <c r="C35" s="431" t="s">
        <v>792</v>
      </c>
      <c r="D35" s="424">
        <f>+'27'!F42</f>
        <v>1490</v>
      </c>
      <c r="E35" s="424">
        <f>+'27'!G42</f>
        <v>1132.4000000000001</v>
      </c>
      <c r="F35" s="50">
        <f t="shared" si="0"/>
        <v>0.24</v>
      </c>
      <c r="G35" s="450">
        <f t="shared" si="11"/>
        <v>0.81861209967995174</v>
      </c>
      <c r="H35" s="445">
        <f t="shared" si="12"/>
        <v>0.81861209967995174</v>
      </c>
      <c r="I35" s="445">
        <f t="shared" si="13"/>
        <v>0.89089956331877729</v>
      </c>
      <c r="J35" s="451">
        <f t="shared" si="14"/>
        <v>0.72930116213233642</v>
      </c>
      <c r="K35" s="451">
        <f t="shared" si="15"/>
        <v>0.82457683940231963</v>
      </c>
      <c r="L35" s="425">
        <f>+Efficiency1!K133</f>
        <v>69.935443199999995</v>
      </c>
      <c r="M35" s="426">
        <f t="shared" si="16"/>
        <v>1735.479256290125</v>
      </c>
      <c r="N35" s="426">
        <f>+Efficiency2!K133</f>
        <v>69.935443199999995</v>
      </c>
      <c r="O35" s="426">
        <f t="shared" si="16"/>
        <v>1657.0206188045881</v>
      </c>
      <c r="P35" s="591">
        <f>'27'!I38</f>
        <v>57.25</v>
      </c>
      <c r="Q35" s="426">
        <f t="shared" si="17"/>
        <v>1518.1269999999997</v>
      </c>
      <c r="R35" s="14">
        <f>'27'!I40</f>
        <v>51.003999999999998</v>
      </c>
      <c r="S35" s="426">
        <f t="shared" si="18"/>
        <v>1431.0359999999996</v>
      </c>
      <c r="T35" s="580">
        <f t="shared" si="1"/>
        <v>135.22399999999999</v>
      </c>
      <c r="U35" s="427">
        <f t="shared" si="19"/>
        <v>3382.1669999999999</v>
      </c>
      <c r="V35" s="429">
        <f t="shared" si="2"/>
        <v>2.3619912663755458</v>
      </c>
      <c r="W35" s="429">
        <f t="shared" si="3"/>
        <v>2.2278551135708677</v>
      </c>
      <c r="X35" s="425">
        <f t="shared" si="4"/>
        <v>2.6512430397615874</v>
      </c>
      <c r="Y35" s="429">
        <f t="shared" si="5"/>
        <v>2.3634394941846333</v>
      </c>
      <c r="Z35" s="428">
        <f>'27'!I46</f>
        <v>49741.819999996878</v>
      </c>
      <c r="AA35" s="427">
        <f t="shared" si="20"/>
        <v>1431491.8799999983</v>
      </c>
      <c r="AB35" s="429">
        <f t="shared" si="6"/>
        <v>868.85275109164854</v>
      </c>
      <c r="AC35" s="429">
        <f t="shared" si="7"/>
        <v>942.93289033130861</v>
      </c>
      <c r="AD35" s="429">
        <f t="shared" si="8"/>
        <v>975.25331346554935</v>
      </c>
      <c r="AE35" s="429">
        <f t="shared" si="9"/>
        <v>1000.31856640923</v>
      </c>
      <c r="AF35" s="590">
        <f>1.535</f>
        <v>1.5349999999999999</v>
      </c>
      <c r="AG35" s="525">
        <v>133.68899999999999</v>
      </c>
      <c r="AH35" s="425">
        <f>+Efficiency2!K133</f>
        <v>69.935443199999995</v>
      </c>
      <c r="AI35" s="426">
        <f t="shared" si="21"/>
        <v>1691.3210082901251</v>
      </c>
      <c r="AJ35" s="451">
        <f t="shared" si="22"/>
        <v>0.72930116213233642</v>
      </c>
      <c r="AK35" s="451">
        <f t="shared" si="23"/>
        <v>0.84610549563665283</v>
      </c>
    </row>
    <row r="36" spans="1:37" s="430" customFormat="1" ht="12.75" customHeight="1">
      <c r="A36" s="444">
        <f t="shared" si="10"/>
        <v>45958</v>
      </c>
      <c r="B36" s="431" t="s">
        <v>7</v>
      </c>
      <c r="C36" s="431" t="s">
        <v>806</v>
      </c>
      <c r="D36" s="424">
        <f>+'28'!F42</f>
        <v>1566.4453961456102</v>
      </c>
      <c r="E36" s="424">
        <f>+'28'!G42</f>
        <v>1190.4985010706637</v>
      </c>
      <c r="F36" s="50">
        <f t="shared" si="0"/>
        <v>0.24</v>
      </c>
      <c r="G36" s="450">
        <f t="shared" si="11"/>
        <v>0.9099721090303724</v>
      </c>
      <c r="H36" s="445">
        <f t="shared" si="12"/>
        <v>0.83834389134857623</v>
      </c>
      <c r="I36" s="445">
        <f t="shared" si="13"/>
        <v>0.87242635127826051</v>
      </c>
      <c r="J36" s="451">
        <f t="shared" si="14"/>
        <v>0.7313933022456568</v>
      </c>
      <c r="K36" s="451">
        <f t="shared" si="15"/>
        <v>0.8211548736172527</v>
      </c>
      <c r="L36" s="425">
        <f>+SUM(Efficiency1!K137:K138)</f>
        <v>66.161393399999994</v>
      </c>
      <c r="M36" s="426">
        <f t="shared" si="16"/>
        <v>1801.640649690125</v>
      </c>
      <c r="N36" s="425">
        <f>+SUM(Efficiency1!C137:C138)</f>
        <v>60.953516541405001</v>
      </c>
      <c r="O36" s="426">
        <f t="shared" si="16"/>
        <v>1717.9741353459931</v>
      </c>
      <c r="P36" s="591">
        <f>'28'!I38</f>
        <v>55.466000000000001</v>
      </c>
      <c r="Q36" s="426">
        <f t="shared" si="17"/>
        <v>1573.5929999999996</v>
      </c>
      <c r="R36" s="14">
        <f>'28'!I40</f>
        <v>48.39</v>
      </c>
      <c r="S36" s="426">
        <f t="shared" si="18"/>
        <v>1479.4259999999997</v>
      </c>
      <c r="T36" s="580">
        <f t="shared" si="1"/>
        <v>128.74299999999999</v>
      </c>
      <c r="U36" s="427">
        <f t="shared" si="19"/>
        <v>3510.91</v>
      </c>
      <c r="V36" s="429">
        <f t="shared" si="2"/>
        <v>2.3211156384091152</v>
      </c>
      <c r="W36" s="429">
        <f t="shared" si="3"/>
        <v>2.2311423601909772</v>
      </c>
      <c r="X36" s="425">
        <f t="shared" si="4"/>
        <v>2.6605290349245712</v>
      </c>
      <c r="Y36" s="429">
        <f t="shared" si="5"/>
        <v>2.3731568865222057</v>
      </c>
      <c r="Z36" s="428">
        <f>'28'!I46</f>
        <v>44638.78000000232</v>
      </c>
      <c r="AA36" s="427">
        <f t="shared" si="20"/>
        <v>1476130.6600000006</v>
      </c>
      <c r="AB36" s="429">
        <f t="shared" si="6"/>
        <v>804.7953701367021</v>
      </c>
      <c r="AC36" s="429">
        <f t="shared" si="7"/>
        <v>938.06381955181621</v>
      </c>
      <c r="AD36" s="429">
        <f t="shared" si="8"/>
        <v>922.47943790044064</v>
      </c>
      <c r="AE36" s="429">
        <f t="shared" si="9"/>
        <v>997.77255503147899</v>
      </c>
      <c r="AF36" s="590">
        <f>1.448</f>
        <v>1.448</v>
      </c>
      <c r="AG36" s="525">
        <v>127.295</v>
      </c>
      <c r="AH36" s="425">
        <f>+SUM(Efficiency2!K137:K138)</f>
        <v>66.161393399999994</v>
      </c>
      <c r="AI36" s="426">
        <f t="shared" si="21"/>
        <v>1757.482401690125</v>
      </c>
      <c r="AJ36" s="451">
        <f t="shared" si="22"/>
        <v>0.7313933022456568</v>
      </c>
      <c r="AK36" s="451">
        <f t="shared" si="23"/>
        <v>0.84178709190901391</v>
      </c>
    </row>
    <row r="37" spans="1:37" s="430" customFormat="1" ht="12.75" customHeight="1">
      <c r="A37" s="444">
        <f t="shared" si="10"/>
        <v>45959</v>
      </c>
      <c r="B37" s="431" t="s">
        <v>7</v>
      </c>
      <c r="C37" s="431" t="s">
        <v>812</v>
      </c>
      <c r="D37" s="424">
        <f>+'29'!F42</f>
        <v>1550</v>
      </c>
      <c r="E37" s="424">
        <f>+'29'!G42</f>
        <v>1178</v>
      </c>
      <c r="F37" s="50">
        <f t="shared" si="0"/>
        <v>0.24</v>
      </c>
      <c r="G37" s="450">
        <f t="shared" si="11"/>
        <v>0.96765847243351477</v>
      </c>
      <c r="H37" s="445">
        <f t="shared" si="12"/>
        <v>0.88227684251291061</v>
      </c>
      <c r="I37" s="445">
        <f t="shared" si="13"/>
        <v>1.065593290536343</v>
      </c>
      <c r="J37" s="451">
        <f t="shared" si="14"/>
        <v>0.94014828377734716</v>
      </c>
      <c r="K37" s="451">
        <f t="shared" si="15"/>
        <v>0.82534027937267795</v>
      </c>
      <c r="L37" s="425">
        <f>+Efficiency1!K142</f>
        <v>65.680064587155968</v>
      </c>
      <c r="M37" s="426">
        <f t="shared" si="16"/>
        <v>1867.320714277281</v>
      </c>
      <c r="N37" s="425">
        <f>+Efficiency1!C142</f>
        <v>59.884764770642207</v>
      </c>
      <c r="O37" s="426">
        <f t="shared" si="16"/>
        <v>1777.8589001166354</v>
      </c>
      <c r="P37" s="591">
        <f>'29'!I38</f>
        <v>57.948</v>
      </c>
      <c r="Q37" s="426">
        <f t="shared" si="17"/>
        <v>1631.5409999999997</v>
      </c>
      <c r="R37" s="14">
        <f>'29'!I40</f>
        <v>61.749000000000002</v>
      </c>
      <c r="S37" s="426">
        <f t="shared" si="18"/>
        <v>1541.1749999999997</v>
      </c>
      <c r="T37" s="580">
        <f t="shared" si="1"/>
        <v>129.49100000000001</v>
      </c>
      <c r="U37" s="427">
        <f t="shared" si="19"/>
        <v>3640.4009999999998</v>
      </c>
      <c r="V37" s="429">
        <f t="shared" si="2"/>
        <v>2.2346068889349073</v>
      </c>
      <c r="W37" s="429">
        <f t="shared" si="3"/>
        <v>2.2312654110439154</v>
      </c>
      <c r="X37" s="425">
        <f t="shared" si="4"/>
        <v>2.0970542033069361</v>
      </c>
      <c r="Y37" s="429">
        <f t="shared" si="5"/>
        <v>2.3620945058153686</v>
      </c>
      <c r="Z37" s="428">
        <f>'29'!I46</f>
        <v>53119.819999999068</v>
      </c>
      <c r="AA37" s="427">
        <f t="shared" si="20"/>
        <v>1529250.4799999997</v>
      </c>
      <c r="AB37" s="429">
        <f t="shared" si="6"/>
        <v>916.68081728444588</v>
      </c>
      <c r="AC37" s="429">
        <f t="shared" si="7"/>
        <v>937.30435214315787</v>
      </c>
      <c r="AD37" s="429">
        <f t="shared" si="8"/>
        <v>860.25393123773779</v>
      </c>
      <c r="AE37" s="429">
        <f t="shared" si="9"/>
        <v>992.26270864762273</v>
      </c>
      <c r="AF37" s="590">
        <f>2.383</f>
        <v>2.383</v>
      </c>
      <c r="AG37" s="525">
        <v>127.108</v>
      </c>
      <c r="AH37" s="425">
        <f>+Efficiency2!K142</f>
        <v>65.680064587155968</v>
      </c>
      <c r="AI37" s="426">
        <f t="shared" si="21"/>
        <v>1823.1624662772811</v>
      </c>
      <c r="AJ37" s="451">
        <f t="shared" si="22"/>
        <v>0.94014828377734716</v>
      </c>
      <c r="AK37" s="451">
        <f t="shared" si="23"/>
        <v>0.8453305881987182</v>
      </c>
    </row>
    <row r="38" spans="1:37" s="430" customFormat="1" ht="12.75" customHeight="1">
      <c r="A38" s="444">
        <f t="shared" si="10"/>
        <v>45960</v>
      </c>
      <c r="B38" s="431" t="s">
        <v>507</v>
      </c>
      <c r="C38" s="431" t="s">
        <v>825</v>
      </c>
      <c r="D38" s="424">
        <f>+'30'!F42</f>
        <v>1109.7708333333333</v>
      </c>
      <c r="E38" s="424">
        <f>+'30'!G42</f>
        <v>1075.33871875</v>
      </c>
      <c r="F38" s="50">
        <f t="shared" si="0"/>
        <v>3.1026328633914635E-2</v>
      </c>
      <c r="G38" s="450">
        <f t="shared" si="11"/>
        <v>0.90569516985944554</v>
      </c>
      <c r="H38" s="445">
        <f t="shared" si="12"/>
        <v>0.85171012972167981</v>
      </c>
      <c r="I38" s="445">
        <f t="shared" si="13"/>
        <v>0.82725873480067724</v>
      </c>
      <c r="J38" s="451">
        <f t="shared" si="14"/>
        <v>0.70458464433047752</v>
      </c>
      <c r="K38" s="451">
        <f t="shared" si="15"/>
        <v>0.82060090513527884</v>
      </c>
      <c r="L38" s="425">
        <f>+SUM(Efficiency1!K146:K150)</f>
        <v>76.281821399999984</v>
      </c>
      <c r="M38" s="426">
        <f t="shared" si="16"/>
        <v>1943.6025356772809</v>
      </c>
      <c r="N38" s="425">
        <f>+SUM(Efficiency1!C146:C150)</f>
        <v>71.734952511762501</v>
      </c>
      <c r="O38" s="426">
        <f t="shared" si="16"/>
        <v>1849.5938526283978</v>
      </c>
      <c r="P38" s="591">
        <f>'30'!I38</f>
        <v>64.97</v>
      </c>
      <c r="Q38" s="426">
        <f t="shared" si="17"/>
        <v>1696.5109999999997</v>
      </c>
      <c r="R38" s="14">
        <f>'30'!I40</f>
        <v>53.747</v>
      </c>
      <c r="S38" s="426">
        <f t="shared" si="18"/>
        <v>1594.9219999999998</v>
      </c>
      <c r="T38" s="580">
        <f t="shared" si="1"/>
        <v>145.49299999999999</v>
      </c>
      <c r="U38" s="427">
        <f t="shared" si="19"/>
        <v>3785.8939999999998</v>
      </c>
      <c r="V38" s="429">
        <f t="shared" si="2"/>
        <v>2.2393874095736495</v>
      </c>
      <c r="W38" s="429">
        <f t="shared" si="3"/>
        <v>2.2315764530851849</v>
      </c>
      <c r="X38" s="425">
        <f t="shared" si="4"/>
        <v>2.7069975998660389</v>
      </c>
      <c r="Y38" s="429">
        <f t="shared" si="5"/>
        <v>2.3737173353932044</v>
      </c>
      <c r="Z38" s="428">
        <f>'30'!I46</f>
        <v>50199.939999999522</v>
      </c>
      <c r="AA38" s="427">
        <f t="shared" si="20"/>
        <v>1579450.4199999992</v>
      </c>
      <c r="AB38" s="429">
        <f t="shared" si="6"/>
        <v>772.66338309988487</v>
      </c>
      <c r="AC38" s="429">
        <f t="shared" si="7"/>
        <v>930.99922134309736</v>
      </c>
      <c r="AD38" s="429">
        <f t="shared" si="8"/>
        <v>934.00450257687919</v>
      </c>
      <c r="AE38" s="429">
        <f t="shared" si="9"/>
        <v>990.29947546024152</v>
      </c>
      <c r="AF38" s="506">
        <f>6.879</f>
        <v>6.8789999999999996</v>
      </c>
      <c r="AG38" s="525">
        <v>138.614</v>
      </c>
      <c r="AH38" s="425">
        <f>+SUM(Efficiency2!K146:K150)</f>
        <v>76.281821399999984</v>
      </c>
      <c r="AI38" s="426">
        <f t="shared" si="21"/>
        <v>1899.444287677281</v>
      </c>
      <c r="AJ38" s="451">
        <f t="shared" si="22"/>
        <v>0.70458464433047752</v>
      </c>
      <c r="AK38" s="451">
        <f t="shared" si="23"/>
        <v>0.83967822080759025</v>
      </c>
    </row>
    <row r="39" spans="1:37" s="430" customFormat="1" ht="12.75" customHeight="1">
      <c r="A39" s="444">
        <f>A38+1</f>
        <v>45961</v>
      </c>
      <c r="B39" s="431" t="s">
        <v>234</v>
      </c>
      <c r="C39" s="448" t="s">
        <v>846</v>
      </c>
      <c r="D39" s="424">
        <f>+'31'!F42</f>
        <v>1193.5</v>
      </c>
      <c r="E39" s="424">
        <f>+'31'!G42</f>
        <v>1189.32275</v>
      </c>
      <c r="F39" s="50">
        <f t="shared" si="0"/>
        <v>3.4999999999999476E-3</v>
      </c>
      <c r="G39" s="450">
        <f t="shared" si="11"/>
        <v>0.89921124795008656</v>
      </c>
      <c r="H39" s="445">
        <f t="shared" si="12"/>
        <v>0.85982963242511978</v>
      </c>
      <c r="I39" s="445">
        <f t="shared" si="13"/>
        <v>0.92421279240763488</v>
      </c>
      <c r="J39" s="451">
        <f t="shared" si="14"/>
        <v>0.79466554557845026</v>
      </c>
      <c r="K39" s="451">
        <f t="shared" si="15"/>
        <v>0.81961610597326295</v>
      </c>
      <c r="L39" s="425">
        <f>+SUM(Efficiency1!K152:K153)</f>
        <v>76.714034400000003</v>
      </c>
      <c r="M39" s="426">
        <f>M38+L39</f>
        <v>2020.3165700772809</v>
      </c>
      <c r="N39" s="425">
        <f>+SUM(Efficiency1!C152:C153)</f>
        <v>73.354287049199996</v>
      </c>
      <c r="O39" s="426">
        <f>O38+N39</f>
        <v>1922.9481396775977</v>
      </c>
      <c r="P39" s="591">
        <f>'31'!I38</f>
        <v>65.960999999999999</v>
      </c>
      <c r="Q39" s="426">
        <f>Q38+P39</f>
        <v>1762.4719999999998</v>
      </c>
      <c r="R39" s="14">
        <f>'31'!I40</f>
        <v>60.962000000000003</v>
      </c>
      <c r="S39" s="426">
        <f>S38+R39</f>
        <v>1655.8839999999998</v>
      </c>
      <c r="T39" s="580">
        <f t="shared" si="1"/>
        <v>155.137</v>
      </c>
      <c r="U39" s="427">
        <f>T39+U38</f>
        <v>3941.0309999999999</v>
      </c>
      <c r="V39" s="429">
        <f t="shared" si="2"/>
        <v>2.3519503949303378</v>
      </c>
      <c r="W39" s="429">
        <f t="shared" si="3"/>
        <v>2.2360814810107623</v>
      </c>
      <c r="X39" s="425">
        <f t="shared" si="4"/>
        <v>2.5448148026639545</v>
      </c>
      <c r="Y39" s="429">
        <f t="shared" si="5"/>
        <v>2.3800163538025614</v>
      </c>
      <c r="Z39" s="428">
        <f>'31'!I46</f>
        <v>55279.980000000323</v>
      </c>
      <c r="AA39" s="427">
        <f>Z39+AA38</f>
        <v>1634730.3999999994</v>
      </c>
      <c r="AB39" s="429">
        <f t="shared" si="6"/>
        <v>838.07067812798959</v>
      </c>
      <c r="AC39" s="429">
        <f t="shared" si="7"/>
        <v>927.52134501994908</v>
      </c>
      <c r="AD39" s="429">
        <f t="shared" si="8"/>
        <v>906.79406843608024</v>
      </c>
      <c r="AE39" s="429">
        <f t="shared" si="9"/>
        <v>987.22519210282826</v>
      </c>
      <c r="AF39" s="506">
        <f>11.142</f>
        <v>11.141999999999999</v>
      </c>
      <c r="AG39" s="525">
        <v>143.995</v>
      </c>
      <c r="AH39" s="425">
        <f>+SUM(Efficiency2!K152:K153)</f>
        <v>76.714034400000003</v>
      </c>
      <c r="AI39" s="426">
        <f>AI38+AH39</f>
        <v>1976.1583220772809</v>
      </c>
      <c r="AJ39" s="451">
        <f t="shared" si="22"/>
        <v>0.79466554557845026</v>
      </c>
      <c r="AK39" s="451">
        <f t="shared" si="23"/>
        <v>0.83793083858755912</v>
      </c>
    </row>
    <row r="40" spans="1:37" s="430" customFormat="1" ht="12.75" customHeight="1" thickBot="1">
      <c r="A40" s="444"/>
      <c r="B40" s="432"/>
      <c r="C40" s="432"/>
      <c r="D40" s="432"/>
      <c r="E40" s="432"/>
      <c r="F40" s="446"/>
      <c r="G40" s="450"/>
      <c r="H40" s="445"/>
      <c r="I40" s="445"/>
      <c r="J40" s="451"/>
      <c r="K40" s="456"/>
      <c r="L40" s="433"/>
      <c r="M40" s="434"/>
      <c r="N40" s="434"/>
      <c r="O40" s="434"/>
      <c r="P40" s="434"/>
      <c r="Q40" s="434"/>
      <c r="R40" s="434"/>
      <c r="S40" s="434"/>
      <c r="T40" s="435"/>
      <c r="U40" s="435"/>
      <c r="V40" s="436"/>
      <c r="W40" s="436"/>
      <c r="X40" s="433"/>
      <c r="Y40" s="436"/>
      <c r="Z40" s="435"/>
      <c r="AA40" s="435"/>
      <c r="AB40" s="436"/>
      <c r="AC40" s="436"/>
      <c r="AD40" s="436"/>
      <c r="AE40" s="436"/>
      <c r="AF40" s="506"/>
      <c r="AG40" s="525"/>
      <c r="AH40" s="433"/>
      <c r="AI40" s="434"/>
      <c r="AJ40" s="451"/>
      <c r="AK40" s="456"/>
    </row>
    <row r="41" spans="1:37" s="430" customFormat="1" ht="12.75" customHeight="1" thickTop="1" thickBot="1">
      <c r="A41" s="437"/>
      <c r="B41" s="438"/>
      <c r="C41" s="438"/>
      <c r="D41" s="438"/>
      <c r="E41" s="438"/>
      <c r="F41" s="447"/>
      <c r="G41" s="450">
        <f t="shared" si="11"/>
        <v>0.91654681872777732</v>
      </c>
      <c r="H41" s="445">
        <f t="shared" si="12"/>
        <v>0.87237417447533083</v>
      </c>
      <c r="I41" s="445">
        <f t="shared" si="13"/>
        <v>0.93952357824691679</v>
      </c>
      <c r="J41" s="451">
        <f t="shared" si="14"/>
        <v>0.81961610597326295</v>
      </c>
      <c r="K41" s="456"/>
      <c r="L41" s="439">
        <f>SUM(L9:L39)</f>
        <v>2020.3165700772809</v>
      </c>
      <c r="M41" s="440"/>
      <c r="N41" s="439">
        <f>SUM(N9:N39)</f>
        <v>1922.9481396775977</v>
      </c>
      <c r="O41" s="440"/>
      <c r="P41" s="439">
        <f>SUM(P9:P39)</f>
        <v>1762.4719999999998</v>
      </c>
      <c r="Q41" s="440"/>
      <c r="R41" s="439">
        <f>SUM(R9:R39)</f>
        <v>1655.8839999999998</v>
      </c>
      <c r="S41" s="440"/>
      <c r="T41" s="441">
        <f>SUM(T9:T40)</f>
        <v>3941.0309999999999</v>
      </c>
      <c r="U41" s="441"/>
      <c r="V41" s="442">
        <f>T41/P41</f>
        <v>2.2360814810107623</v>
      </c>
      <c r="W41" s="442"/>
      <c r="X41" s="443">
        <f>T41/R41</f>
        <v>2.3800163538025614</v>
      </c>
      <c r="Y41" s="442"/>
      <c r="Z41" s="441">
        <f>SUM(Z9:Z39)</f>
        <v>1634730.3999999994</v>
      </c>
      <c r="AA41" s="441"/>
      <c r="AB41" s="442">
        <f>Z41/P41</f>
        <v>927.52134501994908</v>
      </c>
      <c r="AC41" s="442"/>
      <c r="AD41" s="442">
        <f>Z41/R41</f>
        <v>987.22519210282826</v>
      </c>
      <c r="AE41" s="442"/>
      <c r="AF41" s="506"/>
      <c r="AG41" s="525"/>
      <c r="AH41" s="439">
        <f>SUM(AH9:AH39)</f>
        <v>1976.1583220772809</v>
      </c>
      <c r="AI41" s="440"/>
      <c r="AJ41" s="451">
        <f t="shared" si="22"/>
        <v>0.83793083858755912</v>
      </c>
      <c r="AK41" s="456"/>
    </row>
    <row r="42" spans="1:37" ht="12.75" customHeight="1" thickTop="1">
      <c r="S42" s="295"/>
      <c r="T42" s="295"/>
      <c r="U42" s="295"/>
      <c r="X42" s="295"/>
      <c r="Z42" s="295"/>
      <c r="AA42" s="295"/>
    </row>
    <row r="43" spans="1:37" ht="12.75" customHeight="1">
      <c r="S43" s="295"/>
      <c r="T43" s="295"/>
      <c r="U43" s="295"/>
      <c r="X43" s="295"/>
      <c r="Z43" s="295"/>
      <c r="AA43" s="295"/>
    </row>
    <row r="44" spans="1:37">
      <c r="S44" s="295"/>
      <c r="T44" s="295"/>
      <c r="U44" s="295"/>
      <c r="X44" s="295"/>
      <c r="Z44" s="295"/>
      <c r="AA44" s="295"/>
    </row>
    <row r="45" spans="1:37">
      <c r="R45" s="304"/>
      <c r="S45" s="305"/>
    </row>
    <row r="46" spans="1:37">
      <c r="R46" s="306"/>
    </row>
    <row r="47" spans="1:37">
      <c r="R47" s="306"/>
    </row>
    <row r="48" spans="1:37">
      <c r="R48" s="306"/>
    </row>
    <row r="49" spans="18:37">
      <c r="R49" s="306"/>
      <c r="AJ49"/>
      <c r="AK49"/>
    </row>
    <row r="50" spans="18:37">
      <c r="R50" s="306"/>
      <c r="AJ50"/>
      <c r="AK50"/>
    </row>
    <row r="51" spans="18:37">
      <c r="R51" s="306"/>
      <c r="AJ51"/>
      <c r="AK51"/>
    </row>
    <row r="52" spans="18:37">
      <c r="R52" s="306"/>
      <c r="AJ52"/>
      <c r="AK52"/>
    </row>
    <row r="53" spans="18:37">
      <c r="R53" s="306"/>
      <c r="AJ53"/>
      <c r="AK53"/>
    </row>
    <row r="54" spans="18:37">
      <c r="R54" s="306"/>
      <c r="AJ54"/>
      <c r="AK54"/>
    </row>
    <row r="55" spans="18:37">
      <c r="R55" s="306"/>
      <c r="AJ55"/>
      <c r="AK55"/>
    </row>
    <row r="56" spans="18:37">
      <c r="R56" s="306"/>
      <c r="AJ56"/>
      <c r="AK56"/>
    </row>
    <row r="57" spans="18:37">
      <c r="R57" s="306"/>
      <c r="AJ57"/>
      <c r="AK57"/>
    </row>
    <row r="58" spans="18:37">
      <c r="R58" s="306"/>
      <c r="AJ58"/>
      <c r="AK58"/>
    </row>
    <row r="59" spans="18:37">
      <c r="R59" s="306"/>
      <c r="AJ59"/>
      <c r="AK59"/>
    </row>
    <row r="60" spans="18:37">
      <c r="AJ60"/>
      <c r="AK60"/>
    </row>
    <row r="65536" spans="3:35">
      <c r="C65536" s="307"/>
      <c r="AH65536"/>
      <c r="AI65536"/>
    </row>
  </sheetData>
  <mergeCells count="26">
    <mergeCell ref="J6:K7"/>
    <mergeCell ref="AF6:AG7"/>
    <mergeCell ref="N6:O7"/>
    <mergeCell ref="T7:U7"/>
    <mergeCell ref="V7:W7"/>
    <mergeCell ref="X7:Y7"/>
    <mergeCell ref="T6:Y6"/>
    <mergeCell ref="P6:Q7"/>
    <mergeCell ref="R6:S7"/>
    <mergeCell ref="Z6:AE6"/>
    <mergeCell ref="AH6:AI7"/>
    <mergeCell ref="AJ6:AK7"/>
    <mergeCell ref="A3:AE4"/>
    <mergeCell ref="Z7:AA7"/>
    <mergeCell ref="AB7:AC7"/>
    <mergeCell ref="AD7:AE7"/>
    <mergeCell ref="D6:D8"/>
    <mergeCell ref="A6:A8"/>
    <mergeCell ref="B6:B8"/>
    <mergeCell ref="C6:C8"/>
    <mergeCell ref="L6:M7"/>
    <mergeCell ref="H6:H8"/>
    <mergeCell ref="I6:I8"/>
    <mergeCell ref="E6:E8"/>
    <mergeCell ref="F6:F8"/>
    <mergeCell ref="G6:G8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Y45"/>
  <sheetViews>
    <sheetView zoomScaleNormal="100" workbookViewId="0">
      <pane xSplit="3" ySplit="6" topLeftCell="AI7" activePane="bottomRight" state="frozen"/>
      <selection pane="topRight" activeCell="D1" sqref="D1"/>
      <selection pane="bottomLeft" activeCell="A7" sqref="A7"/>
      <selection pane="bottomRight" activeCell="AL18" sqref="AL18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8.85546875" customWidth="1"/>
    <col min="9" max="9" width="12.85546875" customWidth="1"/>
    <col min="10" max="10" width="11.5703125" customWidth="1"/>
    <col min="11" max="11" width="12" customWidth="1"/>
    <col min="12" max="12" width="12.28515625" bestFit="1" customWidth="1"/>
    <col min="13" max="13" width="13" bestFit="1" customWidth="1"/>
    <col min="14" max="15" width="11" bestFit="1" customWidth="1"/>
    <col min="16" max="16" width="13.5703125" customWidth="1"/>
    <col min="17" max="17" width="12.42578125" customWidth="1"/>
    <col min="18" max="19" width="13.140625" customWidth="1"/>
    <col min="20" max="20" width="13" bestFit="1" customWidth="1"/>
    <col min="21" max="21" width="13.7109375" bestFit="1" customWidth="1"/>
    <col min="22" max="43" width="13.5703125" customWidth="1"/>
    <col min="44" max="44" width="13.85546875" bestFit="1" customWidth="1"/>
    <col min="45" max="46" width="10.85546875" bestFit="1" customWidth="1"/>
    <col min="49" max="49" width="39" bestFit="1" customWidth="1"/>
  </cols>
  <sheetData>
    <row r="2" spans="1:51" ht="24.75" customHeight="1">
      <c r="A2" s="840" t="s">
        <v>21</v>
      </c>
      <c r="B2" s="840"/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  <c r="AA2" s="840"/>
      <c r="AB2" s="840"/>
      <c r="AC2" s="840"/>
      <c r="AD2" s="840"/>
      <c r="AE2" s="840"/>
      <c r="AF2" s="840"/>
      <c r="AG2" s="840"/>
      <c r="AH2" s="840"/>
      <c r="AI2" s="840"/>
      <c r="AJ2" s="840"/>
      <c r="AK2" s="840"/>
      <c r="AL2" s="840"/>
      <c r="AM2" s="840"/>
      <c r="AN2" s="840"/>
      <c r="AO2" s="840"/>
      <c r="AP2" s="840"/>
      <c r="AQ2" s="840"/>
      <c r="AR2" s="840"/>
      <c r="AS2" s="308"/>
      <c r="AT2" s="308"/>
      <c r="AU2" s="308"/>
      <c r="AV2" s="308"/>
      <c r="AW2" s="308"/>
    </row>
    <row r="3" spans="1:51" ht="12.75" customHeight="1">
      <c r="A3" s="308"/>
      <c r="B3" s="308"/>
      <c r="C3" s="308"/>
      <c r="D3" s="309"/>
      <c r="E3" s="310"/>
      <c r="F3" s="311"/>
      <c r="G3" s="312"/>
      <c r="H3" s="313"/>
      <c r="I3" s="314"/>
      <c r="J3" s="314"/>
      <c r="K3" s="314"/>
      <c r="L3" s="315"/>
      <c r="M3" s="314"/>
      <c r="N3" s="314"/>
      <c r="O3" s="314"/>
      <c r="P3" s="316"/>
      <c r="Q3" s="314"/>
      <c r="R3" s="314"/>
      <c r="S3" s="314"/>
      <c r="T3" s="317"/>
      <c r="U3" s="314"/>
      <c r="V3" s="314"/>
      <c r="W3" s="314"/>
      <c r="X3" s="314"/>
      <c r="Y3" s="314"/>
      <c r="Z3" s="314"/>
      <c r="AA3" s="314"/>
      <c r="AB3" s="314"/>
      <c r="AC3" s="314"/>
      <c r="AD3" s="314"/>
      <c r="AE3" s="314"/>
      <c r="AF3" s="314"/>
      <c r="AG3" s="314"/>
      <c r="AH3" s="314"/>
      <c r="AI3" s="314"/>
      <c r="AJ3" s="314"/>
      <c r="AK3" s="314"/>
      <c r="AL3" s="314"/>
      <c r="AM3" s="314"/>
      <c r="AN3" s="314"/>
      <c r="AO3" s="314"/>
      <c r="AP3" s="314"/>
      <c r="AQ3" s="314"/>
      <c r="AR3" s="314"/>
      <c r="AS3" s="6"/>
      <c r="AT3" s="6"/>
      <c r="AU3" s="308"/>
      <c r="AV3" s="308"/>
      <c r="AW3" s="308"/>
    </row>
    <row r="4" spans="1:51">
      <c r="A4" s="841" t="s">
        <v>8</v>
      </c>
      <c r="B4" s="844" t="s">
        <v>22</v>
      </c>
      <c r="C4" s="844" t="s">
        <v>23</v>
      </c>
      <c r="D4" s="882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  <c r="Q4" s="883"/>
      <c r="R4" s="883"/>
      <c r="S4" s="883"/>
      <c r="T4" s="883"/>
      <c r="U4" s="883"/>
      <c r="V4" s="883"/>
      <c r="W4" s="883"/>
      <c r="X4" s="883"/>
      <c r="Y4" s="883"/>
      <c r="Z4" s="883"/>
      <c r="AA4" s="883"/>
      <c r="AB4" s="883"/>
      <c r="AC4" s="883"/>
      <c r="AD4" s="883"/>
      <c r="AE4" s="883"/>
      <c r="AF4" s="883"/>
      <c r="AG4" s="883"/>
      <c r="AH4" s="883"/>
      <c r="AI4" s="883"/>
      <c r="AJ4" s="883"/>
      <c r="AK4" s="883"/>
      <c r="AL4" s="883"/>
      <c r="AM4" s="883"/>
      <c r="AN4" s="883"/>
      <c r="AO4" s="883"/>
      <c r="AP4" s="883"/>
      <c r="AQ4" s="884"/>
      <c r="AR4" s="862" t="s">
        <v>148</v>
      </c>
      <c r="AS4" s="863"/>
      <c r="AT4" s="864"/>
    </row>
    <row r="5" spans="1:51" ht="14.25" customHeight="1">
      <c r="A5" s="842"/>
      <c r="B5" s="845"/>
      <c r="C5" s="845"/>
      <c r="D5" s="847" t="s">
        <v>176</v>
      </c>
      <c r="E5" s="848"/>
      <c r="F5" s="848"/>
      <c r="G5" s="849"/>
      <c r="H5" s="859" t="s">
        <v>177</v>
      </c>
      <c r="I5" s="860"/>
      <c r="J5" s="860"/>
      <c r="K5" s="861"/>
      <c r="L5" s="871" t="s">
        <v>426</v>
      </c>
      <c r="M5" s="872"/>
      <c r="N5" s="872"/>
      <c r="O5" s="873"/>
      <c r="P5" s="868" t="s">
        <v>178</v>
      </c>
      <c r="Q5" s="869"/>
      <c r="R5" s="869"/>
      <c r="S5" s="870"/>
      <c r="T5" s="874" t="s">
        <v>180</v>
      </c>
      <c r="U5" s="875"/>
      <c r="V5" s="875"/>
      <c r="W5" s="875"/>
      <c r="X5" s="876" t="s">
        <v>181</v>
      </c>
      <c r="Y5" s="877"/>
      <c r="Z5" s="877"/>
      <c r="AA5" s="878"/>
      <c r="AB5" s="850" t="s">
        <v>182</v>
      </c>
      <c r="AC5" s="851"/>
      <c r="AD5" s="851"/>
      <c r="AE5" s="852"/>
      <c r="AF5" s="853" t="s">
        <v>183</v>
      </c>
      <c r="AG5" s="854"/>
      <c r="AH5" s="854"/>
      <c r="AI5" s="855"/>
      <c r="AJ5" s="879" t="s">
        <v>184</v>
      </c>
      <c r="AK5" s="880"/>
      <c r="AL5" s="880"/>
      <c r="AM5" s="881"/>
      <c r="AN5" s="856" t="s">
        <v>185</v>
      </c>
      <c r="AO5" s="857"/>
      <c r="AP5" s="857"/>
      <c r="AQ5" s="858"/>
      <c r="AR5" s="865"/>
      <c r="AS5" s="866"/>
      <c r="AT5" s="867"/>
    </row>
    <row r="6" spans="1:51" ht="14.25" customHeight="1">
      <c r="A6" s="843"/>
      <c r="B6" s="846"/>
      <c r="C6" s="846"/>
      <c r="D6" s="389" t="s">
        <v>24</v>
      </c>
      <c r="E6" s="390" t="s">
        <v>25</v>
      </c>
      <c r="F6" s="391" t="s">
        <v>26</v>
      </c>
      <c r="G6" s="391" t="s">
        <v>27</v>
      </c>
      <c r="H6" s="392" t="s">
        <v>24</v>
      </c>
      <c r="I6" s="393" t="s">
        <v>25</v>
      </c>
      <c r="J6" s="394" t="s">
        <v>26</v>
      </c>
      <c r="K6" s="394" t="s">
        <v>27</v>
      </c>
      <c r="L6" s="402" t="s">
        <v>24</v>
      </c>
      <c r="M6" s="403" t="s">
        <v>25</v>
      </c>
      <c r="N6" s="404" t="s">
        <v>26</v>
      </c>
      <c r="O6" s="404" t="s">
        <v>27</v>
      </c>
      <c r="P6" s="398" t="s">
        <v>24</v>
      </c>
      <c r="Q6" s="399" t="s">
        <v>25</v>
      </c>
      <c r="R6" s="400" t="s">
        <v>26</v>
      </c>
      <c r="S6" s="400" t="s">
        <v>27</v>
      </c>
      <c r="T6" s="395" t="s">
        <v>24</v>
      </c>
      <c r="U6" s="396" t="s">
        <v>25</v>
      </c>
      <c r="V6" s="397" t="s">
        <v>26</v>
      </c>
      <c r="W6" s="397" t="s">
        <v>27</v>
      </c>
      <c r="X6" s="406" t="s">
        <v>24</v>
      </c>
      <c r="Y6" s="406" t="s">
        <v>25</v>
      </c>
      <c r="Z6" s="406" t="s">
        <v>26</v>
      </c>
      <c r="AA6" s="406" t="s">
        <v>27</v>
      </c>
      <c r="AB6" s="401" t="s">
        <v>24</v>
      </c>
      <c r="AC6" s="401" t="s">
        <v>25</v>
      </c>
      <c r="AD6" s="401" t="s">
        <v>26</v>
      </c>
      <c r="AE6" s="401" t="s">
        <v>27</v>
      </c>
      <c r="AF6" s="405" t="s">
        <v>24</v>
      </c>
      <c r="AG6" s="405" t="s">
        <v>25</v>
      </c>
      <c r="AH6" s="405" t="s">
        <v>26</v>
      </c>
      <c r="AI6" s="405" t="s">
        <v>27</v>
      </c>
      <c r="AJ6" s="407" t="s">
        <v>24</v>
      </c>
      <c r="AK6" s="407" t="s">
        <v>25</v>
      </c>
      <c r="AL6" s="407" t="s">
        <v>26</v>
      </c>
      <c r="AM6" s="407" t="s">
        <v>27</v>
      </c>
      <c r="AN6" s="408" t="s">
        <v>24</v>
      </c>
      <c r="AO6" s="408" t="s">
        <v>25</v>
      </c>
      <c r="AP6" s="408" t="s">
        <v>26</v>
      </c>
      <c r="AQ6" s="408" t="s">
        <v>27</v>
      </c>
      <c r="AR6" s="409" t="s">
        <v>25</v>
      </c>
      <c r="AS6" s="410" t="s">
        <v>26</v>
      </c>
      <c r="AT6" s="410" t="s">
        <v>27</v>
      </c>
      <c r="AV6" s="348"/>
    </row>
    <row r="7" spans="1:51">
      <c r="A7" s="318">
        <f>A8-1</f>
        <v>45930</v>
      </c>
      <c r="B7" s="319">
        <v>0</v>
      </c>
      <c r="C7" s="319">
        <v>0</v>
      </c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350"/>
      <c r="AS7" s="110"/>
      <c r="AT7" s="110"/>
    </row>
    <row r="8" spans="1:51" ht="15">
      <c r="A8" s="318">
        <f>+Report1!A9</f>
        <v>45931</v>
      </c>
      <c r="B8" s="326">
        <f>+Report1!P9</f>
        <v>16.946999999999999</v>
      </c>
      <c r="C8" s="326">
        <f>+Report1!R9</f>
        <v>17.940999999999999</v>
      </c>
      <c r="D8" s="327">
        <f>+D7+E8</f>
        <v>98.21000000089407</v>
      </c>
      <c r="E8" s="327">
        <f>+[16]DailyOct!D7</f>
        <v>98.21000000089407</v>
      </c>
      <c r="F8" s="327">
        <f t="shared" ref="F8:F38" si="0">E8/B8</f>
        <v>5.7951259810523439</v>
      </c>
      <c r="G8" s="327">
        <f t="shared" ref="G8:G38" si="1">E8/C8</f>
        <v>5.4740538432023902</v>
      </c>
      <c r="H8" s="327">
        <f>+H7+I8</f>
        <v>0</v>
      </c>
      <c r="I8" s="327">
        <f>+[16]DailyOct!E7</f>
        <v>0</v>
      </c>
      <c r="J8" s="327">
        <f t="shared" ref="J8:J38" si="2">I8/B8</f>
        <v>0</v>
      </c>
      <c r="K8" s="327">
        <f t="shared" ref="K8:K38" si="3">I8/C8</f>
        <v>0</v>
      </c>
      <c r="L8" s="327">
        <f>+L7+M8</f>
        <v>690</v>
      </c>
      <c r="M8" s="327">
        <f>+[16]DailyOct!F7</f>
        <v>690</v>
      </c>
      <c r="N8" s="327">
        <f t="shared" ref="N8:N38" si="4">M8/B8</f>
        <v>40.715170826694994</v>
      </c>
      <c r="O8" s="327">
        <f t="shared" ref="O8:O38" si="5">M8/C8</f>
        <v>38.459394682570654</v>
      </c>
      <c r="P8" s="327">
        <f>+P7+Q8</f>
        <v>7211.7899999991059</v>
      </c>
      <c r="Q8" s="327">
        <f>+[16]DailyOct!G7</f>
        <v>7211.7899999991059</v>
      </c>
      <c r="R8" s="327">
        <f t="shared" ref="R8:R38" si="6">Q8/B8</f>
        <v>425.54965480610764</v>
      </c>
      <c r="S8" s="327">
        <f t="shared" ref="S8:S38" si="7">Q8/C8</f>
        <v>401.97257677939393</v>
      </c>
      <c r="T8" s="327">
        <f>+T7+U8</f>
        <v>3300.0000000001819</v>
      </c>
      <c r="U8" s="327">
        <f>+[16]DailyOct!H7</f>
        <v>3300.0000000001819</v>
      </c>
      <c r="V8" s="327">
        <f t="shared" ref="V8:V38" si="8">U8/B8</f>
        <v>194.72473004072592</v>
      </c>
      <c r="W8" s="327">
        <f t="shared" ref="W8:W38" si="9">U8/C8</f>
        <v>183.93623543839152</v>
      </c>
      <c r="X8" s="327">
        <f>+X7+Y8</f>
        <v>9168.6500000007272</v>
      </c>
      <c r="Y8" s="327">
        <f>+[16]DailyOct!I7</f>
        <v>9168.6500000007272</v>
      </c>
      <c r="Z8" s="327">
        <f>Y8/B8</f>
        <v>541.01905942058931</v>
      </c>
      <c r="AA8" s="327">
        <f>Y8/C8</f>
        <v>511.04453486431794</v>
      </c>
      <c r="AB8" s="327">
        <f>+AB7+AC8</f>
        <v>4938.6499999993039</v>
      </c>
      <c r="AC8" s="327">
        <f>+[16]DailyOct!J7</f>
        <v>4938.6499999993039</v>
      </c>
      <c r="AD8" s="327">
        <f>AC8/B8</f>
        <v>291.41736000467955</v>
      </c>
      <c r="AE8" s="421">
        <f>AC8/C8</f>
        <v>275.27172398413154</v>
      </c>
      <c r="AF8" s="327">
        <f>+AF7+AG8</f>
        <v>3899.9999999996362</v>
      </c>
      <c r="AG8" s="327">
        <f>+[16]DailyOct!K7</f>
        <v>3899.9999999996362</v>
      </c>
      <c r="AH8" s="327">
        <f>AG8/B8</f>
        <v>230.12922641173284</v>
      </c>
      <c r="AI8" s="449">
        <f>AG8/C8</f>
        <v>217.37918733624861</v>
      </c>
      <c r="AJ8" s="327">
        <f>+AJ7+AK8</f>
        <v>269</v>
      </c>
      <c r="AK8" s="327">
        <f>+[16]DailyOct!L7</f>
        <v>269</v>
      </c>
      <c r="AL8" s="327">
        <f>AK8/B8</f>
        <v>15.873015873015873</v>
      </c>
      <c r="AM8" s="449">
        <f>AK8/C8</f>
        <v>14.993590100886239</v>
      </c>
      <c r="AN8" s="327">
        <f>+AN7+AO8</f>
        <v>233</v>
      </c>
      <c r="AO8" s="327">
        <f>+[16]DailyOct!M7</f>
        <v>233</v>
      </c>
      <c r="AP8" s="327">
        <f>AO8/B8</f>
        <v>13.748746090753526</v>
      </c>
      <c r="AQ8" s="449">
        <f>AO8/C8</f>
        <v>12.987012987012987</v>
      </c>
      <c r="AR8" s="327">
        <f>+E8+I8+M8+Q8+U8+Y8+AC8+AG8+AK8+AO8</f>
        <v>29809.29999999985</v>
      </c>
      <c r="AS8" s="7">
        <f t="shared" ref="AS8:AS38" si="10">AR8/B8</f>
        <v>1758.972089455352</v>
      </c>
      <c r="AT8" s="325">
        <f t="shared" ref="AT8:AT38" si="11">AR8/C8</f>
        <v>1661.5183100161557</v>
      </c>
      <c r="AX8" s="412" t="s">
        <v>187</v>
      </c>
      <c r="AY8" s="412" t="s">
        <v>188</v>
      </c>
    </row>
    <row r="9" spans="1:51" ht="15">
      <c r="A9" s="318">
        <f t="shared" ref="A9:A38" si="12">A8+1</f>
        <v>45932</v>
      </c>
      <c r="B9" s="326">
        <f>+Report1!P10</f>
        <v>70.090999999999994</v>
      </c>
      <c r="C9" s="326">
        <f>+Report1!R10</f>
        <v>55.192</v>
      </c>
      <c r="D9" s="327">
        <f t="shared" ref="D9:D38" si="13">+D8+E9</f>
        <v>369.27000000141561</v>
      </c>
      <c r="E9" s="327">
        <f>+[16]DailyOct!D8</f>
        <v>271.06000000052154</v>
      </c>
      <c r="F9" s="327">
        <f t="shared" si="0"/>
        <v>3.8672582785310747</v>
      </c>
      <c r="G9" s="327">
        <f t="shared" si="1"/>
        <v>4.9112190172583263</v>
      </c>
      <c r="H9" s="327">
        <f t="shared" ref="H9:H38" si="14">+H8+I9</f>
        <v>0</v>
      </c>
      <c r="I9" s="327">
        <f>+[16]DailyOct!E8</f>
        <v>0</v>
      </c>
      <c r="J9" s="327">
        <f t="shared" si="2"/>
        <v>0</v>
      </c>
      <c r="K9" s="327">
        <f t="shared" si="3"/>
        <v>0</v>
      </c>
      <c r="L9" s="327">
        <f t="shared" ref="L9:L38" si="15">+L8+M9</f>
        <v>790</v>
      </c>
      <c r="M9" s="327">
        <f>+[16]DailyOct!F8</f>
        <v>100</v>
      </c>
      <c r="N9" s="327">
        <f t="shared" si="4"/>
        <v>1.4267166968655036</v>
      </c>
      <c r="O9" s="327">
        <f t="shared" si="5"/>
        <v>1.811856790839252</v>
      </c>
      <c r="P9" s="327">
        <f t="shared" ref="P9:P38" si="16">+P8+Q9</f>
        <v>24840.729999998584</v>
      </c>
      <c r="Q9" s="327">
        <f>+[16]DailyOct!G8</f>
        <v>17628.939999999478</v>
      </c>
      <c r="R9" s="327">
        <f t="shared" si="6"/>
        <v>251.51503046039406</v>
      </c>
      <c r="S9" s="327">
        <f t="shared" si="7"/>
        <v>319.4111465429678</v>
      </c>
      <c r="T9" s="327">
        <f t="shared" ref="T9:T38" si="17">+T8+U9</f>
        <v>9100.0000000003638</v>
      </c>
      <c r="U9" s="327">
        <f>+[16]DailyOct!H8</f>
        <v>5800.0000000001819</v>
      </c>
      <c r="V9" s="327">
        <f t="shared" si="8"/>
        <v>82.749568418201804</v>
      </c>
      <c r="W9" s="327">
        <f t="shared" si="9"/>
        <v>105.08769386867992</v>
      </c>
      <c r="X9" s="327">
        <f t="shared" ref="X9:X38" si="18">+X8+Y9</f>
        <v>22245.73999999927</v>
      </c>
      <c r="Y9" s="327">
        <f>+[16]DailyOct!I8</f>
        <v>13077.089999998545</v>
      </c>
      <c r="Z9" s="327">
        <f t="shared" ref="Z9:Z38" si="19">Y9/B9</f>
        <v>186.57302649410832</v>
      </c>
      <c r="AA9" s="327">
        <f t="shared" ref="AA9:AA38" si="20">Y9/C9</f>
        <v>236.93814320913438</v>
      </c>
      <c r="AB9" s="327">
        <f t="shared" ref="AB9:AB38" si="21">+AB8+AC9</f>
        <v>11845.739999999963</v>
      </c>
      <c r="AC9" s="327">
        <f>+[16]DailyOct!J8</f>
        <v>6907.0900000006595</v>
      </c>
      <c r="AD9" s="327">
        <f t="shared" ref="AD9:AD38" si="22">AC9/B9</f>
        <v>98.544606297536916</v>
      </c>
      <c r="AE9" s="421">
        <f t="shared" ref="AE9:AE38" si="23">AC9/C9</f>
        <v>125.14657921439084</v>
      </c>
      <c r="AF9" s="327">
        <f t="shared" ref="AF9:AF38" si="24">+AF8+AG9</f>
        <v>17000</v>
      </c>
      <c r="AG9" s="327">
        <f>+[16]DailyOct!K8</f>
        <v>13100.000000000364</v>
      </c>
      <c r="AH9" s="327">
        <f t="shared" ref="AH9:AH38" si="25">AG9/B9</f>
        <v>186.89988728938616</v>
      </c>
      <c r="AI9" s="449">
        <f t="shared" ref="AI9:AI38" si="26">AG9/C9</f>
        <v>237.35323959994861</v>
      </c>
      <c r="AJ9" s="327">
        <f t="shared" ref="AJ9:AJ38" si="27">+AJ8+AK9</f>
        <v>679</v>
      </c>
      <c r="AK9" s="327">
        <f>+[16]DailyOct!L8</f>
        <v>410</v>
      </c>
      <c r="AL9" s="327">
        <f t="shared" ref="AL9:AL38" si="28">AK9/B9</f>
        <v>5.8495384571485642</v>
      </c>
      <c r="AM9" s="449">
        <f t="shared" ref="AM9:AM38" si="29">AK9/C9</f>
        <v>7.4286128424409332</v>
      </c>
      <c r="AN9" s="327">
        <f t="shared" ref="AN9:AN38" si="30">+AN8+AO9</f>
        <v>903</v>
      </c>
      <c r="AO9" s="327">
        <f>+[16]DailyOct!M8</f>
        <v>670</v>
      </c>
      <c r="AP9" s="327">
        <f t="shared" ref="AP9:AP38" si="31">AO9/B9</f>
        <v>9.5590018689988732</v>
      </c>
      <c r="AQ9" s="449">
        <f t="shared" ref="AQ9:AQ38" si="32">AO9/C9</f>
        <v>12.139440498622989</v>
      </c>
      <c r="AR9" s="327">
        <f t="shared" ref="AR9:AR38" si="33">+E9+I9+M9+Q9+U9+Y9+AC9+AG9+AK9+AO9</f>
        <v>57964.179999999753</v>
      </c>
      <c r="AS9" s="324">
        <f>AR9/B9</f>
        <v>826.98463426117132</v>
      </c>
      <c r="AT9" s="325">
        <f t="shared" si="11"/>
        <v>1050.2279315842832</v>
      </c>
      <c r="AX9" s="412" t="s">
        <v>189</v>
      </c>
      <c r="AY9" s="412" t="s">
        <v>189</v>
      </c>
    </row>
    <row r="10" spans="1:51">
      <c r="A10" s="318">
        <f t="shared" si="12"/>
        <v>45933</v>
      </c>
      <c r="B10" s="326">
        <f>+Report1!P11</f>
        <v>78.805000000000007</v>
      </c>
      <c r="C10" s="326">
        <f>+Report1!R11</f>
        <v>84.813000000000002</v>
      </c>
      <c r="D10" s="327">
        <f t="shared" si="13"/>
        <v>646.22000000067055</v>
      </c>
      <c r="E10" s="327">
        <f>+[16]DailyOct!D9</f>
        <v>276.94999999925494</v>
      </c>
      <c r="F10" s="327">
        <f t="shared" si="0"/>
        <v>3.5143709155415888</v>
      </c>
      <c r="G10" s="327">
        <f t="shared" si="1"/>
        <v>3.2654192163849283</v>
      </c>
      <c r="H10" s="327">
        <f t="shared" si="14"/>
        <v>0</v>
      </c>
      <c r="I10" s="327">
        <f>+[16]DailyOct!E9</f>
        <v>0</v>
      </c>
      <c r="J10" s="327">
        <f t="shared" si="2"/>
        <v>0</v>
      </c>
      <c r="K10" s="327">
        <f t="shared" si="3"/>
        <v>0</v>
      </c>
      <c r="L10" s="327">
        <f t="shared" si="15"/>
        <v>990</v>
      </c>
      <c r="M10" s="327">
        <f>+[16]DailyOct!F9</f>
        <v>200</v>
      </c>
      <c r="N10" s="327">
        <f t="shared" si="4"/>
        <v>2.5379100310893978</v>
      </c>
      <c r="O10" s="327">
        <f t="shared" si="5"/>
        <v>2.3581290604034759</v>
      </c>
      <c r="P10" s="327">
        <f t="shared" si="16"/>
        <v>41463.779999999693</v>
      </c>
      <c r="Q10" s="327">
        <f>+[16]DailyOct!G9</f>
        <v>16623.050000001109</v>
      </c>
      <c r="R10" s="327">
        <f t="shared" si="6"/>
        <v>210.93902671151713</v>
      </c>
      <c r="S10" s="327">
        <f t="shared" si="7"/>
        <v>195.99648638771308</v>
      </c>
      <c r="T10" s="327">
        <f t="shared" si="17"/>
        <v>13500</v>
      </c>
      <c r="U10" s="327">
        <f>+[16]DailyOct!H9</f>
        <v>4399.9999999996362</v>
      </c>
      <c r="V10" s="327">
        <f t="shared" si="8"/>
        <v>55.83402068396213</v>
      </c>
      <c r="W10" s="327">
        <f t="shared" si="9"/>
        <v>51.878839328872182</v>
      </c>
      <c r="X10" s="327">
        <f t="shared" si="18"/>
        <v>33631.85</v>
      </c>
      <c r="Y10" s="327">
        <f>+[16]DailyOct!I9</f>
        <v>11386.110000000728</v>
      </c>
      <c r="Z10" s="327">
        <f t="shared" si="19"/>
        <v>144.48461392044575</v>
      </c>
      <c r="AA10" s="327">
        <f t="shared" si="20"/>
        <v>134.2495843797617</v>
      </c>
      <c r="AB10" s="327">
        <f t="shared" si="21"/>
        <v>19101.849999999195</v>
      </c>
      <c r="AC10" s="327">
        <f>+[16]DailyOct!J9</f>
        <v>7256.1099999992321</v>
      </c>
      <c r="AD10" s="327">
        <f t="shared" si="22"/>
        <v>92.076771778430697</v>
      </c>
      <c r="AE10" s="421">
        <f t="shared" si="23"/>
        <v>85.554219282412276</v>
      </c>
      <c r="AF10" s="327">
        <f t="shared" si="24"/>
        <v>31000</v>
      </c>
      <c r="AG10" s="327">
        <f>+[16]DailyOct!K9</f>
        <v>14000</v>
      </c>
      <c r="AH10" s="327">
        <f t="shared" si="25"/>
        <v>177.65370217625784</v>
      </c>
      <c r="AI10" s="449">
        <f t="shared" si="26"/>
        <v>165.06903422824331</v>
      </c>
      <c r="AJ10" s="327">
        <f t="shared" si="27"/>
        <v>1109</v>
      </c>
      <c r="AK10" s="327">
        <f>+[16]DailyOct!L9</f>
        <v>430</v>
      </c>
      <c r="AL10" s="327">
        <f t="shared" si="28"/>
        <v>5.4565065668422053</v>
      </c>
      <c r="AM10" s="449">
        <f t="shared" si="29"/>
        <v>5.0699774798674726</v>
      </c>
      <c r="AN10" s="327">
        <f t="shared" si="30"/>
        <v>1613</v>
      </c>
      <c r="AO10" s="327">
        <f>+[16]DailyOct!M9</f>
        <v>710</v>
      </c>
      <c r="AP10" s="327">
        <f t="shared" si="31"/>
        <v>9.0095806103673617</v>
      </c>
      <c r="AQ10" s="449">
        <f t="shared" si="32"/>
        <v>8.3713581644323387</v>
      </c>
      <c r="AR10" s="327">
        <f t="shared" si="33"/>
        <v>55282.219999999958</v>
      </c>
      <c r="AS10" s="324">
        <f t="shared" si="10"/>
        <v>701.50650339445406</v>
      </c>
      <c r="AT10" s="325">
        <f t="shared" si="11"/>
        <v>651.81304752809069</v>
      </c>
      <c r="AV10" s="20" t="s">
        <v>29</v>
      </c>
      <c r="AW10" t="s">
        <v>176</v>
      </c>
      <c r="AX10" s="13">
        <f>+F39</f>
        <v>0</v>
      </c>
      <c r="AY10" s="13">
        <f>+G39</f>
        <v>0</v>
      </c>
    </row>
    <row r="11" spans="1:51">
      <c r="A11" s="318">
        <f t="shared" si="12"/>
        <v>45934</v>
      </c>
      <c r="B11" s="326">
        <f>+Report1!P12</f>
        <v>71.09</v>
      </c>
      <c r="C11" s="326">
        <f>+Report1!R12</f>
        <v>60.372999999999998</v>
      </c>
      <c r="D11" s="327">
        <f t="shared" si="13"/>
        <v>963.62000000104308</v>
      </c>
      <c r="E11" s="327">
        <f>+[16]DailyOct!D10</f>
        <v>317.40000000037253</v>
      </c>
      <c r="F11" s="327">
        <f t="shared" si="0"/>
        <v>4.4647629765138914</v>
      </c>
      <c r="G11" s="327">
        <f t="shared" si="1"/>
        <v>5.2573170125780155</v>
      </c>
      <c r="H11" s="327">
        <f t="shared" si="14"/>
        <v>0</v>
      </c>
      <c r="I11" s="327">
        <f>+[16]DailyOct!E10</f>
        <v>0</v>
      </c>
      <c r="J11" s="327">
        <f t="shared" si="2"/>
        <v>0</v>
      </c>
      <c r="K11" s="327">
        <f t="shared" si="3"/>
        <v>0</v>
      </c>
      <c r="L11" s="327">
        <f t="shared" si="15"/>
        <v>1090</v>
      </c>
      <c r="M11" s="327">
        <f>+[16]DailyOct!F10</f>
        <v>100</v>
      </c>
      <c r="N11" s="327">
        <f t="shared" si="4"/>
        <v>1.4066676044450697</v>
      </c>
      <c r="O11" s="327">
        <f t="shared" si="5"/>
        <v>1.6563695691782752</v>
      </c>
      <c r="P11" s="327">
        <f t="shared" si="16"/>
        <v>58346.379999998593</v>
      </c>
      <c r="Q11" s="327">
        <f>+[16]DailyOct!G10</f>
        <v>16882.5999999989</v>
      </c>
      <c r="R11" s="327">
        <f t="shared" si="6"/>
        <v>237.48206498802784</v>
      </c>
      <c r="S11" s="327">
        <f t="shared" si="7"/>
        <v>279.63824888607326</v>
      </c>
      <c r="T11" s="327">
        <f t="shared" si="17"/>
        <v>16600.000000000364</v>
      </c>
      <c r="U11" s="327">
        <f>+[16]DailyOct!H10</f>
        <v>3100.0000000003638</v>
      </c>
      <c r="V11" s="327">
        <f t="shared" si="8"/>
        <v>43.606695737802276</v>
      </c>
      <c r="W11" s="327">
        <f t="shared" si="9"/>
        <v>51.347456644532556</v>
      </c>
      <c r="X11" s="327">
        <f t="shared" si="18"/>
        <v>42245.07</v>
      </c>
      <c r="Y11" s="327">
        <f>+[16]DailyOct!I10</f>
        <v>8613.2199999999993</v>
      </c>
      <c r="Z11" s="327">
        <f t="shared" si="19"/>
        <v>121.15937543958361</v>
      </c>
      <c r="AA11" s="327">
        <f t="shared" si="20"/>
        <v>142.66675500637703</v>
      </c>
      <c r="AB11" s="327">
        <f t="shared" si="21"/>
        <v>26085.069999999963</v>
      </c>
      <c r="AC11" s="327">
        <f>+[16]DailyOct!J10</f>
        <v>6983.2200000007679</v>
      </c>
      <c r="AD11" s="327">
        <f t="shared" si="22"/>
        <v>98.230693487139789</v>
      </c>
      <c r="AE11" s="421">
        <f t="shared" si="23"/>
        <v>115.66793102878387</v>
      </c>
      <c r="AF11" s="327">
        <f t="shared" si="24"/>
        <v>42600.000000000364</v>
      </c>
      <c r="AG11" s="327">
        <f>+[16]DailyOct!K10</f>
        <v>11600.000000000364</v>
      </c>
      <c r="AH11" s="327">
        <f t="shared" si="25"/>
        <v>163.17344211563318</v>
      </c>
      <c r="AI11" s="449">
        <f t="shared" si="26"/>
        <v>192.13887002468593</v>
      </c>
      <c r="AJ11" s="327">
        <f t="shared" si="27"/>
        <v>1499</v>
      </c>
      <c r="AK11" s="327">
        <f>+[16]DailyOct!L10</f>
        <v>390</v>
      </c>
      <c r="AL11" s="327">
        <f t="shared" si="28"/>
        <v>5.4860036573357709</v>
      </c>
      <c r="AM11" s="449">
        <f t="shared" si="29"/>
        <v>6.4598413197952729</v>
      </c>
      <c r="AN11" s="327">
        <f t="shared" si="30"/>
        <v>2193</v>
      </c>
      <c r="AO11" s="327">
        <f>+[16]DailyOct!M10</f>
        <v>580</v>
      </c>
      <c r="AP11" s="327">
        <f t="shared" si="31"/>
        <v>8.1586721057814042</v>
      </c>
      <c r="AQ11" s="449">
        <f t="shared" si="32"/>
        <v>9.6069435012339959</v>
      </c>
      <c r="AR11" s="327">
        <f t="shared" si="33"/>
        <v>48566.440000000766</v>
      </c>
      <c r="AS11" s="324">
        <f t="shared" si="10"/>
        <v>683.16837811226287</v>
      </c>
      <c r="AT11" s="325">
        <f t="shared" si="11"/>
        <v>804.43973299323818</v>
      </c>
      <c r="AV11" s="20"/>
      <c r="AW11" t="s">
        <v>177</v>
      </c>
      <c r="AX11" s="13">
        <f>+J39</f>
        <v>0</v>
      </c>
      <c r="AY11" s="13">
        <f>+K39</f>
        <v>0</v>
      </c>
    </row>
    <row r="12" spans="1:51">
      <c r="A12" s="318">
        <f t="shared" si="12"/>
        <v>45935</v>
      </c>
      <c r="B12" s="326">
        <f>+Report1!P13</f>
        <v>72.461999999999989</v>
      </c>
      <c r="C12" s="326">
        <f>+Report1!R13</f>
        <v>70.710999999999999</v>
      </c>
      <c r="D12" s="327">
        <f t="shared" si="13"/>
        <v>1230.3800000008196</v>
      </c>
      <c r="E12" s="327">
        <f>+[16]DailyOct!D11</f>
        <v>266.75999999977648</v>
      </c>
      <c r="F12" s="327">
        <f t="shared" si="0"/>
        <v>3.6813778256158609</v>
      </c>
      <c r="G12" s="327">
        <f t="shared" si="1"/>
        <v>3.7725389260479485</v>
      </c>
      <c r="H12" s="327">
        <f t="shared" si="14"/>
        <v>0</v>
      </c>
      <c r="I12" s="327">
        <f>+[16]DailyOct!E11</f>
        <v>0</v>
      </c>
      <c r="J12" s="327">
        <f t="shared" si="2"/>
        <v>0</v>
      </c>
      <c r="K12" s="327">
        <f t="shared" si="3"/>
        <v>0</v>
      </c>
      <c r="L12" s="327">
        <f t="shared" si="15"/>
        <v>1290</v>
      </c>
      <c r="M12" s="327">
        <f>+[16]DailyOct!F11</f>
        <v>200</v>
      </c>
      <c r="N12" s="327">
        <f t="shared" si="4"/>
        <v>2.7600673456432343</v>
      </c>
      <c r="O12" s="327">
        <f t="shared" si="5"/>
        <v>2.8284142495509892</v>
      </c>
      <c r="P12" s="327">
        <f t="shared" si="16"/>
        <v>74779.619999998453</v>
      </c>
      <c r="Q12" s="327">
        <f>+[16]DailyOct!G11</f>
        <v>16433.23999999986</v>
      </c>
      <c r="R12" s="327">
        <f t="shared" si="6"/>
        <v>226.78424553558918</v>
      </c>
      <c r="S12" s="327">
        <f t="shared" si="7"/>
        <v>232.40005091145451</v>
      </c>
      <c r="T12" s="327">
        <f t="shared" si="17"/>
        <v>20399.999999999636</v>
      </c>
      <c r="U12" s="327">
        <f>+[16]DailyOct!H11</f>
        <v>3799.9999999992724</v>
      </c>
      <c r="V12" s="327">
        <f t="shared" si="8"/>
        <v>52.44127956721141</v>
      </c>
      <c r="W12" s="327">
        <f>U12/C12</f>
        <v>53.73987074145851</v>
      </c>
      <c r="X12" s="327">
        <f t="shared" si="18"/>
        <v>51305.310000000725</v>
      </c>
      <c r="Y12" s="327">
        <f>+[16]DailyOct!I11</f>
        <v>9060.2400000007274</v>
      </c>
      <c r="Z12" s="327">
        <f t="shared" si="19"/>
        <v>125.03436283846331</v>
      </c>
      <c r="AA12" s="327">
        <f t="shared" si="20"/>
        <v>128.13055960176956</v>
      </c>
      <c r="AB12" s="327">
        <f t="shared" si="21"/>
        <v>33605.309999999699</v>
      </c>
      <c r="AC12" s="327">
        <f>+[16]DailyOct!J11</f>
        <v>7520.239999999736</v>
      </c>
      <c r="AD12" s="327">
        <f t="shared" si="22"/>
        <v>103.78184427699674</v>
      </c>
      <c r="AE12" s="421">
        <f t="shared" si="23"/>
        <v>106.35176988021293</v>
      </c>
      <c r="AF12" s="327">
        <f t="shared" si="24"/>
        <v>53600.000000000364</v>
      </c>
      <c r="AG12" s="327">
        <f>+[16]DailyOct!K11</f>
        <v>11000</v>
      </c>
      <c r="AH12" s="327">
        <f t="shared" si="25"/>
        <v>151.80370401037788</v>
      </c>
      <c r="AI12" s="449">
        <f t="shared" si="26"/>
        <v>155.5627837253044</v>
      </c>
      <c r="AJ12" s="327">
        <f t="shared" si="27"/>
        <v>1909</v>
      </c>
      <c r="AK12" s="327">
        <f>+[16]DailyOct!L11</f>
        <v>410</v>
      </c>
      <c r="AL12" s="327">
        <f t="shared" si="28"/>
        <v>5.6581380585686301</v>
      </c>
      <c r="AM12" s="449">
        <f t="shared" si="29"/>
        <v>5.7982492115795283</v>
      </c>
      <c r="AN12" s="327">
        <f t="shared" si="30"/>
        <v>2793</v>
      </c>
      <c r="AO12" s="327">
        <f>+[16]DailyOct!M11</f>
        <v>600</v>
      </c>
      <c r="AP12" s="327">
        <f t="shared" si="31"/>
        <v>8.2802020369297029</v>
      </c>
      <c r="AQ12" s="449">
        <f t="shared" si="32"/>
        <v>8.4852427486529685</v>
      </c>
      <c r="AR12" s="327">
        <f>+E12+I12+M12+Q12+U12+Y12+AC12+AG12+AK12+AO12</f>
        <v>49290.47999999937</v>
      </c>
      <c r="AS12" s="324">
        <f t="shared" si="10"/>
        <v>680.22522149539589</v>
      </c>
      <c r="AT12" s="325">
        <f t="shared" si="11"/>
        <v>697.0694799960313</v>
      </c>
      <c r="AV12" s="20"/>
      <c r="AW12" t="s">
        <v>178</v>
      </c>
      <c r="AX12" s="13">
        <f>+N39</f>
        <v>0</v>
      </c>
      <c r="AY12" s="13">
        <f>+O39</f>
        <v>0</v>
      </c>
    </row>
    <row r="13" spans="1:51">
      <c r="A13" s="318">
        <f t="shared" si="12"/>
        <v>45936</v>
      </c>
      <c r="B13" s="326">
        <f>+Report1!P14</f>
        <v>69.388000000000005</v>
      </c>
      <c r="C13" s="326">
        <f>+Report1!R14</f>
        <v>63.195</v>
      </c>
      <c r="D13" s="327">
        <f t="shared" si="13"/>
        <v>1595.3600000012666</v>
      </c>
      <c r="E13" s="327">
        <f>+[16]DailyOct!D12</f>
        <v>364.98000000044703</v>
      </c>
      <c r="F13" s="327">
        <f t="shared" si="0"/>
        <v>5.2599873176982621</v>
      </c>
      <c r="G13" s="327">
        <f t="shared" si="1"/>
        <v>5.7754569190671257</v>
      </c>
      <c r="H13" s="327">
        <f t="shared" si="14"/>
        <v>0</v>
      </c>
      <c r="I13" s="327">
        <f>+[16]DailyOct!E12</f>
        <v>0</v>
      </c>
      <c r="J13" s="327">
        <f t="shared" si="2"/>
        <v>0</v>
      </c>
      <c r="K13" s="327">
        <f t="shared" si="3"/>
        <v>0</v>
      </c>
      <c r="L13" s="327">
        <f t="shared" si="15"/>
        <v>1690</v>
      </c>
      <c r="M13" s="327">
        <f>+[16]DailyOct!F12</f>
        <v>400</v>
      </c>
      <c r="N13" s="327">
        <f t="shared" si="4"/>
        <v>5.7646855364039888</v>
      </c>
      <c r="O13" s="327">
        <f t="shared" si="5"/>
        <v>6.3296146847060681</v>
      </c>
      <c r="P13" s="327">
        <f t="shared" si="16"/>
        <v>92314.639999999097</v>
      </c>
      <c r="Q13" s="327">
        <f>+[16]DailyOct!G12</f>
        <v>17535.020000000644</v>
      </c>
      <c r="R13" s="327">
        <f t="shared" si="6"/>
        <v>252.70969043639596</v>
      </c>
      <c r="S13" s="327">
        <f t="shared" si="7"/>
        <v>277.47480022154673</v>
      </c>
      <c r="T13" s="327">
        <f t="shared" si="17"/>
        <v>24800.000000000182</v>
      </c>
      <c r="U13" s="327">
        <f>+[16]DailyOct!H12</f>
        <v>4400.0000000005457</v>
      </c>
      <c r="V13" s="327">
        <f t="shared" si="8"/>
        <v>63.41154090045174</v>
      </c>
      <c r="W13" s="327">
        <f t="shared" si="9"/>
        <v>69.625761531775382</v>
      </c>
      <c r="X13" s="327">
        <f t="shared" si="18"/>
        <v>61287.679999999273</v>
      </c>
      <c r="Y13" s="327">
        <f>+[16]DailyOct!I12</f>
        <v>9982.3699999985456</v>
      </c>
      <c r="Z13" s="327">
        <f t="shared" si="19"/>
        <v>143.86305989506175</v>
      </c>
      <c r="AA13" s="327">
        <f t="shared" si="20"/>
        <v>157.96138935040028</v>
      </c>
      <c r="AB13" s="327">
        <f t="shared" si="21"/>
        <v>40907.679999999586</v>
      </c>
      <c r="AC13" s="327">
        <f>+[16]DailyOct!J12</f>
        <v>7302.3699999998871</v>
      </c>
      <c r="AD13" s="327">
        <f t="shared" si="22"/>
        <v>105.23966680117437</v>
      </c>
      <c r="AE13" s="421">
        <f t="shared" si="23"/>
        <v>115.55297096289085</v>
      </c>
      <c r="AF13" s="327">
        <f t="shared" si="24"/>
        <v>65799.999999999272</v>
      </c>
      <c r="AG13" s="327">
        <f>+[16]DailyOct!K12</f>
        <v>12199.999999998909</v>
      </c>
      <c r="AH13" s="327">
        <f t="shared" si="25"/>
        <v>175.82290886030592</v>
      </c>
      <c r="AI13" s="449">
        <f t="shared" si="26"/>
        <v>193.05324788351783</v>
      </c>
      <c r="AJ13" s="327">
        <f t="shared" si="27"/>
        <v>2319</v>
      </c>
      <c r="AK13" s="327">
        <f>+[16]DailyOct!L12</f>
        <v>410</v>
      </c>
      <c r="AL13" s="327">
        <f t="shared" si="28"/>
        <v>5.9088026748140887</v>
      </c>
      <c r="AM13" s="449">
        <f t="shared" si="29"/>
        <v>6.4878550518237201</v>
      </c>
      <c r="AN13" s="327">
        <f t="shared" si="30"/>
        <v>3433</v>
      </c>
      <c r="AO13" s="327">
        <f>+[16]DailyOct!M12</f>
        <v>640</v>
      </c>
      <c r="AP13" s="327">
        <f t="shared" si="31"/>
        <v>9.2234968582463814</v>
      </c>
      <c r="AQ13" s="449">
        <f t="shared" si="32"/>
        <v>10.12738349552971</v>
      </c>
      <c r="AR13" s="327">
        <f t="shared" si="33"/>
        <v>53234.739999998979</v>
      </c>
      <c r="AS13" s="324">
        <f t="shared" si="10"/>
        <v>767.20383928055253</v>
      </c>
      <c r="AT13" s="325">
        <f t="shared" si="11"/>
        <v>842.38848010125764</v>
      </c>
      <c r="AV13" s="20"/>
      <c r="AW13" t="s">
        <v>179</v>
      </c>
      <c r="AX13" s="13">
        <f>+R39</f>
        <v>0</v>
      </c>
      <c r="AY13" s="13">
        <f>+S39</f>
        <v>0</v>
      </c>
    </row>
    <row r="14" spans="1:51">
      <c r="A14" s="318">
        <f t="shared" si="12"/>
        <v>45937</v>
      </c>
      <c r="B14" s="326">
        <f>+Report1!P15</f>
        <v>62.308</v>
      </c>
      <c r="C14" s="326">
        <f>+Report1!R15</f>
        <v>57.293999999999997</v>
      </c>
      <c r="D14" s="327">
        <f t="shared" si="13"/>
        <v>1944.820000000298</v>
      </c>
      <c r="E14" s="327">
        <f>+[16]DailyOct!D13</f>
        <v>349.45999999903142</v>
      </c>
      <c r="F14" s="327">
        <f t="shared" si="0"/>
        <v>5.60858958719637</v>
      </c>
      <c r="G14" s="327">
        <f t="shared" si="1"/>
        <v>6.0994170419072056</v>
      </c>
      <c r="H14" s="327">
        <f t="shared" si="14"/>
        <v>0</v>
      </c>
      <c r="I14" s="327">
        <f>+[16]DailyOct!E13</f>
        <v>0</v>
      </c>
      <c r="J14" s="327">
        <f t="shared" si="2"/>
        <v>0</v>
      </c>
      <c r="K14" s="327">
        <f t="shared" si="3"/>
        <v>0</v>
      </c>
      <c r="L14" s="327">
        <f t="shared" si="15"/>
        <v>1790</v>
      </c>
      <c r="M14" s="327">
        <f>+[16]DailyOct!F13</f>
        <v>100</v>
      </c>
      <c r="N14" s="327">
        <f t="shared" si="4"/>
        <v>1.6049303460229827</v>
      </c>
      <c r="O14" s="327">
        <f t="shared" si="5"/>
        <v>1.7453834607463261</v>
      </c>
      <c r="P14" s="327">
        <f t="shared" si="16"/>
        <v>109265.1799999997</v>
      </c>
      <c r="Q14" s="327">
        <f>+[16]DailyOct!G13</f>
        <v>16950.540000000605</v>
      </c>
      <c r="R14" s="327">
        <f t="shared" si="6"/>
        <v>272.04436027477379</v>
      </c>
      <c r="S14" s="327">
        <f t="shared" si="7"/>
        <v>295.85192166720083</v>
      </c>
      <c r="T14" s="327">
        <f t="shared" si="17"/>
        <v>30699.999999999818</v>
      </c>
      <c r="U14" s="327">
        <f>+[16]DailyOct!H13</f>
        <v>5899.9999999996362</v>
      </c>
      <c r="V14" s="327">
        <f t="shared" si="8"/>
        <v>94.69089041535014</v>
      </c>
      <c r="W14" s="327">
        <f t="shared" si="9"/>
        <v>102.97762418402689</v>
      </c>
      <c r="X14" s="327">
        <f t="shared" si="18"/>
        <v>75274.329999999638</v>
      </c>
      <c r="Y14" s="327">
        <f>+[16]DailyOct!I13</f>
        <v>13986.650000000363</v>
      </c>
      <c r="Z14" s="327">
        <f t="shared" si="19"/>
        <v>224.47599024202933</v>
      </c>
      <c r="AA14" s="327">
        <f t="shared" si="20"/>
        <v>244.12067581248235</v>
      </c>
      <c r="AB14" s="327">
        <f t="shared" si="21"/>
        <v>48604.329999999252</v>
      </c>
      <c r="AC14" s="327">
        <f>+[16]DailyOct!J13</f>
        <v>7696.6499999996668</v>
      </c>
      <c r="AD14" s="327">
        <f t="shared" si="22"/>
        <v>123.52587147717254</v>
      </c>
      <c r="AE14" s="421">
        <f t="shared" si="23"/>
        <v>134.33605613152628</v>
      </c>
      <c r="AF14" s="327">
        <f t="shared" si="24"/>
        <v>77799.999999999272</v>
      </c>
      <c r="AG14" s="327">
        <f>+[16]DailyOct!K13</f>
        <v>12000</v>
      </c>
      <c r="AH14" s="327">
        <f t="shared" si="25"/>
        <v>192.59164152275793</v>
      </c>
      <c r="AI14" s="449">
        <f t="shared" si="26"/>
        <v>209.44601528955911</v>
      </c>
      <c r="AJ14" s="327">
        <f t="shared" si="27"/>
        <v>2719</v>
      </c>
      <c r="AK14" s="327">
        <f>+[16]DailyOct!L13</f>
        <v>400</v>
      </c>
      <c r="AL14" s="327">
        <f t="shared" si="28"/>
        <v>6.4197213840919307</v>
      </c>
      <c r="AM14" s="449">
        <f t="shared" si="29"/>
        <v>6.9815338429853044</v>
      </c>
      <c r="AN14" s="327">
        <f t="shared" si="30"/>
        <v>4083</v>
      </c>
      <c r="AO14" s="327">
        <f>+[16]DailyOct!M13</f>
        <v>650</v>
      </c>
      <c r="AP14" s="327">
        <f t="shared" si="31"/>
        <v>10.432047249149386</v>
      </c>
      <c r="AQ14" s="449">
        <f t="shared" si="32"/>
        <v>11.34499249485112</v>
      </c>
      <c r="AR14" s="327">
        <f t="shared" si="33"/>
        <v>58033.299999999304</v>
      </c>
      <c r="AS14" s="324">
        <f t="shared" si="10"/>
        <v>931.39404249854442</v>
      </c>
      <c r="AT14" s="325">
        <f t="shared" si="11"/>
        <v>1012.9036199252855</v>
      </c>
      <c r="AV14" s="20"/>
      <c r="AW14" t="s">
        <v>180</v>
      </c>
      <c r="AX14" s="13">
        <f>+V39</f>
        <v>0</v>
      </c>
      <c r="AY14" s="13">
        <f>+W39</f>
        <v>0</v>
      </c>
    </row>
    <row r="15" spans="1:51">
      <c r="A15" s="318">
        <f t="shared" si="12"/>
        <v>45938</v>
      </c>
      <c r="B15" s="326">
        <f>+Report1!P16</f>
        <v>58.954999999999998</v>
      </c>
      <c r="C15" s="326">
        <f>+Report1!R16</f>
        <v>61.23</v>
      </c>
      <c r="D15" s="327">
        <f t="shared" si="13"/>
        <v>2366.6500000003725</v>
      </c>
      <c r="E15" s="327">
        <f>+[16]DailyOct!D14</f>
        <v>421.83000000007451</v>
      </c>
      <c r="F15" s="327">
        <f t="shared" si="0"/>
        <v>7.1551183105771266</v>
      </c>
      <c r="G15" s="327">
        <f t="shared" si="1"/>
        <v>6.8892699657043037</v>
      </c>
      <c r="H15" s="327">
        <f t="shared" si="14"/>
        <v>0</v>
      </c>
      <c r="I15" s="327">
        <f>+[16]DailyOct!E14</f>
        <v>0</v>
      </c>
      <c r="J15" s="327">
        <f t="shared" si="2"/>
        <v>0</v>
      </c>
      <c r="K15" s="327">
        <f t="shared" si="3"/>
        <v>0</v>
      </c>
      <c r="L15" s="327">
        <f t="shared" si="15"/>
        <v>1990</v>
      </c>
      <c r="M15" s="327">
        <f>+[16]DailyOct!F14</f>
        <v>200</v>
      </c>
      <c r="N15" s="327">
        <f t="shared" si="4"/>
        <v>3.392417945890934</v>
      </c>
      <c r="O15" s="327">
        <f t="shared" si="5"/>
        <v>3.2663726931242856</v>
      </c>
      <c r="P15" s="327">
        <f t="shared" si="16"/>
        <v>126743.34999999999</v>
      </c>
      <c r="Q15" s="327">
        <f>+[16]DailyOct!G14</f>
        <v>17478.170000000289</v>
      </c>
      <c r="R15" s="327">
        <f t="shared" si="6"/>
        <v>296.46628784666763</v>
      </c>
      <c r="S15" s="327">
        <f t="shared" si="7"/>
        <v>285.45108606892518</v>
      </c>
      <c r="T15" s="327">
        <f t="shared" si="17"/>
        <v>38300.000000000182</v>
      </c>
      <c r="U15" s="327">
        <f>+[16]DailyOct!H14</f>
        <v>7600.0000000003638</v>
      </c>
      <c r="V15" s="327">
        <f t="shared" si="8"/>
        <v>128.91188194386166</v>
      </c>
      <c r="W15" s="327">
        <f t="shared" si="9"/>
        <v>124.1221623387288</v>
      </c>
      <c r="X15" s="327">
        <f t="shared" si="18"/>
        <v>91246.459999999643</v>
      </c>
      <c r="Y15" s="327">
        <f>+[16]DailyOct!I14</f>
        <v>15972.13</v>
      </c>
      <c r="Z15" s="327">
        <f t="shared" si="19"/>
        <v>270.92070223051479</v>
      </c>
      <c r="AA15" s="327">
        <f t="shared" si="20"/>
        <v>260.85464641515597</v>
      </c>
      <c r="AB15" s="327">
        <f t="shared" si="21"/>
        <v>55946.460000000072</v>
      </c>
      <c r="AC15" s="327">
        <f>+[16]DailyOct!J14</f>
        <v>7342.1300000008177</v>
      </c>
      <c r="AD15" s="327">
        <f t="shared" si="22"/>
        <v>124.53786786533489</v>
      </c>
      <c r="AE15" s="421">
        <f t="shared" si="23"/>
        <v>119.91066470685641</v>
      </c>
      <c r="AF15" s="327">
        <f t="shared" si="24"/>
        <v>85600.000000000364</v>
      </c>
      <c r="AG15" s="327">
        <f>+[16]DailyOct!K14</f>
        <v>7800.0000000010914</v>
      </c>
      <c r="AH15" s="327">
        <f t="shared" si="25"/>
        <v>132.30429988976493</v>
      </c>
      <c r="AI15" s="449">
        <f t="shared" si="26"/>
        <v>127.38853503186496</v>
      </c>
      <c r="AJ15" s="327">
        <f t="shared" si="27"/>
        <v>3109</v>
      </c>
      <c r="AK15" s="327">
        <f>+[16]DailyOct!L14</f>
        <v>390</v>
      </c>
      <c r="AL15" s="327">
        <f t="shared" si="28"/>
        <v>6.6152149944873209</v>
      </c>
      <c r="AM15" s="449">
        <f t="shared" si="29"/>
        <v>6.369426751592357</v>
      </c>
      <c r="AN15" s="327">
        <f t="shared" si="30"/>
        <v>4653</v>
      </c>
      <c r="AO15" s="327">
        <f>+[16]DailyOct!M14</f>
        <v>570</v>
      </c>
      <c r="AP15" s="327">
        <f t="shared" si="31"/>
        <v>9.6683911457891618</v>
      </c>
      <c r="AQ15" s="449">
        <f t="shared" si="32"/>
        <v>9.3091621754042144</v>
      </c>
      <c r="AR15" s="327">
        <f t="shared" si="33"/>
        <v>57774.260000002636</v>
      </c>
      <c r="AS15" s="324">
        <f t="shared" si="10"/>
        <v>979.97218217288844</v>
      </c>
      <c r="AT15" s="325">
        <f t="shared" si="11"/>
        <v>943.56132614735645</v>
      </c>
      <c r="AV15" s="20"/>
      <c r="AW15" t="s">
        <v>181</v>
      </c>
      <c r="AX15" s="13">
        <f>+Z39</f>
        <v>0</v>
      </c>
      <c r="AY15" s="13">
        <f>+AA39</f>
        <v>0</v>
      </c>
    </row>
    <row r="16" spans="1:51">
      <c r="A16" s="318">
        <f t="shared" si="12"/>
        <v>45939</v>
      </c>
      <c r="B16" s="326">
        <f>+Report1!P17</f>
        <v>58.405999999999992</v>
      </c>
      <c r="C16" s="326">
        <f>+Report1!R17</f>
        <v>56.420999999999999</v>
      </c>
      <c r="D16" s="327">
        <f t="shared" si="13"/>
        <v>2636.890000000596</v>
      </c>
      <c r="E16" s="327">
        <f>+[16]DailyOct!D15</f>
        <v>270.24000000022352</v>
      </c>
      <c r="F16" s="327">
        <f t="shared" si="0"/>
        <v>4.6269218915903085</v>
      </c>
      <c r="G16" s="327">
        <f t="shared" si="1"/>
        <v>4.7897059605505667</v>
      </c>
      <c r="H16" s="327">
        <f t="shared" si="14"/>
        <v>0</v>
      </c>
      <c r="I16" s="327">
        <f>+[16]DailyOct!E15</f>
        <v>0</v>
      </c>
      <c r="J16" s="327">
        <f t="shared" si="2"/>
        <v>0</v>
      </c>
      <c r="K16" s="327">
        <f t="shared" si="3"/>
        <v>0</v>
      </c>
      <c r="L16" s="327">
        <f t="shared" si="15"/>
        <v>2190</v>
      </c>
      <c r="M16" s="327">
        <f>+[16]DailyOct!F15</f>
        <v>200</v>
      </c>
      <c r="N16" s="327">
        <f t="shared" si="4"/>
        <v>3.4243057220148621</v>
      </c>
      <c r="O16" s="327">
        <f t="shared" si="5"/>
        <v>3.5447794261002108</v>
      </c>
      <c r="P16" s="327">
        <f t="shared" si="16"/>
        <v>144373.11000000013</v>
      </c>
      <c r="Q16" s="327">
        <f>+[16]DailyOct!G15</f>
        <v>17629.76000000014</v>
      </c>
      <c r="R16" s="327">
        <f t="shared" si="6"/>
        <v>301.84844022874609</v>
      </c>
      <c r="S16" s="327">
        <f t="shared" si="7"/>
        <v>312.46805267542476</v>
      </c>
      <c r="T16" s="327">
        <f t="shared" si="17"/>
        <v>46300.000000000182</v>
      </c>
      <c r="U16" s="327">
        <f>+[16]DailyOct!H15</f>
        <v>8000</v>
      </c>
      <c r="V16" s="327">
        <f t="shared" si="8"/>
        <v>136.97222888059449</v>
      </c>
      <c r="W16" s="327">
        <f t="shared" si="9"/>
        <v>141.79117704400844</v>
      </c>
      <c r="X16" s="327">
        <f t="shared" si="18"/>
        <v>108576.39000000074</v>
      </c>
      <c r="Y16" s="327">
        <f>+[16]DailyOct!I15</f>
        <v>17329.930000001092</v>
      </c>
      <c r="Z16" s="327">
        <f t="shared" si="19"/>
        <v>296.71489230560377</v>
      </c>
      <c r="AA16" s="327">
        <f t="shared" si="20"/>
        <v>307.1538965988035</v>
      </c>
      <c r="AB16" s="327">
        <f t="shared" si="21"/>
        <v>62646.390000000349</v>
      </c>
      <c r="AC16" s="327">
        <f>+[16]DailyOct!J15</f>
        <v>6699.9300000002777</v>
      </c>
      <c r="AD16" s="327">
        <f t="shared" si="22"/>
        <v>114.71304318049992</v>
      </c>
      <c r="AE16" s="421">
        <f t="shared" si="23"/>
        <v>118.74887010156286</v>
      </c>
      <c r="AF16" s="327">
        <f t="shared" si="24"/>
        <v>94200.000000000728</v>
      </c>
      <c r="AG16" s="327">
        <f>+[16]DailyOct!K15</f>
        <v>8600.0000000003638</v>
      </c>
      <c r="AH16" s="327">
        <f t="shared" si="25"/>
        <v>147.24514604664529</v>
      </c>
      <c r="AI16" s="449">
        <f t="shared" si="26"/>
        <v>152.4255153223155</v>
      </c>
      <c r="AJ16" s="327">
        <f t="shared" si="27"/>
        <v>3519</v>
      </c>
      <c r="AK16" s="327">
        <f>+[16]DailyOct!L15</f>
        <v>410</v>
      </c>
      <c r="AL16" s="327">
        <f t="shared" si="28"/>
        <v>7.0198267301304673</v>
      </c>
      <c r="AM16" s="449">
        <f t="shared" si="29"/>
        <v>7.2667978235054322</v>
      </c>
      <c r="AN16" s="327">
        <f t="shared" si="30"/>
        <v>5193</v>
      </c>
      <c r="AO16" s="327">
        <f>+[16]DailyOct!M15</f>
        <v>540</v>
      </c>
      <c r="AP16" s="327">
        <f t="shared" si="31"/>
        <v>9.2456254494401282</v>
      </c>
      <c r="AQ16" s="449">
        <f t="shared" si="32"/>
        <v>9.5709044504705698</v>
      </c>
      <c r="AR16" s="327">
        <f t="shared" si="33"/>
        <v>59679.860000002096</v>
      </c>
      <c r="AS16" s="324">
        <f t="shared" si="10"/>
        <v>1021.8104304352653</v>
      </c>
      <c r="AT16" s="325">
        <f t="shared" si="11"/>
        <v>1057.7596994027417</v>
      </c>
      <c r="AV16" s="20"/>
      <c r="AX16" s="18">
        <f>SUM(AX10:AX15)</f>
        <v>0</v>
      </c>
      <c r="AY16" s="18">
        <f>SUM(AY10:AY15)</f>
        <v>0</v>
      </c>
    </row>
    <row r="17" spans="1:51">
      <c r="A17" s="318">
        <f t="shared" si="12"/>
        <v>45940</v>
      </c>
      <c r="B17" s="326">
        <f>+Report1!P18</f>
        <v>50.674999999999997</v>
      </c>
      <c r="C17" s="326">
        <f>+Report1!R18</f>
        <v>48.959000000000003</v>
      </c>
      <c r="D17" s="327">
        <f t="shared" si="13"/>
        <v>2983</v>
      </c>
      <c r="E17" s="327">
        <f>+[16]DailyOct!D16</f>
        <v>346.10999999940395</v>
      </c>
      <c r="F17" s="327">
        <f t="shared" si="0"/>
        <v>6.8299950665891265</v>
      </c>
      <c r="G17" s="327">
        <f t="shared" si="1"/>
        <v>7.0693845870913199</v>
      </c>
      <c r="H17" s="327">
        <f t="shared" si="14"/>
        <v>0</v>
      </c>
      <c r="I17" s="327">
        <f>+[16]DailyOct!E16</f>
        <v>0</v>
      </c>
      <c r="J17" s="327">
        <f t="shared" si="2"/>
        <v>0</v>
      </c>
      <c r="K17" s="327">
        <f t="shared" si="3"/>
        <v>0</v>
      </c>
      <c r="L17" s="327">
        <f t="shared" si="15"/>
        <v>2290</v>
      </c>
      <c r="M17" s="327">
        <f>+[16]DailyOct!F16</f>
        <v>100</v>
      </c>
      <c r="N17" s="327">
        <f t="shared" si="4"/>
        <v>1.9733596447952642</v>
      </c>
      <c r="O17" s="327">
        <f t="shared" si="5"/>
        <v>2.0425253783778263</v>
      </c>
      <c r="P17" s="327">
        <f t="shared" si="16"/>
        <v>161626.99999999965</v>
      </c>
      <c r="Q17" s="327">
        <f>+[16]DailyOct!G16</f>
        <v>17253.889999999505</v>
      </c>
      <c r="R17" s="327">
        <f t="shared" si="6"/>
        <v>340.48130241735583</v>
      </c>
      <c r="S17" s="327">
        <f t="shared" si="7"/>
        <v>352.41508200738377</v>
      </c>
      <c r="T17" s="327">
        <f t="shared" si="17"/>
        <v>53899.999999999636</v>
      </c>
      <c r="U17" s="327">
        <f>+[16]DailyOct!H16</f>
        <v>7599.9999999994543</v>
      </c>
      <c r="V17" s="327">
        <f t="shared" si="8"/>
        <v>149.9753330044293</v>
      </c>
      <c r="W17" s="327">
        <f t="shared" si="9"/>
        <v>155.23192875670364</v>
      </c>
      <c r="X17" s="327">
        <f t="shared" si="18"/>
        <v>124635.06000000038</v>
      </c>
      <c r="Y17" s="327">
        <f>+[16]DailyOct!I16</f>
        <v>16058.669999999636</v>
      </c>
      <c r="Z17" s="327">
        <f t="shared" si="19"/>
        <v>316.89531327083643</v>
      </c>
      <c r="AA17" s="327">
        <f t="shared" si="20"/>
        <v>328.00241017993903</v>
      </c>
      <c r="AB17" s="327">
        <f t="shared" si="21"/>
        <v>71385.060000000711</v>
      </c>
      <c r="AC17" s="327">
        <f>+[16]DailyOct!J16</f>
        <v>8738.6700000003602</v>
      </c>
      <c r="AD17" s="327">
        <f t="shared" si="22"/>
        <v>172.4453872718374</v>
      </c>
      <c r="AE17" s="421">
        <f t="shared" si="23"/>
        <v>178.48955248269695</v>
      </c>
      <c r="AF17" s="327">
        <f t="shared" si="24"/>
        <v>102299.99999999927</v>
      </c>
      <c r="AG17" s="327">
        <f>+[16]DailyOct!K16</f>
        <v>8099.9999999985448</v>
      </c>
      <c r="AH17" s="327">
        <f t="shared" si="25"/>
        <v>159.84213122838767</v>
      </c>
      <c r="AI17" s="449">
        <f t="shared" si="26"/>
        <v>165.44455564857421</v>
      </c>
      <c r="AJ17" s="327">
        <f t="shared" si="27"/>
        <v>3879</v>
      </c>
      <c r="AK17" s="327">
        <f>+[16]DailyOct!L16</f>
        <v>360</v>
      </c>
      <c r="AL17" s="327">
        <f t="shared" si="28"/>
        <v>7.1040947212629506</v>
      </c>
      <c r="AM17" s="449">
        <f t="shared" si="29"/>
        <v>7.3530913621601748</v>
      </c>
      <c r="AN17" s="327">
        <f t="shared" si="30"/>
        <v>5743</v>
      </c>
      <c r="AO17" s="327">
        <f>+[16]DailyOct!M16</f>
        <v>550</v>
      </c>
      <c r="AP17" s="327">
        <f t="shared" si="31"/>
        <v>10.853478046373953</v>
      </c>
      <c r="AQ17" s="449">
        <f t="shared" si="32"/>
        <v>11.233889581078044</v>
      </c>
      <c r="AR17" s="327">
        <f t="shared" si="33"/>
        <v>59107.339999996904</v>
      </c>
      <c r="AS17" s="324">
        <f t="shared" si="10"/>
        <v>1166.4003946718678</v>
      </c>
      <c r="AT17" s="325">
        <f t="shared" si="11"/>
        <v>1207.2824199840049</v>
      </c>
      <c r="AV17" s="20" t="s">
        <v>190</v>
      </c>
      <c r="AW17" t="s">
        <v>182</v>
      </c>
      <c r="AX17" s="13">
        <f>+AD39</f>
        <v>0</v>
      </c>
      <c r="AY17" s="13">
        <f>+AE39</f>
        <v>0</v>
      </c>
    </row>
    <row r="18" spans="1:51">
      <c r="A18" s="318">
        <f t="shared" si="12"/>
        <v>45941</v>
      </c>
      <c r="B18" s="326">
        <f>+Report1!P19</f>
        <v>54.191000000000003</v>
      </c>
      <c r="C18" s="326">
        <f>+Report1!R19</f>
        <v>49.890999999999998</v>
      </c>
      <c r="D18" s="327">
        <f t="shared" si="13"/>
        <v>3267.339999999851</v>
      </c>
      <c r="E18" s="327">
        <f>+[16]DailyOct!D17</f>
        <v>284.33999999985099</v>
      </c>
      <c r="F18" s="321">
        <f t="shared" si="0"/>
        <v>5.2469967337722307</v>
      </c>
      <c r="G18" s="321">
        <f t="shared" si="1"/>
        <v>5.6992243089906198</v>
      </c>
      <c r="H18" s="327">
        <f t="shared" si="14"/>
        <v>0</v>
      </c>
      <c r="I18" s="327">
        <f>+[16]DailyOct!E17</f>
        <v>0</v>
      </c>
      <c r="J18" s="321">
        <f t="shared" si="2"/>
        <v>0</v>
      </c>
      <c r="K18" s="321">
        <f t="shared" si="3"/>
        <v>0</v>
      </c>
      <c r="L18" s="327">
        <f t="shared" si="15"/>
        <v>2390</v>
      </c>
      <c r="M18" s="327">
        <f>+[16]DailyOct!F17</f>
        <v>100</v>
      </c>
      <c r="N18" s="321">
        <f t="shared" si="4"/>
        <v>1.8453248694432653</v>
      </c>
      <c r="O18" s="321">
        <f t="shared" si="5"/>
        <v>2.0043695255657332</v>
      </c>
      <c r="P18" s="327">
        <f t="shared" si="16"/>
        <v>179242.6599999998</v>
      </c>
      <c r="Q18" s="327">
        <f>+[16]DailyOct!G17</f>
        <v>17615.660000000149</v>
      </c>
      <c r="R18" s="321">
        <f t="shared" si="6"/>
        <v>325.0661548965723</v>
      </c>
      <c r="S18" s="321">
        <f t="shared" si="7"/>
        <v>353.08292076727565</v>
      </c>
      <c r="T18" s="327">
        <f t="shared" si="17"/>
        <v>61300.000000000182</v>
      </c>
      <c r="U18" s="327">
        <f>+[16]DailyOct!H17</f>
        <v>7400.0000000005457</v>
      </c>
      <c r="V18" s="321">
        <f t="shared" si="8"/>
        <v>136.55404033881172</v>
      </c>
      <c r="W18" s="321">
        <f t="shared" si="9"/>
        <v>148.32334489187519</v>
      </c>
      <c r="X18" s="327">
        <f t="shared" si="18"/>
        <v>139606.45000000001</v>
      </c>
      <c r="Y18" s="327">
        <f>+[16]DailyOct!I17</f>
        <v>14971.389999999636</v>
      </c>
      <c r="Z18" s="327">
        <f t="shared" si="19"/>
        <v>276.27078297133539</v>
      </c>
      <c r="AA18" s="327">
        <f t="shared" si="20"/>
        <v>300.08197871358834</v>
      </c>
      <c r="AB18" s="327">
        <f t="shared" si="21"/>
        <v>78356.449999999531</v>
      </c>
      <c r="AC18" s="327">
        <f>+[16]DailyOct!J17</f>
        <v>6971.3899999988216</v>
      </c>
      <c r="AD18" s="327">
        <f t="shared" si="22"/>
        <v>128.64479341585911</v>
      </c>
      <c r="AE18" s="421">
        <f t="shared" si="23"/>
        <v>139.73241666831336</v>
      </c>
      <c r="AF18" s="327">
        <f t="shared" si="24"/>
        <v>110899.99999999964</v>
      </c>
      <c r="AG18" s="327">
        <f>+[16]DailyOct!K17</f>
        <v>8600.0000000003638</v>
      </c>
      <c r="AH18" s="327">
        <f t="shared" si="25"/>
        <v>158.69793877212754</v>
      </c>
      <c r="AI18" s="449">
        <f t="shared" si="26"/>
        <v>172.37577919866035</v>
      </c>
      <c r="AJ18" s="327">
        <f t="shared" si="27"/>
        <v>4219</v>
      </c>
      <c r="AK18" s="327">
        <f>+[16]DailyOct!L17</f>
        <v>340</v>
      </c>
      <c r="AL18" s="327">
        <f t="shared" si="28"/>
        <v>6.274104556107102</v>
      </c>
      <c r="AM18" s="449">
        <f t="shared" si="29"/>
        <v>6.814856386923493</v>
      </c>
      <c r="AN18" s="327">
        <f t="shared" si="30"/>
        <v>6353</v>
      </c>
      <c r="AO18" s="327">
        <f>+[16]DailyOct!M17</f>
        <v>610</v>
      </c>
      <c r="AP18" s="327">
        <f t="shared" si="31"/>
        <v>11.256481703603919</v>
      </c>
      <c r="AQ18" s="449">
        <f t="shared" si="32"/>
        <v>12.226654105950974</v>
      </c>
      <c r="AR18" s="327">
        <f t="shared" si="33"/>
        <v>56892.779999999366</v>
      </c>
      <c r="AS18" s="324">
        <f t="shared" si="10"/>
        <v>1049.8566182576326</v>
      </c>
      <c r="AT18" s="325">
        <f t="shared" si="11"/>
        <v>1140.3415445671437</v>
      </c>
      <c r="AV18" s="20"/>
      <c r="AW18" t="s">
        <v>183</v>
      </c>
      <c r="AX18" s="13">
        <f>+AH39</f>
        <v>0</v>
      </c>
      <c r="AY18" s="13">
        <f>+AI39</f>
        <v>0</v>
      </c>
    </row>
    <row r="19" spans="1:51">
      <c r="A19" s="318">
        <f t="shared" si="12"/>
        <v>45942</v>
      </c>
      <c r="B19" s="326">
        <f>+Report1!P20</f>
        <v>52.38000000000001</v>
      </c>
      <c r="C19" s="326">
        <f>+Report1!R20</f>
        <v>48.902999999999999</v>
      </c>
      <c r="D19" s="327">
        <f t="shared" si="13"/>
        <v>3639.4199999999255</v>
      </c>
      <c r="E19" s="327">
        <f>+[16]DailyOct!D18</f>
        <v>372.08000000007451</v>
      </c>
      <c r="F19" s="321">
        <f t="shared" si="0"/>
        <v>7.1034746086306688</v>
      </c>
      <c r="G19" s="321">
        <f t="shared" si="1"/>
        <v>7.6085311739581316</v>
      </c>
      <c r="H19" s="327">
        <f t="shared" si="14"/>
        <v>0</v>
      </c>
      <c r="I19" s="327">
        <f>+[16]DailyOct!E18</f>
        <v>0</v>
      </c>
      <c r="J19" s="321">
        <f t="shared" si="2"/>
        <v>0</v>
      </c>
      <c r="K19" s="321">
        <f t="shared" si="3"/>
        <v>0</v>
      </c>
      <c r="L19" s="327">
        <f t="shared" si="15"/>
        <v>2590</v>
      </c>
      <c r="M19" s="327">
        <f>+[16]DailyOct!F18</f>
        <v>200</v>
      </c>
      <c r="N19" s="321">
        <f t="shared" si="4"/>
        <v>3.8182512409316525</v>
      </c>
      <c r="O19" s="321">
        <f t="shared" si="5"/>
        <v>4.0897286465043043</v>
      </c>
      <c r="P19" s="327">
        <f t="shared" si="16"/>
        <v>196570.57999999938</v>
      </c>
      <c r="Q19" s="327">
        <f>+[16]DailyOct!G18</f>
        <v>17327.919999999562</v>
      </c>
      <c r="R19" s="321">
        <f t="shared" si="6"/>
        <v>330.81176021381361</v>
      </c>
      <c r="S19" s="321">
        <f t="shared" si="7"/>
        <v>354.33245404166536</v>
      </c>
      <c r="T19" s="327">
        <f t="shared" si="17"/>
        <v>68699.999999999825</v>
      </c>
      <c r="U19" s="327">
        <f>+[16]DailyOct!H18</f>
        <v>7399.9999999996362</v>
      </c>
      <c r="V19" s="321">
        <f t="shared" si="8"/>
        <v>141.27529591446421</v>
      </c>
      <c r="W19" s="321">
        <f t="shared" si="9"/>
        <v>151.31995992065183</v>
      </c>
      <c r="X19" s="327">
        <f t="shared" si="18"/>
        <v>155871.99000000037</v>
      </c>
      <c r="Y19" s="327">
        <f>+[16]DailyOct!I18</f>
        <v>16265.540000000365</v>
      </c>
      <c r="Z19" s="327">
        <f t="shared" si="19"/>
        <v>310.52959144712412</v>
      </c>
      <c r="AA19" s="327">
        <f t="shared" si="20"/>
        <v>332.60822444431557</v>
      </c>
      <c r="AB19" s="327">
        <f t="shared" si="21"/>
        <v>84991.989999999612</v>
      </c>
      <c r="AC19" s="327">
        <f>+[16]DailyOct!J18</f>
        <v>6635.5400000000873</v>
      </c>
      <c r="AD19" s="327">
        <f t="shared" si="22"/>
        <v>126.68079419625975</v>
      </c>
      <c r="AE19" s="421">
        <f t="shared" si="23"/>
        <v>135.68779011512765</v>
      </c>
      <c r="AF19" s="327">
        <f t="shared" si="24"/>
        <v>118899.99999999964</v>
      </c>
      <c r="AG19" s="327">
        <f>+[16]DailyOct!K18</f>
        <v>8000</v>
      </c>
      <c r="AH19" s="327">
        <f t="shared" si="25"/>
        <v>152.73004963726609</v>
      </c>
      <c r="AI19" s="449">
        <f t="shared" si="26"/>
        <v>163.58914586017218</v>
      </c>
      <c r="AJ19" s="327">
        <f t="shared" si="27"/>
        <v>4589</v>
      </c>
      <c r="AK19" s="327">
        <f>+[16]DailyOct!L18</f>
        <v>370</v>
      </c>
      <c r="AL19" s="327">
        <f t="shared" si="28"/>
        <v>7.0637647957235572</v>
      </c>
      <c r="AM19" s="449">
        <f t="shared" si="29"/>
        <v>7.5659979960329631</v>
      </c>
      <c r="AN19" s="327">
        <f t="shared" si="30"/>
        <v>6893</v>
      </c>
      <c r="AO19" s="327">
        <f>+[16]DailyOct!M18</f>
        <v>540</v>
      </c>
      <c r="AP19" s="327">
        <f t="shared" si="31"/>
        <v>10.309278350515463</v>
      </c>
      <c r="AQ19" s="449">
        <f t="shared" si="32"/>
        <v>11.042267345561623</v>
      </c>
      <c r="AR19" s="327">
        <f t="shared" si="33"/>
        <v>57111.079999999725</v>
      </c>
      <c r="AS19" s="324">
        <f t="shared" si="10"/>
        <v>1090.3222604047291</v>
      </c>
      <c r="AT19" s="325">
        <f t="shared" si="11"/>
        <v>1167.8440995439896</v>
      </c>
      <c r="AV19" s="20"/>
      <c r="AX19" s="18">
        <f>SUM(AX17:AX18)</f>
        <v>0</v>
      </c>
      <c r="AY19" s="18">
        <f>SUM(AY17:AY18)</f>
        <v>0</v>
      </c>
    </row>
    <row r="20" spans="1:51">
      <c r="A20" s="318">
        <f t="shared" si="12"/>
        <v>45943</v>
      </c>
      <c r="B20" s="326">
        <f>+Report1!P21</f>
        <v>55.008000000000003</v>
      </c>
      <c r="C20" s="326">
        <f>+Report1!R21</f>
        <v>55.070999999999998</v>
      </c>
      <c r="D20" s="327">
        <f t="shared" si="13"/>
        <v>3972.320000000298</v>
      </c>
      <c r="E20" s="327">
        <f>+[16]DailyOct!D19</f>
        <v>332.90000000037253</v>
      </c>
      <c r="F20" s="321">
        <f t="shared" si="0"/>
        <v>6.0518470040789065</v>
      </c>
      <c r="G20" s="321">
        <f t="shared" si="1"/>
        <v>6.0449238256137088</v>
      </c>
      <c r="H20" s="327">
        <f t="shared" si="14"/>
        <v>0</v>
      </c>
      <c r="I20" s="327">
        <f>+[16]DailyOct!E19</f>
        <v>0</v>
      </c>
      <c r="J20" s="321">
        <f t="shared" si="2"/>
        <v>0</v>
      </c>
      <c r="K20" s="321">
        <f t="shared" si="3"/>
        <v>0</v>
      </c>
      <c r="L20" s="327">
        <f t="shared" si="15"/>
        <v>2690</v>
      </c>
      <c r="M20" s="327">
        <f>+[16]DailyOct!F19</f>
        <v>100</v>
      </c>
      <c r="N20" s="321">
        <f t="shared" si="4"/>
        <v>1.8179173938336242</v>
      </c>
      <c r="O20" s="321">
        <f t="shared" si="5"/>
        <v>1.8158377367398451</v>
      </c>
      <c r="P20" s="327">
        <f t="shared" si="16"/>
        <v>213937.68000000011</v>
      </c>
      <c r="Q20" s="327">
        <f>+[16]DailyOct!G19</f>
        <v>17367.100000000719</v>
      </c>
      <c r="R20" s="321">
        <f t="shared" si="6"/>
        <v>315.7195317044924</v>
      </c>
      <c r="S20" s="321">
        <f t="shared" si="7"/>
        <v>315.35835557735868</v>
      </c>
      <c r="T20" s="327">
        <f t="shared" si="17"/>
        <v>76100.000000000378</v>
      </c>
      <c r="U20" s="327">
        <f>+[16]DailyOct!H19</f>
        <v>7400.0000000005457</v>
      </c>
      <c r="V20" s="321">
        <f t="shared" si="8"/>
        <v>134.5258871436981</v>
      </c>
      <c r="W20" s="321">
        <f t="shared" si="9"/>
        <v>134.37199251875845</v>
      </c>
      <c r="X20" s="327">
        <f t="shared" si="18"/>
        <v>170933.46000000072</v>
      </c>
      <c r="Y20" s="327">
        <f>+[16]DailyOct!I19</f>
        <v>15061.470000000363</v>
      </c>
      <c r="Z20" s="327">
        <f t="shared" si="19"/>
        <v>273.80508289703977</v>
      </c>
      <c r="AA20" s="327">
        <f t="shared" si="20"/>
        <v>273.49185596775732</v>
      </c>
      <c r="AB20" s="327">
        <f t="shared" si="21"/>
        <v>88873.460000000065</v>
      </c>
      <c r="AC20" s="327">
        <f>+[16]DailyOct!J19</f>
        <v>3881.4700000004586</v>
      </c>
      <c r="AD20" s="327">
        <f t="shared" si="22"/>
        <v>70.561918266442305</v>
      </c>
      <c r="AE20" s="421">
        <f t="shared" si="23"/>
        <v>70.481197000244393</v>
      </c>
      <c r="AF20" s="327">
        <f t="shared" si="24"/>
        <v>126899.99999999964</v>
      </c>
      <c r="AG20" s="327">
        <f>+[16]DailyOct!K19</f>
        <v>8000</v>
      </c>
      <c r="AH20" s="327">
        <f t="shared" si="25"/>
        <v>145.43339150668993</v>
      </c>
      <c r="AI20" s="449">
        <f t="shared" si="26"/>
        <v>145.26701893918761</v>
      </c>
      <c r="AJ20" s="327">
        <f t="shared" si="27"/>
        <v>4949</v>
      </c>
      <c r="AK20" s="327">
        <f>+[16]DailyOct!L19</f>
        <v>360</v>
      </c>
      <c r="AL20" s="327">
        <f t="shared" si="28"/>
        <v>6.5445026178010464</v>
      </c>
      <c r="AM20" s="449">
        <f t="shared" si="29"/>
        <v>6.5370158522634423</v>
      </c>
      <c r="AN20" s="327">
        <f t="shared" si="30"/>
        <v>7443</v>
      </c>
      <c r="AO20" s="327">
        <f>+[16]DailyOct!M19</f>
        <v>550</v>
      </c>
      <c r="AP20" s="327">
        <f t="shared" si="31"/>
        <v>9.998545666084933</v>
      </c>
      <c r="AQ20" s="449">
        <f t="shared" si="32"/>
        <v>9.9871075520691477</v>
      </c>
      <c r="AR20" s="327">
        <f t="shared" si="33"/>
        <v>53052.940000002462</v>
      </c>
      <c r="AS20" s="324">
        <f t="shared" si="10"/>
        <v>964.45862420016101</v>
      </c>
      <c r="AT20" s="325">
        <f t="shared" si="11"/>
        <v>963.35530496999263</v>
      </c>
      <c r="AV20" s="20" t="s">
        <v>191</v>
      </c>
      <c r="AW20" t="s">
        <v>184</v>
      </c>
      <c r="AX20" s="13">
        <f>+AL39</f>
        <v>0</v>
      </c>
      <c r="AY20" s="13">
        <f>+AM39</f>
        <v>0</v>
      </c>
    </row>
    <row r="21" spans="1:51">
      <c r="A21" s="318">
        <f t="shared" si="12"/>
        <v>45944</v>
      </c>
      <c r="B21" s="326">
        <f>+Report1!P22</f>
        <v>59.032000000000004</v>
      </c>
      <c r="C21" s="326">
        <f>+Report1!R22</f>
        <v>60.683</v>
      </c>
      <c r="D21" s="327">
        <f t="shared" si="13"/>
        <v>4320</v>
      </c>
      <c r="E21" s="327">
        <f>+[16]DailyOct!D20</f>
        <v>347.67999999970198</v>
      </c>
      <c r="F21" s="321">
        <f t="shared" si="0"/>
        <v>5.8896869494460962</v>
      </c>
      <c r="G21" s="321">
        <f t="shared" si="1"/>
        <v>5.7294464677043324</v>
      </c>
      <c r="H21" s="327">
        <f t="shared" si="14"/>
        <v>0</v>
      </c>
      <c r="I21" s="327">
        <f>+[16]DailyOct!E20</f>
        <v>0</v>
      </c>
      <c r="J21" s="321">
        <f t="shared" si="2"/>
        <v>0</v>
      </c>
      <c r="K21" s="321">
        <f t="shared" si="3"/>
        <v>0</v>
      </c>
      <c r="L21" s="327">
        <f t="shared" si="15"/>
        <v>2890</v>
      </c>
      <c r="M21" s="327">
        <f>+[16]DailyOct!F20</f>
        <v>200</v>
      </c>
      <c r="N21" s="321">
        <f t="shared" si="4"/>
        <v>3.3879929529746575</v>
      </c>
      <c r="O21" s="321">
        <f t="shared" si="5"/>
        <v>3.2958159616367024</v>
      </c>
      <c r="P21" s="327">
        <f t="shared" si="16"/>
        <v>231890.00000000041</v>
      </c>
      <c r="Q21" s="327">
        <f>+[16]DailyOct!G20</f>
        <v>17952.320000000298</v>
      </c>
      <c r="R21" s="321">
        <f t="shared" si="6"/>
        <v>304.11166824773505</v>
      </c>
      <c r="S21" s="321">
        <f t="shared" si="7"/>
        <v>295.83771402205394</v>
      </c>
      <c r="T21" s="327">
        <f t="shared" si="17"/>
        <v>83699.999999999825</v>
      </c>
      <c r="U21" s="327">
        <f>+[16]DailyOct!H20</f>
        <v>7599.9999999994543</v>
      </c>
      <c r="V21" s="321">
        <f t="shared" si="8"/>
        <v>128.74373221302776</v>
      </c>
      <c r="W21" s="321">
        <f t="shared" si="9"/>
        <v>125.24100654218569</v>
      </c>
      <c r="X21" s="327">
        <f t="shared" si="18"/>
        <v>187639.66000000035</v>
      </c>
      <c r="Y21" s="327">
        <f>+[16]DailyOct!I20</f>
        <v>16706.199999999637</v>
      </c>
      <c r="Z21" s="327">
        <f t="shared" si="19"/>
        <v>283.00243935492</v>
      </c>
      <c r="AA21" s="327">
        <f t="shared" si="20"/>
        <v>275.3028030914694</v>
      </c>
      <c r="AB21" s="327">
        <f t="shared" si="21"/>
        <v>90999.659999999552</v>
      </c>
      <c r="AC21" s="327">
        <f>+[16]DailyOct!J20</f>
        <v>2126.1999999994823</v>
      </c>
      <c r="AD21" s="327">
        <f t="shared" si="22"/>
        <v>36.017753083064818</v>
      </c>
      <c r="AE21" s="421">
        <f t="shared" si="23"/>
        <v>35.03781948815125</v>
      </c>
      <c r="AF21" s="327">
        <f t="shared" si="24"/>
        <v>134799.99999999927</v>
      </c>
      <c r="AG21" s="327">
        <f>+[16]DailyOct!K20</f>
        <v>7899.9999999996362</v>
      </c>
      <c r="AH21" s="327">
        <f t="shared" si="25"/>
        <v>133.82572164249282</v>
      </c>
      <c r="AI21" s="449">
        <f t="shared" si="26"/>
        <v>130.18473048464375</v>
      </c>
      <c r="AJ21" s="327">
        <f t="shared" si="27"/>
        <v>5199</v>
      </c>
      <c r="AK21" s="327">
        <f>+[16]DailyOct!L20</f>
        <v>250</v>
      </c>
      <c r="AL21" s="327">
        <f t="shared" si="28"/>
        <v>4.234991191218322</v>
      </c>
      <c r="AM21" s="449">
        <f t="shared" si="29"/>
        <v>4.1197699520458775</v>
      </c>
      <c r="AN21" s="327">
        <f t="shared" si="30"/>
        <v>7693</v>
      </c>
      <c r="AO21" s="327">
        <f>+[16]DailyOct!M20</f>
        <v>250</v>
      </c>
      <c r="AP21" s="327">
        <f t="shared" si="31"/>
        <v>4.234991191218322</v>
      </c>
      <c r="AQ21" s="449">
        <f t="shared" si="32"/>
        <v>4.1197699520458775</v>
      </c>
      <c r="AR21" s="327">
        <f t="shared" si="33"/>
        <v>53332.399999998212</v>
      </c>
      <c r="AS21" s="324">
        <f t="shared" si="10"/>
        <v>903.44897682609781</v>
      </c>
      <c r="AT21" s="325">
        <f t="shared" si="11"/>
        <v>878.86887596193685</v>
      </c>
      <c r="AW21" t="s">
        <v>185</v>
      </c>
      <c r="AX21" s="13">
        <f>+AP39</f>
        <v>0</v>
      </c>
      <c r="AY21" s="13">
        <f>+AQ39</f>
        <v>0</v>
      </c>
    </row>
    <row r="22" spans="1:51">
      <c r="A22" s="318">
        <f t="shared" si="12"/>
        <v>45945</v>
      </c>
      <c r="B22" s="326">
        <f>+Report1!P23</f>
        <v>57.671999999999997</v>
      </c>
      <c r="C22" s="326">
        <f>+Report1!R23</f>
        <v>55.631</v>
      </c>
      <c r="D22" s="327">
        <f>+D21+E22</f>
        <v>4645.980000000447</v>
      </c>
      <c r="E22" s="327">
        <f>+[16]DailyOct!D21</f>
        <v>325.98000000044703</v>
      </c>
      <c r="F22" s="321">
        <f>E22/B22</f>
        <v>5.6523096129915222</v>
      </c>
      <c r="G22" s="321">
        <f>E22/C22</f>
        <v>5.8596825511036474</v>
      </c>
      <c r="H22" s="327">
        <f>+H21+I22</f>
        <v>0</v>
      </c>
      <c r="I22" s="327">
        <f>+[16]DailyOct!E21</f>
        <v>0</v>
      </c>
      <c r="J22" s="321">
        <f>I22/B22</f>
        <v>0</v>
      </c>
      <c r="K22" s="321">
        <f>I22/C22</f>
        <v>0</v>
      </c>
      <c r="L22" s="327">
        <f>+L21+M22</f>
        <v>2990</v>
      </c>
      <c r="M22" s="327">
        <f>+[16]DailyOct!F21</f>
        <v>100</v>
      </c>
      <c r="N22" s="321">
        <f>M22/B22</f>
        <v>1.7339436815092246</v>
      </c>
      <c r="O22" s="321">
        <f>M22/C22</f>
        <v>1.797558914993439</v>
      </c>
      <c r="P22" s="327">
        <f>+P21+Q22</f>
        <v>250264.01999999923</v>
      </c>
      <c r="Q22" s="327">
        <f>+[16]DailyOct!G21</f>
        <v>18374.019999998825</v>
      </c>
      <c r="R22" s="321">
        <f>Q22/B22</f>
        <v>318.59515882922085</v>
      </c>
      <c r="S22" s="321">
        <f>Q22/C22</f>
        <v>330.28383455265634</v>
      </c>
      <c r="T22" s="327">
        <f>+T21+U22</f>
        <v>91100.000000000378</v>
      </c>
      <c r="U22" s="327">
        <f>+[16]DailyOct!H21</f>
        <v>7400.0000000005457</v>
      </c>
      <c r="V22" s="321">
        <f>U22/B22</f>
        <v>128.3118324316921</v>
      </c>
      <c r="W22" s="321">
        <f>U22/C22</f>
        <v>133.01935970952428</v>
      </c>
      <c r="X22" s="327">
        <f>+X21+Y22</f>
        <v>204373.26000000036</v>
      </c>
      <c r="Y22" s="327">
        <f>+[16]DailyOct!I21</f>
        <v>16733.599999999999</v>
      </c>
      <c r="Z22" s="327">
        <f>Y22/B22</f>
        <v>290.15119988902757</v>
      </c>
      <c r="AA22" s="327">
        <f>Y22/C22</f>
        <v>300.79631859934204</v>
      </c>
      <c r="AB22" s="327">
        <f>+AB21+AC22</f>
        <v>96553.260000000009</v>
      </c>
      <c r="AC22" s="327">
        <f>+[16]DailyOct!J21</f>
        <v>5553.6000000004597</v>
      </c>
      <c r="AD22" s="327">
        <f>AC22/B22</f>
        <v>96.296296296304277</v>
      </c>
      <c r="AE22" s="421">
        <f>AC22/C22</f>
        <v>99.82923190308388</v>
      </c>
      <c r="AF22" s="327">
        <f>+AF21+AG22</f>
        <v>142700.00000000073</v>
      </c>
      <c r="AG22" s="327">
        <f>+[16]DailyOct!K21</f>
        <v>7900.0000000014552</v>
      </c>
      <c r="AH22" s="327">
        <f>AG22/B22</f>
        <v>136.98155083925397</v>
      </c>
      <c r="AI22" s="449">
        <f>AG22/C22</f>
        <v>142.00715428450783</v>
      </c>
      <c r="AJ22" s="327">
        <f>+AJ21+AK22</f>
        <v>5379</v>
      </c>
      <c r="AK22" s="327">
        <f>+[16]DailyOct!L21</f>
        <v>180</v>
      </c>
      <c r="AL22" s="327">
        <f>AK22/B22</f>
        <v>3.1210986267166043</v>
      </c>
      <c r="AM22" s="449">
        <f>AK22/C22</f>
        <v>3.23560604698819</v>
      </c>
      <c r="AN22" s="327">
        <f>+AN21+AO22</f>
        <v>8073</v>
      </c>
      <c r="AO22" s="327">
        <f>+[16]DailyOct!M21</f>
        <v>380</v>
      </c>
      <c r="AP22" s="327">
        <f>AO22/B22</f>
        <v>6.588985989735054</v>
      </c>
      <c r="AQ22" s="449">
        <f>AO22/C22</f>
        <v>6.8307238769750676</v>
      </c>
      <c r="AR22" s="327">
        <f>+E22+I22+M22+Q22+U22+Y22+AC22+AG22+AK22+AO22</f>
        <v>56947.200000001729</v>
      </c>
      <c r="AS22" s="324">
        <f>AR22/B22</f>
        <v>987.43237619645117</v>
      </c>
      <c r="AT22" s="325">
        <f>AR22/C22</f>
        <v>1023.6594704391747</v>
      </c>
      <c r="AW22" t="s">
        <v>185</v>
      </c>
      <c r="AX22" s="13">
        <f>+AP40</f>
        <v>9.6926362518099598</v>
      </c>
      <c r="AY22" s="13">
        <f>+AQ40</f>
        <v>10.316543912496288</v>
      </c>
    </row>
    <row r="23" spans="1:51">
      <c r="A23" s="318">
        <f t="shared" si="12"/>
        <v>45946</v>
      </c>
      <c r="B23" s="326">
        <f>+Report1!P24</f>
        <v>50.114999999999995</v>
      </c>
      <c r="C23" s="326">
        <f>+Report1!R24</f>
        <v>45.04</v>
      </c>
      <c r="D23" s="327">
        <f t="shared" si="13"/>
        <v>4980.3800000008196</v>
      </c>
      <c r="E23" s="327">
        <f>+[16]DailyOct!D22</f>
        <v>334.40000000037253</v>
      </c>
      <c r="F23" s="321">
        <f t="shared" si="0"/>
        <v>6.6726528983412665</v>
      </c>
      <c r="G23" s="321">
        <f t="shared" si="1"/>
        <v>7.4245115453013444</v>
      </c>
      <c r="H23" s="327">
        <f t="shared" si="14"/>
        <v>0</v>
      </c>
      <c r="I23" s="327">
        <f>+[16]DailyOct!E22</f>
        <v>0</v>
      </c>
      <c r="J23" s="321">
        <f t="shared" si="2"/>
        <v>0</v>
      </c>
      <c r="K23" s="321">
        <f t="shared" si="3"/>
        <v>0</v>
      </c>
      <c r="L23" s="327">
        <f t="shared" si="15"/>
        <v>3090</v>
      </c>
      <c r="M23" s="327">
        <f>+[16]DailyOct!F22</f>
        <v>100</v>
      </c>
      <c r="N23" s="321">
        <f t="shared" si="4"/>
        <v>1.99541055572184</v>
      </c>
      <c r="O23" s="321">
        <f t="shared" si="5"/>
        <v>2.2202486678507993</v>
      </c>
      <c r="P23" s="327">
        <f t="shared" si="16"/>
        <v>268629.61999999994</v>
      </c>
      <c r="Q23" s="327">
        <f>+[16]DailyOct!G22</f>
        <v>18365.600000000719</v>
      </c>
      <c r="R23" s="321">
        <f t="shared" si="6"/>
        <v>366.46912102166459</v>
      </c>
      <c r="S23" s="321">
        <f t="shared" si="7"/>
        <v>407.76198934282235</v>
      </c>
      <c r="T23" s="327">
        <f t="shared" si="17"/>
        <v>98600.000000000378</v>
      </c>
      <c r="U23" s="327">
        <f>+[16]DailyOct!H22</f>
        <v>7500</v>
      </c>
      <c r="V23" s="321">
        <f t="shared" si="8"/>
        <v>149.65579167913799</v>
      </c>
      <c r="W23" s="321">
        <f t="shared" si="9"/>
        <v>166.51865008880995</v>
      </c>
      <c r="X23" s="327">
        <f t="shared" si="18"/>
        <v>219888.45999999964</v>
      </c>
      <c r="Y23" s="327">
        <f>+[16]DailyOct!I22</f>
        <v>15515.199999999273</v>
      </c>
      <c r="Z23" s="327">
        <f t="shared" si="19"/>
        <v>309.59193854134043</v>
      </c>
      <c r="AA23" s="327">
        <f t="shared" si="20"/>
        <v>344.47602131437105</v>
      </c>
      <c r="AB23" s="327">
        <f t="shared" si="21"/>
        <v>101678.4599999999</v>
      </c>
      <c r="AC23" s="327">
        <f>+[16]DailyOct!J22</f>
        <v>5125.1999999999007</v>
      </c>
      <c r="AD23" s="327">
        <f t="shared" si="22"/>
        <v>102.26878180185376</v>
      </c>
      <c r="AE23" s="421">
        <f t="shared" si="23"/>
        <v>113.79218472468696</v>
      </c>
      <c r="AF23" s="327">
        <f t="shared" si="24"/>
        <v>150700.00000000073</v>
      </c>
      <c r="AG23" s="327">
        <f>+[16]DailyOct!K22</f>
        <v>8000</v>
      </c>
      <c r="AH23" s="327">
        <f t="shared" si="25"/>
        <v>159.63284445774721</v>
      </c>
      <c r="AI23" s="449">
        <f t="shared" si="26"/>
        <v>177.61989342806396</v>
      </c>
      <c r="AJ23" s="327">
        <f t="shared" si="27"/>
        <v>5669</v>
      </c>
      <c r="AK23" s="327">
        <f>+[16]DailyOct!L22</f>
        <v>290</v>
      </c>
      <c r="AL23" s="327">
        <f t="shared" si="28"/>
        <v>5.7866906115933361</v>
      </c>
      <c r="AM23" s="449">
        <f t="shared" si="29"/>
        <v>6.4387211367673185</v>
      </c>
      <c r="AN23" s="327">
        <f t="shared" si="30"/>
        <v>8553</v>
      </c>
      <c r="AO23" s="327">
        <f>+[16]DailyOct!M22</f>
        <v>480</v>
      </c>
      <c r="AP23" s="327">
        <f t="shared" si="31"/>
        <v>9.5779706674648324</v>
      </c>
      <c r="AQ23" s="449">
        <f t="shared" si="32"/>
        <v>10.657193605683837</v>
      </c>
      <c r="AR23" s="327">
        <f t="shared" si="33"/>
        <v>55710.400000000263</v>
      </c>
      <c r="AS23" s="324">
        <f t="shared" si="10"/>
        <v>1111.6512022348652</v>
      </c>
      <c r="AT23" s="325">
        <f t="shared" si="11"/>
        <v>1236.9094138543576</v>
      </c>
    </row>
    <row r="24" spans="1:51">
      <c r="A24" s="318">
        <f t="shared" si="12"/>
        <v>45947</v>
      </c>
      <c r="B24" s="326">
        <f>+Report1!P25</f>
        <v>61.978000000000002</v>
      </c>
      <c r="C24" s="326">
        <f>+Report1!R25</f>
        <v>59.747</v>
      </c>
      <c r="D24" s="327">
        <f t="shared" si="13"/>
        <v>5319.4000000003725</v>
      </c>
      <c r="E24" s="327">
        <f>+[16]DailyOct!D23</f>
        <v>339.01999999955297</v>
      </c>
      <c r="F24" s="321">
        <f t="shared" si="0"/>
        <v>5.4700054858103355</v>
      </c>
      <c r="G24" s="321">
        <f t="shared" si="1"/>
        <v>5.6742597954634197</v>
      </c>
      <c r="H24" s="327">
        <f t="shared" si="14"/>
        <v>0</v>
      </c>
      <c r="I24" s="327">
        <f>+[16]DailyOct!E23</f>
        <v>0</v>
      </c>
      <c r="J24" s="321">
        <f t="shared" si="2"/>
        <v>0</v>
      </c>
      <c r="K24" s="321">
        <f t="shared" si="3"/>
        <v>0</v>
      </c>
      <c r="L24" s="327">
        <f t="shared" si="15"/>
        <v>3290</v>
      </c>
      <c r="M24" s="327">
        <f>+[16]DailyOct!F23</f>
        <v>200</v>
      </c>
      <c r="N24" s="321">
        <f t="shared" si="4"/>
        <v>3.2269514989189712</v>
      </c>
      <c r="O24" s="321">
        <f t="shared" si="5"/>
        <v>3.3474484074514201</v>
      </c>
      <c r="P24" s="327">
        <f t="shared" si="16"/>
        <v>286490.60000000003</v>
      </c>
      <c r="Q24" s="327">
        <f>+[16]DailyOct!G23</f>
        <v>17860.980000000083</v>
      </c>
      <c r="R24" s="321">
        <f t="shared" si="6"/>
        <v>288.18258091581015</v>
      </c>
      <c r="S24" s="321">
        <f t="shared" si="7"/>
        <v>298.9435452826097</v>
      </c>
      <c r="T24" s="327">
        <f t="shared" si="17"/>
        <v>106000.00000000001</v>
      </c>
      <c r="U24" s="327">
        <f>+[16]DailyOct!H23</f>
        <v>7399.9999999996362</v>
      </c>
      <c r="V24" s="321">
        <f t="shared" si="8"/>
        <v>119.39720545999606</v>
      </c>
      <c r="W24" s="321">
        <f t="shared" si="9"/>
        <v>123.85559107569645</v>
      </c>
      <c r="X24" s="327">
        <f t="shared" si="18"/>
        <v>236217.84000000072</v>
      </c>
      <c r="Y24" s="327">
        <f>+[16]DailyOct!I23</f>
        <v>16329.380000001091</v>
      </c>
      <c r="Z24" s="327">
        <f t="shared" si="19"/>
        <v>263.47058633710492</v>
      </c>
      <c r="AA24" s="327">
        <f t="shared" si="20"/>
        <v>273.30878537836361</v>
      </c>
      <c r="AB24" s="327">
        <f t="shared" si="21"/>
        <v>108047.83999999962</v>
      </c>
      <c r="AC24" s="327">
        <f>+[16]DailyOct!J23</f>
        <v>6369.3799999997127</v>
      </c>
      <c r="AD24" s="327">
        <f t="shared" si="22"/>
        <v>102.76840169091794</v>
      </c>
      <c r="AE24" s="421">
        <f t="shared" si="23"/>
        <v>106.60585468725982</v>
      </c>
      <c r="AF24" s="327">
        <f t="shared" si="24"/>
        <v>158600.00000000035</v>
      </c>
      <c r="AG24" s="327">
        <f>+[16]DailyOct!K23</f>
        <v>7899.9999999996362</v>
      </c>
      <c r="AH24" s="327">
        <f t="shared" si="25"/>
        <v>127.4645842072935</v>
      </c>
      <c r="AI24" s="449">
        <f t="shared" si="26"/>
        <v>132.224212094325</v>
      </c>
      <c r="AJ24" s="327">
        <f t="shared" si="27"/>
        <v>6019</v>
      </c>
      <c r="AK24" s="327">
        <f>+[16]DailyOct!L23</f>
        <v>350</v>
      </c>
      <c r="AL24" s="327">
        <f t="shared" si="28"/>
        <v>5.6471651231081994</v>
      </c>
      <c r="AM24" s="449">
        <f t="shared" si="29"/>
        <v>5.8580347130399852</v>
      </c>
      <c r="AN24" s="327">
        <f t="shared" si="30"/>
        <v>9123</v>
      </c>
      <c r="AO24" s="327">
        <f>+[16]DailyOct!M23</f>
        <v>570</v>
      </c>
      <c r="AP24" s="327">
        <f t="shared" si="31"/>
        <v>9.1968117719190676</v>
      </c>
      <c r="AQ24" s="449">
        <f t="shared" si="32"/>
        <v>9.5402279612365479</v>
      </c>
      <c r="AR24" s="327">
        <f t="shared" si="33"/>
        <v>57318.759999999711</v>
      </c>
      <c r="AS24" s="324">
        <f t="shared" si="10"/>
        <v>924.8242924908792</v>
      </c>
      <c r="AT24" s="325">
        <f t="shared" si="11"/>
        <v>959.35795939544596</v>
      </c>
      <c r="AW24" s="20" t="s">
        <v>2</v>
      </c>
      <c r="AX24" s="18">
        <f>+AX16+AX19+AX22</f>
        <v>9.6926362518099598</v>
      </c>
      <c r="AY24" s="18">
        <f>+AY16+AY19+AY22</f>
        <v>10.316543912496288</v>
      </c>
    </row>
    <row r="25" spans="1:51">
      <c r="A25" s="318">
        <f t="shared" si="12"/>
        <v>45948</v>
      </c>
      <c r="B25" s="326">
        <f>+Report1!P26</f>
        <v>56.56</v>
      </c>
      <c r="C25" s="326">
        <f>+Report1!R26</f>
        <v>54.112000000000002</v>
      </c>
      <c r="D25" s="327">
        <f t="shared" si="13"/>
        <v>5678.4400000013411</v>
      </c>
      <c r="E25" s="327">
        <f>+[16]DailyOct!D24</f>
        <v>359.04000000096858</v>
      </c>
      <c r="F25" s="321">
        <f t="shared" si="0"/>
        <v>6.3479490806394727</v>
      </c>
      <c r="G25" s="321">
        <f t="shared" si="1"/>
        <v>6.6351271437198509</v>
      </c>
      <c r="H25" s="327">
        <f t="shared" si="14"/>
        <v>0</v>
      </c>
      <c r="I25" s="327">
        <f>+[16]DailyOct!E24</f>
        <v>0</v>
      </c>
      <c r="J25" s="321">
        <f t="shared" si="2"/>
        <v>0</v>
      </c>
      <c r="K25" s="321">
        <f t="shared" si="3"/>
        <v>0</v>
      </c>
      <c r="L25" s="327">
        <f t="shared" si="15"/>
        <v>3390</v>
      </c>
      <c r="M25" s="327">
        <f>+[16]DailyOct!F24</f>
        <v>100</v>
      </c>
      <c r="N25" s="321">
        <f t="shared" si="4"/>
        <v>1.768033946251768</v>
      </c>
      <c r="O25" s="321">
        <f t="shared" si="5"/>
        <v>1.8480189237137787</v>
      </c>
      <c r="P25" s="327">
        <f t="shared" si="16"/>
        <v>304831.55999999831</v>
      </c>
      <c r="Q25" s="327">
        <f>+[16]DailyOct!G24</f>
        <v>18340.959999998304</v>
      </c>
      <c r="R25" s="321">
        <f t="shared" si="6"/>
        <v>324.27439886842825</v>
      </c>
      <c r="S25" s="321">
        <f t="shared" si="7"/>
        <v>338.94441159074336</v>
      </c>
      <c r="T25" s="327">
        <f t="shared" si="17"/>
        <v>113500.00000000001</v>
      </c>
      <c r="U25" s="327">
        <f>+[16]DailyOct!H24</f>
        <v>7500</v>
      </c>
      <c r="V25" s="321">
        <f t="shared" si="8"/>
        <v>132.60254596888259</v>
      </c>
      <c r="W25" s="321">
        <f t="shared" si="9"/>
        <v>138.6014192785334</v>
      </c>
      <c r="X25" s="327">
        <f t="shared" si="18"/>
        <v>251586.83000000071</v>
      </c>
      <c r="Y25" s="327">
        <f>+[16]DailyOct!I24</f>
        <v>15368.99</v>
      </c>
      <c r="Z25" s="327">
        <f t="shared" si="19"/>
        <v>271.72896039603961</v>
      </c>
      <c r="AA25" s="327">
        <f t="shared" si="20"/>
        <v>284.02184358367828</v>
      </c>
      <c r="AB25" s="327">
        <f t="shared" si="21"/>
        <v>114916.83000000031</v>
      </c>
      <c r="AC25" s="327">
        <f>+[16]DailyOct!J24</f>
        <v>6868.9900000006819</v>
      </c>
      <c r="AD25" s="327">
        <f t="shared" si="22"/>
        <v>121.44607496465137</v>
      </c>
      <c r="AE25" s="421">
        <f t="shared" si="23"/>
        <v>126.94023506801969</v>
      </c>
      <c r="AF25" s="327">
        <f t="shared" si="24"/>
        <v>166500</v>
      </c>
      <c r="AG25" s="327">
        <f>+[16]DailyOct!K24</f>
        <v>7899.9999999996362</v>
      </c>
      <c r="AH25" s="327">
        <f t="shared" si="25"/>
        <v>139.67468175388325</v>
      </c>
      <c r="AI25" s="449">
        <f t="shared" si="26"/>
        <v>145.99349497338179</v>
      </c>
      <c r="AJ25" s="327">
        <f t="shared" si="27"/>
        <v>6379</v>
      </c>
      <c r="AK25" s="327">
        <f>+[16]DailyOct!L24</f>
        <v>360</v>
      </c>
      <c r="AL25" s="327">
        <f t="shared" si="28"/>
        <v>6.3649222065063649</v>
      </c>
      <c r="AM25" s="449">
        <f t="shared" si="29"/>
        <v>6.6528681253696034</v>
      </c>
      <c r="AN25" s="327">
        <f t="shared" si="30"/>
        <v>9643</v>
      </c>
      <c r="AO25" s="327">
        <f>+[16]DailyOct!M24</f>
        <v>520</v>
      </c>
      <c r="AP25" s="327">
        <f t="shared" si="31"/>
        <v>9.1937765205091928</v>
      </c>
      <c r="AQ25" s="449">
        <f t="shared" si="32"/>
        <v>9.6096984033116488</v>
      </c>
      <c r="AR25" s="327">
        <f t="shared" si="33"/>
        <v>57317.979999999588</v>
      </c>
      <c r="AS25" s="324">
        <f t="shared" si="10"/>
        <v>1013.4013437057919</v>
      </c>
      <c r="AT25" s="325">
        <f t="shared" si="11"/>
        <v>1059.2471170904714</v>
      </c>
    </row>
    <row r="26" spans="1:51">
      <c r="A26" s="318">
        <f t="shared" si="12"/>
        <v>45949</v>
      </c>
      <c r="B26" s="326">
        <f>+Report1!P27</f>
        <v>56.081000000000003</v>
      </c>
      <c r="C26" s="326">
        <f>+Report1!R27</f>
        <v>53.927</v>
      </c>
      <c r="D26" s="327">
        <f t="shared" si="13"/>
        <v>6002.4700000006706</v>
      </c>
      <c r="E26" s="327">
        <f>+[16]DailyOct!D25</f>
        <v>324.02999999932945</v>
      </c>
      <c r="F26" s="321">
        <f t="shared" si="0"/>
        <v>5.7778926909172341</v>
      </c>
      <c r="G26" s="321">
        <f t="shared" si="1"/>
        <v>6.0086783985634185</v>
      </c>
      <c r="H26" s="327">
        <f t="shared" si="14"/>
        <v>0</v>
      </c>
      <c r="I26" s="327">
        <f>+[16]DailyOct!E25</f>
        <v>0</v>
      </c>
      <c r="J26" s="321">
        <f t="shared" si="2"/>
        <v>0</v>
      </c>
      <c r="K26" s="321">
        <f t="shared" si="3"/>
        <v>0</v>
      </c>
      <c r="L26" s="327">
        <f t="shared" si="15"/>
        <v>3590</v>
      </c>
      <c r="M26" s="327">
        <f>+[16]DailyOct!F25</f>
        <v>200</v>
      </c>
      <c r="N26" s="321">
        <f t="shared" si="4"/>
        <v>3.5662702162942885</v>
      </c>
      <c r="O26" s="321">
        <f t="shared" si="5"/>
        <v>3.7087173401079236</v>
      </c>
      <c r="P26" s="327">
        <f t="shared" si="16"/>
        <v>322707.52999999863</v>
      </c>
      <c r="Q26" s="327">
        <f>+[16]DailyOct!G25</f>
        <v>17875.970000000307</v>
      </c>
      <c r="R26" s="321">
        <f t="shared" si="6"/>
        <v>318.75269699185651</v>
      </c>
      <c r="S26" s="321">
        <f t="shared" si="7"/>
        <v>331.48459955125088</v>
      </c>
      <c r="T26" s="327">
        <f t="shared" si="17"/>
        <v>121100.00000000038</v>
      </c>
      <c r="U26" s="327">
        <f>+[16]DailyOct!H25</f>
        <v>7600.0000000003638</v>
      </c>
      <c r="V26" s="321">
        <f t="shared" si="8"/>
        <v>135.51826821918945</v>
      </c>
      <c r="W26" s="321">
        <f t="shared" si="9"/>
        <v>140.93125892410785</v>
      </c>
      <c r="X26" s="327">
        <f t="shared" si="18"/>
        <v>268140.12000000034</v>
      </c>
      <c r="Y26" s="327">
        <f>+[16]DailyOct!I25</f>
        <v>16553.289999999637</v>
      </c>
      <c r="Z26" s="327">
        <f t="shared" si="19"/>
        <v>295.16752554340394</v>
      </c>
      <c r="AA26" s="327">
        <f t="shared" si="20"/>
        <v>306.95736829416876</v>
      </c>
      <c r="AB26" s="327">
        <f t="shared" si="21"/>
        <v>123370.11999999997</v>
      </c>
      <c r="AC26" s="327">
        <f>+[16]DailyOct!J25</f>
        <v>8453.2899999996589</v>
      </c>
      <c r="AD26" s="327">
        <f t="shared" si="22"/>
        <v>150.73358178348565</v>
      </c>
      <c r="AE26" s="421">
        <f t="shared" si="23"/>
        <v>156.75431601979824</v>
      </c>
      <c r="AF26" s="327">
        <f t="shared" si="24"/>
        <v>174500</v>
      </c>
      <c r="AG26" s="327">
        <f>+[16]DailyOct!K25</f>
        <v>8000</v>
      </c>
      <c r="AH26" s="327">
        <f t="shared" si="25"/>
        <v>142.65080865177154</v>
      </c>
      <c r="AI26" s="449">
        <f t="shared" si="26"/>
        <v>148.34869360431694</v>
      </c>
      <c r="AJ26" s="327">
        <f t="shared" si="27"/>
        <v>6729</v>
      </c>
      <c r="AK26" s="327">
        <f>+[16]DailyOct!L25</f>
        <v>350</v>
      </c>
      <c r="AL26" s="327">
        <f t="shared" si="28"/>
        <v>6.2409728785150049</v>
      </c>
      <c r="AM26" s="449">
        <f t="shared" si="29"/>
        <v>6.4902553451888663</v>
      </c>
      <c r="AN26" s="327">
        <f t="shared" si="30"/>
        <v>10233</v>
      </c>
      <c r="AO26" s="327">
        <f>+[16]DailyOct!M25</f>
        <v>590</v>
      </c>
      <c r="AP26" s="327">
        <f t="shared" si="31"/>
        <v>10.520497138068151</v>
      </c>
      <c r="AQ26" s="449">
        <f t="shared" si="32"/>
        <v>10.940716153318375</v>
      </c>
      <c r="AR26" s="327">
        <f t="shared" si="33"/>
        <v>59946.579999999296</v>
      </c>
      <c r="AS26" s="324">
        <f t="shared" si="10"/>
        <v>1068.9285141135017</v>
      </c>
      <c r="AT26" s="325">
        <f t="shared" si="11"/>
        <v>1111.6246036308212</v>
      </c>
      <c r="AW26" s="20" t="s">
        <v>192</v>
      </c>
      <c r="AY26" s="413">
        <f>+AY24/AX24-1</f>
        <v>6.4369243256169995E-2</v>
      </c>
    </row>
    <row r="27" spans="1:51">
      <c r="A27" s="318">
        <f t="shared" si="12"/>
        <v>45950</v>
      </c>
      <c r="B27" s="326">
        <f>+Report1!P28</f>
        <v>57.329000000000008</v>
      </c>
      <c r="C27" s="326">
        <f>+Report1!R28</f>
        <v>55.262999999999998</v>
      </c>
      <c r="D27" s="327">
        <f t="shared" si="13"/>
        <v>6370.179999999702</v>
      </c>
      <c r="E27" s="327">
        <f>+[16]DailyOct!D26</f>
        <v>367.70999999903142</v>
      </c>
      <c r="F27" s="321">
        <f t="shared" si="0"/>
        <v>6.4140312930459515</v>
      </c>
      <c r="G27" s="321">
        <f t="shared" si="1"/>
        <v>6.6538190108939332</v>
      </c>
      <c r="H27" s="327">
        <f t="shared" si="14"/>
        <v>0</v>
      </c>
      <c r="I27" s="327">
        <f>+[16]DailyOct!E26</f>
        <v>0</v>
      </c>
      <c r="J27" s="321">
        <f t="shared" si="2"/>
        <v>0</v>
      </c>
      <c r="K27" s="321">
        <f t="shared" si="3"/>
        <v>0</v>
      </c>
      <c r="L27" s="327">
        <f t="shared" si="15"/>
        <v>3690</v>
      </c>
      <c r="M27" s="327">
        <f>+[16]DailyOct!F26</f>
        <v>100</v>
      </c>
      <c r="N27" s="321">
        <f t="shared" si="4"/>
        <v>1.7443178844912695</v>
      </c>
      <c r="O27" s="321">
        <f t="shared" si="5"/>
        <v>1.8095289796066085</v>
      </c>
      <c r="P27" s="327">
        <f t="shared" si="16"/>
        <v>340339.81999999995</v>
      </c>
      <c r="Q27" s="327">
        <f>+[16]DailyOct!G26</f>
        <v>17632.290000001332</v>
      </c>
      <c r="R27" s="321">
        <f t="shared" si="6"/>
        <v>307.56318791538888</v>
      </c>
      <c r="S27" s="321">
        <f t="shared" si="7"/>
        <v>319.06139731830217</v>
      </c>
      <c r="T27" s="327">
        <f t="shared" si="17"/>
        <v>128600.00000000038</v>
      </c>
      <c r="U27" s="327">
        <f>+[16]DailyOct!H26</f>
        <v>7500</v>
      </c>
      <c r="V27" s="321">
        <f t="shared" si="8"/>
        <v>130.82384133684522</v>
      </c>
      <c r="W27" s="321">
        <f t="shared" si="9"/>
        <v>135.71467347049563</v>
      </c>
      <c r="X27" s="327">
        <f t="shared" si="18"/>
        <v>283612.73</v>
      </c>
      <c r="Y27" s="327">
        <f>+[16]DailyOct!I26</f>
        <v>15472.609999999637</v>
      </c>
      <c r="Z27" s="327">
        <f t="shared" si="19"/>
        <v>269.89150342757824</v>
      </c>
      <c r="AA27" s="327">
        <f t="shared" si="20"/>
        <v>279.98136185150349</v>
      </c>
      <c r="AB27" s="327">
        <f t="shared" si="21"/>
        <v>130142.72999999927</v>
      </c>
      <c r="AC27" s="327">
        <f>+[16]DailyOct!J26</f>
        <v>6772.6099999992957</v>
      </c>
      <c r="AD27" s="327">
        <f t="shared" si="22"/>
        <v>118.13584747683188</v>
      </c>
      <c r="AE27" s="421">
        <f t="shared" si="23"/>
        <v>122.55234062572238</v>
      </c>
      <c r="AF27" s="327">
        <f t="shared" si="24"/>
        <v>182500</v>
      </c>
      <c r="AG27" s="327">
        <f>+[16]DailyOct!K26</f>
        <v>8000</v>
      </c>
      <c r="AH27" s="327">
        <f t="shared" si="25"/>
        <v>139.54543075930155</v>
      </c>
      <c r="AI27" s="449">
        <f t="shared" si="26"/>
        <v>144.76231836852867</v>
      </c>
      <c r="AJ27" s="327">
        <f t="shared" si="27"/>
        <v>7089</v>
      </c>
      <c r="AK27" s="327">
        <f>+[16]DailyOct!L26</f>
        <v>360</v>
      </c>
      <c r="AL27" s="327">
        <f t="shared" si="28"/>
        <v>6.2795443841685703</v>
      </c>
      <c r="AM27" s="449">
        <f t="shared" si="29"/>
        <v>6.5143043265837903</v>
      </c>
      <c r="AN27" s="327">
        <f t="shared" si="30"/>
        <v>10823</v>
      </c>
      <c r="AO27" s="327">
        <f>+[16]DailyOct!M26</f>
        <v>590</v>
      </c>
      <c r="AP27" s="327">
        <f t="shared" si="31"/>
        <v>10.291475518498491</v>
      </c>
      <c r="AQ27" s="449">
        <f t="shared" si="32"/>
        <v>10.676220979678989</v>
      </c>
      <c r="AR27" s="327">
        <f t="shared" si="33"/>
        <v>56795.219999999295</v>
      </c>
      <c r="AS27" s="324">
        <f t="shared" si="10"/>
        <v>990.68917999615007</v>
      </c>
      <c r="AT27" s="325">
        <f t="shared" si="11"/>
        <v>1027.7259649313157</v>
      </c>
    </row>
    <row r="28" spans="1:51">
      <c r="A28" s="318">
        <f t="shared" si="12"/>
        <v>45951</v>
      </c>
      <c r="B28" s="326">
        <f>+Report1!P29</f>
        <v>42.079000000000008</v>
      </c>
      <c r="C28" s="326">
        <f>+Report1!R29</f>
        <v>40.225999999999999</v>
      </c>
      <c r="D28" s="327">
        <f t="shared" si="13"/>
        <v>6668.320000000298</v>
      </c>
      <c r="E28" s="327">
        <f>+[16]DailyOct!D27</f>
        <v>298.14000000059605</v>
      </c>
      <c r="F28" s="322">
        <f t="shared" si="0"/>
        <v>7.0852444212218924</v>
      </c>
      <c r="G28" s="321">
        <f t="shared" si="1"/>
        <v>7.4116243225922549</v>
      </c>
      <c r="H28" s="327">
        <f t="shared" si="14"/>
        <v>0</v>
      </c>
      <c r="I28" s="327">
        <f>+[16]DailyOct!E27</f>
        <v>0</v>
      </c>
      <c r="J28" s="321">
        <f t="shared" si="2"/>
        <v>0</v>
      </c>
      <c r="K28" s="321">
        <f t="shared" si="3"/>
        <v>0</v>
      </c>
      <c r="L28" s="327">
        <f t="shared" si="15"/>
        <v>3890</v>
      </c>
      <c r="M28" s="327">
        <f>+[16]DailyOct!F27</f>
        <v>200</v>
      </c>
      <c r="N28" s="321">
        <f t="shared" si="4"/>
        <v>4.7529646617077397</v>
      </c>
      <c r="O28" s="321">
        <f t="shared" si="5"/>
        <v>4.9719087157559789</v>
      </c>
      <c r="P28" s="327">
        <f t="shared" si="16"/>
        <v>356241.679999999</v>
      </c>
      <c r="Q28" s="327">
        <f>+[16]DailyOct!G27</f>
        <v>15901.85999999904</v>
      </c>
      <c r="R28" s="321">
        <f t="shared" si="6"/>
        <v>377.90489317709637</v>
      </c>
      <c r="S28" s="321">
        <f t="shared" si="7"/>
        <v>395.31298165363296</v>
      </c>
      <c r="T28" s="327">
        <f t="shared" si="17"/>
        <v>132800.0000000002</v>
      </c>
      <c r="U28" s="327">
        <f>+[16]DailyOct!H27</f>
        <v>4199.9999999998181</v>
      </c>
      <c r="V28" s="321">
        <f t="shared" si="8"/>
        <v>99.81225789585821</v>
      </c>
      <c r="W28" s="321">
        <f t="shared" si="9"/>
        <v>104.41008303087104</v>
      </c>
      <c r="X28" s="327">
        <f t="shared" si="18"/>
        <v>292765.15999999992</v>
      </c>
      <c r="Y28" s="327">
        <f>+[16]DailyOct!I27</f>
        <v>9152.4299999999275</v>
      </c>
      <c r="Z28" s="327">
        <f t="shared" si="19"/>
        <v>217.50588179376709</v>
      </c>
      <c r="AA28" s="327">
        <f t="shared" si="20"/>
        <v>227.52523243673068</v>
      </c>
      <c r="AB28" s="327">
        <f t="shared" si="21"/>
        <v>136965.15999999931</v>
      </c>
      <c r="AC28" s="327">
        <f>+[16]DailyOct!J27</f>
        <v>6822.4300000000458</v>
      </c>
      <c r="AD28" s="327">
        <f t="shared" si="22"/>
        <v>162.13384348487475</v>
      </c>
      <c r="AE28" s="421">
        <f t="shared" si="23"/>
        <v>169.60249589817644</v>
      </c>
      <c r="AF28" s="327">
        <f t="shared" si="24"/>
        <v>194200.00000000073</v>
      </c>
      <c r="AG28" s="327">
        <f>+[16]DailyOct!K27</f>
        <v>11700.000000000728</v>
      </c>
      <c r="AH28" s="327">
        <f t="shared" si="25"/>
        <v>278.04843270992006</v>
      </c>
      <c r="AI28" s="449">
        <f t="shared" si="26"/>
        <v>290.85665987174286</v>
      </c>
      <c r="AJ28" s="327">
        <f t="shared" si="27"/>
        <v>7449</v>
      </c>
      <c r="AK28" s="327">
        <f>+[16]DailyOct!L27</f>
        <v>360</v>
      </c>
      <c r="AL28" s="327">
        <f t="shared" si="28"/>
        <v>8.5553363910739311</v>
      </c>
      <c r="AM28" s="449">
        <f t="shared" si="29"/>
        <v>8.9494356883607615</v>
      </c>
      <c r="AN28" s="327">
        <f t="shared" si="30"/>
        <v>11363</v>
      </c>
      <c r="AO28" s="327">
        <f>+[16]DailyOct!M27</f>
        <v>540</v>
      </c>
      <c r="AP28" s="327">
        <f t="shared" si="31"/>
        <v>12.833004586610896</v>
      </c>
      <c r="AQ28" s="449">
        <f t="shared" si="32"/>
        <v>13.424153532541142</v>
      </c>
      <c r="AR28" s="327">
        <f t="shared" si="33"/>
        <v>49174.860000000153</v>
      </c>
      <c r="AS28" s="324">
        <f t="shared" si="10"/>
        <v>1168.6318591221309</v>
      </c>
      <c r="AT28" s="325">
        <f t="shared" si="11"/>
        <v>1222.464575150404</v>
      </c>
    </row>
    <row r="29" spans="1:51">
      <c r="A29" s="318">
        <f t="shared" si="12"/>
        <v>45952</v>
      </c>
      <c r="B29" s="326">
        <f>+Report1!P30</f>
        <v>56.07</v>
      </c>
      <c r="C29" s="326">
        <f>+Report1!R30</f>
        <v>52.610999999999997</v>
      </c>
      <c r="D29" s="327">
        <f t="shared" si="13"/>
        <v>7005.0500000007451</v>
      </c>
      <c r="E29" s="327">
        <f>+[16]DailyOct!D28</f>
        <v>336.73000000044703</v>
      </c>
      <c r="F29" s="321">
        <f t="shared" si="0"/>
        <v>6.005528803289585</v>
      </c>
      <c r="G29" s="321">
        <f t="shared" si="1"/>
        <v>6.4003725456738527</v>
      </c>
      <c r="H29" s="327">
        <f t="shared" si="14"/>
        <v>0</v>
      </c>
      <c r="I29" s="327">
        <f>+[16]DailyOct!E28</f>
        <v>0</v>
      </c>
      <c r="J29" s="321">
        <f t="shared" si="2"/>
        <v>0</v>
      </c>
      <c r="K29" s="321">
        <f t="shared" si="3"/>
        <v>0</v>
      </c>
      <c r="L29" s="327">
        <f t="shared" si="15"/>
        <v>4190</v>
      </c>
      <c r="M29" s="327">
        <f>+[16]DailyOct!F28</f>
        <v>300</v>
      </c>
      <c r="N29" s="321">
        <f t="shared" si="4"/>
        <v>5.3504547886570357</v>
      </c>
      <c r="O29" s="321">
        <f t="shared" si="5"/>
        <v>5.7022295717625591</v>
      </c>
      <c r="P29" s="327">
        <f t="shared" si="16"/>
        <v>373804.94999999925</v>
      </c>
      <c r="Q29" s="327">
        <f>+[16]DailyOct!G28</f>
        <v>17563.270000000281</v>
      </c>
      <c r="R29" s="321">
        <f t="shared" si="6"/>
        <v>313.23827358659321</v>
      </c>
      <c r="S29" s="321">
        <f t="shared" si="7"/>
        <v>333.83265856950601</v>
      </c>
      <c r="T29" s="327">
        <f t="shared" si="17"/>
        <v>137500.00000000003</v>
      </c>
      <c r="U29" s="327">
        <f>+[16]DailyOct!H28</f>
        <v>4699.9999999998181</v>
      </c>
      <c r="V29" s="321">
        <f t="shared" si="8"/>
        <v>83.823791688956987</v>
      </c>
      <c r="W29" s="321">
        <f t="shared" si="9"/>
        <v>89.334929957609972</v>
      </c>
      <c r="X29" s="327">
        <f t="shared" si="18"/>
        <v>303943.89999999927</v>
      </c>
      <c r="Y29" s="327">
        <f>+[16]DailyOct!I28</f>
        <v>11178.739999999345</v>
      </c>
      <c r="Z29" s="327">
        <f t="shared" si="19"/>
        <v>199.37114321382816</v>
      </c>
      <c r="AA29" s="327">
        <f t="shared" si="20"/>
        <v>212.47913934347088</v>
      </c>
      <c r="AB29" s="327">
        <f t="shared" si="21"/>
        <v>144073.9</v>
      </c>
      <c r="AC29" s="327">
        <f>+[16]DailyOct!J28</f>
        <v>7108.7400000006819</v>
      </c>
      <c r="AD29" s="327">
        <f t="shared" si="22"/>
        <v>126.78330658107156</v>
      </c>
      <c r="AE29" s="421">
        <f t="shared" si="23"/>
        <v>135.11889148658423</v>
      </c>
      <c r="AF29" s="327">
        <f t="shared" si="24"/>
        <v>207200.00000000073</v>
      </c>
      <c r="AG29" s="327">
        <f>+[16]DailyOct!K28</f>
        <v>13000</v>
      </c>
      <c r="AH29" s="327">
        <f t="shared" si="25"/>
        <v>231.8530408418049</v>
      </c>
      <c r="AI29" s="449">
        <f t="shared" si="26"/>
        <v>247.09661477637758</v>
      </c>
      <c r="AJ29" s="327">
        <f t="shared" si="27"/>
        <v>7839</v>
      </c>
      <c r="AK29" s="327">
        <f>+[16]DailyOct!L28</f>
        <v>390</v>
      </c>
      <c r="AL29" s="327">
        <f t="shared" si="28"/>
        <v>6.955591225254147</v>
      </c>
      <c r="AM29" s="449">
        <f t="shared" si="29"/>
        <v>7.4128984432913274</v>
      </c>
      <c r="AN29" s="327">
        <f t="shared" si="30"/>
        <v>12013</v>
      </c>
      <c r="AO29" s="327">
        <f>+[16]DailyOct!M28</f>
        <v>650</v>
      </c>
      <c r="AP29" s="327">
        <f t="shared" si="31"/>
        <v>11.592652042090243</v>
      </c>
      <c r="AQ29" s="449">
        <f t="shared" si="32"/>
        <v>12.35483073881888</v>
      </c>
      <c r="AR29" s="327">
        <f t="shared" si="33"/>
        <v>55227.480000000571</v>
      </c>
      <c r="AS29" s="324">
        <f t="shared" si="10"/>
        <v>984.97378277154576</v>
      </c>
      <c r="AT29" s="325">
        <f t="shared" si="11"/>
        <v>1049.7325654330953</v>
      </c>
    </row>
    <row r="30" spans="1:51">
      <c r="A30" s="318">
        <f t="shared" si="12"/>
        <v>45953</v>
      </c>
      <c r="B30" s="326">
        <f>+Report1!P31</f>
        <v>55.677999999999997</v>
      </c>
      <c r="C30" s="326">
        <f>+Report1!R31</f>
        <v>53.991999999999997</v>
      </c>
      <c r="D30" s="327">
        <f t="shared" si="13"/>
        <v>7336.410000000149</v>
      </c>
      <c r="E30" s="327">
        <f>+[16]DailyOct!D29</f>
        <v>331.35999999940395</v>
      </c>
      <c r="F30" s="321">
        <f t="shared" si="0"/>
        <v>5.9513631955063753</v>
      </c>
      <c r="G30" s="321">
        <f t="shared" si="1"/>
        <v>6.1372055119166538</v>
      </c>
      <c r="H30" s="327">
        <f t="shared" si="14"/>
        <v>0</v>
      </c>
      <c r="I30" s="327">
        <f>+[16]DailyOct!E29</f>
        <v>0</v>
      </c>
      <c r="J30" s="321">
        <f t="shared" si="2"/>
        <v>0</v>
      </c>
      <c r="K30" s="321">
        <f t="shared" si="3"/>
        <v>0</v>
      </c>
      <c r="L30" s="327">
        <f t="shared" si="15"/>
        <v>4390</v>
      </c>
      <c r="M30" s="327">
        <f>+[16]DailyOct!F29</f>
        <v>200</v>
      </c>
      <c r="N30" s="321">
        <f t="shared" si="4"/>
        <v>3.5920830489600921</v>
      </c>
      <c r="O30" s="321">
        <f t="shared" si="5"/>
        <v>3.7042524818491631</v>
      </c>
      <c r="P30" s="327">
        <f t="shared" si="16"/>
        <v>390273.58999999985</v>
      </c>
      <c r="Q30" s="327">
        <f>+[16]DailyOct!G29</f>
        <v>16468.640000000596</v>
      </c>
      <c r="R30" s="321">
        <f t="shared" si="6"/>
        <v>295.78361291714134</v>
      </c>
      <c r="S30" s="321">
        <f t="shared" si="7"/>
        <v>305.02000296341305</v>
      </c>
      <c r="T30" s="327">
        <f t="shared" si="17"/>
        <v>142300.0000000002</v>
      </c>
      <c r="U30" s="327">
        <f>+[16]DailyOct!H29</f>
        <v>4800.0000000001819</v>
      </c>
      <c r="V30" s="321">
        <f t="shared" si="8"/>
        <v>86.209993175045483</v>
      </c>
      <c r="W30" s="321">
        <f t="shared" si="9"/>
        <v>88.902059564383279</v>
      </c>
      <c r="X30" s="327">
        <f t="shared" si="18"/>
        <v>315035.86999999924</v>
      </c>
      <c r="Y30" s="327">
        <f>+[16]DailyOct!I29</f>
        <v>11091.97</v>
      </c>
      <c r="Z30" s="327">
        <f t="shared" si="19"/>
        <v>199.21638708286935</v>
      </c>
      <c r="AA30" s="327">
        <f t="shared" si="20"/>
        <v>205.43728700548229</v>
      </c>
      <c r="AB30" s="327">
        <f t="shared" si="21"/>
        <v>152065.87000000075</v>
      </c>
      <c r="AC30" s="327">
        <f>+[16]DailyOct!J29</f>
        <v>7991.9700000007724</v>
      </c>
      <c r="AD30" s="327">
        <f t="shared" si="22"/>
        <v>143.53909982400182</v>
      </c>
      <c r="AE30" s="421">
        <f t="shared" si="23"/>
        <v>148.02137353683457</v>
      </c>
      <c r="AF30" s="327">
        <f t="shared" si="24"/>
        <v>220299.99999999927</v>
      </c>
      <c r="AG30" s="327">
        <f>+[16]DailyOct!K29</f>
        <v>13099.999999998545</v>
      </c>
      <c r="AH30" s="327">
        <f t="shared" si="25"/>
        <v>235.28143970685989</v>
      </c>
      <c r="AI30" s="449">
        <f t="shared" si="26"/>
        <v>242.62853756109322</v>
      </c>
      <c r="AJ30" s="327">
        <f t="shared" si="27"/>
        <v>8239</v>
      </c>
      <c r="AK30" s="327">
        <f>+[16]DailyOct!L29</f>
        <v>400</v>
      </c>
      <c r="AL30" s="327">
        <f t="shared" si="28"/>
        <v>7.1841660979201842</v>
      </c>
      <c r="AM30" s="449">
        <f t="shared" si="29"/>
        <v>7.4085049636983262</v>
      </c>
      <c r="AN30" s="327">
        <f t="shared" si="30"/>
        <v>12653</v>
      </c>
      <c r="AO30" s="327">
        <f>+[16]DailyOct!M29</f>
        <v>640</v>
      </c>
      <c r="AP30" s="327">
        <f t="shared" si="31"/>
        <v>11.494665756672294</v>
      </c>
      <c r="AQ30" s="449">
        <f t="shared" si="32"/>
        <v>11.853607941917321</v>
      </c>
      <c r="AR30" s="327">
        <f t="shared" si="33"/>
        <v>55023.9399999995</v>
      </c>
      <c r="AS30" s="324">
        <f t="shared" si="10"/>
        <v>988.25281080497689</v>
      </c>
      <c r="AT30" s="325">
        <f t="shared" si="11"/>
        <v>1019.1128315305879</v>
      </c>
    </row>
    <row r="31" spans="1:51">
      <c r="A31" s="318">
        <f t="shared" si="12"/>
        <v>45954</v>
      </c>
      <c r="B31" s="326">
        <f>+Report1!P32</f>
        <v>30.027000000000001</v>
      </c>
      <c r="C31" s="326">
        <f>+Report1!R32</f>
        <v>29.25</v>
      </c>
      <c r="D31" s="327">
        <f t="shared" si="13"/>
        <v>7341.5600000005215</v>
      </c>
      <c r="E31" s="327">
        <f>+[16]DailyOct!D30</f>
        <v>5.150000000372529</v>
      </c>
      <c r="F31" s="321">
        <f t="shared" si="0"/>
        <v>0.17151230560404065</v>
      </c>
      <c r="G31" s="321">
        <f t="shared" si="1"/>
        <v>0.17606837608111212</v>
      </c>
      <c r="H31" s="327">
        <f t="shared" si="14"/>
        <v>0</v>
      </c>
      <c r="I31" s="327">
        <f>+[16]DailyOct!E30</f>
        <v>0</v>
      </c>
      <c r="J31" s="321">
        <f t="shared" si="2"/>
        <v>0</v>
      </c>
      <c r="K31" s="321">
        <f t="shared" si="3"/>
        <v>0</v>
      </c>
      <c r="L31" s="327">
        <f t="shared" si="15"/>
        <v>9690</v>
      </c>
      <c r="M31" s="327">
        <f>+[16]DailyOct!F30</f>
        <v>5300</v>
      </c>
      <c r="N31" s="321">
        <f t="shared" si="4"/>
        <v>176.50780963799247</v>
      </c>
      <c r="O31" s="321">
        <f t="shared" si="5"/>
        <v>181.19658119658121</v>
      </c>
      <c r="P31" s="327">
        <f t="shared" si="16"/>
        <v>397968.43999999948</v>
      </c>
      <c r="Q31" s="327">
        <f>+[16]DailyOct!G30</f>
        <v>7694.8499999996275</v>
      </c>
      <c r="R31" s="321">
        <f t="shared" si="6"/>
        <v>256.26436207412087</v>
      </c>
      <c r="S31" s="321">
        <f t="shared" si="7"/>
        <v>263.07179487178212</v>
      </c>
      <c r="T31" s="327">
        <f t="shared" si="17"/>
        <v>145300.0000000002</v>
      </c>
      <c r="U31" s="327">
        <f>+[16]DailyOct!H30</f>
        <v>3000</v>
      </c>
      <c r="V31" s="321">
        <f t="shared" si="8"/>
        <v>99.910080927165552</v>
      </c>
      <c r="W31" s="321">
        <f t="shared" si="9"/>
        <v>102.56410256410257</v>
      </c>
      <c r="X31" s="327">
        <f t="shared" si="18"/>
        <v>323598.59999999998</v>
      </c>
      <c r="Y31" s="327">
        <f>+[16]DailyOct!I30</f>
        <v>8562.7300000007272</v>
      </c>
      <c r="Z31" s="327">
        <f t="shared" si="19"/>
        <v>285.16768241918032</v>
      </c>
      <c r="AA31" s="327">
        <f t="shared" si="20"/>
        <v>292.74290598293084</v>
      </c>
      <c r="AB31" s="327">
        <f t="shared" si="21"/>
        <v>158228.59999999992</v>
      </c>
      <c r="AC31" s="327">
        <f>+[16]DailyOct!J30</f>
        <v>6162.729999999181</v>
      </c>
      <c r="AD31" s="327">
        <f t="shared" si="22"/>
        <v>205.23961767739638</v>
      </c>
      <c r="AE31" s="421">
        <f t="shared" si="23"/>
        <v>210.69162393159593</v>
      </c>
      <c r="AF31" s="327">
        <f t="shared" si="24"/>
        <v>225799.99999999927</v>
      </c>
      <c r="AG31" s="327">
        <f>+[16]DailyOct!K30</f>
        <v>5500</v>
      </c>
      <c r="AH31" s="327">
        <f t="shared" si="25"/>
        <v>183.16848169980349</v>
      </c>
      <c r="AI31" s="449">
        <f t="shared" si="26"/>
        <v>188.03418803418805</v>
      </c>
      <c r="AJ31" s="327">
        <f t="shared" si="27"/>
        <v>8519</v>
      </c>
      <c r="AK31" s="327">
        <f>+[16]DailyOct!L30</f>
        <v>280</v>
      </c>
      <c r="AL31" s="327">
        <f t="shared" si="28"/>
        <v>9.3249408865354511</v>
      </c>
      <c r="AM31" s="449">
        <f t="shared" si="29"/>
        <v>9.5726495726495724</v>
      </c>
      <c r="AN31" s="327">
        <f t="shared" si="30"/>
        <v>13103</v>
      </c>
      <c r="AO31" s="327">
        <f>+[16]DailyOct!M30</f>
        <v>450</v>
      </c>
      <c r="AP31" s="327">
        <f t="shared" si="31"/>
        <v>14.986512139074833</v>
      </c>
      <c r="AQ31" s="449">
        <f t="shared" si="32"/>
        <v>15.384615384615385</v>
      </c>
      <c r="AR31" s="327">
        <f t="shared" si="33"/>
        <v>36955.459999999905</v>
      </c>
      <c r="AS31" s="324">
        <f t="shared" si="10"/>
        <v>1230.7409997668733</v>
      </c>
      <c r="AT31" s="325">
        <f t="shared" si="11"/>
        <v>1263.4345299145266</v>
      </c>
    </row>
    <row r="32" spans="1:51">
      <c r="A32" s="318">
        <f t="shared" si="12"/>
        <v>45955</v>
      </c>
      <c r="B32" s="326">
        <f>+Report1!P33</f>
        <v>53.856999999999999</v>
      </c>
      <c r="C32" s="326">
        <f>+Report1!R33</f>
        <v>45.805</v>
      </c>
      <c r="D32" s="327">
        <f t="shared" si="13"/>
        <v>7341.5600000005215</v>
      </c>
      <c r="E32" s="327">
        <f>+[16]DailyOct!D31</f>
        <v>0</v>
      </c>
      <c r="F32" s="321">
        <f t="shared" si="0"/>
        <v>0</v>
      </c>
      <c r="G32" s="321">
        <f t="shared" si="1"/>
        <v>0</v>
      </c>
      <c r="H32" s="327">
        <f t="shared" si="14"/>
        <v>0</v>
      </c>
      <c r="I32" s="327">
        <f>+[16]DailyOct!E31</f>
        <v>0</v>
      </c>
      <c r="J32" s="321">
        <f t="shared" si="2"/>
        <v>0</v>
      </c>
      <c r="K32" s="321">
        <f t="shared" si="3"/>
        <v>0</v>
      </c>
      <c r="L32" s="327">
        <f t="shared" si="15"/>
        <v>16390</v>
      </c>
      <c r="M32" s="327">
        <f>+[16]DailyOct!F31</f>
        <v>6700</v>
      </c>
      <c r="N32" s="321">
        <f t="shared" si="4"/>
        <v>124.4035130066658</v>
      </c>
      <c r="O32" s="321">
        <f t="shared" si="5"/>
        <v>146.27224102172252</v>
      </c>
      <c r="P32" s="327">
        <f t="shared" si="16"/>
        <v>406268.43999999948</v>
      </c>
      <c r="Q32" s="327">
        <f>+[16]DailyOct!G31</f>
        <v>8300</v>
      </c>
      <c r="R32" s="321">
        <f t="shared" si="6"/>
        <v>154.11181462019795</v>
      </c>
      <c r="S32" s="321">
        <f t="shared" si="7"/>
        <v>181.20292544482044</v>
      </c>
      <c r="T32" s="327">
        <f t="shared" si="17"/>
        <v>150199.99999999983</v>
      </c>
      <c r="U32" s="327">
        <f>+[16]DailyOct!H31</f>
        <v>4899.9999999996362</v>
      </c>
      <c r="V32" s="321">
        <f t="shared" si="8"/>
        <v>90.981673691435404</v>
      </c>
      <c r="W32" s="321">
        <f t="shared" si="9"/>
        <v>106.97522104572943</v>
      </c>
      <c r="X32" s="327">
        <f t="shared" si="18"/>
        <v>336643.91999999923</v>
      </c>
      <c r="Y32" s="327">
        <f>+[16]DailyOct!I31</f>
        <v>13045.319999999272</v>
      </c>
      <c r="Z32" s="327">
        <f t="shared" si="19"/>
        <v>242.22143825313836</v>
      </c>
      <c r="AA32" s="327">
        <f t="shared" si="20"/>
        <v>284.8012225739389</v>
      </c>
      <c r="AB32" s="327">
        <f t="shared" si="21"/>
        <v>164173.91999999955</v>
      </c>
      <c r="AC32" s="327">
        <f>+[16]DailyOct!J31</f>
        <v>5945.3199999996359</v>
      </c>
      <c r="AD32" s="327">
        <f t="shared" si="22"/>
        <v>110.39084984309628</v>
      </c>
      <c r="AE32" s="421">
        <f t="shared" si="23"/>
        <v>129.79631044644987</v>
      </c>
      <c r="AF32" s="327">
        <f t="shared" si="24"/>
        <v>233299.99999999927</v>
      </c>
      <c r="AG32" s="327">
        <f>+[16]DailyOct!K31</f>
        <v>7500</v>
      </c>
      <c r="AH32" s="327">
        <f t="shared" si="25"/>
        <v>139.25766381343186</v>
      </c>
      <c r="AI32" s="449">
        <f t="shared" si="26"/>
        <v>163.73758323327147</v>
      </c>
      <c r="AJ32" s="327">
        <f t="shared" si="27"/>
        <v>8829</v>
      </c>
      <c r="AK32" s="327">
        <f>+[16]DailyOct!L31</f>
        <v>310</v>
      </c>
      <c r="AL32" s="327">
        <f t="shared" si="28"/>
        <v>5.7559834376218504</v>
      </c>
      <c r="AM32" s="449">
        <f t="shared" si="29"/>
        <v>6.7678201069752211</v>
      </c>
      <c r="AN32" s="327">
        <f t="shared" si="30"/>
        <v>13673</v>
      </c>
      <c r="AO32" s="327">
        <f>+[16]DailyOct!M31</f>
        <v>570</v>
      </c>
      <c r="AP32" s="327">
        <f t="shared" si="31"/>
        <v>10.583582449820822</v>
      </c>
      <c r="AQ32" s="449">
        <f t="shared" si="32"/>
        <v>12.444056325728633</v>
      </c>
      <c r="AR32" s="327">
        <f t="shared" si="33"/>
        <v>47270.639999998544</v>
      </c>
      <c r="AS32" s="324">
        <f t="shared" si="10"/>
        <v>877.70651911540835</v>
      </c>
      <c r="AT32" s="325">
        <f t="shared" si="11"/>
        <v>1031.9973801986364</v>
      </c>
    </row>
    <row r="33" spans="1:46">
      <c r="A33" s="318">
        <f t="shared" si="12"/>
        <v>45956</v>
      </c>
      <c r="B33" s="326">
        <f>+Report1!P34</f>
        <v>53.692999999999998</v>
      </c>
      <c r="C33" s="326">
        <f>+Report1!R34</f>
        <v>43.750999999999998</v>
      </c>
      <c r="D33" s="327">
        <f t="shared" si="13"/>
        <v>7341.5600000005215</v>
      </c>
      <c r="E33" s="327">
        <f>+[16]DailyOct!D32</f>
        <v>0</v>
      </c>
      <c r="F33" s="321">
        <f t="shared" si="0"/>
        <v>0</v>
      </c>
      <c r="G33" s="321">
        <f t="shared" si="1"/>
        <v>0</v>
      </c>
      <c r="H33" s="327">
        <f t="shared" si="14"/>
        <v>0</v>
      </c>
      <c r="I33" s="327">
        <f>+[16]DailyOct!E32</f>
        <v>0</v>
      </c>
      <c r="J33" s="321">
        <f t="shared" si="2"/>
        <v>0</v>
      </c>
      <c r="K33" s="321">
        <f t="shared" si="3"/>
        <v>0</v>
      </c>
      <c r="L33" s="327">
        <f t="shared" si="15"/>
        <v>22790</v>
      </c>
      <c r="M33" s="327">
        <f>+[16]DailyOct!F32</f>
        <v>6400</v>
      </c>
      <c r="N33" s="321">
        <f t="shared" si="4"/>
        <v>119.19617082301231</v>
      </c>
      <c r="O33" s="321">
        <f t="shared" si="5"/>
        <v>146.28237068866997</v>
      </c>
      <c r="P33" s="327">
        <f t="shared" si="16"/>
        <v>413868.43999999948</v>
      </c>
      <c r="Q33" s="327">
        <f>+[16]DailyOct!G32</f>
        <v>7600</v>
      </c>
      <c r="R33" s="321">
        <f t="shared" si="6"/>
        <v>141.54545285232712</v>
      </c>
      <c r="S33" s="321">
        <f t="shared" si="7"/>
        <v>173.7103151927956</v>
      </c>
      <c r="T33" s="327">
        <f t="shared" si="17"/>
        <v>155119.99999999988</v>
      </c>
      <c r="U33" s="327">
        <f>+[16]DailyOct!H32</f>
        <v>4920.0000000000728</v>
      </c>
      <c r="V33" s="321">
        <f t="shared" si="8"/>
        <v>91.632056320192078</v>
      </c>
      <c r="W33" s="321">
        <f t="shared" si="9"/>
        <v>112.45457246691672</v>
      </c>
      <c r="X33" s="327">
        <f t="shared" si="18"/>
        <v>348164.03000000067</v>
      </c>
      <c r="Y33" s="327">
        <f>+[16]DailyOct!I32</f>
        <v>11520.110000001456</v>
      </c>
      <c r="Z33" s="327">
        <f t="shared" si="19"/>
        <v>214.55515616563531</v>
      </c>
      <c r="AA33" s="327">
        <f t="shared" si="20"/>
        <v>263.31078146788548</v>
      </c>
      <c r="AB33" s="327">
        <f t="shared" si="21"/>
        <v>169994.0300000007</v>
      </c>
      <c r="AC33" s="327">
        <f>+[16]DailyOct!J32</f>
        <v>5820.1100000011375</v>
      </c>
      <c r="AD33" s="327">
        <f t="shared" si="22"/>
        <v>108.39606652638403</v>
      </c>
      <c r="AE33" s="421">
        <f t="shared" si="23"/>
        <v>133.02804507328148</v>
      </c>
      <c r="AF33" s="327">
        <f t="shared" si="24"/>
        <v>241100.00000000035</v>
      </c>
      <c r="AG33" s="327">
        <f>+[16]DailyOct!K32</f>
        <v>7800.0000000010914</v>
      </c>
      <c r="AH33" s="327">
        <f t="shared" si="25"/>
        <v>145.27033319056659</v>
      </c>
      <c r="AI33" s="449">
        <f t="shared" si="26"/>
        <v>178.28163927684147</v>
      </c>
      <c r="AJ33" s="327">
        <f t="shared" si="27"/>
        <v>9169</v>
      </c>
      <c r="AK33" s="327">
        <f>+[16]DailyOct!L32</f>
        <v>340</v>
      </c>
      <c r="AL33" s="327">
        <f t="shared" si="28"/>
        <v>6.3322965749725295</v>
      </c>
      <c r="AM33" s="449">
        <f t="shared" si="29"/>
        <v>7.7712509428355929</v>
      </c>
      <c r="AN33" s="327">
        <f t="shared" si="30"/>
        <v>14203</v>
      </c>
      <c r="AO33" s="327">
        <f>+[16]DailyOct!M32</f>
        <v>530</v>
      </c>
      <c r="AP33" s="327">
        <f t="shared" si="31"/>
        <v>9.8709328962807081</v>
      </c>
      <c r="AQ33" s="449">
        <f t="shared" si="32"/>
        <v>12.114008822655483</v>
      </c>
      <c r="AR33" s="327">
        <f t="shared" si="33"/>
        <v>44930.220000003756</v>
      </c>
      <c r="AS33" s="324">
        <f t="shared" si="10"/>
        <v>836.79846534937064</v>
      </c>
      <c r="AT33" s="325">
        <f t="shared" si="11"/>
        <v>1026.9529839318818</v>
      </c>
    </row>
    <row r="34" spans="1:46">
      <c r="A34" s="318">
        <f t="shared" si="12"/>
        <v>45957</v>
      </c>
      <c r="B34" s="326">
        <f>+Report1!P35</f>
        <v>57.25</v>
      </c>
      <c r="C34" s="326">
        <f>+Report1!R35</f>
        <v>51.003999999999998</v>
      </c>
      <c r="D34" s="327">
        <f t="shared" si="13"/>
        <v>7346.0600000005215</v>
      </c>
      <c r="E34" s="327">
        <f>+[16]DailyOct!D33</f>
        <v>4.5</v>
      </c>
      <c r="F34" s="321">
        <f t="shared" si="0"/>
        <v>7.8602620087336247E-2</v>
      </c>
      <c r="G34" s="321">
        <f t="shared" si="1"/>
        <v>8.822837424515724E-2</v>
      </c>
      <c r="H34" s="327">
        <f t="shared" si="14"/>
        <v>0</v>
      </c>
      <c r="I34" s="327">
        <f>+[16]DailyOct!E33</f>
        <v>0</v>
      </c>
      <c r="J34" s="321">
        <f t="shared" si="2"/>
        <v>0</v>
      </c>
      <c r="K34" s="321">
        <f t="shared" si="3"/>
        <v>0</v>
      </c>
      <c r="L34" s="327">
        <f t="shared" si="15"/>
        <v>29490</v>
      </c>
      <c r="M34" s="327">
        <f>+[16]DailyOct!F33</f>
        <v>6700</v>
      </c>
      <c r="N34" s="321">
        <f t="shared" si="4"/>
        <v>117.03056768558952</v>
      </c>
      <c r="O34" s="321">
        <f t="shared" si="5"/>
        <v>131.36224609834522</v>
      </c>
      <c r="P34" s="327">
        <f t="shared" si="16"/>
        <v>422163.93999999948</v>
      </c>
      <c r="Q34" s="327">
        <f>+[16]DailyOct!G33</f>
        <v>8295.5</v>
      </c>
      <c r="R34" s="321">
        <f t="shared" si="6"/>
        <v>144.8995633187773</v>
      </c>
      <c r="S34" s="321">
        <f t="shared" si="7"/>
        <v>162.64410634460043</v>
      </c>
      <c r="T34" s="327">
        <f t="shared" si="17"/>
        <v>160600.00000000035</v>
      </c>
      <c r="U34" s="327">
        <f>+[16]DailyOct!H33</f>
        <v>5480.0000000004729</v>
      </c>
      <c r="V34" s="321">
        <f t="shared" si="8"/>
        <v>95.720524017475512</v>
      </c>
      <c r="W34" s="321">
        <f t="shared" si="9"/>
        <v>107.44255352522299</v>
      </c>
      <c r="X34" s="327">
        <f t="shared" si="18"/>
        <v>361419.93999999919</v>
      </c>
      <c r="Y34" s="327">
        <f>+[16]DailyOct!I33</f>
        <v>13255.909999998545</v>
      </c>
      <c r="Z34" s="327">
        <f t="shared" si="19"/>
        <v>231.54427947595713</v>
      </c>
      <c r="AA34" s="327">
        <f t="shared" si="20"/>
        <v>259.89941965333202</v>
      </c>
      <c r="AB34" s="327">
        <f t="shared" si="21"/>
        <v>176949.93999999965</v>
      </c>
      <c r="AC34" s="327">
        <f>+[16]DailyOct!J33</f>
        <v>6955.9099999989539</v>
      </c>
      <c r="AD34" s="327">
        <f t="shared" si="22"/>
        <v>121.50061135369351</v>
      </c>
      <c r="AE34" s="421">
        <f t="shared" si="23"/>
        <v>136.37969571011988</v>
      </c>
      <c r="AF34" s="327">
        <f t="shared" si="24"/>
        <v>249299.99999999924</v>
      </c>
      <c r="AG34" s="327">
        <f>+[16]DailyOct!K33</f>
        <v>8199.9999999989086</v>
      </c>
      <c r="AH34" s="327">
        <f t="shared" si="25"/>
        <v>143.23144104801588</v>
      </c>
      <c r="AI34" s="449">
        <f t="shared" si="26"/>
        <v>160.77170418004292</v>
      </c>
      <c r="AJ34" s="327">
        <f t="shared" si="27"/>
        <v>9489</v>
      </c>
      <c r="AK34" s="327">
        <f>+[16]DailyOct!L33</f>
        <v>320</v>
      </c>
      <c r="AL34" s="327">
        <f t="shared" si="28"/>
        <v>5.5895196506550215</v>
      </c>
      <c r="AM34" s="449">
        <f t="shared" si="29"/>
        <v>6.2740177241000712</v>
      </c>
      <c r="AN34" s="327">
        <f t="shared" si="30"/>
        <v>14733</v>
      </c>
      <c r="AO34" s="327">
        <f>+[16]DailyOct!M33</f>
        <v>530</v>
      </c>
      <c r="AP34" s="327">
        <f t="shared" si="31"/>
        <v>9.2576419213973793</v>
      </c>
      <c r="AQ34" s="449">
        <f t="shared" si="32"/>
        <v>10.391341855540743</v>
      </c>
      <c r="AR34" s="327">
        <f t="shared" si="33"/>
        <v>49741.819999996878</v>
      </c>
      <c r="AS34" s="324">
        <f t="shared" si="10"/>
        <v>868.85275109164854</v>
      </c>
      <c r="AT34" s="325">
        <f t="shared" si="11"/>
        <v>975.25331346554935</v>
      </c>
    </row>
    <row r="35" spans="1:46">
      <c r="A35" s="318">
        <f t="shared" si="12"/>
        <v>45958</v>
      </c>
      <c r="B35" s="326">
        <f>+Report1!P36</f>
        <v>55.466000000000001</v>
      </c>
      <c r="C35" s="326">
        <f>+Report1!R36</f>
        <v>48.39</v>
      </c>
      <c r="D35" s="327">
        <f t="shared" si="13"/>
        <v>7346.5600000005215</v>
      </c>
      <c r="E35" s="327">
        <f>+[16]DailyOct!D34</f>
        <v>0.5</v>
      </c>
      <c r="F35" s="321">
        <f t="shared" si="0"/>
        <v>9.014531424656547E-3</v>
      </c>
      <c r="G35" s="321">
        <f t="shared" si="1"/>
        <v>1.0332713370531101E-2</v>
      </c>
      <c r="H35" s="327">
        <f t="shared" si="14"/>
        <v>0</v>
      </c>
      <c r="I35" s="327">
        <f>+[16]DailyOct!E34</f>
        <v>0</v>
      </c>
      <c r="J35" s="321">
        <f t="shared" si="2"/>
        <v>0</v>
      </c>
      <c r="K35" s="321">
        <f t="shared" si="3"/>
        <v>0</v>
      </c>
      <c r="L35" s="327">
        <f t="shared" si="15"/>
        <v>35890</v>
      </c>
      <c r="M35" s="327">
        <f>+[16]DailyOct!F34</f>
        <v>6400</v>
      </c>
      <c r="N35" s="321">
        <f t="shared" si="4"/>
        <v>115.3860022356038</v>
      </c>
      <c r="O35" s="321">
        <f t="shared" si="5"/>
        <v>132.2587311427981</v>
      </c>
      <c r="P35" s="327">
        <f t="shared" si="16"/>
        <v>429963.44000000018</v>
      </c>
      <c r="Q35" s="327">
        <f>+[16]DailyOct!G34</f>
        <v>7799.5000000007276</v>
      </c>
      <c r="R35" s="321">
        <f t="shared" si="6"/>
        <v>140.61767569323058</v>
      </c>
      <c r="S35" s="321">
        <f t="shared" si="7"/>
        <v>161.17999586692969</v>
      </c>
      <c r="T35" s="327">
        <f t="shared" si="17"/>
        <v>165800.00000000017</v>
      </c>
      <c r="U35" s="327">
        <f>+[16]DailyOct!H34</f>
        <v>5199.9999999998181</v>
      </c>
      <c r="V35" s="321">
        <f t="shared" si="8"/>
        <v>93.751126816424801</v>
      </c>
      <c r="W35" s="321">
        <f t="shared" si="9"/>
        <v>107.46021905351969</v>
      </c>
      <c r="X35" s="327">
        <f t="shared" si="18"/>
        <v>374694.3299999992</v>
      </c>
      <c r="Y35" s="327">
        <f>+[16]DailyOct!I34</f>
        <v>13274.39</v>
      </c>
      <c r="Z35" s="327">
        <f t="shared" si="19"/>
        <v>239.32481159629322</v>
      </c>
      <c r="AA35" s="327">
        <f t="shared" si="20"/>
        <v>274.32093407728865</v>
      </c>
      <c r="AB35" s="327">
        <f t="shared" si="21"/>
        <v>180324.32999999996</v>
      </c>
      <c r="AC35" s="327">
        <f>+[16]DailyOct!J34</f>
        <v>3374.3900000003177</v>
      </c>
      <c r="AD35" s="327">
        <f t="shared" si="22"/>
        <v>60.837089388099336</v>
      </c>
      <c r="AE35" s="421">
        <f t="shared" si="23"/>
        <v>69.733209340779453</v>
      </c>
      <c r="AF35" s="327">
        <f t="shared" si="24"/>
        <v>257200.0000000007</v>
      </c>
      <c r="AG35" s="327">
        <f>+[16]DailyOct!K34</f>
        <v>7900.0000000014552</v>
      </c>
      <c r="AH35" s="327">
        <f t="shared" si="25"/>
        <v>142.42959650959966</v>
      </c>
      <c r="AI35" s="449">
        <f t="shared" si="26"/>
        <v>163.25687125442147</v>
      </c>
      <c r="AJ35" s="327">
        <f t="shared" si="27"/>
        <v>9749</v>
      </c>
      <c r="AK35" s="327">
        <f>+[16]DailyOct!L34</f>
        <v>260</v>
      </c>
      <c r="AL35" s="327">
        <f t="shared" si="28"/>
        <v>4.6875563408214038</v>
      </c>
      <c r="AM35" s="449">
        <f t="shared" si="29"/>
        <v>5.3730109526761725</v>
      </c>
      <c r="AN35" s="327">
        <f t="shared" si="30"/>
        <v>15163</v>
      </c>
      <c r="AO35" s="327">
        <f>+[16]DailyOct!M34</f>
        <v>430</v>
      </c>
      <c r="AP35" s="327">
        <f t="shared" si="31"/>
        <v>7.7524970252046295</v>
      </c>
      <c r="AQ35" s="449">
        <f t="shared" si="32"/>
        <v>8.8861334986567471</v>
      </c>
      <c r="AR35" s="327">
        <f t="shared" si="33"/>
        <v>44638.78000000232</v>
      </c>
      <c r="AS35" s="324">
        <f t="shared" si="10"/>
        <v>804.7953701367021</v>
      </c>
      <c r="AT35" s="325">
        <f t="shared" si="11"/>
        <v>922.47943790044053</v>
      </c>
    </row>
    <row r="36" spans="1:46">
      <c r="A36" s="318">
        <f t="shared" si="12"/>
        <v>45959</v>
      </c>
      <c r="B36" s="326">
        <f>+Report1!P37</f>
        <v>57.948</v>
      </c>
      <c r="C36" s="326">
        <f>+Report1!R37</f>
        <v>61.749000000000002</v>
      </c>
      <c r="D36" s="327">
        <f t="shared" si="13"/>
        <v>7346.5600000005215</v>
      </c>
      <c r="E36" s="327">
        <f>+[16]DailyOct!D35</f>
        <v>0</v>
      </c>
      <c r="F36" s="321">
        <f t="shared" si="0"/>
        <v>0</v>
      </c>
      <c r="G36" s="321">
        <f t="shared" si="1"/>
        <v>0</v>
      </c>
      <c r="H36" s="327">
        <f t="shared" si="14"/>
        <v>0</v>
      </c>
      <c r="I36" s="327">
        <f>+[16]DailyOct!E35</f>
        <v>0</v>
      </c>
      <c r="J36" s="321">
        <f t="shared" si="2"/>
        <v>0</v>
      </c>
      <c r="K36" s="321">
        <f t="shared" si="3"/>
        <v>0</v>
      </c>
      <c r="L36" s="327">
        <f t="shared" si="15"/>
        <v>42590</v>
      </c>
      <c r="M36" s="327">
        <f>+[16]DailyOct!F35</f>
        <v>6700</v>
      </c>
      <c r="N36" s="321">
        <f t="shared" si="4"/>
        <v>115.62090149789466</v>
      </c>
      <c r="O36" s="321">
        <f t="shared" si="5"/>
        <v>108.50378143775607</v>
      </c>
      <c r="P36" s="327">
        <f t="shared" si="16"/>
        <v>438063.43999999948</v>
      </c>
      <c r="Q36" s="327">
        <f>+[16]DailyOct!G35</f>
        <v>8099.9999999992724</v>
      </c>
      <c r="R36" s="321">
        <f t="shared" si="6"/>
        <v>139.78049285565115</v>
      </c>
      <c r="S36" s="321">
        <f t="shared" si="7"/>
        <v>131.17621337996198</v>
      </c>
      <c r="T36" s="327">
        <f t="shared" si="17"/>
        <v>172000</v>
      </c>
      <c r="U36" s="327">
        <f>+[16]DailyOct!H35</f>
        <v>6199.9999999998181</v>
      </c>
      <c r="V36" s="321">
        <f t="shared" si="8"/>
        <v>106.99247601297401</v>
      </c>
      <c r="W36" s="321">
        <f t="shared" si="9"/>
        <v>100.40648431553252</v>
      </c>
      <c r="X36" s="327">
        <f t="shared" si="18"/>
        <v>390423.90999999992</v>
      </c>
      <c r="Y36" s="327">
        <f>+[16]DailyOct!I35</f>
        <v>15729.580000000728</v>
      </c>
      <c r="Z36" s="327">
        <f t="shared" si="19"/>
        <v>271.44301787811014</v>
      </c>
      <c r="AA36" s="327">
        <f t="shared" si="20"/>
        <v>254.73416573548926</v>
      </c>
      <c r="AB36" s="327">
        <f t="shared" si="21"/>
        <v>187493.91</v>
      </c>
      <c r="AC36" s="327">
        <f>+[16]DailyOct!J35</f>
        <v>7169.5800000000318</v>
      </c>
      <c r="AD36" s="327">
        <f t="shared" si="22"/>
        <v>123.72437357631034</v>
      </c>
      <c r="AE36" s="421">
        <f t="shared" si="23"/>
        <v>116.10843900306129</v>
      </c>
      <c r="AF36" s="327">
        <f t="shared" si="24"/>
        <v>265500</v>
      </c>
      <c r="AG36" s="327">
        <f>+[16]DailyOct!K35</f>
        <v>8299.9999999992724</v>
      </c>
      <c r="AH36" s="327">
        <f t="shared" si="25"/>
        <v>143.23186304961814</v>
      </c>
      <c r="AI36" s="449">
        <f t="shared" si="26"/>
        <v>134.41513222885021</v>
      </c>
      <c r="AJ36" s="327">
        <f t="shared" si="27"/>
        <v>10102.199999999953</v>
      </c>
      <c r="AK36" s="327">
        <f>+[16]DailyOct!L35</f>
        <v>353.19999999995343</v>
      </c>
      <c r="AL36" s="327">
        <f t="shared" si="28"/>
        <v>6.0951197625449272</v>
      </c>
      <c r="AM36" s="449">
        <f t="shared" si="29"/>
        <v>5.7199306871358795</v>
      </c>
      <c r="AN36" s="327">
        <f t="shared" si="30"/>
        <v>15730.459999999992</v>
      </c>
      <c r="AO36" s="327">
        <f>+[16]DailyOct!M35</f>
        <v>567.45999999999185</v>
      </c>
      <c r="AP36" s="327">
        <f t="shared" si="31"/>
        <v>9.7925726513424429</v>
      </c>
      <c r="AQ36" s="449">
        <f t="shared" si="32"/>
        <v>9.1897844499504746</v>
      </c>
      <c r="AR36" s="327">
        <f t="shared" si="33"/>
        <v>53119.819999999068</v>
      </c>
      <c r="AS36" s="324">
        <f t="shared" si="10"/>
        <v>916.68081728444588</v>
      </c>
      <c r="AT36" s="325">
        <f t="shared" si="11"/>
        <v>860.25393123773767</v>
      </c>
    </row>
    <row r="37" spans="1:46">
      <c r="A37" s="318">
        <f t="shared" si="12"/>
        <v>45960</v>
      </c>
      <c r="B37" s="326">
        <f>+Report1!P38</f>
        <v>64.97</v>
      </c>
      <c r="C37" s="326">
        <f>+Report1!R38</f>
        <v>53.747</v>
      </c>
      <c r="D37" s="327">
        <f t="shared" si="13"/>
        <v>7346.5600000005215</v>
      </c>
      <c r="E37" s="327">
        <f>+[16]DailyOct!D36</f>
        <v>0</v>
      </c>
      <c r="F37" s="321">
        <f t="shared" si="0"/>
        <v>0</v>
      </c>
      <c r="G37" s="321">
        <f t="shared" si="1"/>
        <v>0</v>
      </c>
      <c r="H37" s="327">
        <f t="shared" si="14"/>
        <v>0</v>
      </c>
      <c r="I37" s="327">
        <f>+[16]DailyOct!E36</f>
        <v>0</v>
      </c>
      <c r="J37" s="321">
        <f t="shared" si="2"/>
        <v>0</v>
      </c>
      <c r="K37" s="321">
        <f t="shared" si="3"/>
        <v>0</v>
      </c>
      <c r="L37" s="327">
        <f t="shared" si="15"/>
        <v>48890</v>
      </c>
      <c r="M37" s="327">
        <f>+[16]DailyOct!F36</f>
        <v>6300</v>
      </c>
      <c r="N37" s="321">
        <f t="shared" si="4"/>
        <v>96.967831306756963</v>
      </c>
      <c r="O37" s="321">
        <f t="shared" si="5"/>
        <v>117.2158446052803</v>
      </c>
      <c r="P37" s="327">
        <f t="shared" si="16"/>
        <v>446063.43999999878</v>
      </c>
      <c r="Q37" s="327">
        <f>+[16]DailyOct!G36</f>
        <v>7999.9999999992724</v>
      </c>
      <c r="R37" s="321">
        <f t="shared" si="6"/>
        <v>123.13375404031511</v>
      </c>
      <c r="S37" s="321">
        <f t="shared" si="7"/>
        <v>148.84551695907254</v>
      </c>
      <c r="T37" s="327">
        <f t="shared" si="17"/>
        <v>176800.00000000017</v>
      </c>
      <c r="U37" s="327">
        <f>+[16]DailyOct!H36</f>
        <v>4800.0000000001819</v>
      </c>
      <c r="V37" s="321">
        <f t="shared" si="8"/>
        <v>73.880252424198588</v>
      </c>
      <c r="W37" s="321">
        <f t="shared" si="9"/>
        <v>89.307310175455044</v>
      </c>
      <c r="X37" s="327">
        <f t="shared" si="18"/>
        <v>399629.2099999999</v>
      </c>
      <c r="Y37" s="327">
        <f>+[16]DailyOct!I36</f>
        <v>9205.2999999999993</v>
      </c>
      <c r="Z37" s="327">
        <f t="shared" si="19"/>
        <v>141.68539325842696</v>
      </c>
      <c r="AA37" s="327">
        <f t="shared" si="20"/>
        <v>171.2709546579344</v>
      </c>
      <c r="AB37" s="327">
        <f t="shared" si="21"/>
        <v>195159.20999999929</v>
      </c>
      <c r="AC37" s="327">
        <f>+[16]DailyOct!J36</f>
        <v>7665.2999999992853</v>
      </c>
      <c r="AD37" s="327">
        <f t="shared" si="22"/>
        <v>117.98214560565316</v>
      </c>
      <c r="AE37" s="421">
        <f t="shared" si="23"/>
        <v>142.61819264329702</v>
      </c>
      <c r="AF37" s="327">
        <f t="shared" si="24"/>
        <v>278700.0000000007</v>
      </c>
      <c r="AG37" s="327">
        <f>+[16]DailyOct!K36</f>
        <v>13200.000000000728</v>
      </c>
      <c r="AH37" s="327">
        <f t="shared" si="25"/>
        <v>203.17069416654959</v>
      </c>
      <c r="AI37" s="449">
        <f t="shared" si="26"/>
        <v>245.59510298250558</v>
      </c>
      <c r="AJ37" s="327">
        <f t="shared" si="27"/>
        <v>10469</v>
      </c>
      <c r="AK37" s="327">
        <f>+[16]DailyOct!L36</f>
        <v>366.80000000004657</v>
      </c>
      <c r="AL37" s="327">
        <f t="shared" si="28"/>
        <v>5.6456826227496775</v>
      </c>
      <c r="AM37" s="449">
        <f t="shared" si="29"/>
        <v>6.8245669525749637</v>
      </c>
      <c r="AN37" s="327">
        <f t="shared" si="30"/>
        <v>16393</v>
      </c>
      <c r="AO37" s="327">
        <f>+[16]DailyOct!M36</f>
        <v>662.54000000000815</v>
      </c>
      <c r="AP37" s="327">
        <f t="shared" si="31"/>
        <v>10.197629675234849</v>
      </c>
      <c r="AQ37" s="449">
        <f t="shared" si="32"/>
        <v>12.327013600759264</v>
      </c>
      <c r="AR37" s="327">
        <f t="shared" si="33"/>
        <v>50199.939999999522</v>
      </c>
      <c r="AS37" s="324">
        <f t="shared" si="10"/>
        <v>772.66338309988487</v>
      </c>
      <c r="AT37" s="325">
        <f t="shared" si="11"/>
        <v>934.00450257687908</v>
      </c>
    </row>
    <row r="38" spans="1:46">
      <c r="A38" s="318">
        <f t="shared" si="12"/>
        <v>45961</v>
      </c>
      <c r="B38" s="326">
        <f>+Report1!P39</f>
        <v>65.960999999999999</v>
      </c>
      <c r="C38" s="326">
        <f>+Report1!R39</f>
        <v>60.962000000000003</v>
      </c>
      <c r="D38" s="327">
        <f t="shared" si="13"/>
        <v>7352.5600000005215</v>
      </c>
      <c r="E38" s="327">
        <f>+[16]DailyOct!D37</f>
        <v>6</v>
      </c>
      <c r="F38" s="321">
        <f t="shared" si="0"/>
        <v>9.0962841679174053E-2</v>
      </c>
      <c r="G38" s="321">
        <f t="shared" si="1"/>
        <v>9.8421967783209205E-2</v>
      </c>
      <c r="H38" s="327">
        <f t="shared" si="14"/>
        <v>0</v>
      </c>
      <c r="I38" s="327">
        <f>+[16]DailyOct!E37</f>
        <v>0</v>
      </c>
      <c r="J38" s="321">
        <f t="shared" si="2"/>
        <v>0</v>
      </c>
      <c r="K38" s="321">
        <f t="shared" si="3"/>
        <v>0</v>
      </c>
      <c r="L38" s="327">
        <f t="shared" si="15"/>
        <v>55590</v>
      </c>
      <c r="M38" s="327">
        <f>+[16]DailyOct!F37</f>
        <v>6700</v>
      </c>
      <c r="N38" s="321">
        <f t="shared" si="4"/>
        <v>101.57517320841103</v>
      </c>
      <c r="O38" s="321">
        <f t="shared" si="5"/>
        <v>109.90453069125029</v>
      </c>
      <c r="P38" s="327">
        <f t="shared" si="16"/>
        <v>454357.43999999878</v>
      </c>
      <c r="Q38" s="327">
        <f>+[16]DailyOct!G37</f>
        <v>8294</v>
      </c>
      <c r="R38" s="322">
        <f t="shared" si="6"/>
        <v>125.74096814784494</v>
      </c>
      <c r="S38" s="322">
        <f t="shared" si="7"/>
        <v>136.05196679898953</v>
      </c>
      <c r="T38" s="327">
        <f t="shared" si="17"/>
        <v>181300.00000000017</v>
      </c>
      <c r="U38" s="327">
        <f>+[16]DailyOct!H37</f>
        <v>4500</v>
      </c>
      <c r="V38" s="321">
        <f t="shared" si="8"/>
        <v>68.222131259380546</v>
      </c>
      <c r="W38" s="321">
        <f t="shared" si="9"/>
        <v>73.816475837406912</v>
      </c>
      <c r="X38" s="327">
        <f t="shared" si="18"/>
        <v>412664.1999999999</v>
      </c>
      <c r="Y38" s="327">
        <f>+[16]DailyOct!I37</f>
        <v>13034.99</v>
      </c>
      <c r="Z38" s="327">
        <f t="shared" si="19"/>
        <v>197.61662194326951</v>
      </c>
      <c r="AA38" s="327">
        <f t="shared" si="20"/>
        <v>213.82156097240903</v>
      </c>
      <c r="AB38" s="327">
        <f t="shared" si="21"/>
        <v>202864.19999999998</v>
      </c>
      <c r="AC38" s="327">
        <f>+[16]DailyOct!J37</f>
        <v>7704.9900000006865</v>
      </c>
      <c r="AD38" s="327">
        <f t="shared" si="22"/>
        <v>116.81129758494696</v>
      </c>
      <c r="AE38" s="421">
        <f t="shared" si="23"/>
        <v>126.39004625833611</v>
      </c>
      <c r="AF38" s="327">
        <f t="shared" si="24"/>
        <v>292600.00000000035</v>
      </c>
      <c r="AG38" s="327">
        <f>+[16]DailyOct!K37</f>
        <v>13899.999999999636</v>
      </c>
      <c r="AH38" s="327">
        <f t="shared" si="25"/>
        <v>210.73058322341438</v>
      </c>
      <c r="AI38" s="449">
        <f t="shared" si="26"/>
        <v>228.01089203109535</v>
      </c>
      <c r="AJ38" s="327">
        <f t="shared" si="27"/>
        <v>10919</v>
      </c>
      <c r="AK38" s="327">
        <f>+[16]DailyOct!L37</f>
        <v>450</v>
      </c>
      <c r="AL38" s="327">
        <f t="shared" si="28"/>
        <v>6.8222131259380543</v>
      </c>
      <c r="AM38" s="449">
        <f t="shared" si="29"/>
        <v>7.3816475837406905</v>
      </c>
      <c r="AN38" s="327">
        <f t="shared" si="30"/>
        <v>17083</v>
      </c>
      <c r="AO38" s="327">
        <f>+[16]DailyOct!M37</f>
        <v>690</v>
      </c>
      <c r="AP38" s="327">
        <f t="shared" si="31"/>
        <v>10.460726793105017</v>
      </c>
      <c r="AQ38" s="449">
        <f t="shared" si="32"/>
        <v>11.318526295069059</v>
      </c>
      <c r="AR38" s="327">
        <f t="shared" si="33"/>
        <v>55279.980000000323</v>
      </c>
      <c r="AS38" s="324">
        <f t="shared" si="10"/>
        <v>838.07067812798959</v>
      </c>
      <c r="AT38" s="325">
        <f t="shared" si="11"/>
        <v>906.79406843608024</v>
      </c>
    </row>
    <row r="39" spans="1:46">
      <c r="A39" s="318"/>
      <c r="B39" s="326"/>
      <c r="C39" s="326"/>
      <c r="D39" s="309"/>
      <c r="E39" s="320"/>
      <c r="F39" s="321"/>
      <c r="G39" s="321"/>
      <c r="H39" s="313"/>
      <c r="I39" s="315"/>
      <c r="J39" s="321"/>
      <c r="K39" s="321"/>
      <c r="L39" s="315"/>
      <c r="M39" s="320"/>
      <c r="N39" s="321"/>
      <c r="O39" s="321"/>
      <c r="P39" s="316"/>
      <c r="Q39" s="320"/>
      <c r="R39" s="322"/>
      <c r="S39" s="322"/>
      <c r="T39" s="317"/>
      <c r="U39" s="320"/>
      <c r="V39" s="321"/>
      <c r="W39" s="321"/>
      <c r="X39" s="327"/>
      <c r="Y39" s="327"/>
      <c r="Z39" s="327"/>
      <c r="AA39" s="327"/>
      <c r="AB39" s="327"/>
      <c r="AC39" s="327"/>
      <c r="AD39" s="327"/>
      <c r="AE39" s="327"/>
      <c r="AF39" s="327"/>
      <c r="AG39" s="327"/>
      <c r="AH39" s="327"/>
      <c r="AI39" s="327"/>
      <c r="AJ39" s="327"/>
      <c r="AK39" s="327"/>
      <c r="AL39" s="327"/>
      <c r="AM39" s="327"/>
      <c r="AN39" s="327"/>
      <c r="AO39" s="327"/>
      <c r="AP39" s="327"/>
      <c r="AQ39" s="327"/>
      <c r="AR39" s="323"/>
      <c r="AS39" s="324"/>
      <c r="AT39" s="325"/>
    </row>
    <row r="40" spans="1:46">
      <c r="A40" s="328" t="s">
        <v>28</v>
      </c>
      <c r="B40" s="329">
        <f>SUM(B8:B38)</f>
        <v>1762.4719999999998</v>
      </c>
      <c r="C40" s="329">
        <f>SUM(C8:C38)</f>
        <v>1655.8839999999998</v>
      </c>
      <c r="D40" s="323"/>
      <c r="E40" s="329">
        <f>SUM(E8:E38)</f>
        <v>7352.5600000005215</v>
      </c>
      <c r="F40" s="330">
        <f>E40/B40</f>
        <v>4.1717315225436336</v>
      </c>
      <c r="G40" s="330">
        <f>E40/C40</f>
        <v>4.4402627237176775</v>
      </c>
      <c r="H40" s="331"/>
      <c r="I40" s="329">
        <f>SUM(I8:I38)</f>
        <v>0</v>
      </c>
      <c r="J40" s="330">
        <f>I40/B40</f>
        <v>0</v>
      </c>
      <c r="K40" s="330">
        <f>I40/C40</f>
        <v>0</v>
      </c>
      <c r="L40" s="332"/>
      <c r="M40" s="329">
        <f>SUM(M8:M38)</f>
        <v>55590</v>
      </c>
      <c r="N40" s="330">
        <f>M40/B40</f>
        <v>31.540926607628382</v>
      </c>
      <c r="O40" s="330">
        <f>M40/C40</f>
        <v>33.57119218495982</v>
      </c>
      <c r="P40" s="333"/>
      <c r="Q40" s="329">
        <f>SUM(Q8:Q38)</f>
        <v>454357.43999999878</v>
      </c>
      <c r="R40" s="330">
        <f>Q40/B40</f>
        <v>257.79555079456514</v>
      </c>
      <c r="S40" s="330">
        <f>Q40/C40</f>
        <v>274.38965531401885</v>
      </c>
      <c r="T40" s="334"/>
      <c r="U40" s="335">
        <f>SUM(U8:U38)</f>
        <v>181300.00000000017</v>
      </c>
      <c r="V40" s="330">
        <f>U40/B40</f>
        <v>102.86688242423153</v>
      </c>
      <c r="W40" s="330">
        <f>U40/C40</f>
        <v>109.48834580200074</v>
      </c>
      <c r="X40" s="336"/>
      <c r="Y40" s="335">
        <f>SUM(Y8:Y38)</f>
        <v>412664.1999999999</v>
      </c>
      <c r="Z40" s="330">
        <f>Y40/B40</f>
        <v>234.13943597401828</v>
      </c>
      <c r="AA40" s="330">
        <f>Y40/C40</f>
        <v>249.21081428409232</v>
      </c>
      <c r="AB40" s="336"/>
      <c r="AC40" s="335">
        <f>SUM(AC8:AC38)</f>
        <v>202864.19999999998</v>
      </c>
      <c r="AD40" s="411">
        <f>AC40/B40</f>
        <v>115.10208389126183</v>
      </c>
      <c r="AE40" s="330">
        <f>AC40/C40</f>
        <v>122.51111792855056</v>
      </c>
      <c r="AF40" s="336"/>
      <c r="AG40" s="335">
        <f>SUM(AG8:AG38)</f>
        <v>292600.00000000035</v>
      </c>
      <c r="AH40" s="330">
        <f>AG40/B40</f>
        <v>166.0168218275243</v>
      </c>
      <c r="AI40" s="330">
        <f>AG40/C40</f>
        <v>176.70319901635645</v>
      </c>
      <c r="AJ40" s="336"/>
      <c r="AK40" s="335">
        <f>SUM(AK8:AK38)</f>
        <v>10919</v>
      </c>
      <c r="AL40" s="330">
        <f>AK40/B40</f>
        <v>6.19527572636615</v>
      </c>
      <c r="AM40" s="330">
        <f>AK40/C40</f>
        <v>6.5940609366356586</v>
      </c>
      <c r="AN40" s="336"/>
      <c r="AO40" s="335">
        <f>SUM(AO8:AO38)</f>
        <v>17083</v>
      </c>
      <c r="AP40" s="330">
        <f>AO40/B40</f>
        <v>9.6926362518099598</v>
      </c>
      <c r="AQ40" s="330">
        <f>AO40/C40</f>
        <v>10.316543912496288</v>
      </c>
      <c r="AR40" s="323">
        <f>E40+I40+M40+Q40+U40+Y40+AC40+AG40+AK40+AO40</f>
        <v>1634730.4</v>
      </c>
      <c r="AS40" s="411">
        <f>AR40/B40</f>
        <v>927.52134501994931</v>
      </c>
      <c r="AT40" s="332">
        <f>AR40/C40</f>
        <v>987.22519210282849</v>
      </c>
    </row>
    <row r="41" spans="1:46">
      <c r="T41" s="337"/>
      <c r="AP41" s="385"/>
    </row>
    <row r="42" spans="1:46">
      <c r="AR42" s="5">
        <f>+AR40-[16]DailyOct!$N$38</f>
        <v>0</v>
      </c>
    </row>
    <row r="43" spans="1:46">
      <c r="G43" s="338"/>
      <c r="H43" s="339"/>
    </row>
    <row r="44" spans="1:46">
      <c r="G44" s="338"/>
      <c r="I44" s="338"/>
      <c r="L44" s="338"/>
    </row>
    <row r="45" spans="1:46">
      <c r="E45" t="s">
        <v>0</v>
      </c>
      <c r="G45" s="338"/>
    </row>
  </sheetData>
  <mergeCells count="16">
    <mergeCell ref="A2:AR2"/>
    <mergeCell ref="A4:A6"/>
    <mergeCell ref="B4:B6"/>
    <mergeCell ref="C4:C6"/>
    <mergeCell ref="D5:G5"/>
    <mergeCell ref="AB5:AE5"/>
    <mergeCell ref="AF5:AI5"/>
    <mergeCell ref="AN5:AQ5"/>
    <mergeCell ref="H5:K5"/>
    <mergeCell ref="AR4:AT5"/>
    <mergeCell ref="P5:S5"/>
    <mergeCell ref="L5:O5"/>
    <mergeCell ref="T5:W5"/>
    <mergeCell ref="X5:AA5"/>
    <mergeCell ref="AJ5:AM5"/>
    <mergeCell ref="D4:AQ4"/>
  </mergeCells>
  <phoneticPr fontId="31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"/>
  <sheetViews>
    <sheetView topLeftCell="A96" zoomScale="90" zoomScaleNormal="90" workbookViewId="0">
      <selection activeCell="I122" sqref="I122"/>
    </sheetView>
  </sheetViews>
  <sheetFormatPr defaultRowHeight="12.75"/>
  <cols>
    <col min="1" max="1" width="10.140625" bestFit="1" customWidth="1"/>
    <col min="2" max="2" width="11.85546875" bestFit="1" customWidth="1"/>
    <col min="4" max="4" width="22.28515625" customWidth="1"/>
  </cols>
  <sheetData>
    <row r="1" spans="1:9">
      <c r="A1" s="104" t="s">
        <v>150</v>
      </c>
      <c r="B1" s="344">
        <f>+Report1!A9</f>
        <v>45931</v>
      </c>
      <c r="C1" s="105"/>
      <c r="G1" s="106"/>
      <c r="H1" s="107"/>
    </row>
    <row r="2" spans="1:9" ht="13.5" thickBot="1">
      <c r="A2" s="104"/>
      <c r="B2" s="105"/>
      <c r="C2" s="105"/>
      <c r="G2" s="106"/>
      <c r="H2" s="107"/>
    </row>
    <row r="3" spans="1:9" ht="26.25" thickBot="1">
      <c r="A3" s="559" t="s">
        <v>122</v>
      </c>
      <c r="B3" s="560" t="s">
        <v>9</v>
      </c>
      <c r="C3" s="560" t="s">
        <v>95</v>
      </c>
      <c r="D3" s="560" t="s">
        <v>123</v>
      </c>
      <c r="E3" s="560" t="s">
        <v>124</v>
      </c>
      <c r="F3" s="560" t="s">
        <v>125</v>
      </c>
      <c r="G3" s="561" t="s">
        <v>126</v>
      </c>
      <c r="H3" s="562" t="s">
        <v>127</v>
      </c>
      <c r="I3" s="597" t="s">
        <v>432</v>
      </c>
    </row>
    <row r="4" spans="1:9">
      <c r="A4" s="555">
        <f>+B1</f>
        <v>45931</v>
      </c>
      <c r="B4" s="415" t="s">
        <v>469</v>
      </c>
      <c r="C4" s="556">
        <v>1</v>
      </c>
      <c r="D4" s="557" t="s">
        <v>470</v>
      </c>
      <c r="E4" s="557">
        <f>126+140</f>
        <v>266</v>
      </c>
      <c r="F4" s="558">
        <f>14+3+11</f>
        <v>28</v>
      </c>
      <c r="G4" s="556">
        <f>+E4*F4</f>
        <v>7448</v>
      </c>
      <c r="H4" s="563">
        <f>+G4/F4</f>
        <v>266</v>
      </c>
      <c r="I4" s="417">
        <f>+'1'!N37</f>
        <v>16.536999999999999</v>
      </c>
    </row>
    <row r="5" spans="1:9">
      <c r="A5" s="414"/>
      <c r="B5" s="415" t="s">
        <v>427</v>
      </c>
      <c r="C5" s="556">
        <v>1</v>
      </c>
      <c r="D5" s="557" t="s">
        <v>471</v>
      </c>
      <c r="E5" s="557">
        <v>266</v>
      </c>
      <c r="F5" s="558">
        <v>0</v>
      </c>
      <c r="G5" s="556">
        <f>+E5*F5</f>
        <v>0</v>
      </c>
      <c r="H5" s="563">
        <f>+E5</f>
        <v>266</v>
      </c>
      <c r="I5" s="417">
        <f>+'1'!N38</f>
        <v>0.41</v>
      </c>
    </row>
    <row r="6" spans="1:9">
      <c r="A6" s="414"/>
      <c r="B6" s="415" t="s">
        <v>472</v>
      </c>
      <c r="C6" s="556">
        <v>1</v>
      </c>
      <c r="D6" s="554" t="s">
        <v>412</v>
      </c>
      <c r="E6" s="554">
        <f>133*2</f>
        <v>266</v>
      </c>
      <c r="F6" s="558">
        <f>1+8</f>
        <v>9</v>
      </c>
      <c r="G6" s="556">
        <f>+E6*F6</f>
        <v>2394</v>
      </c>
      <c r="H6" s="563">
        <f>+E6</f>
        <v>266</v>
      </c>
      <c r="I6" s="417" t="s">
        <v>332</v>
      </c>
    </row>
    <row r="7" spans="1:9" ht="13.5" thickBot="1">
      <c r="A7" s="386"/>
      <c r="B7" s="416"/>
      <c r="C7" s="387"/>
      <c r="D7" s="388"/>
      <c r="E7" s="387"/>
      <c r="F7" s="387"/>
      <c r="G7" s="387"/>
      <c r="H7" s="418"/>
      <c r="I7" s="418"/>
    </row>
    <row r="8" spans="1:9">
      <c r="A8" s="555">
        <v>45932</v>
      </c>
      <c r="B8" s="415" t="s">
        <v>427</v>
      </c>
      <c r="C8" s="556">
        <v>1</v>
      </c>
      <c r="D8" s="557" t="s">
        <v>471</v>
      </c>
      <c r="E8" s="557">
        <v>266</v>
      </c>
      <c r="F8" s="558">
        <f>12+1</f>
        <v>13</v>
      </c>
      <c r="G8" s="556">
        <f>+E8*F8</f>
        <v>3458</v>
      </c>
      <c r="H8" s="563">
        <f>+G8/F8</f>
        <v>266</v>
      </c>
      <c r="I8" s="417">
        <f>+'2'!L37</f>
        <v>10.168000000000001</v>
      </c>
    </row>
    <row r="9" spans="1:9">
      <c r="B9" s="415" t="s">
        <v>469</v>
      </c>
      <c r="C9" s="556">
        <v>1</v>
      </c>
      <c r="D9" s="557" t="s">
        <v>491</v>
      </c>
      <c r="E9" s="557">
        <f>126+140</f>
        <v>266</v>
      </c>
      <c r="F9" s="558">
        <v>2</v>
      </c>
      <c r="G9" s="556">
        <f>+E9*F9</f>
        <v>532</v>
      </c>
      <c r="H9" s="563">
        <f>+(E9*F9+E10*F10)/(SUM(F9:F10))</f>
        <v>263</v>
      </c>
      <c r="I9" s="417" t="s">
        <v>332</v>
      </c>
    </row>
    <row r="10" spans="1:9">
      <c r="B10" s="415" t="s">
        <v>469</v>
      </c>
      <c r="C10" s="556">
        <v>1</v>
      </c>
      <c r="D10" s="554" t="s">
        <v>492</v>
      </c>
      <c r="E10" s="554">
        <f>140+122</f>
        <v>262</v>
      </c>
      <c r="F10" s="554">
        <v>6</v>
      </c>
      <c r="G10" s="612">
        <f>+E10*F10</f>
        <v>1572</v>
      </c>
      <c r="H10" s="563"/>
      <c r="I10" s="417"/>
    </row>
    <row r="11" spans="1:9">
      <c r="B11" s="415" t="s">
        <v>489</v>
      </c>
      <c r="C11" s="556">
        <v>1</v>
      </c>
      <c r="D11" s="557" t="s">
        <v>493</v>
      </c>
      <c r="E11" s="557">
        <f>83+100+83</f>
        <v>266</v>
      </c>
      <c r="F11" s="558">
        <f>24+20</f>
        <v>44</v>
      </c>
      <c r="G11" s="556">
        <f>+E11*F11</f>
        <v>11704</v>
      </c>
      <c r="H11" s="563">
        <f>+G11/F11</f>
        <v>266</v>
      </c>
      <c r="I11" s="417">
        <f>+'2'!L38</f>
        <v>52.513999999999996</v>
      </c>
    </row>
    <row r="12" spans="1:9">
      <c r="B12" s="415" t="s">
        <v>490</v>
      </c>
      <c r="C12" s="556">
        <v>1</v>
      </c>
      <c r="D12" s="557" t="s">
        <v>494</v>
      </c>
      <c r="E12" s="557">
        <f>59*4+22+14</f>
        <v>272</v>
      </c>
      <c r="F12" s="558">
        <v>0</v>
      </c>
      <c r="G12" s="556">
        <f>+E12*F12</f>
        <v>0</v>
      </c>
      <c r="H12" s="563">
        <f>+E12</f>
        <v>272</v>
      </c>
      <c r="I12" s="417">
        <f>+'2'!L39</f>
        <v>7.4090000000000007</v>
      </c>
    </row>
    <row r="13" spans="1:9" ht="13.5" thickBot="1">
      <c r="A13" s="386"/>
      <c r="B13" s="416"/>
      <c r="C13" s="387"/>
      <c r="D13" s="388"/>
      <c r="E13" s="387"/>
      <c r="F13" s="387"/>
      <c r="G13" s="387"/>
      <c r="H13" s="418"/>
      <c r="I13" s="418"/>
    </row>
    <row r="14" spans="1:9">
      <c r="A14" s="555">
        <v>45933</v>
      </c>
      <c r="B14" s="415" t="s">
        <v>489</v>
      </c>
      <c r="C14" s="556">
        <v>1</v>
      </c>
      <c r="D14" s="557" t="s">
        <v>493</v>
      </c>
      <c r="E14" s="557">
        <f>83+100+83</f>
        <v>266</v>
      </c>
      <c r="F14" s="558">
        <f>10+2+1</f>
        <v>13</v>
      </c>
      <c r="G14" s="556">
        <f>+E14*F14</f>
        <v>3458</v>
      </c>
      <c r="H14" s="563">
        <f>+G14/F14</f>
        <v>266</v>
      </c>
      <c r="I14" s="417" t="s">
        <v>332</v>
      </c>
    </row>
    <row r="15" spans="1:9">
      <c r="B15" s="415" t="s">
        <v>490</v>
      </c>
      <c r="C15" s="556">
        <v>1</v>
      </c>
      <c r="D15" s="557" t="s">
        <v>494</v>
      </c>
      <c r="E15" s="557">
        <f>59*4+22+14</f>
        <v>272</v>
      </c>
      <c r="F15" s="557">
        <f>14+3</f>
        <v>17</v>
      </c>
      <c r="G15" s="556">
        <f>+E15*F15</f>
        <v>4624</v>
      </c>
      <c r="H15" s="563">
        <f>+(E15*F15+E16*F16)/(SUM(F15:F16))</f>
        <v>269.10344827586209</v>
      </c>
      <c r="I15" s="417">
        <f>+'3'!L37</f>
        <v>24.762</v>
      </c>
    </row>
    <row r="16" spans="1:9">
      <c r="B16" s="415" t="s">
        <v>490</v>
      </c>
      <c r="C16" s="556">
        <v>1</v>
      </c>
      <c r="D16" s="554" t="s">
        <v>511</v>
      </c>
      <c r="E16" s="554">
        <f>59*2+22*4+59</f>
        <v>265</v>
      </c>
      <c r="F16" s="557">
        <f>11+1</f>
        <v>12</v>
      </c>
      <c r="G16" s="556">
        <f>+E16*F16</f>
        <v>3180</v>
      </c>
      <c r="H16" s="563"/>
      <c r="I16" s="417"/>
    </row>
    <row r="17" spans="1:9">
      <c r="B17" s="415" t="s">
        <v>509</v>
      </c>
      <c r="C17" s="612">
        <v>1</v>
      </c>
      <c r="D17" s="554" t="s">
        <v>510</v>
      </c>
      <c r="E17" s="554">
        <v>264</v>
      </c>
      <c r="F17">
        <f>12+13+14</f>
        <v>39</v>
      </c>
      <c r="G17" s="556">
        <f>+E17*F17</f>
        <v>10296</v>
      </c>
      <c r="H17" s="563">
        <f>+G17/F17</f>
        <v>264</v>
      </c>
      <c r="I17" s="417">
        <f>+'3'!L38</f>
        <v>54.043000000000006</v>
      </c>
    </row>
    <row r="18" spans="1:9" ht="13.5" thickBot="1">
      <c r="A18" s="386"/>
      <c r="B18" s="416"/>
      <c r="C18" s="387"/>
      <c r="D18" s="388"/>
      <c r="E18" s="387"/>
      <c r="F18" s="387"/>
      <c r="G18" s="387"/>
      <c r="H18" s="418"/>
      <c r="I18" s="418"/>
    </row>
    <row r="19" spans="1:9">
      <c r="A19" s="555">
        <v>45934</v>
      </c>
      <c r="B19" s="415" t="s">
        <v>509</v>
      </c>
      <c r="C19" s="612">
        <v>1</v>
      </c>
      <c r="D19" s="554" t="s">
        <v>510</v>
      </c>
      <c r="E19" s="554">
        <v>264</v>
      </c>
      <c r="F19">
        <f>12+13+14</f>
        <v>39</v>
      </c>
      <c r="G19" s="556">
        <f>+E19*F19</f>
        <v>10296</v>
      </c>
      <c r="H19" s="563">
        <f>+(E19*F19+E20*F20)/(SUM(F19:F20))</f>
        <v>265.05660377358492</v>
      </c>
      <c r="I19" s="417">
        <f>+'4'!I38</f>
        <v>71.09</v>
      </c>
    </row>
    <row r="20" spans="1:9">
      <c r="B20" s="415" t="s">
        <v>509</v>
      </c>
      <c r="C20" s="612">
        <v>1</v>
      </c>
      <c r="D20" s="554" t="s">
        <v>536</v>
      </c>
      <c r="E20" s="554">
        <f>92.5*2+83</f>
        <v>268</v>
      </c>
      <c r="F20">
        <f>3+6+1+1+3</f>
        <v>14</v>
      </c>
      <c r="G20" s="556">
        <f>+E20*F20</f>
        <v>3752</v>
      </c>
      <c r="H20" s="563"/>
      <c r="I20" s="417"/>
    </row>
    <row r="21" spans="1:9" ht="13.5" thickBot="1">
      <c r="A21" s="386"/>
      <c r="B21" s="416"/>
      <c r="C21" s="387"/>
      <c r="D21" s="388"/>
      <c r="E21" s="387"/>
      <c r="F21" s="387"/>
      <c r="G21" s="387"/>
      <c r="H21" s="418"/>
      <c r="I21" s="418"/>
    </row>
    <row r="22" spans="1:9">
      <c r="A22" s="555">
        <v>45935</v>
      </c>
      <c r="B22" s="415" t="s">
        <v>509</v>
      </c>
      <c r="C22" s="612">
        <v>1</v>
      </c>
      <c r="D22" s="554" t="s">
        <v>536</v>
      </c>
      <c r="E22" s="554">
        <f>92.5*2+83</f>
        <v>268</v>
      </c>
      <c r="F22">
        <f>13+10+10+12+11+10</f>
        <v>66</v>
      </c>
      <c r="G22" s="556">
        <f>+E22*F22</f>
        <v>17688</v>
      </c>
      <c r="H22" s="563">
        <f>+G22/F22</f>
        <v>268</v>
      </c>
      <c r="I22" s="417">
        <f>+'5'!I38</f>
        <v>72.461999999999989</v>
      </c>
    </row>
    <row r="23" spans="1:9" ht="13.5" thickBot="1">
      <c r="A23" s="386"/>
      <c r="B23" s="416"/>
      <c r="C23" s="387"/>
      <c r="D23" s="388"/>
      <c r="E23" s="387"/>
      <c r="F23" s="387"/>
      <c r="G23" s="387"/>
      <c r="H23" s="418"/>
      <c r="I23" s="418"/>
    </row>
    <row r="24" spans="1:9">
      <c r="A24" s="555">
        <v>45936</v>
      </c>
      <c r="B24" s="415" t="s">
        <v>509</v>
      </c>
      <c r="C24" s="612">
        <v>1</v>
      </c>
      <c r="D24" s="554" t="s">
        <v>536</v>
      </c>
      <c r="E24" s="554">
        <f>92.5*2+83</f>
        <v>268</v>
      </c>
      <c r="F24">
        <f>3+3</f>
        <v>6</v>
      </c>
      <c r="G24" s="556">
        <f t="shared" ref="G24:G29" si="0">+E24*F24</f>
        <v>1608</v>
      </c>
      <c r="H24" s="563">
        <f>+(E24*F24+E25*F25+E26*F26)/(SUM(F24:F26))</f>
        <v>268.38461538461536</v>
      </c>
      <c r="I24" s="417">
        <f>+'6'!N37</f>
        <v>27.955000000000002</v>
      </c>
    </row>
    <row r="25" spans="1:9">
      <c r="A25" s="613"/>
      <c r="B25" s="415" t="s">
        <v>509</v>
      </c>
      <c r="C25" s="612">
        <v>1</v>
      </c>
      <c r="D25" s="554" t="s">
        <v>550</v>
      </c>
      <c r="E25" s="554">
        <f>83*2+92.5</f>
        <v>258.5</v>
      </c>
      <c r="F25">
        <f>2+2</f>
        <v>4</v>
      </c>
      <c r="G25" s="556">
        <f t="shared" si="0"/>
        <v>1034</v>
      </c>
      <c r="H25" s="563"/>
      <c r="I25" s="417"/>
    </row>
    <row r="26" spans="1:9">
      <c r="B26" s="415" t="s">
        <v>509</v>
      </c>
      <c r="C26" s="612">
        <v>1</v>
      </c>
      <c r="D26" s="554" t="s">
        <v>549</v>
      </c>
      <c r="E26" s="554">
        <f>271*1</f>
        <v>271</v>
      </c>
      <c r="F26">
        <f>10+3+3</f>
        <v>16</v>
      </c>
      <c r="G26" s="556">
        <f t="shared" si="0"/>
        <v>4336</v>
      </c>
      <c r="H26" s="563"/>
      <c r="I26" s="417"/>
    </row>
    <row r="27" spans="1:9">
      <c r="B27" s="415" t="s">
        <v>551</v>
      </c>
      <c r="C27" s="612">
        <v>1</v>
      </c>
      <c r="D27" s="554" t="s">
        <v>552</v>
      </c>
      <c r="E27" s="554">
        <f>83*2+102</f>
        <v>268</v>
      </c>
      <c r="F27">
        <f>8+6</f>
        <v>14</v>
      </c>
      <c r="G27" s="556">
        <f t="shared" si="0"/>
        <v>3752</v>
      </c>
      <c r="H27" s="563">
        <f>+G27/F27</f>
        <v>268</v>
      </c>
      <c r="I27" s="417">
        <f>+'6'!N38</f>
        <v>11.079000000000001</v>
      </c>
    </row>
    <row r="28" spans="1:9">
      <c r="B28" s="614" t="s">
        <v>490</v>
      </c>
      <c r="C28" s="612">
        <v>1</v>
      </c>
      <c r="D28" s="554" t="s">
        <v>555</v>
      </c>
      <c r="E28" s="554">
        <f>61*3+42*2</f>
        <v>267</v>
      </c>
      <c r="F28">
        <f>3+12+2+12</f>
        <v>29</v>
      </c>
      <c r="G28" s="556">
        <f t="shared" si="0"/>
        <v>7743</v>
      </c>
      <c r="H28" s="563">
        <f>+G28/F28</f>
        <v>267</v>
      </c>
      <c r="I28" s="417">
        <f>+'6'!N39</f>
        <v>21.457999999999998</v>
      </c>
    </row>
    <row r="29" spans="1:9">
      <c r="B29" s="614" t="s">
        <v>553</v>
      </c>
      <c r="C29" s="612">
        <v>1</v>
      </c>
      <c r="D29" s="554" t="s">
        <v>554</v>
      </c>
      <c r="E29" s="554">
        <f>42*2+61*3</f>
        <v>267</v>
      </c>
      <c r="F29">
        <v>3</v>
      </c>
      <c r="G29" s="556">
        <f t="shared" si="0"/>
        <v>801</v>
      </c>
      <c r="H29" s="563">
        <f>+G29/F29</f>
        <v>267</v>
      </c>
      <c r="I29" s="417">
        <f>+'6'!N40</f>
        <v>8.895999999999999</v>
      </c>
    </row>
    <row r="30" spans="1:9" ht="13.5" thickBot="1">
      <c r="A30" s="386"/>
      <c r="B30" s="416"/>
      <c r="C30" s="387"/>
      <c r="D30" s="388"/>
      <c r="E30" s="387"/>
      <c r="F30" s="387"/>
      <c r="G30" s="387"/>
      <c r="H30" s="418"/>
      <c r="I30" s="418"/>
    </row>
    <row r="31" spans="1:9">
      <c r="A31" s="555">
        <v>45937</v>
      </c>
      <c r="B31" s="614" t="s">
        <v>553</v>
      </c>
      <c r="C31" s="612">
        <v>1</v>
      </c>
      <c r="D31" s="554" t="s">
        <v>555</v>
      </c>
      <c r="E31" s="554">
        <f>61*3+42*2</f>
        <v>267</v>
      </c>
      <c r="F31">
        <f>13+11+13+12+3+3</f>
        <v>55</v>
      </c>
      <c r="G31" s="556">
        <f>+E31*F31</f>
        <v>14685</v>
      </c>
      <c r="H31" s="563">
        <f>+G31/F31</f>
        <v>267</v>
      </c>
      <c r="I31" s="417">
        <f>+'7'!N37</f>
        <v>40.268999999999998</v>
      </c>
    </row>
    <row r="32" spans="1:9">
      <c r="B32" s="614" t="s">
        <v>575</v>
      </c>
      <c r="C32" s="612">
        <v>1</v>
      </c>
      <c r="D32" s="554" t="s">
        <v>576</v>
      </c>
      <c r="E32" s="554">
        <f>22+60*4</f>
        <v>262</v>
      </c>
      <c r="F32">
        <f>4+3</f>
        <v>7</v>
      </c>
      <c r="G32" s="556">
        <f>+E32*F32</f>
        <v>1834</v>
      </c>
      <c r="H32" s="563">
        <f>+G32/F32</f>
        <v>262</v>
      </c>
      <c r="I32" s="417">
        <f>+'7'!N38</f>
        <v>7.7039999999999988</v>
      </c>
    </row>
    <row r="33" spans="1:9">
      <c r="B33" s="614" t="s">
        <v>427</v>
      </c>
      <c r="C33" s="612">
        <v>1</v>
      </c>
      <c r="D33" s="554" t="s">
        <v>412</v>
      </c>
      <c r="E33" s="554">
        <f>133*2</f>
        <v>266</v>
      </c>
      <c r="F33">
        <v>0</v>
      </c>
      <c r="G33" s="556">
        <f>+E33*F33</f>
        <v>0</v>
      </c>
      <c r="H33" s="563">
        <f>+E33</f>
        <v>266</v>
      </c>
      <c r="I33" s="417">
        <f>+'7'!N40</f>
        <v>12.446000000000003</v>
      </c>
    </row>
    <row r="34" spans="1:9">
      <c r="B34" s="614" t="s">
        <v>577</v>
      </c>
      <c r="C34" s="612">
        <v>1</v>
      </c>
      <c r="D34" s="554" t="s">
        <v>412</v>
      </c>
      <c r="E34" s="554">
        <f>133*2</f>
        <v>266</v>
      </c>
      <c r="F34">
        <f>3+7</f>
        <v>10</v>
      </c>
      <c r="G34" s="556">
        <f>+E34*F34</f>
        <v>2660</v>
      </c>
      <c r="H34" s="563">
        <f>+G34/F34</f>
        <v>266</v>
      </c>
      <c r="I34" s="417">
        <f>+'7'!N39</f>
        <v>1.889</v>
      </c>
    </row>
    <row r="35" spans="1:9" ht="13.5" thickBot="1">
      <c r="A35" s="386"/>
      <c r="B35" s="416"/>
      <c r="C35" s="387"/>
      <c r="D35" s="388"/>
      <c r="E35" s="387"/>
      <c r="F35" s="387"/>
      <c r="G35" s="387"/>
      <c r="H35" s="418"/>
      <c r="I35" s="418"/>
    </row>
    <row r="36" spans="1:9">
      <c r="A36" s="555">
        <v>45938</v>
      </c>
      <c r="B36" s="614" t="s">
        <v>577</v>
      </c>
      <c r="C36" s="612">
        <v>1</v>
      </c>
      <c r="D36" s="554" t="s">
        <v>412</v>
      </c>
      <c r="E36" s="554">
        <f>133*2</f>
        <v>266</v>
      </c>
      <c r="F36">
        <v>85</v>
      </c>
      <c r="G36" s="556">
        <f>+E36*F36</f>
        <v>22610</v>
      </c>
      <c r="H36" s="563">
        <f>+G36/F36</f>
        <v>266</v>
      </c>
      <c r="I36" s="417">
        <f>+'8'!I38</f>
        <v>58.954999999999998</v>
      </c>
    </row>
    <row r="37" spans="1:9" ht="13.5" thickBot="1">
      <c r="A37" s="386"/>
      <c r="B37" s="416"/>
      <c r="C37" s="387"/>
      <c r="D37" s="388"/>
      <c r="E37" s="387"/>
      <c r="F37" s="387"/>
      <c r="G37" s="387"/>
      <c r="H37" s="418"/>
      <c r="I37" s="418"/>
    </row>
    <row r="38" spans="1:9">
      <c r="A38" s="555">
        <v>45939</v>
      </c>
      <c r="B38" s="614" t="s">
        <v>577</v>
      </c>
      <c r="C38" s="612">
        <v>1</v>
      </c>
      <c r="D38" s="554" t="s">
        <v>412</v>
      </c>
      <c r="E38" s="554">
        <f>133*2</f>
        <v>266</v>
      </c>
      <c r="F38">
        <v>32</v>
      </c>
      <c r="G38" s="556">
        <f>+E38*F38</f>
        <v>8512</v>
      </c>
      <c r="H38" s="563">
        <f>+G38/F38</f>
        <v>266</v>
      </c>
      <c r="I38" s="417">
        <f>+'9'!L37</f>
        <v>15.200999999999999</v>
      </c>
    </row>
    <row r="39" spans="1:9">
      <c r="B39" s="614" t="s">
        <v>427</v>
      </c>
      <c r="C39" s="612">
        <v>1</v>
      </c>
      <c r="D39" s="554" t="s">
        <v>412</v>
      </c>
      <c r="E39" s="554">
        <f>133*2</f>
        <v>266</v>
      </c>
      <c r="F39">
        <f>20+3</f>
        <v>23</v>
      </c>
      <c r="G39" s="556">
        <f>+E39*F39</f>
        <v>6118</v>
      </c>
      <c r="H39" s="563">
        <f>+(E39*F39+E40*F40)/(SUM(F39:F40))</f>
        <v>266</v>
      </c>
      <c r="I39" s="417">
        <f>+'9'!L38</f>
        <v>43.204999999999991</v>
      </c>
    </row>
    <row r="40" spans="1:9">
      <c r="B40" s="614" t="s">
        <v>427</v>
      </c>
      <c r="C40" s="612">
        <v>1</v>
      </c>
      <c r="D40" s="554" t="s">
        <v>471</v>
      </c>
      <c r="E40" s="554">
        <f>133*2</f>
        <v>266</v>
      </c>
      <c r="F40">
        <f>3+16</f>
        <v>19</v>
      </c>
      <c r="G40" s="556">
        <f>+E40*F40</f>
        <v>5054</v>
      </c>
      <c r="H40" s="563"/>
      <c r="I40" s="417"/>
    </row>
    <row r="41" spans="1:9" ht="13.5" thickBot="1">
      <c r="A41" s="386"/>
      <c r="B41" s="416"/>
      <c r="C41" s="387"/>
      <c r="D41" s="388"/>
      <c r="E41" s="387"/>
      <c r="F41" s="387"/>
      <c r="G41" s="387"/>
      <c r="H41" s="418"/>
      <c r="I41" s="418"/>
    </row>
    <row r="42" spans="1:9">
      <c r="A42" s="555">
        <v>45940</v>
      </c>
      <c r="B42" s="614" t="s">
        <v>577</v>
      </c>
      <c r="C42" s="612">
        <v>1</v>
      </c>
      <c r="D42" s="554" t="s">
        <v>412</v>
      </c>
      <c r="E42" s="554">
        <f>133*2</f>
        <v>266</v>
      </c>
      <c r="F42">
        <f>134/2</f>
        <v>67</v>
      </c>
      <c r="G42" s="556">
        <f>+E42*F42</f>
        <v>17822</v>
      </c>
      <c r="H42" s="563">
        <f>+G42/F42</f>
        <v>266</v>
      </c>
      <c r="I42" s="417">
        <f>+'10'!N37</f>
        <v>44.433</v>
      </c>
    </row>
    <row r="43" spans="1:9">
      <c r="B43" s="614" t="s">
        <v>622</v>
      </c>
      <c r="C43" s="612">
        <v>1</v>
      </c>
      <c r="D43" s="554" t="s">
        <v>412</v>
      </c>
      <c r="E43" s="554">
        <f>133*2</f>
        <v>266</v>
      </c>
      <c r="F43">
        <v>5</v>
      </c>
      <c r="G43" s="556">
        <f>+E43*F43</f>
        <v>1330</v>
      </c>
      <c r="H43" s="563">
        <f>+G43/F43</f>
        <v>266</v>
      </c>
      <c r="I43" s="417">
        <f>+'10'!N38</f>
        <v>6.242</v>
      </c>
    </row>
    <row r="44" spans="1:9" ht="13.5" thickBot="1">
      <c r="A44" s="386"/>
      <c r="B44" s="416"/>
      <c r="C44" s="387"/>
      <c r="D44" s="388"/>
      <c r="E44" s="387"/>
      <c r="F44" s="387"/>
      <c r="G44" s="387"/>
      <c r="H44" s="418"/>
      <c r="I44" s="418"/>
    </row>
    <row r="45" spans="1:9">
      <c r="A45" s="555">
        <v>45941</v>
      </c>
      <c r="B45" s="614" t="s">
        <v>622</v>
      </c>
      <c r="C45" s="612">
        <v>1</v>
      </c>
      <c r="D45" s="554" t="s">
        <v>412</v>
      </c>
      <c r="E45" s="554">
        <f>133*2</f>
        <v>266</v>
      </c>
      <c r="F45">
        <v>49</v>
      </c>
      <c r="G45" s="556">
        <f>+E45*F45</f>
        <v>13034</v>
      </c>
      <c r="H45" s="563">
        <f>+G45/F45</f>
        <v>266</v>
      </c>
      <c r="I45" s="417">
        <f>+'11'!N37</f>
        <v>30.114000000000004</v>
      </c>
    </row>
    <row r="46" spans="1:9">
      <c r="B46" s="614" t="s">
        <v>427</v>
      </c>
      <c r="C46" s="612">
        <v>1</v>
      </c>
      <c r="D46" s="554" t="s">
        <v>412</v>
      </c>
      <c r="E46" s="554">
        <f>133*2</f>
        <v>266</v>
      </c>
      <c r="F46">
        <f>26/2</f>
        <v>13</v>
      </c>
      <c r="G46" s="556">
        <f>+E46*F46</f>
        <v>3458</v>
      </c>
      <c r="H46" s="563">
        <f>+G46/F46</f>
        <v>266</v>
      </c>
      <c r="I46" s="417">
        <f>+'11'!N38</f>
        <v>10.987</v>
      </c>
    </row>
    <row r="47" spans="1:9">
      <c r="B47" s="614" t="s">
        <v>577</v>
      </c>
      <c r="C47" s="612">
        <v>1</v>
      </c>
      <c r="D47" s="554" t="s">
        <v>412</v>
      </c>
      <c r="E47" s="554">
        <f>133*2</f>
        <v>266</v>
      </c>
      <c r="F47">
        <v>11</v>
      </c>
      <c r="G47" s="556">
        <f>+E47*F47</f>
        <v>2926</v>
      </c>
      <c r="H47" s="563">
        <f>+G47/F47</f>
        <v>266</v>
      </c>
      <c r="I47" s="417">
        <f>+'11'!N39</f>
        <v>13.090000000000002</v>
      </c>
    </row>
    <row r="48" spans="1:9" ht="13.5" thickBot="1">
      <c r="A48" s="386"/>
      <c r="B48" s="416"/>
      <c r="C48" s="387"/>
      <c r="D48" s="388"/>
      <c r="E48" s="387"/>
      <c r="F48" s="387"/>
      <c r="G48" s="387"/>
      <c r="H48" s="418"/>
      <c r="I48" s="418"/>
    </row>
    <row r="49" spans="1:9">
      <c r="A49" s="555">
        <v>45942</v>
      </c>
      <c r="B49" s="614" t="s">
        <v>577</v>
      </c>
      <c r="C49" s="612">
        <v>1</v>
      </c>
      <c r="D49" s="554" t="s">
        <v>412</v>
      </c>
      <c r="E49" s="554">
        <f>133*2</f>
        <v>266</v>
      </c>
      <c r="F49">
        <v>45</v>
      </c>
      <c r="G49" s="556">
        <f>+E49*F49</f>
        <v>11970</v>
      </c>
      <c r="H49" s="563">
        <f>+(E49*F49+E50*F50)/(SUM(F49:F50))</f>
        <v>266</v>
      </c>
      <c r="I49" s="417">
        <f>+'12'!I38</f>
        <v>52.38000000000001</v>
      </c>
    </row>
    <row r="50" spans="1:9">
      <c r="B50" s="614" t="s">
        <v>577</v>
      </c>
      <c r="C50" s="612">
        <v>1</v>
      </c>
      <c r="D50" s="554" t="s">
        <v>647</v>
      </c>
      <c r="E50" s="554">
        <f>133*2</f>
        <v>266</v>
      </c>
      <c r="F50">
        <f>4+34</f>
        <v>38</v>
      </c>
      <c r="G50" s="556">
        <f>+E50*F50</f>
        <v>10108</v>
      </c>
      <c r="H50" s="563"/>
      <c r="I50" s="417"/>
    </row>
    <row r="51" spans="1:9" ht="13.5" thickBot="1">
      <c r="A51" s="386"/>
      <c r="B51" s="416"/>
      <c r="C51" s="387"/>
      <c r="D51" s="388"/>
      <c r="E51" s="387"/>
      <c r="F51" s="387"/>
      <c r="G51" s="387"/>
      <c r="H51" s="418"/>
      <c r="I51" s="418"/>
    </row>
    <row r="52" spans="1:9">
      <c r="A52" s="555">
        <v>45943</v>
      </c>
      <c r="B52" s="614" t="s">
        <v>577</v>
      </c>
      <c r="C52" s="612">
        <v>1</v>
      </c>
      <c r="D52" s="554" t="s">
        <v>412</v>
      </c>
      <c r="E52" s="554">
        <f>133*2</f>
        <v>266</v>
      </c>
      <c r="F52">
        <v>4</v>
      </c>
      <c r="G52" s="556">
        <f>+E52*F52</f>
        <v>1064</v>
      </c>
      <c r="H52" s="563">
        <f>+(E52*F52+E53*F53+E54*F54)/(SUM(F52:F54))</f>
        <v>265.27272727272725</v>
      </c>
      <c r="I52" s="417">
        <f>+'13'!I38</f>
        <v>55.008000000000003</v>
      </c>
    </row>
    <row r="53" spans="1:9">
      <c r="B53" s="614" t="s">
        <v>577</v>
      </c>
      <c r="C53" s="612">
        <v>1</v>
      </c>
      <c r="D53" s="554" t="s">
        <v>647</v>
      </c>
      <c r="E53" s="554">
        <f>133*2</f>
        <v>266</v>
      </c>
      <c r="F53">
        <f>28+33+22</f>
        <v>83</v>
      </c>
      <c r="G53" s="556">
        <f>+E53*F53</f>
        <v>22078</v>
      </c>
      <c r="H53" s="563"/>
      <c r="I53" s="417"/>
    </row>
    <row r="54" spans="1:9">
      <c r="B54" s="614" t="s">
        <v>577</v>
      </c>
      <c r="C54" s="612">
        <v>1</v>
      </c>
      <c r="D54" s="554" t="s">
        <v>653</v>
      </c>
      <c r="E54" s="554">
        <f>140+120</f>
        <v>260</v>
      </c>
      <c r="F54">
        <v>12</v>
      </c>
      <c r="G54" s="556">
        <f>+E54*F54</f>
        <v>3120</v>
      </c>
      <c r="H54" s="563"/>
      <c r="I54" s="417"/>
    </row>
    <row r="55" spans="1:9" ht="13.5" thickBot="1">
      <c r="A55" s="386"/>
      <c r="B55" s="416"/>
      <c r="C55" s="387"/>
      <c r="D55" s="388"/>
      <c r="E55" s="387"/>
      <c r="F55" s="387"/>
      <c r="G55" s="387"/>
      <c r="H55" s="418"/>
      <c r="I55" s="418"/>
    </row>
    <row r="56" spans="1:9">
      <c r="A56" s="555">
        <v>45944</v>
      </c>
      <c r="B56" s="614" t="s">
        <v>577</v>
      </c>
      <c r="C56" s="612">
        <v>1</v>
      </c>
      <c r="D56" s="554" t="s">
        <v>412</v>
      </c>
      <c r="E56" s="554">
        <f>133*2</f>
        <v>266</v>
      </c>
      <c r="F56">
        <f>2+1</f>
        <v>3</v>
      </c>
      <c r="G56" s="556">
        <f>+E56*F56</f>
        <v>798</v>
      </c>
      <c r="H56" s="563">
        <f>+(E56*F56+E57*F57+E58*F58)/(SUM(F56:F58))</f>
        <v>266.76190476190476</v>
      </c>
      <c r="I56" s="417">
        <f>+'14'!I38</f>
        <v>59.032000000000004</v>
      </c>
    </row>
    <row r="57" spans="1:9">
      <c r="B57" s="614" t="s">
        <v>577</v>
      </c>
      <c r="C57" s="612">
        <v>1</v>
      </c>
      <c r="D57" s="554" t="s">
        <v>667</v>
      </c>
      <c r="E57" s="554">
        <f>277*1</f>
        <v>277</v>
      </c>
      <c r="F57">
        <f>2+12+10</f>
        <v>24</v>
      </c>
      <c r="G57" s="556">
        <f>+E57*F57</f>
        <v>6648</v>
      </c>
      <c r="H57" s="563"/>
      <c r="I57" s="417"/>
    </row>
    <row r="58" spans="1:9">
      <c r="B58" s="614" t="s">
        <v>577</v>
      </c>
      <c r="C58" s="612">
        <v>1</v>
      </c>
      <c r="D58" s="554" t="s">
        <v>653</v>
      </c>
      <c r="E58" s="554">
        <f>140+120</f>
        <v>260</v>
      </c>
      <c r="F58">
        <f>25+6+5</f>
        <v>36</v>
      </c>
      <c r="G58" s="556">
        <f>+E58*F58</f>
        <v>9360</v>
      </c>
      <c r="H58" s="563"/>
      <c r="I58" s="417"/>
    </row>
    <row r="59" spans="1:9" ht="13.5" thickBot="1">
      <c r="A59" s="386"/>
      <c r="B59" s="416"/>
      <c r="C59" s="387"/>
      <c r="D59" s="388"/>
      <c r="E59" s="387"/>
      <c r="F59" s="387"/>
      <c r="G59" s="387"/>
      <c r="H59" s="418"/>
      <c r="I59" s="418"/>
    </row>
    <row r="60" spans="1:9">
      <c r="A60" s="555">
        <v>45945</v>
      </c>
      <c r="B60" s="614" t="s">
        <v>577</v>
      </c>
      <c r="C60" s="612">
        <v>1</v>
      </c>
      <c r="D60" s="554" t="s">
        <v>667</v>
      </c>
      <c r="E60" s="554">
        <f>277*1</f>
        <v>277</v>
      </c>
      <c r="F60">
        <f>10+1+8</f>
        <v>19</v>
      </c>
      <c r="G60" s="556">
        <f>+E60*F60</f>
        <v>5263</v>
      </c>
      <c r="H60" s="563">
        <f>+(E60*F60+E61*F61)/(SUM(F60:F61))</f>
        <v>273.46153846153845</v>
      </c>
      <c r="I60" s="417">
        <f>+'15'!I38</f>
        <v>57.671999999999997</v>
      </c>
    </row>
    <row r="61" spans="1:9">
      <c r="B61" s="614" t="s">
        <v>577</v>
      </c>
      <c r="C61" s="612">
        <v>1</v>
      </c>
      <c r="D61" s="554" t="s">
        <v>672</v>
      </c>
      <c r="E61" s="554">
        <f>150+122</f>
        <v>272</v>
      </c>
      <c r="F61">
        <f>2+28+16</f>
        <v>46</v>
      </c>
      <c r="G61" s="556">
        <f>+E61*F61</f>
        <v>12512</v>
      </c>
      <c r="H61" s="563"/>
      <c r="I61" s="417"/>
    </row>
    <row r="62" spans="1:9" ht="13.5" thickBot="1">
      <c r="A62" s="386"/>
      <c r="B62" s="416"/>
      <c r="C62" s="387"/>
      <c r="D62" s="388"/>
      <c r="E62" s="387"/>
      <c r="F62" s="387"/>
      <c r="G62" s="387"/>
      <c r="H62" s="418"/>
      <c r="I62" s="418"/>
    </row>
    <row r="63" spans="1:9">
      <c r="A63" s="555">
        <v>45946</v>
      </c>
      <c r="B63" s="614" t="s">
        <v>577</v>
      </c>
      <c r="C63" s="612">
        <v>1</v>
      </c>
      <c r="D63" s="554" t="s">
        <v>667</v>
      </c>
      <c r="E63" s="554">
        <f>277*1</f>
        <v>277</v>
      </c>
      <c r="F63">
        <v>3</v>
      </c>
      <c r="G63" s="556">
        <f>+E63*F63</f>
        <v>831</v>
      </c>
      <c r="H63" s="563">
        <f>+(E63*F63+E64*F64)/(SUM(F63:F64))</f>
        <v>272.21428571428572</v>
      </c>
      <c r="I63" s="417">
        <f>+'16'!L37</f>
        <v>39.550999999999995</v>
      </c>
    </row>
    <row r="64" spans="1:9">
      <c r="B64" s="614" t="s">
        <v>577</v>
      </c>
      <c r="C64" s="612">
        <v>1</v>
      </c>
      <c r="D64" s="554" t="s">
        <v>672</v>
      </c>
      <c r="E64" s="554">
        <f>150+122</f>
        <v>272</v>
      </c>
      <c r="F64">
        <f>19+25+23</f>
        <v>67</v>
      </c>
      <c r="G64" s="556">
        <f>+E64*F64</f>
        <v>18224</v>
      </c>
      <c r="H64" s="563"/>
      <c r="I64" s="417"/>
    </row>
    <row r="65" spans="1:9">
      <c r="B65" s="614" t="s">
        <v>684</v>
      </c>
      <c r="C65" s="612">
        <v>1</v>
      </c>
      <c r="D65" s="554" t="s">
        <v>683</v>
      </c>
      <c r="E65" s="554">
        <f>120+140</f>
        <v>260</v>
      </c>
      <c r="F65">
        <v>8</v>
      </c>
      <c r="G65" s="556">
        <f>+E65*F65</f>
        <v>2080</v>
      </c>
      <c r="H65" s="563">
        <f>+G65/F65</f>
        <v>260</v>
      </c>
      <c r="I65" s="417">
        <f>+'16'!L38</f>
        <v>10.564</v>
      </c>
    </row>
    <row r="66" spans="1:9" ht="13.5" thickBot="1">
      <c r="A66" s="386"/>
      <c r="B66" s="416"/>
      <c r="C66" s="387"/>
      <c r="D66" s="388"/>
      <c r="E66" s="387"/>
      <c r="F66" s="387"/>
      <c r="G66" s="387"/>
      <c r="H66" s="418"/>
      <c r="I66" s="418"/>
    </row>
    <row r="67" spans="1:9">
      <c r="A67" s="555">
        <v>45947</v>
      </c>
      <c r="B67" s="614" t="s">
        <v>684</v>
      </c>
      <c r="C67" s="612">
        <v>1</v>
      </c>
      <c r="D67" s="554" t="s">
        <v>683</v>
      </c>
      <c r="E67" s="554">
        <f>120+140</f>
        <v>260</v>
      </c>
      <c r="F67">
        <v>24</v>
      </c>
      <c r="G67" s="556">
        <f>+E67*F67</f>
        <v>6240</v>
      </c>
      <c r="H67" s="563">
        <f>+G67/F67</f>
        <v>260</v>
      </c>
      <c r="I67" s="417">
        <f>+'17'!L37</f>
        <v>6.0039999999999996</v>
      </c>
    </row>
    <row r="68" spans="1:9">
      <c r="B68" s="614" t="s">
        <v>469</v>
      </c>
      <c r="C68" s="612">
        <v>1</v>
      </c>
      <c r="D68" s="554" t="s">
        <v>470</v>
      </c>
      <c r="E68" s="554">
        <f>126+140</f>
        <v>266</v>
      </c>
      <c r="F68">
        <f>11+37+31</f>
        <v>79</v>
      </c>
      <c r="G68" s="556">
        <f>+E68*F68</f>
        <v>21014</v>
      </c>
      <c r="H68" s="563">
        <f>+(E68*F68+E69*F69)/(SUM(F68:F69))</f>
        <v>265.57647058823528</v>
      </c>
      <c r="I68" s="417">
        <f>+'17'!L38</f>
        <v>55.974000000000004</v>
      </c>
    </row>
    <row r="69" spans="1:9">
      <c r="B69" s="614" t="s">
        <v>469</v>
      </c>
      <c r="C69" s="612">
        <v>1</v>
      </c>
      <c r="D69" s="554" t="s">
        <v>683</v>
      </c>
      <c r="E69" s="554">
        <f>120+140</f>
        <v>260</v>
      </c>
      <c r="F69">
        <v>6</v>
      </c>
      <c r="G69" s="556">
        <f>+E69*F69</f>
        <v>1560</v>
      </c>
      <c r="H69" s="563"/>
      <c r="I69" s="417"/>
    </row>
    <row r="70" spans="1:9" ht="13.5" thickBot="1">
      <c r="A70" s="386"/>
      <c r="B70" s="416"/>
      <c r="C70" s="387"/>
      <c r="D70" s="388"/>
      <c r="E70" s="387"/>
      <c r="F70" s="387"/>
      <c r="G70" s="387"/>
      <c r="H70" s="418"/>
      <c r="I70" s="418"/>
    </row>
    <row r="71" spans="1:9">
      <c r="A71" s="555">
        <v>45948</v>
      </c>
      <c r="B71" s="614" t="s">
        <v>469</v>
      </c>
      <c r="C71" s="612">
        <v>1</v>
      </c>
      <c r="D71" s="554" t="s">
        <v>470</v>
      </c>
      <c r="E71" s="554">
        <f>126+140</f>
        <v>266</v>
      </c>
      <c r="F71">
        <v>31</v>
      </c>
      <c r="G71" s="556">
        <f>+E71*F71</f>
        <v>8246</v>
      </c>
      <c r="H71" s="563">
        <f>+(E71*F71+E72*F72)/(SUM(F71:F72))</f>
        <v>265.02702702702703</v>
      </c>
      <c r="I71" s="417">
        <f>+'18'!L37</f>
        <v>15.490000000000002</v>
      </c>
    </row>
    <row r="72" spans="1:9">
      <c r="B72" s="614" t="s">
        <v>469</v>
      </c>
      <c r="C72" s="612">
        <v>1</v>
      </c>
      <c r="D72" s="554" t="s">
        <v>683</v>
      </c>
      <c r="E72" s="554">
        <f>120+140</f>
        <v>260</v>
      </c>
      <c r="F72">
        <f>2+4</f>
        <v>6</v>
      </c>
      <c r="G72" s="556">
        <f>+E72*F72</f>
        <v>1560</v>
      </c>
      <c r="H72" s="563"/>
      <c r="I72" s="417"/>
    </row>
    <row r="73" spans="1:9">
      <c r="B73" s="614" t="s">
        <v>577</v>
      </c>
      <c r="C73" s="612">
        <v>1</v>
      </c>
      <c r="D73" s="554" t="s">
        <v>672</v>
      </c>
      <c r="E73" s="554">
        <f>150+122</f>
        <v>272</v>
      </c>
      <c r="F73">
        <f>35+29</f>
        <v>64</v>
      </c>
      <c r="G73" s="556">
        <f>+E73*F73</f>
        <v>17408</v>
      </c>
      <c r="H73" s="563">
        <f>+G73/F73</f>
        <v>272</v>
      </c>
      <c r="I73" s="417">
        <f>+'18'!L38</f>
        <v>41.07</v>
      </c>
    </row>
    <row r="74" spans="1:9" ht="13.5" thickBot="1">
      <c r="A74" s="386"/>
      <c r="B74" s="416"/>
      <c r="C74" s="387"/>
      <c r="D74" s="388"/>
      <c r="E74" s="387"/>
      <c r="F74" s="387"/>
      <c r="G74" s="387"/>
      <c r="H74" s="418"/>
      <c r="I74" s="418"/>
    </row>
    <row r="75" spans="1:9">
      <c r="A75" s="555">
        <v>45949</v>
      </c>
      <c r="B75" s="614" t="s">
        <v>577</v>
      </c>
      <c r="C75" s="612">
        <v>1</v>
      </c>
      <c r="D75" s="554" t="s">
        <v>672</v>
      </c>
      <c r="E75" s="554">
        <f>150+122</f>
        <v>272</v>
      </c>
      <c r="F75">
        <v>101</v>
      </c>
      <c r="G75" s="556">
        <f>+E75*F75</f>
        <v>27472</v>
      </c>
      <c r="H75" s="563">
        <f>+G75/F75</f>
        <v>272</v>
      </c>
      <c r="I75" s="417">
        <f>+'19'!I38</f>
        <v>56.081000000000003</v>
      </c>
    </row>
    <row r="76" spans="1:9" ht="13.5" thickBot="1">
      <c r="A76" s="386"/>
      <c r="B76" s="416"/>
      <c r="C76" s="387"/>
      <c r="D76" s="388"/>
      <c r="E76" s="387"/>
      <c r="F76" s="387"/>
      <c r="G76" s="387"/>
      <c r="H76" s="418"/>
      <c r="I76" s="418"/>
    </row>
    <row r="77" spans="1:9">
      <c r="A77" s="555">
        <v>45950</v>
      </c>
      <c r="B77" s="614" t="s">
        <v>577</v>
      </c>
      <c r="C77" s="612">
        <v>1</v>
      </c>
      <c r="D77" s="554" t="s">
        <v>672</v>
      </c>
      <c r="E77" s="554">
        <f>150+122</f>
        <v>272</v>
      </c>
      <c r="F77">
        <v>105</v>
      </c>
      <c r="G77" s="556">
        <f>+E77*F77</f>
        <v>28560</v>
      </c>
      <c r="H77" s="563">
        <f>+G77/F77</f>
        <v>272</v>
      </c>
      <c r="I77" s="417">
        <f>+'20'!I38</f>
        <v>57.329000000000008</v>
      </c>
    </row>
    <row r="78" spans="1:9" ht="13.5" thickBot="1">
      <c r="A78" s="386"/>
      <c r="B78" s="416"/>
      <c r="C78" s="387"/>
      <c r="D78" s="388"/>
      <c r="E78" s="387"/>
      <c r="F78" s="387"/>
      <c r="G78" s="387"/>
      <c r="H78" s="418"/>
      <c r="I78" s="418"/>
    </row>
    <row r="79" spans="1:9">
      <c r="A79" s="555">
        <v>45951</v>
      </c>
      <c r="B79" s="614" t="s">
        <v>577</v>
      </c>
      <c r="C79" s="612">
        <v>1</v>
      </c>
      <c r="D79" s="554" t="s">
        <v>672</v>
      </c>
      <c r="E79" s="554">
        <f>150+122</f>
        <v>272</v>
      </c>
      <c r="F79">
        <v>12</v>
      </c>
      <c r="G79" s="556">
        <f>+E79*F79</f>
        <v>3264</v>
      </c>
      <c r="H79" s="563">
        <f>+(E79*F79+E80*F80)/(SUM(F79:F80))</f>
        <v>270.5</v>
      </c>
      <c r="I79" s="417">
        <f>+'21'!L37</f>
        <v>3.3279999999999998</v>
      </c>
    </row>
    <row r="80" spans="1:9">
      <c r="A80" s="555"/>
      <c r="B80" s="614" t="s">
        <v>577</v>
      </c>
      <c r="C80" s="612">
        <v>1</v>
      </c>
      <c r="D80" s="554" t="s">
        <v>412</v>
      </c>
      <c r="E80" s="554">
        <f>133*2</f>
        <v>266</v>
      </c>
      <c r="F80">
        <v>4</v>
      </c>
      <c r="G80" s="556">
        <f>+E80*F80</f>
        <v>1064</v>
      </c>
      <c r="H80" s="563"/>
      <c r="I80" s="417"/>
    </row>
    <row r="81" spans="1:9">
      <c r="B81" s="614" t="s">
        <v>724</v>
      </c>
      <c r="C81" s="612">
        <v>1</v>
      </c>
      <c r="D81" s="554" t="s">
        <v>725</v>
      </c>
      <c r="E81" s="554">
        <f>55*3+53.5*2</f>
        <v>272</v>
      </c>
      <c r="F81">
        <f>35+29</f>
        <v>64</v>
      </c>
      <c r="G81" s="556">
        <f>+E81*F81</f>
        <v>17408</v>
      </c>
      <c r="H81" s="563">
        <f>+G81/F81</f>
        <v>272</v>
      </c>
      <c r="I81" s="417">
        <f>+'21'!L38</f>
        <v>38.751000000000005</v>
      </c>
    </row>
    <row r="82" spans="1:9" ht="13.5" thickBot="1">
      <c r="A82" s="386"/>
      <c r="B82" s="416"/>
      <c r="C82" s="387"/>
      <c r="D82" s="388"/>
      <c r="E82" s="387"/>
      <c r="F82" s="387"/>
      <c r="G82" s="387"/>
      <c r="H82" s="418"/>
      <c r="I82" s="418"/>
    </row>
    <row r="83" spans="1:9">
      <c r="A83" s="555">
        <v>45952</v>
      </c>
      <c r="B83" s="614" t="s">
        <v>724</v>
      </c>
      <c r="C83" s="612">
        <v>1</v>
      </c>
      <c r="D83" s="554" t="s">
        <v>725</v>
      </c>
      <c r="E83" s="554">
        <f>55*3+53.5*2</f>
        <v>272</v>
      </c>
      <c r="F83">
        <v>180</v>
      </c>
      <c r="G83" s="556">
        <f>+E83*F83</f>
        <v>48960</v>
      </c>
      <c r="H83" s="563">
        <f>+G83/F83</f>
        <v>272</v>
      </c>
      <c r="I83" s="417">
        <f>+'22'!I38</f>
        <v>56.07</v>
      </c>
    </row>
    <row r="84" spans="1:9" ht="13.5" thickBot="1">
      <c r="A84" s="386"/>
      <c r="B84" s="416"/>
      <c r="C84" s="387"/>
      <c r="D84" s="388"/>
      <c r="E84" s="387"/>
      <c r="F84" s="387"/>
      <c r="G84" s="387"/>
      <c r="H84" s="418"/>
      <c r="I84" s="418"/>
    </row>
    <row r="85" spans="1:9">
      <c r="A85" s="555">
        <v>45953</v>
      </c>
      <c r="B85" s="614" t="s">
        <v>724</v>
      </c>
      <c r="C85" s="612">
        <v>1</v>
      </c>
      <c r="D85" s="554" t="s">
        <v>725</v>
      </c>
      <c r="E85" s="554">
        <f>55*3+53.5*2</f>
        <v>272</v>
      </c>
      <c r="F85">
        <v>172</v>
      </c>
      <c r="G85" s="556">
        <f>+E85*F85</f>
        <v>46784</v>
      </c>
      <c r="H85" s="563">
        <f>+G85/F85</f>
        <v>272</v>
      </c>
      <c r="I85" s="417">
        <f>+'23'!I38</f>
        <v>55.677999999999997</v>
      </c>
    </row>
    <row r="86" spans="1:9" ht="13.5" thickBot="1">
      <c r="A86" s="386"/>
      <c r="B86" s="416"/>
      <c r="C86" s="387"/>
      <c r="D86" s="388"/>
      <c r="E86" s="387"/>
      <c r="F86" s="387"/>
      <c r="G86" s="387"/>
      <c r="H86" s="418"/>
      <c r="I86" s="418"/>
    </row>
    <row r="87" spans="1:9">
      <c r="A87" s="555">
        <v>45954</v>
      </c>
      <c r="B87" s="614" t="s">
        <v>577</v>
      </c>
      <c r="C87" s="612">
        <v>1</v>
      </c>
      <c r="D87" s="554" t="s">
        <v>412</v>
      </c>
      <c r="E87" s="554">
        <f>133*2</f>
        <v>266</v>
      </c>
      <c r="F87">
        <v>35</v>
      </c>
      <c r="G87" s="556">
        <f>+E87*F87</f>
        <v>9310</v>
      </c>
      <c r="H87" s="563">
        <f>+G87/F87</f>
        <v>266</v>
      </c>
      <c r="I87" s="417">
        <f>+'24'!I38</f>
        <v>30.027000000000001</v>
      </c>
    </row>
    <row r="88" spans="1:9">
      <c r="B88" s="614" t="s">
        <v>724</v>
      </c>
      <c r="C88" s="612">
        <v>1</v>
      </c>
      <c r="D88" s="554" t="s">
        <v>725</v>
      </c>
      <c r="E88" s="554">
        <f>55*3+53.5*2</f>
        <v>272</v>
      </c>
      <c r="F88">
        <f>48/2</f>
        <v>24</v>
      </c>
      <c r="G88" s="556">
        <f>+E88*F88</f>
        <v>6528</v>
      </c>
      <c r="H88" s="563">
        <f>+G88/F88</f>
        <v>272</v>
      </c>
      <c r="I88" s="417" t="s">
        <v>332</v>
      </c>
    </row>
    <row r="89" spans="1:9" ht="13.5" thickBot="1">
      <c r="A89" s="386"/>
      <c r="B89" s="416"/>
      <c r="C89" s="387"/>
      <c r="D89" s="388"/>
      <c r="E89" s="387"/>
      <c r="F89" s="387"/>
      <c r="G89" s="387"/>
      <c r="H89" s="418"/>
      <c r="I89" s="418"/>
    </row>
    <row r="90" spans="1:9">
      <c r="A90" s="555">
        <v>45955</v>
      </c>
      <c r="B90" s="614" t="s">
        <v>577</v>
      </c>
      <c r="C90" s="612">
        <v>1</v>
      </c>
      <c r="D90" s="554" t="s">
        <v>412</v>
      </c>
      <c r="E90" s="554">
        <f>133*2</f>
        <v>266</v>
      </c>
      <c r="F90">
        <v>19</v>
      </c>
      <c r="G90" s="556">
        <f>+E90*F90</f>
        <v>5054</v>
      </c>
      <c r="H90" s="563">
        <f>+G90/F90</f>
        <v>266</v>
      </c>
      <c r="I90" s="417">
        <f>+'25'!L37</f>
        <v>12.489999999999998</v>
      </c>
    </row>
    <row r="91" spans="1:9">
      <c r="B91" s="614" t="s">
        <v>469</v>
      </c>
      <c r="C91" s="612">
        <v>1</v>
      </c>
      <c r="D91" s="554" t="s">
        <v>780</v>
      </c>
      <c r="E91" s="554">
        <f>128.5*2+15</f>
        <v>272</v>
      </c>
      <c r="F91">
        <f>3+19</f>
        <v>22</v>
      </c>
      <c r="G91" s="556">
        <f>+E91*F91</f>
        <v>5984</v>
      </c>
      <c r="H91" s="563">
        <f>+(E91*F91+E92*F92)/(SUM(F91:F92))</f>
        <v>273.56</v>
      </c>
      <c r="I91" s="417">
        <f>+'25'!L38</f>
        <v>13.055000000000001</v>
      </c>
    </row>
    <row r="92" spans="1:9">
      <c r="B92" s="614" t="s">
        <v>469</v>
      </c>
      <c r="C92" s="612">
        <v>1</v>
      </c>
      <c r="D92" s="554" t="s">
        <v>781</v>
      </c>
      <c r="E92" s="554">
        <f>47.5*6</f>
        <v>285</v>
      </c>
      <c r="F92">
        <v>3</v>
      </c>
      <c r="G92" s="556">
        <f>+E92*F92</f>
        <v>855</v>
      </c>
      <c r="H92" s="563"/>
      <c r="I92" s="417"/>
    </row>
    <row r="93" spans="1:9">
      <c r="B93" s="614" t="s">
        <v>766</v>
      </c>
      <c r="C93" s="612">
        <v>1</v>
      </c>
      <c r="D93" s="554" t="s">
        <v>412</v>
      </c>
      <c r="E93" s="554">
        <f>133*2</f>
        <v>266</v>
      </c>
      <c r="F93">
        <f>11+10</f>
        <v>21</v>
      </c>
      <c r="G93" s="556">
        <f>+E93*F93</f>
        <v>5586</v>
      </c>
      <c r="H93" s="563">
        <f>+(E93*F93+E94*F94)/(SUM(F93:F94))</f>
        <v>278.5</v>
      </c>
      <c r="I93" s="417">
        <f>+'25'!L39</f>
        <v>28.312000000000005</v>
      </c>
    </row>
    <row r="94" spans="1:9">
      <c r="B94" s="614" t="s">
        <v>766</v>
      </c>
      <c r="C94" s="612">
        <v>1</v>
      </c>
      <c r="D94" s="554" t="s">
        <v>782</v>
      </c>
      <c r="E94" s="554">
        <f>74*4</f>
        <v>296</v>
      </c>
      <c r="F94">
        <v>15</v>
      </c>
      <c r="G94" s="556">
        <f>+E94*F94</f>
        <v>4440</v>
      </c>
      <c r="H94" s="563"/>
      <c r="I94" s="417"/>
    </row>
    <row r="95" spans="1:9" ht="13.5" thickBot="1">
      <c r="A95" s="386"/>
      <c r="B95" s="416"/>
      <c r="C95" s="387"/>
      <c r="D95" s="388"/>
      <c r="E95" s="387"/>
      <c r="F95" s="387"/>
      <c r="G95" s="387"/>
      <c r="H95" s="418"/>
      <c r="I95" s="418"/>
    </row>
    <row r="96" spans="1:9">
      <c r="A96" s="555">
        <v>45956</v>
      </c>
      <c r="B96" s="614" t="s">
        <v>577</v>
      </c>
      <c r="C96" s="612">
        <v>1</v>
      </c>
      <c r="D96" s="554" t="s">
        <v>672</v>
      </c>
      <c r="E96" s="554">
        <f>150+122</f>
        <v>272</v>
      </c>
      <c r="F96">
        <f>18+7</f>
        <v>25</v>
      </c>
      <c r="G96" s="556">
        <f>+E96*F96</f>
        <v>6800</v>
      </c>
      <c r="H96" s="563">
        <f>+G96/F96</f>
        <v>272</v>
      </c>
      <c r="I96" s="417">
        <f>+'26'!L37</f>
        <v>15.25</v>
      </c>
    </row>
    <row r="97" spans="1:9">
      <c r="B97" s="614" t="s">
        <v>784</v>
      </c>
      <c r="C97" s="612">
        <v>1</v>
      </c>
      <c r="D97" s="554" t="s">
        <v>785</v>
      </c>
      <c r="E97" s="554">
        <f>128.5*2</f>
        <v>257</v>
      </c>
      <c r="F97">
        <v>5</v>
      </c>
      <c r="G97" s="556">
        <f>+E97*F97</f>
        <v>1285</v>
      </c>
      <c r="H97" s="563">
        <f>+(E97*F97+E98*F98)/(SUM(F97:F98))</f>
        <v>261.66666666666669</v>
      </c>
      <c r="I97" s="417">
        <f>+'26'!L38</f>
        <v>38.442999999999998</v>
      </c>
    </row>
    <row r="98" spans="1:9">
      <c r="B98" s="614" t="s">
        <v>469</v>
      </c>
      <c r="C98" s="612">
        <v>1</v>
      </c>
      <c r="D98" s="554" t="s">
        <v>781</v>
      </c>
      <c r="E98" s="554">
        <f>47.5*6</f>
        <v>285</v>
      </c>
      <c r="F98">
        <v>1</v>
      </c>
      <c r="G98" s="556">
        <f>+E98*F98</f>
        <v>285</v>
      </c>
      <c r="H98" s="563">
        <f>+(E98*F98+E99*F99)/(SUM(F98:F99))</f>
        <v>280.17241379310343</v>
      </c>
      <c r="I98" s="417" t="s">
        <v>332</v>
      </c>
    </row>
    <row r="99" spans="1:9">
      <c r="B99" s="614" t="s">
        <v>469</v>
      </c>
      <c r="C99" s="612">
        <v>1</v>
      </c>
      <c r="D99" s="554" t="s">
        <v>783</v>
      </c>
      <c r="E99" s="554">
        <f>140*2</f>
        <v>280</v>
      </c>
      <c r="F99">
        <f>56/2</f>
        <v>28</v>
      </c>
      <c r="G99" s="556">
        <f>+E99*F99</f>
        <v>7840</v>
      </c>
      <c r="H99" s="563"/>
      <c r="I99" s="417" t="s">
        <v>332</v>
      </c>
    </row>
    <row r="100" spans="1:9">
      <c r="B100" s="614" t="s">
        <v>766</v>
      </c>
      <c r="C100" s="612">
        <v>1</v>
      </c>
      <c r="D100" s="554" t="s">
        <v>782</v>
      </c>
      <c r="E100" s="554">
        <f>74*4</f>
        <v>296</v>
      </c>
      <c r="F100">
        <v>1</v>
      </c>
      <c r="G100" s="556">
        <f>+E100*F100</f>
        <v>296</v>
      </c>
      <c r="H100" s="563">
        <f>+(E100*F100+E101*F101)/(SUM(F100:F101))</f>
        <v>296</v>
      </c>
      <c r="I100" s="417" t="s">
        <v>332</v>
      </c>
    </row>
    <row r="101" spans="1:9" ht="13.5" thickBot="1">
      <c r="A101" s="386"/>
      <c r="B101" s="416"/>
      <c r="C101" s="387"/>
      <c r="D101" s="388"/>
      <c r="E101" s="387"/>
      <c r="F101" s="387"/>
      <c r="G101" s="387"/>
      <c r="H101" s="418"/>
      <c r="I101" s="418"/>
    </row>
    <row r="102" spans="1:9">
      <c r="A102" s="555">
        <v>45957</v>
      </c>
      <c r="B102" s="614" t="s">
        <v>784</v>
      </c>
      <c r="C102" s="612">
        <v>1</v>
      </c>
      <c r="D102" s="554" t="s">
        <v>793</v>
      </c>
      <c r="E102" s="554">
        <f>140+128.5</f>
        <v>268.5</v>
      </c>
      <c r="F102">
        <f>25+28+40</f>
        <v>93</v>
      </c>
      <c r="G102" s="556">
        <f>+E102*F102</f>
        <v>24970.5</v>
      </c>
      <c r="H102" s="563">
        <f>+(E102*F102+E103*F103)/(SUM(F102:F103))</f>
        <v>268.5</v>
      </c>
      <c r="I102" s="417">
        <f>+'27'!I38</f>
        <v>57.25</v>
      </c>
    </row>
    <row r="103" spans="1:9" ht="13.5" thickBot="1">
      <c r="A103" s="386"/>
      <c r="B103" s="416"/>
      <c r="C103" s="387"/>
      <c r="D103" s="388"/>
      <c r="E103" s="387"/>
      <c r="F103" s="387"/>
      <c r="G103" s="387"/>
      <c r="H103" s="418"/>
      <c r="I103" s="418"/>
    </row>
    <row r="104" spans="1:9">
      <c r="A104" s="555">
        <v>45958</v>
      </c>
      <c r="B104" s="614" t="s">
        <v>784</v>
      </c>
      <c r="C104" s="612">
        <v>1</v>
      </c>
      <c r="D104" s="554" t="s">
        <v>793</v>
      </c>
      <c r="E104" s="554">
        <f>140+128.5</f>
        <v>268.5</v>
      </c>
      <c r="F104">
        <v>19</v>
      </c>
      <c r="G104" s="556">
        <f>+E104*F104</f>
        <v>5101.5</v>
      </c>
      <c r="H104" s="563">
        <f>+G104/F104</f>
        <v>268.5</v>
      </c>
      <c r="I104" s="417">
        <f>+'28'!L37</f>
        <v>5.2240000000000002</v>
      </c>
    </row>
    <row r="105" spans="1:9">
      <c r="B105" s="614" t="s">
        <v>469</v>
      </c>
      <c r="C105" s="612">
        <v>1</v>
      </c>
      <c r="D105" s="554" t="s">
        <v>780</v>
      </c>
      <c r="E105" s="554">
        <f>128.5*2+15</f>
        <v>272</v>
      </c>
      <c r="F105">
        <f>15+38+12</f>
        <v>65</v>
      </c>
      <c r="G105" s="556">
        <f>+E105*F105</f>
        <v>17680</v>
      </c>
      <c r="H105" s="563">
        <f>+(E105*F105+E106*F106)/(SUM(F105:F106))</f>
        <v>271.73529411764707</v>
      </c>
      <c r="I105" s="417">
        <f>+'28'!L38</f>
        <v>50.242000000000004</v>
      </c>
    </row>
    <row r="106" spans="1:9">
      <c r="B106" s="614" t="s">
        <v>577</v>
      </c>
      <c r="C106" s="612">
        <v>1</v>
      </c>
      <c r="D106" s="554" t="s">
        <v>412</v>
      </c>
      <c r="E106" s="554">
        <f>133*2</f>
        <v>266</v>
      </c>
      <c r="F106">
        <v>3</v>
      </c>
      <c r="G106" s="556">
        <f>+E106*F106</f>
        <v>798</v>
      </c>
      <c r="H106" s="563"/>
      <c r="I106" s="417"/>
    </row>
    <row r="107" spans="1:9" ht="13.5" thickBot="1">
      <c r="A107" s="386"/>
      <c r="B107" s="416"/>
      <c r="C107" s="387"/>
      <c r="D107" s="388"/>
      <c r="E107" s="387"/>
      <c r="F107" s="387"/>
      <c r="G107" s="387"/>
      <c r="H107" s="418"/>
      <c r="I107" s="418"/>
    </row>
    <row r="108" spans="1:9">
      <c r="A108" s="555">
        <v>45959</v>
      </c>
      <c r="B108" s="614" t="s">
        <v>469</v>
      </c>
      <c r="C108" s="612">
        <v>1</v>
      </c>
      <c r="D108" s="554" t="s">
        <v>780</v>
      </c>
      <c r="E108" s="554">
        <f>128.5*2+15</f>
        <v>272</v>
      </c>
      <c r="F108">
        <f>30+34+37</f>
        <v>101</v>
      </c>
      <c r="G108" s="556">
        <f>+E108*F108</f>
        <v>27472</v>
      </c>
      <c r="H108" s="563">
        <f>+(E108*F108+E109*F109)/(SUM(F108:F109))</f>
        <v>271.55963302752292</v>
      </c>
      <c r="I108" s="417">
        <f>+'29'!I38</f>
        <v>57.948</v>
      </c>
    </row>
    <row r="109" spans="1:9">
      <c r="B109" s="614" t="s">
        <v>577</v>
      </c>
      <c r="C109" s="612">
        <v>1</v>
      </c>
      <c r="D109" s="554" t="s">
        <v>412</v>
      </c>
      <c r="E109" s="554">
        <f>133*2</f>
        <v>266</v>
      </c>
      <c r="F109">
        <v>8</v>
      </c>
      <c r="G109" s="556">
        <f>+E109*F109</f>
        <v>2128</v>
      </c>
      <c r="H109" s="563"/>
      <c r="I109" s="417"/>
    </row>
    <row r="110" spans="1:9" ht="13.5" thickBot="1">
      <c r="A110" s="386"/>
      <c r="B110" s="416"/>
      <c r="C110" s="387"/>
      <c r="D110" s="388"/>
      <c r="E110" s="387"/>
      <c r="F110" s="387"/>
      <c r="G110" s="387"/>
      <c r="H110" s="418"/>
      <c r="I110" s="418"/>
    </row>
    <row r="111" spans="1:9">
      <c r="A111" s="555">
        <v>45960</v>
      </c>
      <c r="B111" s="614" t="s">
        <v>469</v>
      </c>
      <c r="C111" s="612">
        <v>1</v>
      </c>
      <c r="D111" s="554" t="s">
        <v>780</v>
      </c>
      <c r="E111" s="554">
        <f>128.5*2+15</f>
        <v>272</v>
      </c>
      <c r="F111">
        <v>16</v>
      </c>
      <c r="G111" s="556">
        <f t="shared" ref="G111:G116" si="1">+E111*F111</f>
        <v>4352</v>
      </c>
      <c r="H111" s="563">
        <f>+G111/F111</f>
        <v>272</v>
      </c>
      <c r="I111" s="417">
        <f>+'30'!L37</f>
        <v>5.0860000000000003</v>
      </c>
    </row>
    <row r="112" spans="1:9">
      <c r="B112" s="614" t="s">
        <v>489</v>
      </c>
      <c r="C112" s="612">
        <v>1</v>
      </c>
      <c r="D112" s="554" t="s">
        <v>827</v>
      </c>
      <c r="E112" s="554">
        <f>102+83*2</f>
        <v>268</v>
      </c>
      <c r="F112">
        <f>5+22</f>
        <v>27</v>
      </c>
      <c r="G112" s="556">
        <f t="shared" si="1"/>
        <v>7236</v>
      </c>
      <c r="H112" s="563">
        <f>+G112/F112</f>
        <v>268</v>
      </c>
      <c r="I112" s="417">
        <f>+'30'!L38</f>
        <v>27.064</v>
      </c>
    </row>
    <row r="113" spans="1:9">
      <c r="B113" s="614" t="s">
        <v>551</v>
      </c>
      <c r="C113" s="612">
        <v>1</v>
      </c>
      <c r="D113" s="554" t="s">
        <v>828</v>
      </c>
      <c r="E113" s="554">
        <f>111+92.5+62.5</f>
        <v>266</v>
      </c>
      <c r="F113">
        <f>4+6</f>
        <v>10</v>
      </c>
      <c r="G113" s="556">
        <f t="shared" si="1"/>
        <v>2660</v>
      </c>
      <c r="H113" s="563">
        <f>+(E113*F113+E114*F114)/(SUM(F113:F114))</f>
        <v>262.25</v>
      </c>
      <c r="I113" s="417">
        <f>+'30'!L39</f>
        <v>25.919000000000004</v>
      </c>
    </row>
    <row r="114" spans="1:9">
      <c r="B114" s="614" t="s">
        <v>551</v>
      </c>
      <c r="C114" s="612">
        <v>1</v>
      </c>
      <c r="D114" s="554" t="s">
        <v>829</v>
      </c>
      <c r="E114" s="554">
        <f>92.5+83*2</f>
        <v>258.5</v>
      </c>
      <c r="F114">
        <f>5+1+4</f>
        <v>10</v>
      </c>
      <c r="G114" s="556">
        <f t="shared" si="1"/>
        <v>2585</v>
      </c>
      <c r="H114" s="563"/>
      <c r="I114" s="417"/>
    </row>
    <row r="115" spans="1:9">
      <c r="B115" s="614" t="s">
        <v>575</v>
      </c>
      <c r="C115" s="612">
        <v>1</v>
      </c>
      <c r="D115" s="554" t="s">
        <v>831</v>
      </c>
      <c r="E115" s="554">
        <f>262*1</f>
        <v>262</v>
      </c>
      <c r="F115">
        <v>0</v>
      </c>
      <c r="G115" s="556">
        <f t="shared" si="1"/>
        <v>0</v>
      </c>
      <c r="H115" s="563">
        <f>+E115</f>
        <v>262</v>
      </c>
      <c r="I115" s="417">
        <f>+'30'!L40</f>
        <v>1.202</v>
      </c>
    </row>
    <row r="116" spans="1:9">
      <c r="B116" s="614" t="s">
        <v>490</v>
      </c>
      <c r="C116" s="612">
        <v>1</v>
      </c>
      <c r="D116" s="554" t="s">
        <v>830</v>
      </c>
      <c r="E116" s="554">
        <f>272*1</f>
        <v>272</v>
      </c>
      <c r="F116">
        <v>0</v>
      </c>
      <c r="G116" s="556">
        <f t="shared" si="1"/>
        <v>0</v>
      </c>
      <c r="H116" s="563">
        <f>+E116</f>
        <v>272</v>
      </c>
      <c r="I116" s="417">
        <f>+'30'!L41</f>
        <v>5.6989999999999998</v>
      </c>
    </row>
    <row r="117" spans="1:9" ht="13.5" thickBot="1">
      <c r="A117" s="386"/>
      <c r="B117" s="416"/>
      <c r="C117" s="387"/>
      <c r="D117" s="388"/>
      <c r="E117" s="387"/>
      <c r="F117" s="387"/>
      <c r="G117" s="387"/>
      <c r="H117" s="418"/>
      <c r="I117" s="418"/>
    </row>
    <row r="118" spans="1:9">
      <c r="A118" s="555">
        <v>45961</v>
      </c>
      <c r="B118" s="614" t="s">
        <v>490</v>
      </c>
      <c r="C118" s="612">
        <v>1</v>
      </c>
      <c r="D118" s="554" t="s">
        <v>847</v>
      </c>
      <c r="E118" s="554">
        <f>22+50+100*2</f>
        <v>272</v>
      </c>
      <c r="F118">
        <f>22+22</f>
        <v>44</v>
      </c>
      <c r="G118" s="556">
        <f>+E118*F118</f>
        <v>11968</v>
      </c>
      <c r="H118" s="563">
        <f>+G118/F118</f>
        <v>272</v>
      </c>
      <c r="I118" s="417">
        <f>+'31'!L37</f>
        <v>50.610999999999997</v>
      </c>
    </row>
    <row r="119" spans="1:9">
      <c r="A119" s="555"/>
      <c r="B119" s="614" t="s">
        <v>553</v>
      </c>
      <c r="C119" s="612">
        <v>1</v>
      </c>
      <c r="D119" s="554" t="s">
        <v>849</v>
      </c>
      <c r="E119" s="554">
        <f>42*5+61</f>
        <v>271</v>
      </c>
      <c r="F119">
        <v>88</v>
      </c>
      <c r="G119" s="612">
        <f>+E119*F119</f>
        <v>23848</v>
      </c>
      <c r="H119" s="563">
        <f>+(E119*F119+E120*F120)/(SUM(F119:F120))</f>
        <v>268</v>
      </c>
      <c r="I119" s="417">
        <f>+'31'!L38</f>
        <v>15.350000000000001</v>
      </c>
    </row>
    <row r="120" spans="1:9">
      <c r="A120" s="555"/>
      <c r="B120" s="614" t="s">
        <v>553</v>
      </c>
      <c r="C120" s="612">
        <v>1</v>
      </c>
      <c r="D120" s="554" t="s">
        <v>554</v>
      </c>
      <c r="E120" s="554">
        <f>42*2+61*3</f>
        <v>267</v>
      </c>
      <c r="F120">
        <v>264</v>
      </c>
      <c r="G120" s="612">
        <f>+E120*F120</f>
        <v>70488</v>
      </c>
      <c r="H120" s="563"/>
      <c r="I120" s="417"/>
    </row>
    <row r="121" spans="1:9">
      <c r="B121" s="614" t="s">
        <v>551</v>
      </c>
      <c r="C121" s="612">
        <v>1</v>
      </c>
      <c r="D121" s="554" t="s">
        <v>550</v>
      </c>
      <c r="E121" s="554">
        <f>83*2+92.5</f>
        <v>258.5</v>
      </c>
      <c r="F121">
        <v>10</v>
      </c>
      <c r="G121" s="612">
        <f>+E121*F121</f>
        <v>2585</v>
      </c>
      <c r="H121" s="563">
        <f>+G121/F121</f>
        <v>258.5</v>
      </c>
      <c r="I121" s="417" t="s">
        <v>332</v>
      </c>
    </row>
    <row r="122" spans="1:9">
      <c r="B122" s="614" t="s">
        <v>575</v>
      </c>
      <c r="C122" s="612">
        <v>1</v>
      </c>
      <c r="D122" s="554" t="s">
        <v>848</v>
      </c>
      <c r="E122" s="554">
        <f>14+76+91*2</f>
        <v>272</v>
      </c>
      <c r="F122">
        <f>28+28</f>
        <v>56</v>
      </c>
      <c r="G122" s="612">
        <f>+E122*F122</f>
        <v>15232</v>
      </c>
      <c r="H122" s="563">
        <f>+G122/F122</f>
        <v>272</v>
      </c>
      <c r="I122" s="417" t="s">
        <v>332</v>
      </c>
    </row>
    <row r="123" spans="1:9" ht="13.5" thickBot="1">
      <c r="A123" s="386"/>
      <c r="B123" s="416"/>
      <c r="C123" s="387"/>
      <c r="D123" s="388"/>
      <c r="E123" s="387"/>
      <c r="F123" s="387"/>
      <c r="G123" s="387"/>
      <c r="H123" s="418"/>
      <c r="I123" s="418"/>
    </row>
  </sheetData>
  <phoneticPr fontId="31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44"/>
  <sheetViews>
    <sheetView zoomScale="90" zoomScaleNormal="90" workbookViewId="0">
      <pane xSplit="6" ySplit="6" topLeftCell="T158" activePane="bottomRight" state="frozen"/>
      <selection pane="topRight" activeCell="F1" sqref="F1"/>
      <selection pane="bottomLeft" activeCell="A7" sqref="A7"/>
      <selection pane="bottomRight" activeCell="T177" sqref="T177"/>
    </sheetView>
  </sheetViews>
  <sheetFormatPr defaultColWidth="10.28515625" defaultRowHeight="12"/>
  <cols>
    <col min="1" max="1" width="12.28515625" style="33" customWidth="1"/>
    <col min="2" max="3" width="14.140625" style="33" customWidth="1"/>
    <col min="4" max="4" width="10.28515625" style="33" customWidth="1"/>
    <col min="5" max="5" width="7.5703125" style="33" bestFit="1" customWidth="1"/>
    <col min="6" max="6" width="7" style="63" customWidth="1"/>
    <col min="7" max="9" width="10.28515625" style="33" customWidth="1"/>
    <col min="10" max="11" width="10.28515625" style="92" customWidth="1"/>
    <col min="12" max="13" width="12.7109375" style="64" customWidth="1"/>
    <col min="14" max="15" width="10.28515625" style="33" customWidth="1"/>
    <col min="16" max="16" width="16.85546875" style="33" bestFit="1" customWidth="1"/>
    <col min="17" max="17" width="12.7109375" style="352" customWidth="1"/>
    <col min="18" max="19" width="10.28515625" style="33" customWidth="1"/>
    <col min="20" max="20" width="10.7109375" style="33" customWidth="1"/>
    <col min="21" max="21" width="10.28515625" style="33" customWidth="1"/>
    <col min="22" max="22" width="12.28515625" style="33" customWidth="1"/>
    <col min="23" max="23" width="13" style="33" customWidth="1"/>
    <col min="24" max="24" width="10.28515625" style="33" customWidth="1"/>
    <col min="25" max="25" width="10.140625" style="33" customWidth="1"/>
    <col min="26" max="28" width="10.28515625" style="33" customWidth="1"/>
    <col min="29" max="29" width="12" style="33" customWidth="1"/>
    <col min="30" max="30" width="11.42578125" style="33" bestFit="1" customWidth="1"/>
    <col min="31" max="31" width="41.42578125" style="33" customWidth="1"/>
    <col min="32" max="38" width="10.28515625" style="33" customWidth="1"/>
    <col min="39" max="39" width="11.7109375" style="33" customWidth="1"/>
    <col min="40" max="41" width="10.28515625" style="33" customWidth="1"/>
    <col min="42" max="43" width="12.42578125" style="33" customWidth="1"/>
    <col min="44" max="44" width="29.7109375" style="33" bestFit="1" customWidth="1"/>
    <col min="45" max="16384" width="10.28515625" style="33"/>
  </cols>
  <sheetData>
    <row r="1" spans="1:58" s="24" customFormat="1" ht="15.75">
      <c r="A1" s="23" t="s">
        <v>151</v>
      </c>
      <c r="G1" s="25"/>
      <c r="H1" s="25"/>
      <c r="I1" s="25"/>
      <c r="J1" s="89"/>
      <c r="K1" s="89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103"/>
      <c r="G2" s="25"/>
      <c r="H2" s="25"/>
      <c r="I2" s="25"/>
      <c r="J2" s="89"/>
      <c r="K2" s="89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886" t="s">
        <v>8</v>
      </c>
      <c r="B3" s="886" t="s">
        <v>9</v>
      </c>
      <c r="C3" s="886" t="s">
        <v>203</v>
      </c>
      <c r="D3" s="886" t="s">
        <v>93</v>
      </c>
      <c r="E3" s="886" t="s">
        <v>94</v>
      </c>
      <c r="F3" s="886" t="s">
        <v>95</v>
      </c>
      <c r="G3" s="939" t="s">
        <v>96</v>
      </c>
      <c r="H3" s="940"/>
      <c r="I3" s="940"/>
      <c r="J3" s="940"/>
      <c r="K3" s="941"/>
      <c r="L3" s="925" t="s">
        <v>97</v>
      </c>
      <c r="M3" s="926"/>
      <c r="N3" s="927"/>
      <c r="O3" s="931" t="s">
        <v>98</v>
      </c>
      <c r="P3" s="888" t="s">
        <v>110</v>
      </c>
      <c r="Q3" s="931" t="s">
        <v>99</v>
      </c>
      <c r="R3" s="890" t="s">
        <v>100</v>
      </c>
      <c r="S3" s="890" t="s">
        <v>101</v>
      </c>
      <c r="T3" s="886" t="s">
        <v>160</v>
      </c>
      <c r="U3" s="886" t="s">
        <v>159</v>
      </c>
      <c r="V3" s="886" t="s">
        <v>161</v>
      </c>
      <c r="W3" s="890" t="s">
        <v>145</v>
      </c>
      <c r="X3" s="915" t="s">
        <v>103</v>
      </c>
      <c r="Y3" s="915" t="s">
        <v>332</v>
      </c>
      <c r="Z3" s="890" t="s">
        <v>104</v>
      </c>
      <c r="AA3" s="886" t="s">
        <v>162</v>
      </c>
      <c r="AB3" s="886" t="s">
        <v>173</v>
      </c>
      <c r="AC3" s="886" t="s">
        <v>171</v>
      </c>
      <c r="AD3" s="886" t="s">
        <v>128</v>
      </c>
      <c r="AE3" s="908" t="s">
        <v>129</v>
      </c>
      <c r="AF3" s="911" t="s">
        <v>130</v>
      </c>
      <c r="AG3" s="911"/>
      <c r="AH3" s="911"/>
      <c r="AI3" s="911"/>
      <c r="AJ3" s="911"/>
      <c r="AK3" s="911"/>
      <c r="AL3" s="911"/>
      <c r="AM3" s="933" t="s">
        <v>131</v>
      </c>
      <c r="AN3" s="891" t="s">
        <v>105</v>
      </c>
      <c r="AO3" s="891"/>
      <c r="AP3" s="891"/>
      <c r="AQ3" s="891"/>
      <c r="AR3" s="891"/>
      <c r="AS3" s="892" t="s">
        <v>106</v>
      </c>
      <c r="AT3" s="894" t="s">
        <v>251</v>
      </c>
      <c r="AU3" s="895"/>
      <c r="AV3" s="898" t="s">
        <v>132</v>
      </c>
      <c r="AW3" s="899"/>
      <c r="AX3" s="900" t="s">
        <v>132</v>
      </c>
      <c r="AY3" s="901"/>
      <c r="AZ3" s="902" t="s">
        <v>338</v>
      </c>
      <c r="BA3" s="889" t="s">
        <v>107</v>
      </c>
      <c r="BB3" s="885" t="s">
        <v>108</v>
      </c>
      <c r="BC3" s="885" t="s">
        <v>109</v>
      </c>
      <c r="BD3" s="917" t="s">
        <v>415</v>
      </c>
      <c r="BE3" s="920" t="s">
        <v>416</v>
      </c>
      <c r="BF3" s="885" t="s">
        <v>417</v>
      </c>
    </row>
    <row r="4" spans="1:58" ht="12" customHeight="1">
      <c r="A4" s="907"/>
      <c r="B4" s="907"/>
      <c r="C4" s="907"/>
      <c r="D4" s="907"/>
      <c r="E4" s="907"/>
      <c r="F4" s="907"/>
      <c r="G4" s="942"/>
      <c r="H4" s="943"/>
      <c r="I4" s="943"/>
      <c r="J4" s="943"/>
      <c r="K4" s="944"/>
      <c r="L4" s="928"/>
      <c r="M4" s="929"/>
      <c r="N4" s="930"/>
      <c r="O4" s="932"/>
      <c r="P4" s="912"/>
      <c r="Q4" s="932"/>
      <c r="R4" s="914"/>
      <c r="S4" s="914"/>
      <c r="T4" s="907"/>
      <c r="U4" s="907"/>
      <c r="V4" s="907"/>
      <c r="W4" s="914"/>
      <c r="X4" s="916"/>
      <c r="Y4" s="916"/>
      <c r="Z4" s="914"/>
      <c r="AA4" s="907"/>
      <c r="AB4" s="907"/>
      <c r="AC4" s="907"/>
      <c r="AD4" s="907"/>
      <c r="AE4" s="909"/>
      <c r="AF4" s="936" t="s">
        <v>133</v>
      </c>
      <c r="AG4" s="937"/>
      <c r="AH4" s="938"/>
      <c r="AI4" s="912" t="s">
        <v>204</v>
      </c>
      <c r="AJ4" s="912" t="s">
        <v>15</v>
      </c>
      <c r="AK4" s="912" t="s">
        <v>134</v>
      </c>
      <c r="AL4" s="912" t="s">
        <v>18</v>
      </c>
      <c r="AM4" s="934"/>
      <c r="AN4" s="887" t="s">
        <v>111</v>
      </c>
      <c r="AO4" s="887" t="s">
        <v>15</v>
      </c>
      <c r="AP4" s="887" t="s">
        <v>112</v>
      </c>
      <c r="AQ4" s="887" t="s">
        <v>18</v>
      </c>
      <c r="AR4" s="889" t="s">
        <v>113</v>
      </c>
      <c r="AS4" s="892"/>
      <c r="AT4" s="896"/>
      <c r="AU4" s="897"/>
      <c r="AV4" s="527" t="s">
        <v>6</v>
      </c>
      <c r="AW4" s="527" t="s">
        <v>135</v>
      </c>
      <c r="AX4" s="528" t="s">
        <v>6</v>
      </c>
      <c r="AY4" s="529" t="s">
        <v>135</v>
      </c>
      <c r="AZ4" s="903"/>
      <c r="BA4" s="889"/>
      <c r="BB4" s="885"/>
      <c r="BC4" s="885"/>
      <c r="BD4" s="918"/>
      <c r="BE4" s="921"/>
      <c r="BF4" s="885"/>
    </row>
    <row r="5" spans="1:58" s="36" customFormat="1" ht="48">
      <c r="A5" s="907"/>
      <c r="B5" s="907"/>
      <c r="C5" s="910"/>
      <c r="D5" s="907"/>
      <c r="E5" s="907"/>
      <c r="F5" s="907"/>
      <c r="G5" s="31" t="s">
        <v>114</v>
      </c>
      <c r="H5" s="30" t="s">
        <v>115</v>
      </c>
      <c r="I5" s="34" t="s">
        <v>116</v>
      </c>
      <c r="J5" s="90" t="s">
        <v>117</v>
      </c>
      <c r="K5" s="90" t="s">
        <v>102</v>
      </c>
      <c r="L5" s="35" t="s">
        <v>118</v>
      </c>
      <c r="M5" s="35" t="s">
        <v>119</v>
      </c>
      <c r="N5" s="30" t="s">
        <v>120</v>
      </c>
      <c r="O5" s="932"/>
      <c r="P5" s="913"/>
      <c r="Q5" s="932"/>
      <c r="R5" s="914"/>
      <c r="S5" s="914"/>
      <c r="T5" s="907"/>
      <c r="U5" s="907"/>
      <c r="V5" s="907"/>
      <c r="W5" s="914"/>
      <c r="X5" s="916"/>
      <c r="Y5" s="924"/>
      <c r="Z5" s="914"/>
      <c r="AA5" s="907"/>
      <c r="AB5" s="910"/>
      <c r="AC5" s="907"/>
      <c r="AD5" s="910"/>
      <c r="AE5" s="909"/>
      <c r="AF5" s="460" t="s">
        <v>205</v>
      </c>
      <c r="AG5" s="459" t="s">
        <v>206</v>
      </c>
      <c r="AH5" s="459" t="s">
        <v>207</v>
      </c>
      <c r="AI5" s="913"/>
      <c r="AJ5" s="913"/>
      <c r="AK5" s="913"/>
      <c r="AL5" s="913"/>
      <c r="AM5" s="935"/>
      <c r="AN5" s="888"/>
      <c r="AO5" s="888"/>
      <c r="AP5" s="888"/>
      <c r="AQ5" s="888"/>
      <c r="AR5" s="890"/>
      <c r="AS5" s="893"/>
      <c r="AT5" s="518" t="s">
        <v>330</v>
      </c>
      <c r="AU5" s="518" t="s">
        <v>331</v>
      </c>
      <c r="AV5" s="530" t="s">
        <v>329</v>
      </c>
      <c r="AW5" s="530" t="s">
        <v>329</v>
      </c>
      <c r="AX5" s="528" t="s">
        <v>17</v>
      </c>
      <c r="AY5" s="528" t="s">
        <v>17</v>
      </c>
      <c r="AZ5" s="904"/>
      <c r="BA5" s="890"/>
      <c r="BB5" s="886"/>
      <c r="BC5" s="886"/>
      <c r="BD5" s="919"/>
      <c r="BE5" s="922"/>
      <c r="BF5" s="923"/>
    </row>
    <row r="6" spans="1:58" ht="12.75" customHeight="1">
      <c r="A6" s="44">
        <f>+Report1!A9</f>
        <v>45931</v>
      </c>
      <c r="B6" s="45" t="s">
        <v>7</v>
      </c>
      <c r="C6" s="452">
        <f>(M6*E6*O6*Q6)/100000000</f>
        <v>60.89569704039603</v>
      </c>
      <c r="D6" s="45" t="s">
        <v>411</v>
      </c>
      <c r="E6" s="46">
        <v>13</v>
      </c>
      <c r="F6" s="46">
        <v>1</v>
      </c>
      <c r="G6" s="465">
        <v>1700</v>
      </c>
      <c r="H6" s="608">
        <f>+N6</f>
        <v>0.24</v>
      </c>
      <c r="I6" s="49">
        <v>0.88</v>
      </c>
      <c r="J6" s="91">
        <f>E6*G6*(1-H6)*1440/1000000*2.77</f>
        <v>66.995884799999999</v>
      </c>
      <c r="K6" s="91">
        <f>(IF(G6&lt;L6,L6,G6)*(1-IF(H6&lt;N6,H6,N6))*E6*O6*Q6)/100000000</f>
        <v>62.637658719999997</v>
      </c>
      <c r="L6" s="39">
        <v>1652.7227722772277</v>
      </c>
      <c r="M6" s="39">
        <v>1256.0693069306931</v>
      </c>
      <c r="N6" s="50">
        <f>1-(M6/L6)</f>
        <v>0.24</v>
      </c>
      <c r="O6" s="51">
        <f>+'Trim Rwd'!H4</f>
        <v>266</v>
      </c>
      <c r="P6" s="52">
        <f>O6*(Q6-R6-S6)</f>
        <v>88046</v>
      </c>
      <c r="Q6" s="51">
        <f>404+878+120</f>
        <v>1402</v>
      </c>
      <c r="R6" s="422">
        <f>878+120</f>
        <v>998</v>
      </c>
      <c r="S6" s="422">
        <v>73</v>
      </c>
      <c r="T6" s="41">
        <f>E6*M6*O6*Q6/100000000</f>
        <v>60.89569704039603</v>
      </c>
      <c r="U6" s="41">
        <f>E6*M6*O6*(Q6-R6-S6)/100000000</f>
        <v>14.376944165742573</v>
      </c>
      <c r="V6" s="41">
        <f>E6*G6*(1-N6)*O6/100*(R6+S6)/1000000</f>
        <v>47.849452560000003</v>
      </c>
      <c r="W6" s="41">
        <f>+'1'!K7/1000</f>
        <v>15.436999999999999</v>
      </c>
      <c r="X6" s="419">
        <f>SUM(W6:W9)/SUM(K6:K9)</f>
        <v>0.27966993876808283</v>
      </c>
      <c r="Y6" s="223">
        <v>0</v>
      </c>
      <c r="Z6" s="41">
        <v>0</v>
      </c>
      <c r="AA6" s="53">
        <f>SUM(U6:U9)-SUM(W6:W9)-SUM(Z6:Z9)-SUM(Y6:Y9)</f>
        <v>-2.1123125286574247</v>
      </c>
      <c r="AB6" s="53">
        <f>(SUM(K6:K9)-SUM(W6:W9)-SUM(Y6:Y9)-SUM(Z6:Z9)-SUM(AC6:AC9)-SUM(V6:V9))-AA6</f>
        <v>-1.3306996853465467</v>
      </c>
      <c r="AC6" s="41">
        <f>K6-T6</f>
        <v>1.7419616796039676</v>
      </c>
      <c r="AD6" s="41">
        <f t="shared" ref="AD6:AD11" si="0">+AM6+BA6</f>
        <v>20</v>
      </c>
      <c r="AE6" s="241" t="s">
        <v>280</v>
      </c>
      <c r="AF6" s="41">
        <v>20</v>
      </c>
      <c r="AG6" s="41"/>
      <c r="AH6" s="41"/>
      <c r="AI6" s="609"/>
      <c r="AJ6" s="41"/>
      <c r="AK6" s="41"/>
      <c r="AL6" s="41"/>
      <c r="AM6" s="41">
        <f t="shared" ref="AM6:AM11" si="1">SUM(AF6:AL6)+AT6+AV6+AX6</f>
        <v>20</v>
      </c>
      <c r="AN6" s="41"/>
      <c r="AO6" s="41"/>
      <c r="AP6" s="41"/>
      <c r="AQ6" s="41"/>
      <c r="AR6" s="41">
        <f t="shared" ref="AR6:AR11" si="2">SUM(AN6:AQ6)</f>
        <v>0</v>
      </c>
      <c r="AS6" s="41"/>
      <c r="AT6" s="41"/>
      <c r="AU6" s="41"/>
      <c r="AV6" s="41"/>
      <c r="AW6" s="41"/>
      <c r="AX6" s="41"/>
      <c r="AY6" s="41"/>
      <c r="AZ6" s="41"/>
      <c r="BA6" s="41">
        <f t="shared" ref="BA6:BA11" si="3">+AR6+AS6+AU6+AW6+AY6+AZ6</f>
        <v>0</v>
      </c>
      <c r="BB6" s="37">
        <v>0</v>
      </c>
      <c r="BC6" s="55"/>
      <c r="BD6" s="55"/>
      <c r="BE6" s="37"/>
      <c r="BF6" s="55"/>
    </row>
    <row r="7" spans="1:58" ht="12.95" customHeight="1">
      <c r="A7" s="44"/>
      <c r="B7" s="45" t="s">
        <v>7</v>
      </c>
      <c r="C7" s="452">
        <f>(M7*E7*O7*Q7)/100000000</f>
        <v>1.4517433056000004</v>
      </c>
      <c r="D7" s="45" t="s">
        <v>411</v>
      </c>
      <c r="E7" s="46">
        <v>10.3</v>
      </c>
      <c r="F7" s="46">
        <v>1</v>
      </c>
      <c r="G7" s="465">
        <v>1730</v>
      </c>
      <c r="H7" s="48">
        <v>0.16</v>
      </c>
      <c r="I7" s="49">
        <v>0.88</v>
      </c>
      <c r="J7" s="91">
        <f>E7*G7*(1-H7)*1440/1000000*2.77</f>
        <v>59.704198847999997</v>
      </c>
      <c r="K7" s="91">
        <f>(IF(G7&lt;L7,L7,G7)*(1-IF(H7&lt;N7,H7,N7))*E7*O7*Q7)/100000000</f>
        <v>1.5129613968</v>
      </c>
      <c r="L7" s="39">
        <v>1660</v>
      </c>
      <c r="M7" s="39">
        <f>+L7-L7*0.16</f>
        <v>1394.4</v>
      </c>
      <c r="N7" s="50">
        <f>1-(M7/L7)</f>
        <v>0.15999999999999992</v>
      </c>
      <c r="O7" s="51">
        <f>+'Trim Rwd'!H5</f>
        <v>266</v>
      </c>
      <c r="P7" s="52">
        <f>O7*(Q7-R7-S7)</f>
        <v>10108</v>
      </c>
      <c r="Q7" s="51">
        <v>38</v>
      </c>
      <c r="R7" s="422">
        <v>0</v>
      </c>
      <c r="S7" s="422">
        <v>0</v>
      </c>
      <c r="T7" s="41">
        <f>E7*M7*O7*Q7/100000000</f>
        <v>1.4517433056000004</v>
      </c>
      <c r="U7" s="41">
        <f>E7*M7*O7*(Q7-R7-S7)/100000000</f>
        <v>1.4517433056000004</v>
      </c>
      <c r="V7" s="41">
        <f>E7*G7*(1-N7)*O7/100*(R7+S7)/1000000</f>
        <v>0</v>
      </c>
      <c r="W7" s="41">
        <f>+'1'!K8/1000</f>
        <v>0</v>
      </c>
      <c r="X7" s="42"/>
      <c r="Y7" s="223"/>
      <c r="Z7" s="41"/>
      <c r="AA7" s="41"/>
      <c r="AB7" s="41"/>
      <c r="AC7" s="41">
        <f>K7-T7</f>
        <v>6.1218091199999547E-2</v>
      </c>
      <c r="AD7" s="41">
        <f t="shared" si="0"/>
        <v>13</v>
      </c>
      <c r="AE7" s="241" t="s">
        <v>456</v>
      </c>
      <c r="AF7" s="41"/>
      <c r="AG7" s="41">
        <v>13</v>
      </c>
      <c r="AH7" s="41"/>
      <c r="AI7" s="609"/>
      <c r="AJ7" s="41"/>
      <c r="AK7" s="41"/>
      <c r="AL7" s="41"/>
      <c r="AM7" s="41">
        <f t="shared" si="1"/>
        <v>13</v>
      </c>
      <c r="AN7" s="92"/>
      <c r="AO7" s="41"/>
      <c r="AP7" s="41"/>
      <c r="AQ7" s="41"/>
      <c r="AR7" s="41">
        <f t="shared" si="2"/>
        <v>0</v>
      </c>
      <c r="AS7" s="41"/>
      <c r="AT7" s="41"/>
      <c r="AU7" s="41"/>
      <c r="AV7" s="41"/>
      <c r="AW7" s="41"/>
      <c r="AX7" s="41"/>
      <c r="AY7" s="41"/>
      <c r="AZ7" s="41"/>
      <c r="BA7" s="41">
        <f t="shared" si="3"/>
        <v>0</v>
      </c>
      <c r="BB7" s="54"/>
      <c r="BC7" s="55">
        <v>6</v>
      </c>
      <c r="BD7" s="55"/>
      <c r="BE7" s="54"/>
      <c r="BF7" s="55"/>
    </row>
    <row r="8" spans="1:58" ht="12.95" customHeight="1">
      <c r="A8" s="44"/>
      <c r="B8" s="45" t="s">
        <v>473</v>
      </c>
      <c r="C8" s="452"/>
      <c r="D8" s="45"/>
      <c r="E8" s="46">
        <v>15</v>
      </c>
      <c r="F8" s="46"/>
      <c r="G8" s="465"/>
      <c r="H8" s="48"/>
      <c r="I8" s="49"/>
      <c r="J8" s="91"/>
      <c r="K8" s="91"/>
      <c r="L8" s="39"/>
      <c r="M8" s="39"/>
      <c r="N8" s="50"/>
      <c r="O8" s="51"/>
      <c r="P8" s="52"/>
      <c r="Q8" s="51"/>
      <c r="R8" s="422"/>
      <c r="S8" s="422"/>
      <c r="T8" s="41"/>
      <c r="U8" s="41"/>
      <c r="V8" s="41"/>
      <c r="W8" s="41">
        <f>+'1'!K9/1000</f>
        <v>2.504</v>
      </c>
      <c r="X8" s="42"/>
      <c r="Y8" s="223"/>
      <c r="Z8" s="41"/>
      <c r="AA8" s="41"/>
      <c r="AB8" s="41"/>
      <c r="AC8" s="41"/>
      <c r="AD8" s="41">
        <f t="shared" si="0"/>
        <v>30</v>
      </c>
      <c r="AE8" s="241" t="s">
        <v>422</v>
      </c>
      <c r="AF8" s="37"/>
      <c r="AG8" s="37"/>
      <c r="AH8" s="37">
        <v>30</v>
      </c>
      <c r="AI8" s="609"/>
      <c r="AJ8" s="41"/>
      <c r="AK8" s="41"/>
      <c r="AL8" s="41"/>
      <c r="AM8" s="41">
        <f t="shared" si="1"/>
        <v>30</v>
      </c>
      <c r="AN8" s="41"/>
      <c r="AO8" s="41"/>
      <c r="AP8" s="41"/>
      <c r="AQ8" s="41"/>
      <c r="AR8" s="41">
        <f t="shared" si="2"/>
        <v>0</v>
      </c>
      <c r="AS8" s="41"/>
      <c r="AT8" s="41"/>
      <c r="AU8" s="41"/>
      <c r="AV8" s="41"/>
      <c r="AW8" s="41"/>
      <c r="AX8" s="41"/>
      <c r="AY8" s="41"/>
      <c r="AZ8" s="41"/>
      <c r="BA8" s="41">
        <f t="shared" si="3"/>
        <v>0</v>
      </c>
      <c r="BB8" s="37"/>
      <c r="BC8" s="57"/>
      <c r="BD8" s="57"/>
      <c r="BE8" s="37"/>
      <c r="BF8" s="57"/>
    </row>
    <row r="9" spans="1:58" ht="12.95" customHeight="1">
      <c r="A9" s="44"/>
      <c r="B9" s="45"/>
      <c r="C9" s="452"/>
      <c r="D9" s="45"/>
      <c r="E9" s="46"/>
      <c r="F9" s="46"/>
      <c r="G9" s="465"/>
      <c r="H9" s="48"/>
      <c r="I9" s="49"/>
      <c r="J9" s="91"/>
      <c r="K9" s="91"/>
      <c r="L9" s="39"/>
      <c r="M9" s="39"/>
      <c r="N9" s="50"/>
      <c r="O9" s="51"/>
      <c r="P9" s="52"/>
      <c r="Q9" s="51"/>
      <c r="R9" s="422"/>
      <c r="S9" s="422"/>
      <c r="T9" s="41"/>
      <c r="U9" s="41"/>
      <c r="V9" s="41"/>
      <c r="W9" s="41"/>
      <c r="X9" s="42"/>
      <c r="Y9" s="223"/>
      <c r="Z9" s="41"/>
      <c r="AA9" s="41"/>
      <c r="AB9" s="41"/>
      <c r="AC9" s="41"/>
      <c r="AD9" s="41">
        <f t="shared" si="0"/>
        <v>10</v>
      </c>
      <c r="AE9" s="241" t="s">
        <v>424</v>
      </c>
      <c r="AF9" s="37"/>
      <c r="AG9" s="37"/>
      <c r="AH9" s="37"/>
      <c r="AI9" s="609">
        <v>10</v>
      </c>
      <c r="AJ9" s="41"/>
      <c r="AK9" s="41"/>
      <c r="AL9" s="41"/>
      <c r="AM9" s="41">
        <f t="shared" si="1"/>
        <v>10</v>
      </c>
      <c r="AN9" s="41"/>
      <c r="AO9" s="41"/>
      <c r="AP9" s="41"/>
      <c r="AQ9" s="41"/>
      <c r="AR9" s="41">
        <f t="shared" si="2"/>
        <v>0</v>
      </c>
      <c r="AS9" s="41"/>
      <c r="AT9" s="41"/>
      <c r="AU9" s="41"/>
      <c r="AV9" s="41"/>
      <c r="AW9" s="41"/>
      <c r="AX9" s="41"/>
      <c r="AY9" s="41"/>
      <c r="AZ9" s="41"/>
      <c r="BA9" s="41">
        <f t="shared" si="3"/>
        <v>0</v>
      </c>
      <c r="BB9" s="37"/>
      <c r="BC9" s="57"/>
      <c r="BD9" s="57"/>
      <c r="BE9" s="37"/>
      <c r="BF9" s="57"/>
    </row>
    <row r="10" spans="1:58" ht="12.95" customHeight="1">
      <c r="A10" s="44"/>
      <c r="B10" s="586"/>
      <c r="C10" s="452"/>
      <c r="D10" s="45"/>
      <c r="E10" s="258"/>
      <c r="F10" s="46"/>
      <c r="G10" s="47"/>
      <c r="H10" s="48"/>
      <c r="I10" s="49"/>
      <c r="J10" s="91"/>
      <c r="K10" s="91"/>
      <c r="L10" s="39"/>
      <c r="M10" s="39"/>
      <c r="N10" s="50"/>
      <c r="O10" s="51"/>
      <c r="P10" s="52"/>
      <c r="Q10" s="351"/>
      <c r="R10" s="54"/>
      <c r="S10" s="54"/>
      <c r="T10" s="41"/>
      <c r="U10" s="41"/>
      <c r="V10" s="41"/>
      <c r="W10" s="37"/>
      <c r="X10" s="42"/>
      <c r="Y10" s="42"/>
      <c r="Z10" s="37"/>
      <c r="AA10" s="53"/>
      <c r="AB10" s="53"/>
      <c r="AC10" s="41"/>
      <c r="AD10" s="41">
        <f t="shared" si="0"/>
        <v>878</v>
      </c>
      <c r="AE10" s="21" t="s">
        <v>461</v>
      </c>
      <c r="AF10" s="41"/>
      <c r="AG10" s="41"/>
      <c r="AH10" s="41"/>
      <c r="AI10" s="41"/>
      <c r="AJ10" s="41"/>
      <c r="AK10" s="41"/>
      <c r="AL10" s="41"/>
      <c r="AM10" s="41">
        <f t="shared" si="1"/>
        <v>0</v>
      </c>
      <c r="AN10" s="41"/>
      <c r="AO10" s="41"/>
      <c r="AP10" s="41"/>
      <c r="AQ10" s="41"/>
      <c r="AR10" s="41">
        <f t="shared" si="2"/>
        <v>0</v>
      </c>
      <c r="AS10" s="41"/>
      <c r="AT10" s="41"/>
      <c r="AU10" s="41"/>
      <c r="AV10" s="41"/>
      <c r="AW10" s="41">
        <v>878</v>
      </c>
      <c r="AX10" s="41"/>
      <c r="AY10" s="41"/>
      <c r="AZ10" s="41"/>
      <c r="BA10" s="41">
        <f t="shared" si="3"/>
        <v>878</v>
      </c>
      <c r="BB10" s="37"/>
      <c r="BC10" s="57"/>
      <c r="BD10" s="57"/>
      <c r="BE10" s="37"/>
      <c r="BF10" s="57"/>
    </row>
    <row r="11" spans="1:58" ht="12.95" customHeight="1">
      <c r="A11" s="44"/>
      <c r="B11" s="586"/>
      <c r="C11" s="452"/>
      <c r="D11" s="45"/>
      <c r="E11" s="258"/>
      <c r="F11" s="46"/>
      <c r="G11" s="47"/>
      <c r="H11" s="48"/>
      <c r="I11" s="49"/>
      <c r="J11" s="91"/>
      <c r="K11" s="91"/>
      <c r="L11" s="39"/>
      <c r="M11" s="39"/>
      <c r="N11" s="50"/>
      <c r="O11" s="51"/>
      <c r="P11" s="52"/>
      <c r="Q11" s="351"/>
      <c r="R11" s="54"/>
      <c r="S11" s="54"/>
      <c r="T11" s="41"/>
      <c r="U11" s="41"/>
      <c r="V11" s="41"/>
      <c r="W11" s="37"/>
      <c r="X11" s="42"/>
      <c r="Y11" s="42"/>
      <c r="Z11" s="37"/>
      <c r="AA11" s="53"/>
      <c r="AB11" s="53"/>
      <c r="AC11" s="41"/>
      <c r="AD11" s="41">
        <f t="shared" si="0"/>
        <v>120</v>
      </c>
      <c r="AE11" s="598" t="s">
        <v>462</v>
      </c>
      <c r="AF11" s="41"/>
      <c r="AG11" s="41"/>
      <c r="AH11" s="41"/>
      <c r="AI11" s="41"/>
      <c r="AJ11" s="41"/>
      <c r="AK11" s="41"/>
      <c r="AL11" s="41"/>
      <c r="AM11" s="41">
        <f t="shared" si="1"/>
        <v>0</v>
      </c>
      <c r="AN11" s="41"/>
      <c r="AO11" s="41"/>
      <c r="AP11" s="41">
        <v>120</v>
      </c>
      <c r="AQ11" s="41"/>
      <c r="AR11" s="41">
        <f t="shared" si="2"/>
        <v>120</v>
      </c>
      <c r="AS11" s="41"/>
      <c r="AT11" s="41"/>
      <c r="AU11" s="41"/>
      <c r="AV11" s="41"/>
      <c r="AW11" s="41"/>
      <c r="AX11" s="41"/>
      <c r="AY11" s="41"/>
      <c r="AZ11" s="41"/>
      <c r="BA11" s="41">
        <f t="shared" si="3"/>
        <v>120</v>
      </c>
      <c r="BB11" s="37"/>
      <c r="BC11" s="57"/>
      <c r="BD11" s="57"/>
      <c r="BE11" s="37"/>
      <c r="BF11" s="57"/>
    </row>
    <row r="12" spans="1:58" ht="12.95" customHeight="1">
      <c r="A12" s="346"/>
      <c r="B12" s="45"/>
      <c r="C12" s="452"/>
      <c r="D12" s="45"/>
      <c r="E12" s="46"/>
      <c r="F12" s="46"/>
      <c r="G12" s="465"/>
      <c r="H12" s="48"/>
      <c r="I12" s="49"/>
      <c r="J12" s="91"/>
      <c r="K12" s="91"/>
      <c r="L12" s="39"/>
      <c r="M12" s="39"/>
      <c r="N12" s="50"/>
      <c r="O12" s="51"/>
      <c r="P12" s="52"/>
      <c r="Q12" s="51"/>
      <c r="R12" s="422"/>
      <c r="S12" s="422"/>
      <c r="T12" s="41"/>
      <c r="U12" s="41"/>
      <c r="V12" s="41"/>
      <c r="W12" s="41"/>
      <c r="X12" s="42"/>
      <c r="Y12" s="223"/>
      <c r="Z12" s="41"/>
      <c r="AA12" s="41"/>
      <c r="AB12" s="41"/>
      <c r="AC12" s="41"/>
      <c r="AD12" s="41"/>
      <c r="AE12" s="241"/>
      <c r="AF12" s="41"/>
      <c r="AG12" s="41"/>
      <c r="AH12" s="41"/>
      <c r="AI12" s="461"/>
      <c r="AJ12" s="41"/>
      <c r="AK12" s="41"/>
      <c r="AL12" s="41"/>
      <c r="AM12" s="41"/>
      <c r="AN12" s="92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54"/>
      <c r="BC12" s="55"/>
      <c r="BD12" s="55"/>
      <c r="BE12" s="54"/>
      <c r="BF12" s="55"/>
    </row>
    <row r="13" spans="1:58" ht="12.75" customHeight="1">
      <c r="A13" s="44">
        <v>45932</v>
      </c>
      <c r="B13" s="45" t="s">
        <v>7</v>
      </c>
      <c r="C13" s="452">
        <f>(M13*E13*O13*Q13)/100000000</f>
        <v>10.315018224000003</v>
      </c>
      <c r="D13" s="45" t="s">
        <v>411</v>
      </c>
      <c r="E13" s="46">
        <v>10.3</v>
      </c>
      <c r="F13" s="46">
        <v>1</v>
      </c>
      <c r="G13" s="465">
        <v>1730</v>
      </c>
      <c r="H13" s="48">
        <v>0.16</v>
      </c>
      <c r="I13" s="49">
        <v>0.88</v>
      </c>
      <c r="J13" s="91">
        <f>E13*G13*(1-H13)*1440/1000000*2.77</f>
        <v>59.704198847999997</v>
      </c>
      <c r="K13" s="91">
        <f>(IF(G13&lt;L13,L13,G13)*(1-IF(H13&lt;N13,H13,N13))*E13*O13*Q13)/100000000</f>
        <v>10.749988872000001</v>
      </c>
      <c r="L13" s="39">
        <v>1660</v>
      </c>
      <c r="M13" s="39">
        <f>+L13-L13*0.16</f>
        <v>1394.4</v>
      </c>
      <c r="N13" s="50">
        <f>1-(M13/L13)</f>
        <v>0.15999999999999992</v>
      </c>
      <c r="O13" s="51">
        <f>+'Trim Rwd'!H8</f>
        <v>266</v>
      </c>
      <c r="P13" s="52">
        <f>O13*(Q13-R13-S13)</f>
        <v>65702</v>
      </c>
      <c r="Q13" s="51">
        <f>240+30</f>
        <v>270</v>
      </c>
      <c r="R13" s="422">
        <v>0</v>
      </c>
      <c r="S13" s="422">
        <v>23</v>
      </c>
      <c r="T13" s="41">
        <f>E13*M13*O13*Q13/100000000</f>
        <v>10.315018224000003</v>
      </c>
      <c r="U13" s="41">
        <f>E13*M13*O13*(Q13-R13-S13)/100000000</f>
        <v>9.4363314864000003</v>
      </c>
      <c r="V13" s="41">
        <f>E13*G13*(1-N13)*O13/100*(R13+S13)/1000000</f>
        <v>0.91573979280000006</v>
      </c>
      <c r="W13" s="41">
        <f>+'2'!K8/1000</f>
        <v>9.6280000000000001</v>
      </c>
      <c r="X13" s="419">
        <f>SUM(W13:W16)/SUM(K13:K16)</f>
        <v>0.7590810231266012</v>
      </c>
      <c r="Y13" s="223">
        <v>0</v>
      </c>
      <c r="Z13" s="41">
        <v>0</v>
      </c>
      <c r="AA13" s="53">
        <f>SUM(U13:U16)-SUM(W13:W16)-SUM(Z13:Z16)-SUM(Y13:Y16)</f>
        <v>12.019120443899997</v>
      </c>
      <c r="AB13" s="53">
        <f>(SUM(K13:K16)-SUM(W13:W16)-SUM(Y13:Y16)-SUM(Z13:Z16)-SUM(AC13:AC16)-SUM(V13:V16))-AA13</f>
        <v>-2.3636179200005714E-2</v>
      </c>
      <c r="AC13" s="41">
        <f>K13-T13</f>
        <v>0.43497064799999841</v>
      </c>
      <c r="AD13" s="41">
        <f>+AM13+BA13</f>
        <v>30</v>
      </c>
      <c r="AE13" s="241" t="s">
        <v>483</v>
      </c>
      <c r="AF13" s="41">
        <v>30</v>
      </c>
      <c r="AG13" s="41"/>
      <c r="AH13" s="41"/>
      <c r="AI13" s="609"/>
      <c r="AJ13" s="41"/>
      <c r="AK13" s="41"/>
      <c r="AL13" s="41"/>
      <c r="AM13" s="41">
        <f>SUM(AF13:AL13)+AT13+AV13+AX13</f>
        <v>30</v>
      </c>
      <c r="AN13" s="41"/>
      <c r="AO13" s="41"/>
      <c r="AP13" s="41"/>
      <c r="AQ13" s="41"/>
      <c r="AR13" s="41">
        <f>SUM(AN13:AQ13)</f>
        <v>0</v>
      </c>
      <c r="AS13" s="41"/>
      <c r="AT13" s="41"/>
      <c r="AU13" s="41"/>
      <c r="AV13" s="41"/>
      <c r="AW13" s="41"/>
      <c r="AX13" s="41"/>
      <c r="AY13" s="41"/>
      <c r="AZ13" s="41"/>
      <c r="BA13" s="41">
        <f>+AR13+AS13+AU13+AW13+AY13+AZ13</f>
        <v>0</v>
      </c>
      <c r="BB13" s="37">
        <v>6</v>
      </c>
      <c r="BC13" s="55"/>
      <c r="BD13" s="55"/>
      <c r="BE13" s="37"/>
      <c r="BF13" s="55"/>
    </row>
    <row r="14" spans="1:58" ht="12.95" customHeight="1">
      <c r="A14" s="44"/>
      <c r="B14" s="45" t="s">
        <v>234</v>
      </c>
      <c r="C14" s="452">
        <f>(M14*E14*O14*Q14)/100000000</f>
        <v>53.222409302999999</v>
      </c>
      <c r="D14" s="45" t="s">
        <v>411</v>
      </c>
      <c r="E14" s="46">
        <v>15.5</v>
      </c>
      <c r="F14" s="46">
        <v>1</v>
      </c>
      <c r="G14" s="465">
        <v>1270</v>
      </c>
      <c r="H14" s="48">
        <v>0</v>
      </c>
      <c r="I14" s="49">
        <v>0.88</v>
      </c>
      <c r="J14" s="91">
        <f>E14*G14*(1-H14)*1440/1000000*2.77</f>
        <v>78.519527999999994</v>
      </c>
      <c r="K14" s="91">
        <f>(IF(G14&lt;L14,L14,G14)*(1-IF(H14&lt;N14,H14,N14))*E14*O14*Q14)/100000000</f>
        <v>53.409342000000002</v>
      </c>
      <c r="L14" s="39">
        <v>1270</v>
      </c>
      <c r="M14" s="39">
        <f>+L14-L14*0.0035</f>
        <v>1265.5550000000001</v>
      </c>
      <c r="N14" s="50">
        <f>1-(M14/L14)</f>
        <v>3.4999999999999476E-3</v>
      </c>
      <c r="O14" s="51">
        <f>+'Trim Rwd'!H11</f>
        <v>266</v>
      </c>
      <c r="P14" s="52">
        <f>O14*(Q14-R14-S14)</f>
        <v>263340</v>
      </c>
      <c r="Q14" s="51">
        <f>210+480+330</f>
        <v>1020</v>
      </c>
      <c r="R14" s="422">
        <v>0</v>
      </c>
      <c r="S14" s="422">
        <v>30</v>
      </c>
      <c r="T14" s="41">
        <f>E14*M14*O14*Q14/100000000</f>
        <v>53.222409302999999</v>
      </c>
      <c r="U14" s="41">
        <f>E14*M14*O14*(Q14-R14-S14)/100000000</f>
        <v>51.657044323500003</v>
      </c>
      <c r="V14" s="41">
        <f>E14*G14*(1-N14)*O14/100*(R14+S14)/1000000</f>
        <v>1.5653649795000002</v>
      </c>
      <c r="W14" s="41">
        <f>+'2'!K9/1000</f>
        <v>0</v>
      </c>
      <c r="X14" s="42"/>
      <c r="Y14" s="223"/>
      <c r="Z14" s="41">
        <f>+'2'!D34/1000</f>
        <v>1.55</v>
      </c>
      <c r="AA14" s="41"/>
      <c r="AB14" s="41"/>
      <c r="AC14" s="41">
        <f>K14-T14</f>
        <v>0.18693269700000315</v>
      </c>
      <c r="AD14" s="41">
        <f>+AM14+BA14</f>
        <v>1</v>
      </c>
      <c r="AE14" s="241" t="s">
        <v>481</v>
      </c>
      <c r="AF14" s="41"/>
      <c r="AG14" s="41">
        <v>1</v>
      </c>
      <c r="AH14" s="41"/>
      <c r="AI14" s="609"/>
      <c r="AJ14" s="41"/>
      <c r="AK14" s="41"/>
      <c r="AL14" s="41"/>
      <c r="AM14" s="41">
        <f>SUM(AF14:AL14)+AT14+AV14+AX14</f>
        <v>1</v>
      </c>
      <c r="AN14" s="92"/>
      <c r="AO14" s="41"/>
      <c r="AP14" s="41"/>
      <c r="AQ14" s="41"/>
      <c r="AR14" s="41">
        <f>SUM(AN14:AQ14)</f>
        <v>0</v>
      </c>
      <c r="AS14" s="41"/>
      <c r="AT14" s="41"/>
      <c r="AU14" s="41"/>
      <c r="AV14" s="41"/>
      <c r="AW14" s="41"/>
      <c r="AX14" s="41"/>
      <c r="AY14" s="41"/>
      <c r="AZ14" s="41"/>
      <c r="BA14" s="41">
        <f>+AR14+AS14+AU14+AW14+AY14+AZ14</f>
        <v>0</v>
      </c>
      <c r="BB14" s="54"/>
      <c r="BC14" s="55">
        <v>1</v>
      </c>
      <c r="BD14" s="55"/>
      <c r="BE14" s="54"/>
      <c r="BF14" s="55"/>
    </row>
    <row r="15" spans="1:58" ht="12.95" customHeight="1">
      <c r="A15" s="44"/>
      <c r="B15" s="45" t="s">
        <v>234</v>
      </c>
      <c r="C15" s="452">
        <f>(M15*E15*O15*Q15)/100000000</f>
        <v>8.5197162599999992</v>
      </c>
      <c r="D15" s="45" t="s">
        <v>411</v>
      </c>
      <c r="E15" s="46">
        <v>16.5</v>
      </c>
      <c r="F15" s="46">
        <v>1</v>
      </c>
      <c r="G15" s="465">
        <v>1250</v>
      </c>
      <c r="H15" s="48">
        <v>0</v>
      </c>
      <c r="I15" s="49">
        <v>0.88</v>
      </c>
      <c r="J15" s="91">
        <f>E15*G15*(1-H15)*1440/1000000*2.77</f>
        <v>82.269000000000005</v>
      </c>
      <c r="K15" s="91">
        <f>(IF(G15&lt;L15,L15,G15)*(1-IF(H15&lt;N15,H15,N15))*E15*O15*Q15)/100000000</f>
        <v>8.5496400000000001</v>
      </c>
      <c r="L15" s="39">
        <v>1270</v>
      </c>
      <c r="M15" s="39">
        <f>+L15-L15*0.0035</f>
        <v>1265.5550000000001</v>
      </c>
      <c r="N15" s="50">
        <f>1-(M15/L15)</f>
        <v>3.4999999999999476E-3</v>
      </c>
      <c r="O15" s="51">
        <f>+'Trim Rwd'!H12</f>
        <v>272</v>
      </c>
      <c r="P15" s="52">
        <f>O15*(Q15-R15-S15)</f>
        <v>36720</v>
      </c>
      <c r="Q15" s="51">
        <f>30+120</f>
        <v>150</v>
      </c>
      <c r="R15" s="422">
        <v>0</v>
      </c>
      <c r="S15" s="422">
        <v>15</v>
      </c>
      <c r="T15" s="41">
        <f>E15*M15*O15*Q15/100000000</f>
        <v>8.5197162599999992</v>
      </c>
      <c r="U15" s="41">
        <f>E15*M15*O15*(Q15-R15-S15)/100000000</f>
        <v>7.6677446339999999</v>
      </c>
      <c r="V15" s="41">
        <f>E15*G15*(1-N15)*O15/100*(R15+S15)/1000000</f>
        <v>0.83855475000000002</v>
      </c>
      <c r="W15" s="41">
        <f>+'2'!K10/1000</f>
        <v>41.311</v>
      </c>
      <c r="X15" s="42"/>
      <c r="Y15" s="223"/>
      <c r="Z15" s="41"/>
      <c r="AA15" s="41"/>
      <c r="AB15" s="41"/>
      <c r="AC15" s="41">
        <f>K15-T15</f>
        <v>2.9923740000000976E-2</v>
      </c>
      <c r="AD15" s="41">
        <f>+AM15+BA15</f>
        <v>23</v>
      </c>
      <c r="AE15" s="241" t="s">
        <v>484</v>
      </c>
      <c r="AF15" s="37"/>
      <c r="AG15" s="37"/>
      <c r="AH15" s="37">
        <v>23</v>
      </c>
      <c r="AI15" s="609"/>
      <c r="AJ15" s="41"/>
      <c r="AK15" s="41"/>
      <c r="AL15" s="41"/>
      <c r="AM15" s="41">
        <f>SUM(AF15:AL15)+AT15+AV15+AX15</f>
        <v>23</v>
      </c>
      <c r="AN15" s="41"/>
      <c r="AO15" s="41"/>
      <c r="AP15" s="41"/>
      <c r="AQ15" s="41"/>
      <c r="AR15" s="41">
        <f>SUM(AN15:AQ15)</f>
        <v>0</v>
      </c>
      <c r="AS15" s="41"/>
      <c r="AT15" s="41"/>
      <c r="AU15" s="41"/>
      <c r="AV15" s="41"/>
      <c r="AW15" s="41"/>
      <c r="AX15" s="41"/>
      <c r="AY15" s="41"/>
      <c r="AZ15" s="41"/>
      <c r="BA15" s="41">
        <f>+AR15+AS15+AU15+AW15+AY15+AZ15</f>
        <v>0</v>
      </c>
      <c r="BB15" s="37"/>
      <c r="BC15" s="57"/>
      <c r="BD15" s="57"/>
      <c r="BE15" s="37"/>
      <c r="BF15" s="57"/>
    </row>
    <row r="16" spans="1:58" ht="12.95" customHeight="1">
      <c r="A16" s="346"/>
      <c r="B16" s="45" t="s">
        <v>7</v>
      </c>
      <c r="C16" s="452"/>
      <c r="D16" s="45"/>
      <c r="E16" s="46">
        <v>13</v>
      </c>
      <c r="F16" s="46"/>
      <c r="G16" s="465"/>
      <c r="H16" s="48"/>
      <c r="I16" s="49"/>
      <c r="J16" s="91"/>
      <c r="K16" s="91"/>
      <c r="L16" s="39"/>
      <c r="M16" s="39"/>
      <c r="N16" s="50"/>
      <c r="O16" s="51"/>
      <c r="P16" s="52"/>
      <c r="Q16" s="51"/>
      <c r="R16" s="422"/>
      <c r="S16" s="422"/>
      <c r="T16" s="41"/>
      <c r="U16" s="41"/>
      <c r="V16" s="41"/>
      <c r="W16" s="41">
        <f>+'2'!K7/1000</f>
        <v>4.2530000000000001</v>
      </c>
      <c r="X16" s="419"/>
      <c r="Y16" s="223"/>
      <c r="Z16" s="41"/>
      <c r="AA16" s="53"/>
      <c r="AB16" s="53"/>
      <c r="AC16" s="41"/>
      <c r="AD16" s="41">
        <f>+AM16+BA16</f>
        <v>14</v>
      </c>
      <c r="AE16" s="241" t="s">
        <v>424</v>
      </c>
      <c r="AF16" s="37"/>
      <c r="AG16" s="37"/>
      <c r="AH16" s="37"/>
      <c r="AI16" s="609">
        <v>14</v>
      </c>
      <c r="AJ16" s="41"/>
      <c r="AK16" s="41"/>
      <c r="AL16" s="41"/>
      <c r="AM16" s="41">
        <f>SUM(AF16:AL16)+AT16+AV16+AX16</f>
        <v>14</v>
      </c>
      <c r="AN16" s="41"/>
      <c r="AO16" s="41"/>
      <c r="AP16" s="41"/>
      <c r="AQ16" s="41"/>
      <c r="AR16" s="41">
        <f>SUM(AN16:AQ16)</f>
        <v>0</v>
      </c>
      <c r="AS16" s="41"/>
      <c r="AT16" s="41"/>
      <c r="AU16" s="41"/>
      <c r="AV16" s="41"/>
      <c r="AW16" s="41"/>
      <c r="AX16" s="41"/>
      <c r="AY16" s="41"/>
      <c r="AZ16" s="41"/>
      <c r="BA16" s="41">
        <f>+AR16+AS16+AU16+AW16+AY16+AZ16</f>
        <v>0</v>
      </c>
      <c r="BB16" s="37"/>
      <c r="BC16" s="57"/>
      <c r="BD16" s="57"/>
      <c r="BE16" s="37"/>
      <c r="BF16" s="57"/>
    </row>
    <row r="17" spans="1:58" ht="12.95" customHeight="1">
      <c r="A17" s="346"/>
      <c r="B17" s="45"/>
      <c r="C17" s="452"/>
      <c r="D17" s="45"/>
      <c r="E17" s="46"/>
      <c r="F17" s="46"/>
      <c r="G17" s="465"/>
      <c r="H17" s="48"/>
      <c r="I17" s="49"/>
      <c r="J17" s="91"/>
      <c r="K17" s="91"/>
      <c r="L17" s="39"/>
      <c r="M17" s="39"/>
      <c r="N17" s="50"/>
      <c r="O17" s="51"/>
      <c r="P17" s="52"/>
      <c r="Q17" s="51"/>
      <c r="R17" s="422"/>
      <c r="S17" s="422"/>
      <c r="T17" s="41"/>
      <c r="U17" s="41"/>
      <c r="V17" s="41"/>
      <c r="W17" s="41"/>
      <c r="X17" s="419"/>
      <c r="Y17" s="223"/>
      <c r="Z17" s="41"/>
      <c r="AA17" s="53"/>
      <c r="AB17" s="53"/>
      <c r="AC17" s="41"/>
      <c r="AD17" s="41"/>
      <c r="AE17" s="241"/>
      <c r="AF17" s="41"/>
      <c r="AG17" s="41"/>
      <c r="AH17" s="41"/>
      <c r="AI17" s="46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37"/>
      <c r="BC17" s="55"/>
      <c r="BD17" s="55"/>
      <c r="BE17" s="37"/>
      <c r="BF17" s="55"/>
    </row>
    <row r="18" spans="1:58" ht="12.75" customHeight="1">
      <c r="A18" s="44">
        <v>45933</v>
      </c>
      <c r="B18" s="45" t="s">
        <v>234</v>
      </c>
      <c r="C18" s="452">
        <f>(M18*E18*O18*Q18)/100000000</f>
        <v>24.444068269500004</v>
      </c>
      <c r="D18" s="45" t="s">
        <v>411</v>
      </c>
      <c r="E18" s="46">
        <v>16.5</v>
      </c>
      <c r="F18" s="46">
        <v>1</v>
      </c>
      <c r="G18" s="465">
        <v>1250</v>
      </c>
      <c r="H18" s="48">
        <v>0</v>
      </c>
      <c r="I18" s="49">
        <v>0.88</v>
      </c>
      <c r="J18" s="91">
        <f>E18*G18*(1-H18)*1440/1000000*2.77</f>
        <v>82.269000000000005</v>
      </c>
      <c r="K18" s="91">
        <f>(IF(G18&lt;L18,L18,G18)*(1-IF(H18&lt;N18,H18,N18))*E18*O18*Q18)/100000000</f>
        <v>24.529923000000004</v>
      </c>
      <c r="L18" s="39">
        <v>1270</v>
      </c>
      <c r="M18" s="39">
        <v>1265.5550000000001</v>
      </c>
      <c r="N18" s="50">
        <f>1-(M18/L18)</f>
        <v>3.4999999999999476E-3</v>
      </c>
      <c r="O18" s="51">
        <f>+'Trim Rwd'!H15</f>
        <v>269.10344827586209</v>
      </c>
      <c r="P18" s="52">
        <f>O18*(Q18-R18-S18)</f>
        <v>113292.55172413794</v>
      </c>
      <c r="Q18" s="51">
        <v>435</v>
      </c>
      <c r="R18" s="422">
        <v>0</v>
      </c>
      <c r="S18" s="422">
        <v>14</v>
      </c>
      <c r="T18" s="41">
        <f>E18*M18*O18*Q18/100000000</f>
        <v>24.444068269500004</v>
      </c>
      <c r="U18" s="41">
        <f>E18*M18*O18*(Q18-R18-S18)/100000000</f>
        <v>23.657362624044829</v>
      </c>
      <c r="V18" s="41">
        <f>E18*G18*(1-N18)*O18/100*(R18+S18)/1000000</f>
        <v>0.77431658017241389</v>
      </c>
      <c r="W18" s="41">
        <f>+'3'!K11/1000</f>
        <v>16.068999999999999</v>
      </c>
      <c r="X18" s="419">
        <f>SUM(W18:W21)/SUM(K18:K21)</f>
        <v>1.0496100485747695</v>
      </c>
      <c r="Y18" s="223">
        <v>0</v>
      </c>
      <c r="Z18" s="41">
        <v>0</v>
      </c>
      <c r="AA18" s="53">
        <f>SUM(U18:U21)-SUM(W18:W21)-SUM(Z18:Z21)-SUM(Y18:Y21)</f>
        <v>-6.0510003915551795</v>
      </c>
      <c r="AB18" s="53">
        <f>(SUM(K18:K21)-SUM(W18:W21)-SUM(Y18:Y21)-SUM(Z18:Z21)-SUM(AC18:AC21)-SUM(V18:V21))-AA18</f>
        <v>3.8907126082758481E-2</v>
      </c>
      <c r="AC18" s="41">
        <f>K18-T18</f>
        <v>8.5854730499999476E-2</v>
      </c>
      <c r="AD18" s="41">
        <f>+AM18+BA18</f>
        <v>0</v>
      </c>
      <c r="AE18" s="241" t="s">
        <v>280</v>
      </c>
      <c r="AF18" s="41">
        <v>0</v>
      </c>
      <c r="AG18" s="41"/>
      <c r="AH18" s="41"/>
      <c r="AI18" s="609"/>
      <c r="AJ18" s="41"/>
      <c r="AK18" s="41"/>
      <c r="AL18" s="41"/>
      <c r="AM18" s="41">
        <f>SUM(AF18:AL18)+AT18+AV18+AX18</f>
        <v>0</v>
      </c>
      <c r="AN18" s="41"/>
      <c r="AO18" s="41"/>
      <c r="AP18" s="41"/>
      <c r="AQ18" s="41"/>
      <c r="AR18" s="41">
        <f>SUM(AN18:AQ18)</f>
        <v>0</v>
      </c>
      <c r="AS18" s="41"/>
      <c r="AT18" s="41"/>
      <c r="AU18" s="41"/>
      <c r="AV18" s="41"/>
      <c r="AW18" s="41"/>
      <c r="AX18" s="41"/>
      <c r="AY18" s="41"/>
      <c r="AZ18" s="41"/>
      <c r="BA18" s="41">
        <f>+AR18+AS18+AU18+AW18+AY18+AZ18</f>
        <v>0</v>
      </c>
      <c r="BB18" s="37">
        <v>0</v>
      </c>
      <c r="BC18" s="55"/>
      <c r="BD18" s="55"/>
      <c r="BE18" s="37"/>
      <c r="BF18" s="55"/>
    </row>
    <row r="19" spans="1:58" ht="12.95" customHeight="1">
      <c r="A19" s="44"/>
      <c r="B19" s="45" t="s">
        <v>234</v>
      </c>
      <c r="C19" s="452">
        <f>(M19*E19*O19*Q19)/100000000</f>
        <v>56.077411697999999</v>
      </c>
      <c r="D19" s="45" t="s">
        <v>411</v>
      </c>
      <c r="E19" s="46">
        <v>21</v>
      </c>
      <c r="F19" s="46">
        <v>1</v>
      </c>
      <c r="G19" s="465">
        <v>980</v>
      </c>
      <c r="H19" s="48">
        <v>0</v>
      </c>
      <c r="I19" s="49">
        <v>0.88</v>
      </c>
      <c r="J19" s="91">
        <f>E19*G19*(1-H19)*1440/1000000*2.77</f>
        <v>82.089504000000005</v>
      </c>
      <c r="K19" s="91">
        <f>(IF(G19&lt;L19,L19,G19)*(1-IF(H19&lt;N19,H19,N19))*E19*O19*Q19)/100000000</f>
        <v>56.274372</v>
      </c>
      <c r="L19" s="39">
        <v>1010</v>
      </c>
      <c r="M19" s="39">
        <v>1006.465</v>
      </c>
      <c r="N19" s="50">
        <f>1-(M19/L19)</f>
        <v>3.4999999999999476E-3</v>
      </c>
      <c r="O19" s="51">
        <f>+'Trim Rwd'!H17</f>
        <v>264</v>
      </c>
      <c r="P19" s="52">
        <f>O19*(Q19-R19-S19)</f>
        <v>261096</v>
      </c>
      <c r="Q19" s="51">
        <v>1005</v>
      </c>
      <c r="R19" s="422">
        <v>0</v>
      </c>
      <c r="S19" s="422">
        <v>16</v>
      </c>
      <c r="T19" s="41">
        <f>E19*M19*O19*Q19/100000000</f>
        <v>56.077411697999999</v>
      </c>
      <c r="U19" s="41">
        <f>E19*M19*O19*(Q19-R19-S19)/100000000</f>
        <v>55.184636984399994</v>
      </c>
      <c r="V19" s="41">
        <f>E19*G19*(1-N19)*O19/100*(R19+S19)/1000000</f>
        <v>0.86625665280000008</v>
      </c>
      <c r="W19" s="41">
        <f>+'3'!K12/1000</f>
        <v>47.55</v>
      </c>
      <c r="X19" s="42"/>
      <c r="Y19" s="223"/>
      <c r="Z19" s="41">
        <f>+'3'!D16/1000</f>
        <v>0.08</v>
      </c>
      <c r="AA19" s="41"/>
      <c r="AB19" s="41"/>
      <c r="AC19" s="41">
        <f>K19-T19</f>
        <v>0.19696030200000081</v>
      </c>
      <c r="AD19" s="41">
        <f>+AM19+BA19</f>
        <v>0</v>
      </c>
      <c r="AE19" s="241" t="s">
        <v>458</v>
      </c>
      <c r="AF19" s="41"/>
      <c r="AG19" s="41">
        <v>0</v>
      </c>
      <c r="AH19" s="41"/>
      <c r="AI19" s="609"/>
      <c r="AJ19" s="41"/>
      <c r="AK19" s="41"/>
      <c r="AL19" s="41"/>
      <c r="AM19" s="41">
        <f>SUM(AF19:AL19)+AT19+AV19+AX19</f>
        <v>0</v>
      </c>
      <c r="AN19" s="92"/>
      <c r="AO19" s="41"/>
      <c r="AP19" s="41"/>
      <c r="AQ19" s="41"/>
      <c r="AR19" s="41">
        <f>SUM(AN19:AQ19)</f>
        <v>0</v>
      </c>
      <c r="AS19" s="41"/>
      <c r="AT19" s="41"/>
      <c r="AU19" s="41"/>
      <c r="AV19" s="41"/>
      <c r="AW19" s="41"/>
      <c r="AX19" s="41"/>
      <c r="AY19" s="41"/>
      <c r="AZ19" s="41"/>
      <c r="BA19" s="41">
        <f>+AR19+AS19+AU19+AW19+AY19+AZ19</f>
        <v>0</v>
      </c>
      <c r="BB19" s="54"/>
      <c r="BC19" s="55">
        <v>0</v>
      </c>
      <c r="BD19" s="55"/>
      <c r="BE19" s="54"/>
      <c r="BF19" s="55"/>
    </row>
    <row r="20" spans="1:58" ht="12.95" customHeight="1">
      <c r="A20" s="44"/>
      <c r="B20" s="45" t="s">
        <v>234</v>
      </c>
      <c r="C20" s="452"/>
      <c r="D20" s="45"/>
      <c r="E20" s="46">
        <v>15.5</v>
      </c>
      <c r="F20" s="46"/>
      <c r="G20" s="465"/>
      <c r="H20" s="48"/>
      <c r="I20" s="49"/>
      <c r="J20" s="91"/>
      <c r="K20" s="91"/>
      <c r="L20" s="39"/>
      <c r="M20" s="39"/>
      <c r="N20" s="50"/>
      <c r="O20" s="51"/>
      <c r="P20" s="52"/>
      <c r="Q20" s="51"/>
      <c r="R20" s="422"/>
      <c r="S20" s="422"/>
      <c r="T20" s="41"/>
      <c r="U20" s="41"/>
      <c r="V20" s="41"/>
      <c r="W20" s="41">
        <f>+'3'!K10/1000</f>
        <v>21.193999999999999</v>
      </c>
      <c r="X20" s="42"/>
      <c r="Y20" s="223"/>
      <c r="Z20" s="41">
        <v>0</v>
      </c>
      <c r="AA20" s="41"/>
      <c r="AB20" s="41"/>
      <c r="AC20" s="41"/>
      <c r="AD20" s="41">
        <f>+AM20+BA20</f>
        <v>14</v>
      </c>
      <c r="AE20" s="241" t="s">
        <v>505</v>
      </c>
      <c r="AF20" s="37"/>
      <c r="AG20" s="37"/>
      <c r="AH20" s="37">
        <v>14</v>
      </c>
      <c r="AI20" s="609"/>
      <c r="AJ20" s="41"/>
      <c r="AK20" s="41"/>
      <c r="AL20" s="41"/>
      <c r="AM20" s="41">
        <f>SUM(AF20:AL20)+AT20+AV20+AX20</f>
        <v>14</v>
      </c>
      <c r="AN20" s="41"/>
      <c r="AO20" s="41"/>
      <c r="AP20" s="41"/>
      <c r="AQ20" s="41"/>
      <c r="AR20" s="41">
        <f>SUM(AN20:AQ20)</f>
        <v>0</v>
      </c>
      <c r="AS20" s="41"/>
      <c r="AT20" s="41"/>
      <c r="AU20" s="41"/>
      <c r="AV20" s="41"/>
      <c r="AW20" s="41"/>
      <c r="AX20" s="41"/>
      <c r="AY20" s="41"/>
      <c r="AZ20" s="41"/>
      <c r="BA20" s="41">
        <f>+AR20+AS20+AU20+AW20+AY20+AZ20</f>
        <v>0</v>
      </c>
      <c r="BB20" s="37"/>
      <c r="BC20" s="57"/>
      <c r="BD20" s="57"/>
      <c r="BE20" s="37"/>
      <c r="BF20" s="57"/>
    </row>
    <row r="21" spans="1:58" ht="12.95" customHeight="1">
      <c r="A21" s="346"/>
      <c r="B21" s="45"/>
      <c r="C21" s="452"/>
      <c r="D21" s="45"/>
      <c r="E21" s="46"/>
      <c r="F21" s="46"/>
      <c r="G21" s="465"/>
      <c r="H21" s="48"/>
      <c r="I21" s="49"/>
      <c r="J21" s="91"/>
      <c r="K21" s="91"/>
      <c r="L21" s="39"/>
      <c r="M21" s="39"/>
      <c r="N21" s="50"/>
      <c r="O21" s="51"/>
      <c r="P21" s="52"/>
      <c r="Q21" s="51"/>
      <c r="R21" s="422"/>
      <c r="S21" s="422"/>
      <c r="T21" s="41"/>
      <c r="U21" s="41"/>
      <c r="V21" s="41"/>
      <c r="W21" s="41"/>
      <c r="X21" s="419"/>
      <c r="Y21" s="223"/>
      <c r="Z21" s="41"/>
      <c r="AA21" s="53"/>
      <c r="AB21" s="53"/>
      <c r="AC21" s="41"/>
      <c r="AD21" s="41">
        <f>+AM21+BA21</f>
        <v>10</v>
      </c>
      <c r="AE21" s="241" t="s">
        <v>424</v>
      </c>
      <c r="AF21" s="37"/>
      <c r="AG21" s="37"/>
      <c r="AH21" s="37"/>
      <c r="AI21" s="609">
        <v>10</v>
      </c>
      <c r="AJ21" s="41"/>
      <c r="AK21" s="41"/>
      <c r="AL21" s="41"/>
      <c r="AM21" s="41">
        <f>SUM(AF21:AL21)+AT21+AV21+AX21</f>
        <v>10</v>
      </c>
      <c r="AN21" s="41"/>
      <c r="AO21" s="41"/>
      <c r="AP21" s="41"/>
      <c r="AQ21" s="41"/>
      <c r="AR21" s="41">
        <f>SUM(AN21:AQ21)</f>
        <v>0</v>
      </c>
      <c r="AS21" s="41"/>
      <c r="AT21" s="41"/>
      <c r="AU21" s="41"/>
      <c r="AV21" s="41"/>
      <c r="AW21" s="41"/>
      <c r="AX21" s="41"/>
      <c r="AY21" s="41"/>
      <c r="AZ21" s="41"/>
      <c r="BA21" s="41">
        <f>+AR21+AS21+AU21+AW21+AY21+AZ21</f>
        <v>0</v>
      </c>
      <c r="BB21" s="37"/>
      <c r="BC21" s="57"/>
      <c r="BD21" s="57"/>
      <c r="BE21" s="37"/>
      <c r="BF21" s="57"/>
    </row>
    <row r="22" spans="1:58" ht="12.95" customHeight="1">
      <c r="A22" s="346"/>
      <c r="B22" s="45"/>
      <c r="C22" s="452"/>
      <c r="D22" s="45"/>
      <c r="E22" s="46"/>
      <c r="F22" s="46"/>
      <c r="G22" s="465"/>
      <c r="H22" s="48"/>
      <c r="I22" s="49"/>
      <c r="J22" s="91"/>
      <c r="K22" s="91"/>
      <c r="L22" s="39"/>
      <c r="M22" s="39"/>
      <c r="N22" s="50"/>
      <c r="O22" s="51"/>
      <c r="P22" s="52"/>
      <c r="Q22" s="51"/>
      <c r="R22" s="422"/>
      <c r="S22" s="422"/>
      <c r="T22" s="41"/>
      <c r="U22" s="41"/>
      <c r="V22" s="41"/>
      <c r="W22" s="41"/>
      <c r="X22" s="419"/>
      <c r="Y22" s="223"/>
      <c r="Z22" s="41"/>
      <c r="AA22" s="53"/>
      <c r="AB22" s="53"/>
      <c r="AC22" s="41"/>
      <c r="AD22" s="41">
        <f>+AM22+BA22</f>
        <v>6</v>
      </c>
      <c r="AE22" s="244" t="s">
        <v>500</v>
      </c>
      <c r="AF22" s="41"/>
      <c r="AG22" s="41"/>
      <c r="AH22" s="41"/>
      <c r="AI22" s="461"/>
      <c r="AJ22" s="41"/>
      <c r="AK22" s="41">
        <v>6</v>
      </c>
      <c r="AL22" s="41"/>
      <c r="AM22" s="41">
        <f>SUM(AF22:AL22)+AT22+AV22+AX22</f>
        <v>6</v>
      </c>
      <c r="AN22" s="41"/>
      <c r="AO22" s="41"/>
      <c r="AP22" s="41"/>
      <c r="AQ22" s="41"/>
      <c r="AR22" s="41">
        <f>SUM(AN22:AQ22)</f>
        <v>0</v>
      </c>
      <c r="AS22" s="41"/>
      <c r="AT22" s="41"/>
      <c r="AU22" s="41"/>
      <c r="AV22" s="41"/>
      <c r="AW22" s="41"/>
      <c r="AX22" s="41"/>
      <c r="AY22" s="41"/>
      <c r="AZ22" s="41"/>
      <c r="BA22" s="41">
        <f>+AR22+AS22+AU22+AW22+AY22+AZ22</f>
        <v>0</v>
      </c>
      <c r="BB22" s="37"/>
      <c r="BC22" s="57"/>
      <c r="BD22" s="57"/>
      <c r="BE22" s="37"/>
      <c r="BF22" s="57"/>
    </row>
    <row r="23" spans="1:58" ht="12.95" customHeight="1">
      <c r="A23" s="44"/>
      <c r="B23" s="45"/>
      <c r="C23" s="452"/>
      <c r="D23" s="45"/>
      <c r="E23" s="46"/>
      <c r="F23" s="46"/>
      <c r="G23" s="47"/>
      <c r="H23" s="48"/>
      <c r="I23" s="49"/>
      <c r="J23" s="91"/>
      <c r="K23" s="91"/>
      <c r="L23" s="39"/>
      <c r="M23" s="39"/>
      <c r="N23" s="50"/>
      <c r="O23" s="51"/>
      <c r="P23" s="52"/>
      <c r="Q23" s="51"/>
      <c r="R23" s="422"/>
      <c r="S23" s="422"/>
      <c r="T23" s="41"/>
      <c r="U23" s="41"/>
      <c r="V23" s="41"/>
      <c r="W23" s="41"/>
      <c r="X23" s="42"/>
      <c r="Y23" s="223"/>
      <c r="Z23" s="41"/>
      <c r="AA23" s="41"/>
      <c r="AB23" s="41"/>
      <c r="AC23" s="41"/>
      <c r="AD23" s="41"/>
      <c r="AE23" s="241"/>
      <c r="AF23" s="37"/>
      <c r="AG23" s="37"/>
      <c r="AH23" s="37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37"/>
      <c r="BC23" s="57"/>
      <c r="BD23" s="57"/>
      <c r="BE23" s="37"/>
      <c r="BF23" s="57"/>
    </row>
    <row r="24" spans="1:58" ht="12.75" customHeight="1">
      <c r="A24" s="44">
        <v>45934</v>
      </c>
      <c r="B24" s="45" t="s">
        <v>234</v>
      </c>
      <c r="C24" s="452">
        <f>(M24*E24*O24*Q24)/100000000</f>
        <v>73.54933507018869</v>
      </c>
      <c r="D24" s="45" t="s">
        <v>411</v>
      </c>
      <c r="E24" s="46">
        <v>21</v>
      </c>
      <c r="F24" s="46">
        <v>1</v>
      </c>
      <c r="G24" s="465">
        <v>980</v>
      </c>
      <c r="H24" s="48">
        <v>0</v>
      </c>
      <c r="I24" s="49">
        <v>0.88</v>
      </c>
      <c r="J24" s="91">
        <f>E24*G24*(1-H24)*1440/1000000*2.77</f>
        <v>82.089504000000005</v>
      </c>
      <c r="K24" s="91">
        <f>(IF(G24&lt;L24,L24,G24)*(1-IF(H24&lt;N24,H24,N24))*E24*O24*Q24)/100000000</f>
        <v>78.550054641509433</v>
      </c>
      <c r="L24" s="39">
        <v>920.83333333333337</v>
      </c>
      <c r="M24" s="39">
        <v>917.61041666666665</v>
      </c>
      <c r="N24" s="50">
        <f>1-(M24/L24)</f>
        <v>3.5000000000000586E-3</v>
      </c>
      <c r="O24" s="51">
        <f>+'Trim Rwd'!H19</f>
        <v>265.05660377358492</v>
      </c>
      <c r="P24" s="52">
        <f>O24*(Q24-R24-S24)</f>
        <v>375055.09433962265</v>
      </c>
      <c r="Q24" s="51">
        <v>1440</v>
      </c>
      <c r="R24" s="422">
        <v>0</v>
      </c>
      <c r="S24" s="422">
        <v>25</v>
      </c>
      <c r="T24" s="41">
        <f>E24*M24*O24*Q24/100000000</f>
        <v>73.54933507018869</v>
      </c>
      <c r="U24" s="41">
        <f>E24*M24*O24*(Q24-R24-S24)/100000000</f>
        <v>72.272436891886798</v>
      </c>
      <c r="V24" s="41">
        <f>E24*G24*(1-N24)*O24/100*(R24+S24)/1000000</f>
        <v>1.3589432196226414</v>
      </c>
      <c r="W24" s="41">
        <f>+'4'!K34/1000</f>
        <v>60.372999999999998</v>
      </c>
      <c r="X24" s="419">
        <f>SUM(W24:W27)/SUM(K24:K27)</f>
        <v>0.76859271805135254</v>
      </c>
      <c r="Y24" s="223">
        <v>0</v>
      </c>
      <c r="Z24" s="41">
        <f>+'4'!D34/1000</f>
        <v>10.263</v>
      </c>
      <c r="AA24" s="53">
        <f>SUM(U24:U27)-SUM(W24:W27)-SUM(Z24:Z27)-SUM(Y24:Y27)</f>
        <v>1.6364368918868006</v>
      </c>
      <c r="AB24" s="53">
        <f>(SUM(K24:K27)-SUM(W24:W27)-SUM(Y24:Y27)-SUM(Z24:Z27)-SUM(AC24:AC27)-SUM(V24:V27))-AA24</f>
        <v>-8.2045041320749856E-2</v>
      </c>
      <c r="AC24" s="41">
        <f>K24-T24</f>
        <v>5.0007195713207437</v>
      </c>
      <c r="AD24" s="41">
        <f>+AM24+BA24</f>
        <v>0</v>
      </c>
      <c r="AE24" s="241" t="s">
        <v>280</v>
      </c>
      <c r="AF24" s="41">
        <v>0</v>
      </c>
      <c r="AG24" s="41"/>
      <c r="AH24" s="41"/>
      <c r="AI24" s="609"/>
      <c r="AJ24" s="41"/>
      <c r="AK24" s="41"/>
      <c r="AL24" s="41"/>
      <c r="AM24" s="41">
        <f>SUM(AF24:AL24)+AT24+AV24+AX24</f>
        <v>0</v>
      </c>
      <c r="AN24" s="41"/>
      <c r="AO24" s="41"/>
      <c r="AP24" s="41"/>
      <c r="AQ24" s="41"/>
      <c r="AR24" s="41">
        <f>SUM(AN24:AQ24)</f>
        <v>0</v>
      </c>
      <c r="AS24" s="41"/>
      <c r="AT24" s="41"/>
      <c r="AU24" s="41"/>
      <c r="AV24" s="41"/>
      <c r="AW24" s="41"/>
      <c r="AX24" s="41"/>
      <c r="AY24" s="41"/>
      <c r="AZ24" s="41"/>
      <c r="BA24" s="41">
        <f>+AR24+AS24+AU24+AW24+AY24+AZ24</f>
        <v>0</v>
      </c>
      <c r="BB24" s="37">
        <v>0</v>
      </c>
      <c r="BC24" s="55"/>
      <c r="BD24" s="55"/>
      <c r="BE24" s="37"/>
      <c r="BF24" s="55"/>
    </row>
    <row r="25" spans="1:58" ht="12.95" customHeight="1">
      <c r="A25" s="44"/>
      <c r="B25" s="45"/>
      <c r="C25" s="452"/>
      <c r="D25" s="45"/>
      <c r="E25" s="46"/>
      <c r="F25" s="46"/>
      <c r="G25" s="465"/>
      <c r="H25" s="48"/>
      <c r="I25" s="49"/>
      <c r="J25" s="91"/>
      <c r="K25" s="91"/>
      <c r="L25" s="39"/>
      <c r="M25" s="39"/>
      <c r="N25" s="50"/>
      <c r="O25" s="51"/>
      <c r="P25" s="52"/>
      <c r="Q25" s="51"/>
      <c r="R25" s="422"/>
      <c r="S25" s="422"/>
      <c r="T25" s="41"/>
      <c r="U25" s="41"/>
      <c r="V25" s="41"/>
      <c r="W25" s="41"/>
      <c r="X25" s="42"/>
      <c r="Y25" s="223"/>
      <c r="Z25" s="41"/>
      <c r="AA25" s="41"/>
      <c r="AB25" s="41"/>
      <c r="AC25" s="41"/>
      <c r="AD25" s="41">
        <f>+AM25+BA25</f>
        <v>0</v>
      </c>
      <c r="AE25" s="241" t="s">
        <v>458</v>
      </c>
      <c r="AF25" s="41"/>
      <c r="AG25" s="41">
        <v>0</v>
      </c>
      <c r="AH25" s="41"/>
      <c r="AI25" s="609"/>
      <c r="AJ25" s="41"/>
      <c r="AK25" s="41"/>
      <c r="AL25" s="41"/>
      <c r="AM25" s="41">
        <f>SUM(AF25:AL25)+AT25+AV25+AX25</f>
        <v>0</v>
      </c>
      <c r="AN25" s="92"/>
      <c r="AO25" s="41"/>
      <c r="AP25" s="41"/>
      <c r="AQ25" s="41"/>
      <c r="AR25" s="41">
        <f>SUM(AN25:AQ25)</f>
        <v>0</v>
      </c>
      <c r="AS25" s="41"/>
      <c r="AT25" s="41"/>
      <c r="AU25" s="41"/>
      <c r="AV25" s="41"/>
      <c r="AW25" s="41"/>
      <c r="AX25" s="41"/>
      <c r="AY25" s="41"/>
      <c r="AZ25" s="41"/>
      <c r="BA25" s="41">
        <f>+AR25+AS25+AU25+AW25+AY25+AZ25</f>
        <v>0</v>
      </c>
      <c r="BB25" s="54"/>
      <c r="BC25" s="55">
        <v>0</v>
      </c>
      <c r="BD25" s="55"/>
      <c r="BE25" s="54"/>
      <c r="BF25" s="55"/>
    </row>
    <row r="26" spans="1:58" ht="12.95" customHeight="1">
      <c r="A26" s="44"/>
      <c r="B26" s="45"/>
      <c r="C26" s="452"/>
      <c r="D26" s="45"/>
      <c r="E26" s="46"/>
      <c r="F26" s="46"/>
      <c r="G26" s="465"/>
      <c r="H26" s="48"/>
      <c r="I26" s="49"/>
      <c r="J26" s="91"/>
      <c r="K26" s="91"/>
      <c r="L26" s="39"/>
      <c r="M26" s="39"/>
      <c r="N26" s="50"/>
      <c r="O26" s="51"/>
      <c r="P26" s="52"/>
      <c r="Q26" s="51"/>
      <c r="R26" s="422"/>
      <c r="S26" s="422"/>
      <c r="T26" s="41"/>
      <c r="U26" s="41"/>
      <c r="V26" s="41"/>
      <c r="W26" s="41"/>
      <c r="X26" s="42"/>
      <c r="Y26" s="223"/>
      <c r="Z26" s="41"/>
      <c r="AA26" s="41"/>
      <c r="AB26" s="41"/>
      <c r="AC26" s="41"/>
      <c r="AD26" s="41">
        <f>+AM26+BA26</f>
        <v>19</v>
      </c>
      <c r="AE26" s="241" t="s">
        <v>534</v>
      </c>
      <c r="AF26" s="37"/>
      <c r="AG26" s="37"/>
      <c r="AH26" s="37">
        <v>19</v>
      </c>
      <c r="AI26" s="609"/>
      <c r="AJ26" s="41"/>
      <c r="AK26" s="41"/>
      <c r="AL26" s="41"/>
      <c r="AM26" s="41">
        <f>SUM(AF26:AL26)+AT26+AV26+AX26</f>
        <v>19</v>
      </c>
      <c r="AN26" s="41"/>
      <c r="AO26" s="41"/>
      <c r="AP26" s="41"/>
      <c r="AQ26" s="41"/>
      <c r="AR26" s="41">
        <f>SUM(AN26:AQ26)</f>
        <v>0</v>
      </c>
      <c r="AS26" s="41"/>
      <c r="AT26" s="41"/>
      <c r="AU26" s="41"/>
      <c r="AV26" s="41"/>
      <c r="AW26" s="41"/>
      <c r="AX26" s="41"/>
      <c r="AY26" s="41"/>
      <c r="AZ26" s="41"/>
      <c r="BA26" s="41">
        <f>+AR26+AS26+AU26+AW26+AY26+AZ26</f>
        <v>0</v>
      </c>
      <c r="BB26" s="37"/>
      <c r="BC26" s="57"/>
      <c r="BD26" s="57"/>
      <c r="BE26" s="37"/>
      <c r="BF26" s="57"/>
    </row>
    <row r="27" spans="1:58" ht="12.95" customHeight="1">
      <c r="A27" s="346"/>
      <c r="B27" s="45"/>
      <c r="C27" s="452"/>
      <c r="D27" s="45"/>
      <c r="E27" s="46"/>
      <c r="F27" s="46"/>
      <c r="G27" s="465"/>
      <c r="H27" s="48"/>
      <c r="I27" s="49"/>
      <c r="J27" s="91"/>
      <c r="K27" s="91"/>
      <c r="L27" s="39"/>
      <c r="M27" s="39"/>
      <c r="N27" s="50"/>
      <c r="O27" s="51"/>
      <c r="P27" s="52"/>
      <c r="Q27" s="51"/>
      <c r="R27" s="422"/>
      <c r="S27" s="422"/>
      <c r="T27" s="41"/>
      <c r="U27" s="41"/>
      <c r="V27" s="41"/>
      <c r="W27" s="41"/>
      <c r="X27" s="419"/>
      <c r="Y27" s="223"/>
      <c r="Z27" s="41"/>
      <c r="AA27" s="53"/>
      <c r="AB27" s="53"/>
      <c r="AC27" s="41"/>
      <c r="AD27" s="41">
        <f>+AM27+BA27</f>
        <v>6</v>
      </c>
      <c r="AE27" s="583" t="s">
        <v>518</v>
      </c>
      <c r="AF27" s="37"/>
      <c r="AG27" s="37"/>
      <c r="AH27" s="37"/>
      <c r="AI27" s="609"/>
      <c r="AJ27" s="41"/>
      <c r="AK27" s="41">
        <v>6</v>
      </c>
      <c r="AL27" s="41"/>
      <c r="AM27" s="41">
        <f>SUM(AF27:AL27)+AT27+AV27+AX27</f>
        <v>6</v>
      </c>
      <c r="AN27" s="41"/>
      <c r="AO27" s="41"/>
      <c r="AP27" s="41"/>
      <c r="AQ27" s="41"/>
      <c r="AR27" s="41">
        <f>SUM(AN27:AQ27)</f>
        <v>0</v>
      </c>
      <c r="AS27" s="41"/>
      <c r="AT27" s="41"/>
      <c r="AU27" s="41"/>
      <c r="AV27" s="41"/>
      <c r="AW27" s="41"/>
      <c r="AX27" s="41"/>
      <c r="AY27" s="41"/>
      <c r="AZ27" s="41"/>
      <c r="BA27" s="41">
        <f>+AR27+AS27+AU27+AW27+AY27+AZ27</f>
        <v>0</v>
      </c>
      <c r="BB27" s="37"/>
      <c r="BC27" s="57"/>
      <c r="BD27" s="57"/>
      <c r="BE27" s="37"/>
      <c r="BF27" s="57"/>
    </row>
    <row r="28" spans="1:58" ht="12.95" customHeight="1">
      <c r="A28" s="44"/>
      <c r="B28" s="45"/>
      <c r="C28" s="452"/>
      <c r="D28" s="45"/>
      <c r="E28" s="46"/>
      <c r="F28" s="46"/>
      <c r="G28" s="47"/>
      <c r="H28" s="48"/>
      <c r="I28" s="49"/>
      <c r="J28" s="91"/>
      <c r="K28" s="91"/>
      <c r="L28" s="39"/>
      <c r="M28" s="39"/>
      <c r="N28" s="50"/>
      <c r="O28" s="51"/>
      <c r="P28" s="52"/>
      <c r="Q28" s="51"/>
      <c r="R28" s="422"/>
      <c r="S28" s="422"/>
      <c r="T28" s="41"/>
      <c r="U28" s="41"/>
      <c r="V28" s="41"/>
      <c r="W28" s="41"/>
      <c r="X28" s="42"/>
      <c r="Y28" s="223"/>
      <c r="Z28" s="41"/>
      <c r="AA28" s="41"/>
      <c r="AB28" s="41"/>
      <c r="AC28" s="41"/>
      <c r="AD28" s="41"/>
      <c r="AE28" s="583"/>
      <c r="AF28" s="37"/>
      <c r="AG28" s="37"/>
      <c r="AH28" s="37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37"/>
      <c r="BC28" s="57"/>
      <c r="BD28" s="57"/>
      <c r="BE28" s="37"/>
      <c r="BF28" s="57"/>
    </row>
    <row r="29" spans="1:58" ht="12.75" customHeight="1">
      <c r="A29" s="44">
        <v>45935</v>
      </c>
      <c r="B29" s="45" t="s">
        <v>234</v>
      </c>
      <c r="C29" s="452">
        <f>(M29*E29*O29*Q29)/100000000</f>
        <v>73.255640724000003</v>
      </c>
      <c r="D29" s="45" t="s">
        <v>411</v>
      </c>
      <c r="E29" s="46">
        <v>21</v>
      </c>
      <c r="F29" s="46">
        <v>1</v>
      </c>
      <c r="G29" s="465">
        <v>980</v>
      </c>
      <c r="H29" s="48">
        <v>0</v>
      </c>
      <c r="I29" s="49">
        <v>0.88</v>
      </c>
      <c r="J29" s="91">
        <f>E29*G29*(1-H29)*1440/1000000*2.77</f>
        <v>82.089504000000005</v>
      </c>
      <c r="K29" s="91">
        <f>(IF(G29&lt;L29,L29,G29)*(1-IF(H29&lt;N29,H29,N29))*E29*O29*Q29)/100000000</f>
        <v>79.422336000000001</v>
      </c>
      <c r="L29" s="39">
        <v>907.08333333333337</v>
      </c>
      <c r="M29" s="39">
        <v>903.90854166666668</v>
      </c>
      <c r="N29" s="50">
        <f>1-(M29/L29)</f>
        <v>3.5000000000000586E-3</v>
      </c>
      <c r="O29" s="51">
        <f>+'Trim Rwd'!H22</f>
        <v>268</v>
      </c>
      <c r="P29" s="52">
        <f>O29*(Q29-R29-S29)</f>
        <v>381364</v>
      </c>
      <c r="Q29" s="51">
        <v>1440</v>
      </c>
      <c r="R29" s="422">
        <v>0</v>
      </c>
      <c r="S29" s="422">
        <v>17</v>
      </c>
      <c r="T29" s="41">
        <f>E29*M29*O29*Q29/100000000</f>
        <v>73.255640724000003</v>
      </c>
      <c r="U29" s="41">
        <f>E29*M29*O29*(Q29-R29-S29)/100000000</f>
        <v>72.390817187674998</v>
      </c>
      <c r="V29" s="41">
        <f>E29*G29*(1-N29)*O29/100*(R29+S29)/1000000</f>
        <v>0.93434311319999974</v>
      </c>
      <c r="W29" s="41">
        <f>+'5'!K34/1000</f>
        <v>70.710999999999999</v>
      </c>
      <c r="X29" s="419">
        <f>SUM(W29:W32)/SUM(K29:K32)</f>
        <v>0.89031629590950334</v>
      </c>
      <c r="Y29" s="223">
        <v>0</v>
      </c>
      <c r="Z29" s="41">
        <f>+'5'!D34/1000</f>
        <v>2.76</v>
      </c>
      <c r="AA29" s="53">
        <f>SUM(U29:U32)-SUM(W29:W32)-SUM(Z29:Z32)-SUM(Y29:Y32)</f>
        <v>-1.0801828123250008</v>
      </c>
      <c r="AB29" s="53">
        <f>(SUM(K29:K32)-SUM(W29:W32)-SUM(Y29:Y32)-SUM(Z29:Z32)-SUM(AC29:AC32)-SUM(V29:V32))-AA29</f>
        <v>-6.9519576874994549E-2</v>
      </c>
      <c r="AC29" s="41">
        <f>K29-T29</f>
        <v>6.1666952759999987</v>
      </c>
      <c r="AD29" s="41">
        <f>+AM29+BA29</f>
        <v>0</v>
      </c>
      <c r="AE29" s="241" t="s">
        <v>280</v>
      </c>
      <c r="AF29" s="41">
        <v>0</v>
      </c>
      <c r="AG29" s="41"/>
      <c r="AH29" s="41"/>
      <c r="AI29" s="609"/>
      <c r="AJ29" s="41"/>
      <c r="AK29" s="41"/>
      <c r="AL29" s="41"/>
      <c r="AM29" s="41">
        <f>SUM(AF29:AL29)+AT29+AV29+AX29</f>
        <v>0</v>
      </c>
      <c r="AN29" s="41"/>
      <c r="AO29" s="41"/>
      <c r="AP29" s="41"/>
      <c r="AQ29" s="41"/>
      <c r="AR29" s="41">
        <f>SUM(AN29:AQ29)</f>
        <v>0</v>
      </c>
      <c r="AS29" s="41"/>
      <c r="AT29" s="41"/>
      <c r="AU29" s="41"/>
      <c r="AV29" s="41"/>
      <c r="AW29" s="41"/>
      <c r="AX29" s="41"/>
      <c r="AY29" s="41"/>
      <c r="AZ29" s="41"/>
      <c r="BA29" s="41">
        <f>+AR29+AS29+AU29+AW29+AY29+AZ29</f>
        <v>0</v>
      </c>
      <c r="BB29" s="37">
        <v>0</v>
      </c>
      <c r="BC29" s="55"/>
      <c r="BD29" s="55"/>
      <c r="BE29" s="37"/>
      <c r="BF29" s="55"/>
    </row>
    <row r="30" spans="1:58" ht="12.95" customHeight="1">
      <c r="A30" s="44"/>
      <c r="B30" s="45"/>
      <c r="C30" s="452"/>
      <c r="D30" s="45"/>
      <c r="E30" s="46"/>
      <c r="F30" s="46"/>
      <c r="G30" s="465"/>
      <c r="H30" s="48"/>
      <c r="I30" s="49"/>
      <c r="J30" s="91"/>
      <c r="K30" s="91"/>
      <c r="L30" s="39"/>
      <c r="M30" s="39"/>
      <c r="N30" s="50"/>
      <c r="O30" s="51"/>
      <c r="P30" s="52"/>
      <c r="Q30" s="51"/>
      <c r="R30" s="422"/>
      <c r="S30" s="422"/>
      <c r="T30" s="41"/>
      <c r="U30" s="41"/>
      <c r="V30" s="41"/>
      <c r="W30" s="41"/>
      <c r="X30" s="42"/>
      <c r="Y30" s="223"/>
      <c r="Z30" s="41"/>
      <c r="AA30" s="41"/>
      <c r="AB30" s="41"/>
      <c r="AC30" s="41"/>
      <c r="AD30" s="41">
        <f>+AM30+BA30</f>
        <v>0</v>
      </c>
      <c r="AE30" s="241" t="s">
        <v>458</v>
      </c>
      <c r="AF30" s="41"/>
      <c r="AG30" s="41">
        <v>0</v>
      </c>
      <c r="AH30" s="41"/>
      <c r="AI30" s="609"/>
      <c r="AJ30" s="41"/>
      <c r="AK30" s="41"/>
      <c r="AL30" s="41"/>
      <c r="AM30" s="41">
        <f>SUM(AF30:AL30)+AT30+AV30+AX30</f>
        <v>0</v>
      </c>
      <c r="AN30" s="92"/>
      <c r="AO30" s="41"/>
      <c r="AP30" s="41"/>
      <c r="AQ30" s="41"/>
      <c r="AR30" s="41">
        <f>SUM(AN30:AQ30)</f>
        <v>0</v>
      </c>
      <c r="AS30" s="41"/>
      <c r="AT30" s="41"/>
      <c r="AU30" s="41"/>
      <c r="AV30" s="41"/>
      <c r="AW30" s="41"/>
      <c r="AX30" s="41"/>
      <c r="AY30" s="41"/>
      <c r="AZ30" s="41"/>
      <c r="BA30" s="41">
        <f>+AR30+AS30+AU30+AW30+AY30+AZ30</f>
        <v>0</v>
      </c>
      <c r="BB30" s="54"/>
      <c r="BC30" s="55">
        <v>0</v>
      </c>
      <c r="BD30" s="55"/>
      <c r="BE30" s="54"/>
      <c r="BF30" s="55"/>
    </row>
    <row r="31" spans="1:58" ht="12.95" customHeight="1">
      <c r="A31" s="44"/>
      <c r="B31" s="45"/>
      <c r="C31" s="452"/>
      <c r="D31" s="45"/>
      <c r="E31" s="46"/>
      <c r="F31" s="46"/>
      <c r="G31" s="465"/>
      <c r="H31" s="48"/>
      <c r="I31" s="49"/>
      <c r="J31" s="91"/>
      <c r="K31" s="91"/>
      <c r="L31" s="39"/>
      <c r="M31" s="39"/>
      <c r="N31" s="50"/>
      <c r="O31" s="51"/>
      <c r="P31" s="52"/>
      <c r="Q31" s="51"/>
      <c r="R31" s="422"/>
      <c r="S31" s="422"/>
      <c r="T31" s="41"/>
      <c r="U31" s="41"/>
      <c r="V31" s="41"/>
      <c r="W31" s="41"/>
      <c r="X31" s="42"/>
      <c r="Y31" s="223"/>
      <c r="Z31" s="41"/>
      <c r="AA31" s="41"/>
      <c r="AB31" s="41"/>
      <c r="AC31" s="41"/>
      <c r="AD31" s="41">
        <f>+AM31+BA31</f>
        <v>17</v>
      </c>
      <c r="AE31" s="241" t="s">
        <v>505</v>
      </c>
      <c r="AF31" s="37"/>
      <c r="AG31" s="37"/>
      <c r="AH31" s="37">
        <v>17</v>
      </c>
      <c r="AI31" s="609"/>
      <c r="AJ31" s="41"/>
      <c r="AK31" s="41"/>
      <c r="AL31" s="41"/>
      <c r="AM31" s="41">
        <f>SUM(AF31:AL31)+AT31+AV31+AX31</f>
        <v>17</v>
      </c>
      <c r="AN31" s="41"/>
      <c r="AO31" s="41"/>
      <c r="AP31" s="41"/>
      <c r="AQ31" s="41"/>
      <c r="AR31" s="41">
        <f>SUM(AN31:AQ31)</f>
        <v>0</v>
      </c>
      <c r="AS31" s="41"/>
      <c r="AT31" s="41"/>
      <c r="AU31" s="41"/>
      <c r="AV31" s="41"/>
      <c r="AW31" s="41"/>
      <c r="AX31" s="41"/>
      <c r="AY31" s="41"/>
      <c r="AZ31" s="41"/>
      <c r="BA31" s="41">
        <f>+AR31+AS31+AU31+AW31+AY31+AZ31</f>
        <v>0</v>
      </c>
      <c r="BB31" s="37"/>
      <c r="BC31" s="57"/>
      <c r="BD31" s="57"/>
      <c r="BE31" s="37"/>
      <c r="BF31" s="57"/>
    </row>
    <row r="32" spans="1:58" ht="12.95" customHeight="1">
      <c r="A32" s="44"/>
      <c r="B32" s="45"/>
      <c r="C32" s="452"/>
      <c r="D32" s="45"/>
      <c r="E32" s="46"/>
      <c r="F32" s="46"/>
      <c r="G32" s="47"/>
      <c r="H32" s="48"/>
      <c r="I32" s="49"/>
      <c r="J32" s="91"/>
      <c r="K32" s="91"/>
      <c r="L32" s="39"/>
      <c r="M32" s="39"/>
      <c r="N32" s="50"/>
      <c r="O32" s="51"/>
      <c r="P32" s="52"/>
      <c r="Q32" s="51"/>
      <c r="R32" s="422"/>
      <c r="S32" s="422"/>
      <c r="T32" s="41"/>
      <c r="U32" s="41"/>
      <c r="V32" s="41"/>
      <c r="W32" s="41"/>
      <c r="X32" s="42"/>
      <c r="Y32" s="223"/>
      <c r="Z32" s="41"/>
      <c r="AA32" s="41"/>
      <c r="AB32" s="41"/>
      <c r="AC32" s="41"/>
      <c r="AD32" s="41"/>
      <c r="AE32" s="241"/>
      <c r="AF32" s="37"/>
      <c r="AG32" s="37"/>
      <c r="AH32" s="37"/>
      <c r="AI32" s="46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37"/>
      <c r="BC32" s="57"/>
      <c r="BD32" s="57"/>
      <c r="BE32" s="37"/>
      <c r="BF32" s="57"/>
    </row>
    <row r="33" spans="1:58" ht="12.75" customHeight="1">
      <c r="A33" s="44">
        <v>45936</v>
      </c>
      <c r="B33" s="45" t="s">
        <v>234</v>
      </c>
      <c r="C33" s="452">
        <f>(M33*E33*O33*Q33)/100000000</f>
        <v>26.53725683942308</v>
      </c>
      <c r="D33" s="45" t="s">
        <v>411</v>
      </c>
      <c r="E33" s="46">
        <v>21</v>
      </c>
      <c r="F33" s="46">
        <v>1</v>
      </c>
      <c r="G33" s="465">
        <v>980</v>
      </c>
      <c r="H33" s="48">
        <v>0</v>
      </c>
      <c r="I33" s="49">
        <v>0.88</v>
      </c>
      <c r="J33" s="91">
        <f>E33*G33*(1-H33)*1440/1000000*2.77</f>
        <v>82.089504000000005</v>
      </c>
      <c r="K33" s="91">
        <f>(IF(G33&lt;L33,L33,G33)*(1-IF(H33&lt;N33,H33,N33))*E33*O33*Q33)/100000000</f>
        <v>28.997615769230766</v>
      </c>
      <c r="L33" s="39">
        <v>900</v>
      </c>
      <c r="M33" s="39">
        <f>+L33-L33*0.0035</f>
        <v>896.85</v>
      </c>
      <c r="N33" s="50">
        <f>1-(M33/L33)</f>
        <v>3.4999999999999476E-3</v>
      </c>
      <c r="O33" s="51">
        <f>+'Trim Rwd'!H24</f>
        <v>268.38461538461536</v>
      </c>
      <c r="P33" s="52">
        <f>O33*(Q33-R33-S33)</f>
        <v>134192.30769230769</v>
      </c>
      <c r="Q33" s="51">
        <v>525</v>
      </c>
      <c r="R33" s="422">
        <v>0</v>
      </c>
      <c r="S33" s="422">
        <v>25</v>
      </c>
      <c r="T33" s="41">
        <f>E33*M33*O33*Q33/100000000</f>
        <v>26.53725683942308</v>
      </c>
      <c r="U33" s="41">
        <f>E33*M33*O33*(Q33-R33-S33)/100000000</f>
        <v>25.273577942307693</v>
      </c>
      <c r="V33" s="41">
        <f>E33*G33*(1-N33)*O33/100*(R33+S33)/1000000</f>
        <v>1.3760059101923074</v>
      </c>
      <c r="W33" s="41">
        <f>+'6'!K12/1000</f>
        <v>27.527000000000001</v>
      </c>
      <c r="X33" s="419">
        <f>SUM(W33:W36)/SUM(K33:K36)</f>
        <v>0.82304458553932547</v>
      </c>
      <c r="Y33" s="223">
        <v>0</v>
      </c>
      <c r="Z33" s="41">
        <f>+'6'!D7/1000</f>
        <v>1.9750000000000001</v>
      </c>
      <c r="AA33" s="53">
        <f>SUM(U33:U36)-SUM(W33:W36)-SUM(Z33:Z36)-SUM(Y33:Y36)</f>
        <v>1.9428202818076827</v>
      </c>
      <c r="AB33" s="53">
        <f>(SUM(K33:K36)-SUM(W33:W36)-SUM(Y33:Y36)-SUM(Z33:Z36)-SUM(AC33:AC36)-SUM(V33:V36))-AA33</f>
        <v>-0.23657571522690324</v>
      </c>
      <c r="AC33" s="41">
        <f>K33-T33</f>
        <v>2.4603589298076862</v>
      </c>
      <c r="AD33" s="41">
        <f>+AM33+BA33</f>
        <v>25</v>
      </c>
      <c r="AE33" s="241" t="s">
        <v>547</v>
      </c>
      <c r="AF33" s="41">
        <v>25</v>
      </c>
      <c r="AG33" s="41"/>
      <c r="AH33" s="41"/>
      <c r="AI33" s="609"/>
      <c r="AJ33" s="41"/>
      <c r="AK33" s="41"/>
      <c r="AL33" s="41"/>
      <c r="AM33" s="41">
        <f>SUM(AF33:AL33)+AT33+AV33+AX33</f>
        <v>25</v>
      </c>
      <c r="AN33" s="41"/>
      <c r="AO33" s="41"/>
      <c r="AP33" s="41"/>
      <c r="AQ33" s="41"/>
      <c r="AR33" s="41">
        <f>SUM(AN33:AQ33)</f>
        <v>0</v>
      </c>
      <c r="AS33" s="41"/>
      <c r="AT33" s="41"/>
      <c r="AU33" s="41"/>
      <c r="AV33" s="41"/>
      <c r="AW33" s="41"/>
      <c r="AX33" s="41"/>
      <c r="AY33" s="41"/>
      <c r="AZ33" s="41"/>
      <c r="BA33" s="41">
        <f>+AR33+AS33+AU33+AW33+AY33+AZ33</f>
        <v>0</v>
      </c>
      <c r="BB33" s="37">
        <v>5</v>
      </c>
      <c r="BC33" s="55"/>
      <c r="BD33" s="55"/>
      <c r="BE33" s="37"/>
      <c r="BF33" s="55"/>
    </row>
    <row r="34" spans="1:58" ht="12.95" customHeight="1">
      <c r="A34" s="44"/>
      <c r="B34" s="45" t="s">
        <v>234</v>
      </c>
      <c r="C34" s="452">
        <f>(M34*E34*O34*Q34)/100000000</f>
        <v>11.621469992</v>
      </c>
      <c r="D34" s="45" t="s">
        <v>411</v>
      </c>
      <c r="E34" s="46">
        <v>22</v>
      </c>
      <c r="F34" s="46">
        <v>1</v>
      </c>
      <c r="G34" s="465">
        <v>935</v>
      </c>
      <c r="H34" s="48">
        <v>0</v>
      </c>
      <c r="I34" s="49">
        <v>0.88</v>
      </c>
      <c r="J34" s="91">
        <f>E34*G34*(1-H34)*1440/1000000*2.77</f>
        <v>82.049616</v>
      </c>
      <c r="K34" s="91">
        <f>(IF(G34&lt;L34,L34,G34)*(1-IF(H34&lt;N34,H34,N34))*E34*O34*Q34)/100000000</f>
        <v>11.852434000000001</v>
      </c>
      <c r="L34" s="39">
        <v>920</v>
      </c>
      <c r="M34" s="39">
        <f>+L34-L34*0.0035</f>
        <v>916.78</v>
      </c>
      <c r="N34" s="50">
        <f>1-(M34/L34)</f>
        <v>3.5000000000000586E-3</v>
      </c>
      <c r="O34" s="51">
        <f>+'Trim Rwd'!H27</f>
        <v>268</v>
      </c>
      <c r="P34" s="52">
        <f>O34*(Q34-R34-S34)</f>
        <v>53600</v>
      </c>
      <c r="Q34" s="51">
        <v>215</v>
      </c>
      <c r="R34" s="422">
        <v>0</v>
      </c>
      <c r="S34" s="422">
        <v>15</v>
      </c>
      <c r="T34" s="41">
        <f>E34*M34*O34*Q34/100000000</f>
        <v>11.621469992</v>
      </c>
      <c r="U34" s="41">
        <f>E34*M34*O34*(Q34-R34-S34)/100000000</f>
        <v>10.81066976</v>
      </c>
      <c r="V34" s="41">
        <f>E34*G34*(1-N34)*O34/100*(R34+S34)/1000000</f>
        <v>0.82401980099999983</v>
      </c>
      <c r="W34" s="41">
        <f>+'6'!K13/1000</f>
        <v>10.130000000000001</v>
      </c>
      <c r="X34" s="42"/>
      <c r="Y34" s="223"/>
      <c r="Z34" s="41">
        <f>+'6'!D17/1000</f>
        <v>1.056</v>
      </c>
      <c r="AA34" s="41"/>
      <c r="AB34" s="41"/>
      <c r="AC34" s="41">
        <f>K34-T34</f>
        <v>0.23096400800000083</v>
      </c>
      <c r="AD34" s="41">
        <f>+AM34+BA34</f>
        <v>0</v>
      </c>
      <c r="AE34" s="241" t="s">
        <v>458</v>
      </c>
      <c r="AF34" s="41"/>
      <c r="AG34" s="41">
        <v>0</v>
      </c>
      <c r="AH34" s="41"/>
      <c r="AI34" s="609"/>
      <c r="AJ34" s="41"/>
      <c r="AK34" s="41"/>
      <c r="AL34" s="41"/>
      <c r="AM34" s="41">
        <f>SUM(AF34:AL34)+AT34+AV34+AX34</f>
        <v>0</v>
      </c>
      <c r="AN34" s="92"/>
      <c r="AO34" s="41"/>
      <c r="AP34" s="41"/>
      <c r="AQ34" s="41"/>
      <c r="AR34" s="41">
        <f>SUM(AN34:AQ34)</f>
        <v>0</v>
      </c>
      <c r="AS34" s="41"/>
      <c r="AT34" s="41"/>
      <c r="AU34" s="41"/>
      <c r="AV34" s="41"/>
      <c r="AW34" s="41"/>
      <c r="AX34" s="41"/>
      <c r="AY34" s="41"/>
      <c r="AZ34" s="41"/>
      <c r="BA34" s="41">
        <f>+AR34+AS34+AU34+AW34+AY34+AZ34</f>
        <v>0</v>
      </c>
      <c r="BB34" s="54"/>
      <c r="BC34" s="55">
        <v>0</v>
      </c>
      <c r="BD34" s="55"/>
      <c r="BE34" s="54"/>
      <c r="BF34" s="55"/>
    </row>
    <row r="35" spans="1:58" ht="12.95" customHeight="1">
      <c r="A35" s="44"/>
      <c r="B35" s="45" t="s">
        <v>234</v>
      </c>
      <c r="C35" s="452">
        <f>(M35*E35*O35*Q35)/100000000</f>
        <v>23.374984953375002</v>
      </c>
      <c r="D35" s="45" t="s">
        <v>411</v>
      </c>
      <c r="E35" s="46">
        <v>16.5</v>
      </c>
      <c r="F35" s="46">
        <v>1</v>
      </c>
      <c r="G35" s="465">
        <v>1210</v>
      </c>
      <c r="H35" s="48">
        <v>0</v>
      </c>
      <c r="I35" s="49">
        <v>0.88</v>
      </c>
      <c r="J35" s="91">
        <f>E35*G35*(1-H35)*1440/1000000*2.77</f>
        <v>79.636392000000001</v>
      </c>
      <c r="K35" s="91">
        <f>(IF(G35&lt;L35,L35,G35)*(1-IF(H35&lt;N35,H35,N35))*E35*O35*Q35)/100000000</f>
        <v>24.680932649999999</v>
      </c>
      <c r="L35" s="39">
        <v>1150</v>
      </c>
      <c r="M35" s="39">
        <f>+L35-L35*0.0035</f>
        <v>1145.9749999999999</v>
      </c>
      <c r="N35" s="50">
        <f>1-(M35/L35)</f>
        <v>3.5000000000000586E-3</v>
      </c>
      <c r="O35" s="51">
        <f>+'Trim Rwd'!H28</f>
        <v>267</v>
      </c>
      <c r="P35" s="52">
        <f>O35*(Q35-R35-S35)</f>
        <v>119616</v>
      </c>
      <c r="Q35" s="51">
        <f>243+220</f>
        <v>463</v>
      </c>
      <c r="R35" s="422">
        <v>0</v>
      </c>
      <c r="S35" s="422">
        <v>15</v>
      </c>
      <c r="T35" s="41">
        <f>E35*M35*O35*Q35/100000000</f>
        <v>23.374984953375002</v>
      </c>
      <c r="U35" s="41">
        <f>E35*M35*O35*(Q35-R35-S35)/100000000</f>
        <v>22.617696024000001</v>
      </c>
      <c r="V35" s="41">
        <f>E35*G35*(1-N35)*O35/100*(R35+S35)/1000000</f>
        <v>0.79679965612500003</v>
      </c>
      <c r="W35" s="41">
        <f>+'6'!K11/1000</f>
        <v>21.565999999999999</v>
      </c>
      <c r="X35" s="42"/>
      <c r="Y35" s="223"/>
      <c r="Z35" s="41"/>
      <c r="AA35" s="41"/>
      <c r="AB35" s="41"/>
      <c r="AC35" s="41">
        <f>K35-T35</f>
        <v>1.3059476966249974</v>
      </c>
      <c r="AD35" s="41">
        <f>+AM35+BA35</f>
        <v>31</v>
      </c>
      <c r="AE35" s="241" t="s">
        <v>484</v>
      </c>
      <c r="AF35" s="37"/>
      <c r="AG35" s="37"/>
      <c r="AH35" s="37">
        <v>31</v>
      </c>
      <c r="AI35" s="609"/>
      <c r="AJ35" s="41"/>
      <c r="AK35" s="41"/>
      <c r="AL35" s="41"/>
      <c r="AM35" s="41">
        <f>SUM(AF35:AL35)+AT35+AV35+AX35</f>
        <v>31</v>
      </c>
      <c r="AN35" s="41"/>
      <c r="AO35" s="41"/>
      <c r="AP35" s="41"/>
      <c r="AQ35" s="41"/>
      <c r="AR35" s="41">
        <f>SUM(AN35:AQ35)</f>
        <v>0</v>
      </c>
      <c r="AS35" s="41"/>
      <c r="AT35" s="41"/>
      <c r="AU35" s="41"/>
      <c r="AV35" s="41"/>
      <c r="AW35" s="41"/>
      <c r="AX35" s="41"/>
      <c r="AY35" s="41"/>
      <c r="AZ35" s="41"/>
      <c r="BA35" s="41">
        <f>+AR35+AS35+AU35+AW35+AY35+AZ35</f>
        <v>0</v>
      </c>
      <c r="BB35" s="37"/>
      <c r="BC35" s="57"/>
      <c r="BD35" s="57"/>
      <c r="BE35" s="37"/>
      <c r="BF35" s="57"/>
    </row>
    <row r="36" spans="1:58" ht="12.95" customHeight="1">
      <c r="A36" s="44"/>
      <c r="B36" s="45" t="s">
        <v>234</v>
      </c>
      <c r="C36" s="452">
        <f>(M36*E36*O36*Q36)/100000000</f>
        <v>10.1522612835</v>
      </c>
      <c r="D36" s="45" t="s">
        <v>411</v>
      </c>
      <c r="E36" s="46">
        <v>14</v>
      </c>
      <c r="F36" s="46">
        <v>1</v>
      </c>
      <c r="G36" s="465">
        <v>1270</v>
      </c>
      <c r="H36" s="48">
        <v>0</v>
      </c>
      <c r="I36" s="49">
        <v>0.88</v>
      </c>
      <c r="J36" s="91">
        <f>E36*G36*(1-H36)*1440/1000000*2.77</f>
        <v>70.920864000000009</v>
      </c>
      <c r="K36" s="91">
        <f>(IF(G36&lt;L36,L36,G36)*(1-IF(H36&lt;N36,H36,N36))*E36*O36*Q36)/100000000</f>
        <v>11.251006200000001</v>
      </c>
      <c r="L36" s="39">
        <v>1150</v>
      </c>
      <c r="M36" s="39">
        <f>+L36-L36*0.0035</f>
        <v>1145.9749999999999</v>
      </c>
      <c r="N36" s="50">
        <f>1-(M36/L36)</f>
        <v>3.5000000000000586E-3</v>
      </c>
      <c r="O36" s="51">
        <f>+'Trim Rwd'!H29</f>
        <v>267</v>
      </c>
      <c r="P36" s="52">
        <f>O36*(Q36-R36-S36)</f>
        <v>59007</v>
      </c>
      <c r="Q36" s="51">
        <v>237</v>
      </c>
      <c r="R36" s="422">
        <v>0</v>
      </c>
      <c r="S36" s="422">
        <v>16</v>
      </c>
      <c r="T36" s="41">
        <f>E36*M36*O36*Q36/100000000</f>
        <v>10.1522612835</v>
      </c>
      <c r="U36" s="41">
        <f>E36*M36*O36*(Q36-R36-S36)/100000000</f>
        <v>9.466876555499999</v>
      </c>
      <c r="V36" s="41">
        <f>E36*G36*(1-N36)*O36/100*(R36+S36)/1000000</f>
        <v>0.75690313440000001</v>
      </c>
      <c r="W36" s="41">
        <f>+'6'!K15/1000</f>
        <v>3.972</v>
      </c>
      <c r="X36" s="42"/>
      <c r="Y36" s="223"/>
      <c r="Z36" s="41"/>
      <c r="AA36" s="41"/>
      <c r="AB36" s="41"/>
      <c r="AC36" s="41">
        <f>K36-T36</f>
        <v>1.0987449165000012</v>
      </c>
      <c r="AD36" s="41">
        <f>+AM36+BA36</f>
        <v>15</v>
      </c>
      <c r="AE36" s="241" t="s">
        <v>424</v>
      </c>
      <c r="AF36" s="37"/>
      <c r="AG36" s="37"/>
      <c r="AH36" s="37"/>
      <c r="AI36" s="461">
        <v>15</v>
      </c>
      <c r="AJ36" s="41"/>
      <c r="AK36" s="41"/>
      <c r="AL36" s="41"/>
      <c r="AM36" s="41">
        <f>SUM(AF36:AL36)+AT36+AV36+AX36</f>
        <v>15</v>
      </c>
      <c r="AN36" s="41"/>
      <c r="AO36" s="41"/>
      <c r="AP36" s="41"/>
      <c r="AQ36" s="41"/>
      <c r="AR36" s="41">
        <f>SUM(AN36:AQ36)</f>
        <v>0</v>
      </c>
      <c r="AS36" s="41"/>
      <c r="AT36" s="41"/>
      <c r="AU36" s="41"/>
      <c r="AV36" s="41"/>
      <c r="AW36" s="41"/>
      <c r="AX36" s="41"/>
      <c r="AY36" s="41"/>
      <c r="AZ36" s="41"/>
      <c r="BA36" s="41">
        <f>+AR36+AS36+AU36+AW36+AY36+AZ36</f>
        <v>0</v>
      </c>
      <c r="BB36" s="37"/>
      <c r="BC36" s="57"/>
      <c r="BD36" s="57"/>
      <c r="BE36" s="37"/>
      <c r="BF36" s="57"/>
    </row>
    <row r="37" spans="1:58" ht="12.95" customHeight="1">
      <c r="A37" s="44"/>
      <c r="B37" s="45"/>
      <c r="C37" s="452"/>
      <c r="D37" s="45"/>
      <c r="E37" s="46"/>
      <c r="F37" s="46"/>
      <c r="G37" s="47"/>
      <c r="H37" s="48"/>
      <c r="I37" s="49"/>
      <c r="J37" s="91"/>
      <c r="K37" s="91"/>
      <c r="L37" s="39"/>
      <c r="M37" s="39"/>
      <c r="N37" s="50"/>
      <c r="O37" s="51"/>
      <c r="P37" s="52"/>
      <c r="Q37" s="51"/>
      <c r="R37" s="422"/>
      <c r="S37" s="422"/>
      <c r="T37" s="41"/>
      <c r="U37" s="41"/>
      <c r="V37" s="41"/>
      <c r="W37" s="41"/>
      <c r="X37" s="42"/>
      <c r="Y37" s="223"/>
      <c r="Z37" s="41"/>
      <c r="AA37" s="41"/>
      <c r="AB37" s="41"/>
      <c r="AC37" s="41"/>
      <c r="AD37" s="41"/>
      <c r="AE37" s="241"/>
      <c r="AF37" s="37"/>
      <c r="AG37" s="37"/>
      <c r="AH37" s="37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37"/>
      <c r="BC37" s="57"/>
      <c r="BD37" s="55"/>
      <c r="BE37" s="55"/>
      <c r="BF37" s="55"/>
    </row>
    <row r="38" spans="1:58" ht="12.75" customHeight="1">
      <c r="A38" s="44">
        <v>45937</v>
      </c>
      <c r="B38" s="45" t="s">
        <v>234</v>
      </c>
      <c r="C38" s="452">
        <f>(M38*E38*O38*Q38)/100000000</f>
        <v>37.696160040000002</v>
      </c>
      <c r="D38" s="45" t="s">
        <v>572</v>
      </c>
      <c r="E38" s="46">
        <v>14</v>
      </c>
      <c r="F38" s="46">
        <v>1</v>
      </c>
      <c r="G38" s="465">
        <v>1270</v>
      </c>
      <c r="H38" s="48">
        <v>0</v>
      </c>
      <c r="I38" s="49">
        <v>0.88</v>
      </c>
      <c r="J38" s="91">
        <f>E38*G38*(1-H38)*1440/1000000*2.77</f>
        <v>70.920864000000009</v>
      </c>
      <c r="K38" s="91">
        <f>(IF(G38&lt;L38,L38,G38)*(1-IF(H38&lt;N38,H38,N38))*E38*O38*Q38)/100000000</f>
        <v>41.775888000000002</v>
      </c>
      <c r="L38" s="39">
        <v>1150</v>
      </c>
      <c r="M38" s="39">
        <f>+L38-L38*0.0035</f>
        <v>1145.9749999999999</v>
      </c>
      <c r="N38" s="50">
        <f>1-(M38/L38)</f>
        <v>3.5000000000000586E-3</v>
      </c>
      <c r="O38" s="51">
        <f>+'Trim Rwd'!H31</f>
        <v>267</v>
      </c>
      <c r="P38" s="52">
        <f>O38*(Q38-R38-S38)</f>
        <v>226950</v>
      </c>
      <c r="Q38" s="51">
        <f>480+400</f>
        <v>880</v>
      </c>
      <c r="R38" s="422">
        <v>0</v>
      </c>
      <c r="S38" s="422">
        <v>30</v>
      </c>
      <c r="T38" s="41">
        <f>E38*M38*O38*Q38/100000000</f>
        <v>37.696160040000002</v>
      </c>
      <c r="U38" s="41">
        <f>E38*M38*O38*(Q38-R38-S38)/100000000</f>
        <v>36.411063675000001</v>
      </c>
      <c r="V38" s="41">
        <f>E38*G38*(1-N38)*O38/100*(R38+S38)/1000000</f>
        <v>1.4191933769999998</v>
      </c>
      <c r="W38" s="41">
        <f>+'7'!K15/1000</f>
        <v>43.146000000000001</v>
      </c>
      <c r="X38" s="419">
        <f>SUM(W38:W41)/SUM(K38:K41)</f>
        <v>0.851429032019965</v>
      </c>
      <c r="Y38" s="223">
        <v>0</v>
      </c>
      <c r="Z38" s="41">
        <v>0</v>
      </c>
      <c r="AA38" s="53">
        <f>SUM(U38:U41)-SUM(W38:W41)-SUM(Z38:Z41)-SUM(Y38:Y41)</f>
        <v>2.0523732924000093</v>
      </c>
      <c r="AB38" s="53">
        <f>(SUM(K38:K41)-SUM(W38:W41)-SUM(Y38:Y41)-SUM(Z38:Z41)-SUM(AC38:AC41)-SUM(V38:V41))-AA38</f>
        <v>-0.16543028100000878</v>
      </c>
      <c r="AC38" s="41">
        <f>K38-T38</f>
        <v>4.0797279599999996</v>
      </c>
      <c r="AD38" s="41">
        <f>+AM38+BA38</f>
        <v>20</v>
      </c>
      <c r="AE38" s="241" t="s">
        <v>540</v>
      </c>
      <c r="AF38" s="41">
        <v>20</v>
      </c>
      <c r="AG38" s="41"/>
      <c r="AH38" s="41"/>
      <c r="AI38" s="609"/>
      <c r="AJ38" s="41"/>
      <c r="AK38" s="41"/>
      <c r="AL38" s="41"/>
      <c r="AM38" s="41">
        <f>SUM(AF38:AL38)+AT38+AV38+AX38</f>
        <v>20</v>
      </c>
      <c r="AN38" s="41"/>
      <c r="AO38" s="41"/>
      <c r="AP38" s="41"/>
      <c r="AQ38" s="41"/>
      <c r="AR38" s="41">
        <f>SUM(AN38:AQ38)</f>
        <v>0</v>
      </c>
      <c r="AS38" s="41"/>
      <c r="AT38" s="41"/>
      <c r="AU38" s="41"/>
      <c r="AV38" s="41"/>
      <c r="AW38" s="41"/>
      <c r="AX38" s="41"/>
      <c r="AY38" s="41"/>
      <c r="AZ38" s="41"/>
      <c r="BA38" s="41">
        <f>+AR38+AS38+AU38+AW38+AY38+AZ38</f>
        <v>0</v>
      </c>
      <c r="BB38" s="37">
        <v>4</v>
      </c>
      <c r="BC38" s="55"/>
      <c r="BD38" s="55"/>
      <c r="BE38" s="37"/>
      <c r="BF38" s="55"/>
    </row>
    <row r="39" spans="1:58" ht="12.95" customHeight="1">
      <c r="A39" s="44"/>
      <c r="B39" s="45" t="s">
        <v>234</v>
      </c>
      <c r="C39" s="452">
        <f>(M39*E39*O39*Q39)/100000000</f>
        <v>7.9598462874000004</v>
      </c>
      <c r="D39" s="45" t="s">
        <v>572</v>
      </c>
      <c r="E39" s="46">
        <v>17</v>
      </c>
      <c r="F39" s="46">
        <v>1</v>
      </c>
      <c r="G39" s="465">
        <v>1210</v>
      </c>
      <c r="H39" s="48">
        <v>0</v>
      </c>
      <c r="I39" s="49">
        <v>0.88</v>
      </c>
      <c r="J39" s="91">
        <f>E39*G39*(1-H39)*1440/1000000*2.77</f>
        <v>82.049616</v>
      </c>
      <c r="K39" s="91">
        <f>(IF(G39&lt;L39,L39,G39)*(1-IF(H39&lt;N39,H39,N39))*E39*O39*Q39)/100000000</f>
        <v>7.9878036000000003</v>
      </c>
      <c r="L39" s="39">
        <v>1220</v>
      </c>
      <c r="M39" s="39">
        <f>+L39-L39*0.0035</f>
        <v>1215.73</v>
      </c>
      <c r="N39" s="50">
        <f>1-(M39/L39)</f>
        <v>3.4999999999999476E-3</v>
      </c>
      <c r="O39" s="51">
        <f>+'Trim Rwd'!H32</f>
        <v>262</v>
      </c>
      <c r="P39" s="52">
        <f>O39*(Q39-R39-S39)</f>
        <v>35894</v>
      </c>
      <c r="Q39" s="51">
        <f>80+67</f>
        <v>147</v>
      </c>
      <c r="R39" s="422">
        <v>0</v>
      </c>
      <c r="S39" s="422">
        <v>10</v>
      </c>
      <c r="T39" s="41">
        <f>E39*M39*O39*Q39/100000000</f>
        <v>7.9598462874000004</v>
      </c>
      <c r="U39" s="41">
        <f>E39*M39*O39*(Q39-R39-S39)/100000000</f>
        <v>7.4183601453999994</v>
      </c>
      <c r="V39" s="41">
        <f>E39*G39*(1-N39)*O39/100*(R39+S39)/1000000</f>
        <v>0.53704773100000003</v>
      </c>
      <c r="W39" s="41">
        <f>+'7'!K14/1000</f>
        <v>7.375</v>
      </c>
      <c r="X39" s="42"/>
      <c r="Y39" s="223"/>
      <c r="Z39" s="41">
        <f>+'7'!D26/1000</f>
        <v>0.34</v>
      </c>
      <c r="AA39" s="41"/>
      <c r="AB39" s="41"/>
      <c r="AC39" s="41">
        <f>K39-T39</f>
        <v>2.7957312599999895E-2</v>
      </c>
      <c r="AD39" s="41">
        <f>+AM39+BA39</f>
        <v>10</v>
      </c>
      <c r="AE39" s="241" t="s">
        <v>570</v>
      </c>
      <c r="AF39" s="41"/>
      <c r="AG39" s="41">
        <v>10</v>
      </c>
      <c r="AH39" s="41"/>
      <c r="AI39" s="609"/>
      <c r="AJ39" s="41"/>
      <c r="AK39" s="41"/>
      <c r="AL39" s="41"/>
      <c r="AM39" s="41">
        <f>SUM(AF39:AL39)+AT39+AV39+AX39</f>
        <v>10</v>
      </c>
      <c r="AN39" s="92"/>
      <c r="AO39" s="41"/>
      <c r="AP39" s="41"/>
      <c r="AQ39" s="41"/>
      <c r="AR39" s="41">
        <f>SUM(AN39:AQ39)</f>
        <v>0</v>
      </c>
      <c r="AS39" s="41"/>
      <c r="AT39" s="41"/>
      <c r="AU39" s="41"/>
      <c r="AV39" s="41"/>
      <c r="AW39" s="41"/>
      <c r="AX39" s="41"/>
      <c r="AY39" s="41"/>
      <c r="AZ39" s="41"/>
      <c r="BA39" s="41">
        <f>+AR39+AS39+AU39+AW39+AY39+AZ39</f>
        <v>0</v>
      </c>
      <c r="BB39" s="54"/>
      <c r="BC39" s="55">
        <v>5</v>
      </c>
      <c r="BD39" s="55"/>
      <c r="BE39" s="54"/>
      <c r="BF39" s="55"/>
    </row>
    <row r="40" spans="1:58" ht="12.95" customHeight="1">
      <c r="A40" s="44"/>
      <c r="B40" s="45" t="s">
        <v>7</v>
      </c>
      <c r="C40" s="452">
        <f>(M40*E40*O40*Q40)/100000000</f>
        <v>2.6560717120000001</v>
      </c>
      <c r="D40" s="45" t="s">
        <v>411</v>
      </c>
      <c r="E40" s="46">
        <v>10.3</v>
      </c>
      <c r="F40" s="46">
        <v>1</v>
      </c>
      <c r="G40" s="465">
        <v>1730</v>
      </c>
      <c r="H40" s="48">
        <v>0.2</v>
      </c>
      <c r="I40" s="49">
        <v>0.88</v>
      </c>
      <c r="J40" s="91">
        <f>E40*G40*(1-H40)*1440/1000000*2.77</f>
        <v>56.861141760000002</v>
      </c>
      <c r="K40" s="91">
        <f>(IF(G40&lt;L40,L40,G40)*(1-IF(H40&lt;N40,H40,N40))*E40*O40*Q40)/100000000</f>
        <v>2.7680747360000004</v>
      </c>
      <c r="L40" s="39">
        <v>1660</v>
      </c>
      <c r="M40" s="39">
        <f>+L40-L40*0.2</f>
        <v>1328</v>
      </c>
      <c r="N40" s="50">
        <f>1-(M40/L40)</f>
        <v>0.19999999999999996</v>
      </c>
      <c r="O40" s="51">
        <f>+'Trim Rwd'!H33</f>
        <v>266</v>
      </c>
      <c r="P40" s="52">
        <f>O40*(Q40-R40-S40)</f>
        <v>16758</v>
      </c>
      <c r="Q40" s="51">
        <v>73</v>
      </c>
      <c r="R40" s="422">
        <v>0</v>
      </c>
      <c r="S40" s="422">
        <v>10</v>
      </c>
      <c r="T40" s="41">
        <f>E40*M40*O40*Q40/100000000</f>
        <v>2.6560717120000001</v>
      </c>
      <c r="U40" s="41">
        <f>E40*M40*O40*(Q40-R40-S40)/100000000</f>
        <v>2.2922262720000002</v>
      </c>
      <c r="V40" s="41">
        <f>E40*G40*(1-N40)*O40/100*(R40+S40)/1000000</f>
        <v>0.37918832000000002</v>
      </c>
      <c r="W40" s="41">
        <f>+'7'!K8/1000</f>
        <v>0</v>
      </c>
      <c r="X40" s="42"/>
      <c r="Y40" s="223"/>
      <c r="Z40" s="41"/>
      <c r="AA40" s="41"/>
      <c r="AB40" s="41"/>
      <c r="AC40" s="41">
        <f>K40-T40</f>
        <v>0.11200302400000028</v>
      </c>
      <c r="AD40" s="41">
        <f>+AM40+BA40</f>
        <v>30</v>
      </c>
      <c r="AE40" s="241" t="s">
        <v>484</v>
      </c>
      <c r="AF40" s="37"/>
      <c r="AG40" s="37"/>
      <c r="AH40" s="37">
        <v>30</v>
      </c>
      <c r="AI40" s="609"/>
      <c r="AJ40" s="41"/>
      <c r="AK40" s="41"/>
      <c r="AL40" s="41"/>
      <c r="AM40" s="41">
        <f>SUM(AF40:AL40)+AT40+AV40+AX40</f>
        <v>30</v>
      </c>
      <c r="AN40" s="41"/>
      <c r="AO40" s="41"/>
      <c r="AP40" s="41"/>
      <c r="AQ40" s="41"/>
      <c r="AR40" s="41">
        <f>SUM(AN40:AQ40)</f>
        <v>0</v>
      </c>
      <c r="AS40" s="41"/>
      <c r="AT40" s="41"/>
      <c r="AU40" s="41"/>
      <c r="AV40" s="41"/>
      <c r="AW40" s="41"/>
      <c r="AX40" s="41"/>
      <c r="AY40" s="41"/>
      <c r="AZ40" s="41"/>
      <c r="BA40" s="41">
        <f>+AR40+AS40+AU40+AW40+AY40+AZ40</f>
        <v>0</v>
      </c>
      <c r="BB40" s="37"/>
      <c r="BC40" s="57"/>
      <c r="BD40" s="57"/>
      <c r="BE40" s="37"/>
      <c r="BF40" s="57"/>
    </row>
    <row r="41" spans="1:58" ht="12.95" customHeight="1">
      <c r="A41" s="44"/>
      <c r="B41" s="45" t="s">
        <v>7</v>
      </c>
      <c r="C41" s="452">
        <f>(M41*E41*O41*Q41)/100000000</f>
        <v>14.4125184</v>
      </c>
      <c r="D41" s="45" t="s">
        <v>411</v>
      </c>
      <c r="E41" s="46">
        <v>12</v>
      </c>
      <c r="F41" s="46">
        <v>1</v>
      </c>
      <c r="G41" s="465">
        <v>1700</v>
      </c>
      <c r="H41" s="48">
        <v>0.2</v>
      </c>
      <c r="I41" s="49">
        <v>0.88</v>
      </c>
      <c r="J41" s="91">
        <f>E41*G41*(1-H41)*1440/1000000*2.77</f>
        <v>65.097216000000003</v>
      </c>
      <c r="K41" s="91">
        <f>(IF(G41&lt;L41,L41,G41)*(1-IF(H41&lt;N41,H41,N41))*E41*O41*Q41)/100000000</f>
        <v>14.759808</v>
      </c>
      <c r="L41" s="39">
        <v>1660</v>
      </c>
      <c r="M41" s="39">
        <f>+L41-L41*0.2</f>
        <v>1328</v>
      </c>
      <c r="N41" s="50">
        <f>1-(M41/L41)</f>
        <v>0.19999999999999996</v>
      </c>
      <c r="O41" s="51">
        <f>+'Trim Rwd'!H34</f>
        <v>266</v>
      </c>
      <c r="P41" s="52">
        <f>O41*(Q41-R41-S41)</f>
        <v>85120</v>
      </c>
      <c r="Q41" s="51">
        <v>340</v>
      </c>
      <c r="R41" s="422">
        <v>0</v>
      </c>
      <c r="S41" s="422">
        <v>20</v>
      </c>
      <c r="T41" s="41">
        <f>E41*M41*O41*Q41/100000000</f>
        <v>14.4125184</v>
      </c>
      <c r="U41" s="41">
        <f>E41*M41*O41*(Q41-R41-S41)/100000000</f>
        <v>13.5647232</v>
      </c>
      <c r="V41" s="41">
        <f>E41*G41*(1-N41)*O41/100*(R41+S41)/1000000</f>
        <v>0.868224</v>
      </c>
      <c r="W41" s="41">
        <f>+'7'!K16/1000</f>
        <v>6.7729999999999997</v>
      </c>
      <c r="X41" s="42"/>
      <c r="Y41" s="223"/>
      <c r="Z41" s="41"/>
      <c r="AA41" s="41"/>
      <c r="AB41" s="41"/>
      <c r="AC41" s="41">
        <f>K41-T41</f>
        <v>0.34728959999999987</v>
      </c>
      <c r="AD41" s="41">
        <f>+AM41+BA41</f>
        <v>10</v>
      </c>
      <c r="AE41" s="241" t="s">
        <v>424</v>
      </c>
      <c r="AF41" s="37"/>
      <c r="AG41" s="37"/>
      <c r="AH41" s="37"/>
      <c r="AI41" s="461">
        <v>10</v>
      </c>
      <c r="AJ41" s="41"/>
      <c r="AK41" s="41"/>
      <c r="AL41" s="41"/>
      <c r="AM41" s="41">
        <f>SUM(AF41:AL41)+AT41+AV41+AX41</f>
        <v>10</v>
      </c>
      <c r="AN41" s="41"/>
      <c r="AO41" s="41"/>
      <c r="AP41" s="41"/>
      <c r="AQ41" s="41"/>
      <c r="AR41" s="41">
        <f>SUM(AN41:AQ41)</f>
        <v>0</v>
      </c>
      <c r="AS41" s="41"/>
      <c r="AT41" s="41"/>
      <c r="AU41" s="41"/>
      <c r="AV41" s="41"/>
      <c r="AW41" s="41"/>
      <c r="AX41" s="41"/>
      <c r="AY41" s="41"/>
      <c r="AZ41" s="41"/>
      <c r="BA41" s="41">
        <f>+AR41+AS41+AU41+AW41+AY41+AZ41</f>
        <v>0</v>
      </c>
      <c r="BB41" s="37"/>
      <c r="BC41" s="57"/>
      <c r="BD41" s="57"/>
      <c r="BE41" s="37"/>
      <c r="BF41" s="57"/>
    </row>
    <row r="42" spans="1:58" ht="12.95" customHeight="1">
      <c r="A42" s="44"/>
      <c r="B42" s="45"/>
      <c r="C42" s="452"/>
      <c r="D42" s="45"/>
      <c r="E42" s="46"/>
      <c r="F42" s="46"/>
      <c r="G42" s="47"/>
      <c r="H42" s="48"/>
      <c r="I42" s="49"/>
      <c r="J42" s="91"/>
      <c r="K42" s="91"/>
      <c r="L42" s="39"/>
      <c r="M42" s="39"/>
      <c r="N42" s="50"/>
      <c r="O42" s="51"/>
      <c r="P42" s="52"/>
      <c r="Q42" s="51"/>
      <c r="R42" s="422"/>
      <c r="S42" s="422"/>
      <c r="T42" s="41"/>
      <c r="U42" s="41"/>
      <c r="V42" s="41"/>
      <c r="W42" s="41"/>
      <c r="X42" s="42"/>
      <c r="Y42" s="223"/>
      <c r="Z42" s="41"/>
      <c r="AA42" s="41"/>
      <c r="AB42" s="41"/>
      <c r="AC42" s="41"/>
      <c r="AD42" s="41"/>
      <c r="AE42" s="241"/>
      <c r="AF42" s="37"/>
      <c r="AG42" s="37"/>
      <c r="AH42" s="37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37"/>
      <c r="BC42" s="57"/>
      <c r="BD42" s="55"/>
      <c r="BE42" s="55"/>
      <c r="BF42" s="55"/>
    </row>
    <row r="43" spans="1:58" ht="12.75" customHeight="1">
      <c r="A43" s="44">
        <v>45938</v>
      </c>
      <c r="B43" s="45" t="s">
        <v>7</v>
      </c>
      <c r="C43" s="452">
        <f>(M43*E43*O43*Q43)/100000000</f>
        <v>61.776691200000002</v>
      </c>
      <c r="D43" s="45" t="s">
        <v>411</v>
      </c>
      <c r="E43" s="46">
        <v>12</v>
      </c>
      <c r="F43" s="46">
        <v>1</v>
      </c>
      <c r="G43" s="465">
        <v>1700</v>
      </c>
      <c r="H43" s="48">
        <v>0.2</v>
      </c>
      <c r="I43" s="49">
        <v>0.88</v>
      </c>
      <c r="J43" s="91">
        <f>E43*G43*(1-H43)*1440/1000000*2.77</f>
        <v>65.097216000000003</v>
      </c>
      <c r="K43" s="91">
        <f>(IF(G43&lt;L43,L43,G43)*(1-IF(H43&lt;N43,H43,N43))*E43*O43*Q43)/100000000</f>
        <v>62.512127999999997</v>
      </c>
      <c r="L43" s="39">
        <v>1680</v>
      </c>
      <c r="M43" s="39">
        <v>1344</v>
      </c>
      <c r="N43" s="50">
        <f>1-(M43/L43)</f>
        <v>0.19999999999999996</v>
      </c>
      <c r="O43" s="51">
        <f>+'Trim Rwd'!H36</f>
        <v>266</v>
      </c>
      <c r="P43" s="52">
        <f>O43*(Q43-R43-S43)</f>
        <v>366548</v>
      </c>
      <c r="Q43" s="51">
        <v>1440</v>
      </c>
      <c r="R43" s="422">
        <v>0</v>
      </c>
      <c r="S43" s="422">
        <v>62</v>
      </c>
      <c r="T43" s="41">
        <f>E43*M43*O43*Q43/100000000</f>
        <v>61.776691200000002</v>
      </c>
      <c r="U43" s="41">
        <f>E43*M43*O43*(Q43-R43-S43)/100000000</f>
        <v>59.116861440000001</v>
      </c>
      <c r="V43" s="41">
        <f>E43*G43*(1-N43)*O43/100*(R43+S43)/1000000</f>
        <v>2.6914943999999998</v>
      </c>
      <c r="W43" s="41">
        <f>+'8'!K34/1000</f>
        <v>61.23</v>
      </c>
      <c r="X43" s="419">
        <f>SUM(W43:W46)/SUM(K43:K46)</f>
        <v>0.9794899319376873</v>
      </c>
      <c r="Y43" s="223">
        <v>0</v>
      </c>
      <c r="Z43" s="41">
        <f>+'8'!D34/1000</f>
        <v>0.38700000000000001</v>
      </c>
      <c r="AA43" s="53">
        <f>SUM(U43:U46)-SUM(W43:W46)-SUM(Z43:Z46)-SUM(Y43:Y46)</f>
        <v>-2.5001385599999959</v>
      </c>
      <c r="AB43" s="53">
        <f>(SUM(K43:K46)-SUM(W43:W46)-SUM(Y43:Y46)-SUM(Z43:Z46)-SUM(AC43:AC46)-SUM(V43:V46))-AA43</f>
        <v>-3.1664639999998911E-2</v>
      </c>
      <c r="AC43" s="41">
        <f>K43-T43</f>
        <v>0.73543679999999512</v>
      </c>
      <c r="AD43" s="41">
        <f>+AM43+BA43</f>
        <v>20</v>
      </c>
      <c r="AE43" s="241" t="s">
        <v>540</v>
      </c>
      <c r="AF43" s="41">
        <v>20</v>
      </c>
      <c r="AG43" s="41"/>
      <c r="AH43" s="41"/>
      <c r="AI43" s="609"/>
      <c r="AJ43" s="41"/>
      <c r="AK43" s="41"/>
      <c r="AL43" s="41"/>
      <c r="AM43" s="41">
        <f>SUM(AF43:AL43)+AT43+AV43+AX43</f>
        <v>20</v>
      </c>
      <c r="AN43" s="41"/>
      <c r="AO43" s="41"/>
      <c r="AP43" s="41"/>
      <c r="AQ43" s="41"/>
      <c r="AR43" s="41">
        <f>SUM(AN43:AQ43)</f>
        <v>0</v>
      </c>
      <c r="AS43" s="41"/>
      <c r="AT43" s="41"/>
      <c r="AU43" s="41"/>
      <c r="AV43" s="41"/>
      <c r="AW43" s="41"/>
      <c r="AX43" s="41"/>
      <c r="AY43" s="41"/>
      <c r="AZ43" s="41"/>
      <c r="BA43" s="41">
        <f>+AR43+AS43+AU43+AW43+AY43+AZ43</f>
        <v>0</v>
      </c>
      <c r="BB43" s="37">
        <v>4</v>
      </c>
      <c r="BC43" s="55"/>
      <c r="BD43" s="55"/>
      <c r="BE43" s="37"/>
      <c r="BF43" s="55"/>
    </row>
    <row r="44" spans="1:58" ht="12.95" customHeight="1">
      <c r="A44" s="44"/>
      <c r="B44" s="45"/>
      <c r="C44" s="452"/>
      <c r="D44" s="45"/>
      <c r="E44" s="46"/>
      <c r="F44" s="46"/>
      <c r="G44" s="465"/>
      <c r="H44" s="48"/>
      <c r="I44" s="49"/>
      <c r="J44" s="91"/>
      <c r="K44" s="91"/>
      <c r="L44" s="39"/>
      <c r="M44" s="39"/>
      <c r="N44" s="50"/>
      <c r="O44" s="51"/>
      <c r="P44" s="52"/>
      <c r="Q44" s="51"/>
      <c r="R44" s="422"/>
      <c r="S44" s="422"/>
      <c r="T44" s="41"/>
      <c r="U44" s="41"/>
      <c r="V44" s="41"/>
      <c r="W44" s="41"/>
      <c r="X44" s="42"/>
      <c r="Y44" s="223"/>
      <c r="Z44" s="41"/>
      <c r="AA44" s="41"/>
      <c r="AB44" s="41"/>
      <c r="AC44" s="41"/>
      <c r="AD44" s="41">
        <f>+AM44+BA44</f>
        <v>12</v>
      </c>
      <c r="AE44" s="241" t="s">
        <v>588</v>
      </c>
      <c r="AF44" s="41"/>
      <c r="AG44" s="41">
        <v>12</v>
      </c>
      <c r="AH44" s="41"/>
      <c r="AI44" s="609"/>
      <c r="AJ44" s="41"/>
      <c r="AK44" s="41"/>
      <c r="AL44" s="41"/>
      <c r="AM44" s="41">
        <f>SUM(AF44:AL44)+AT44+AV44+AX44</f>
        <v>12</v>
      </c>
      <c r="AN44" s="92"/>
      <c r="AO44" s="41"/>
      <c r="AP44" s="41"/>
      <c r="AQ44" s="41"/>
      <c r="AR44" s="41">
        <f>SUM(AN44:AQ44)</f>
        <v>0</v>
      </c>
      <c r="AS44" s="41"/>
      <c r="AT44" s="41"/>
      <c r="AU44" s="41"/>
      <c r="AV44" s="41"/>
      <c r="AW44" s="41"/>
      <c r="AX44" s="41"/>
      <c r="AY44" s="41"/>
      <c r="AZ44" s="41"/>
      <c r="BA44" s="41">
        <f>+AR44+AS44+AU44+AW44+AY44+AZ44</f>
        <v>0</v>
      </c>
      <c r="BB44" s="54"/>
      <c r="BC44" s="55">
        <v>11</v>
      </c>
      <c r="BD44" s="55"/>
      <c r="BE44" s="54"/>
      <c r="BF44" s="55"/>
    </row>
    <row r="45" spans="1:58" ht="12.95" customHeight="1">
      <c r="A45" s="44"/>
      <c r="B45" s="45"/>
      <c r="C45" s="452"/>
      <c r="D45" s="45"/>
      <c r="E45" s="46"/>
      <c r="F45" s="46"/>
      <c r="G45" s="465"/>
      <c r="H45" s="48"/>
      <c r="I45" s="49"/>
      <c r="J45" s="91"/>
      <c r="K45" s="91"/>
      <c r="L45" s="39"/>
      <c r="M45" s="39"/>
      <c r="N45" s="50"/>
      <c r="O45" s="51"/>
      <c r="P45" s="52"/>
      <c r="Q45" s="51"/>
      <c r="R45" s="422"/>
      <c r="S45" s="422"/>
      <c r="T45" s="41"/>
      <c r="U45" s="41"/>
      <c r="V45" s="41"/>
      <c r="W45" s="41"/>
      <c r="X45" s="42"/>
      <c r="Y45" s="223"/>
      <c r="Z45" s="41"/>
      <c r="AA45" s="41"/>
      <c r="AB45" s="41"/>
      <c r="AC45" s="41"/>
      <c r="AD45" s="41">
        <f>+AM45+BA45</f>
        <v>30</v>
      </c>
      <c r="AE45" s="241" t="s">
        <v>484</v>
      </c>
      <c r="AF45" s="37"/>
      <c r="AG45" s="37"/>
      <c r="AH45" s="37">
        <v>30</v>
      </c>
      <c r="AI45" s="609"/>
      <c r="AJ45" s="41"/>
      <c r="AK45" s="41"/>
      <c r="AL45" s="41"/>
      <c r="AM45" s="41">
        <f>SUM(AF45:AL45)+AT45+AV45+AX45</f>
        <v>30</v>
      </c>
      <c r="AN45" s="41"/>
      <c r="AO45" s="41"/>
      <c r="AP45" s="41"/>
      <c r="AQ45" s="41"/>
      <c r="AR45" s="41">
        <f>SUM(AN45:AQ45)</f>
        <v>0</v>
      </c>
      <c r="AS45" s="41"/>
      <c r="AT45" s="41"/>
      <c r="AU45" s="41"/>
      <c r="AV45" s="41"/>
      <c r="AW45" s="41"/>
      <c r="AX45" s="41"/>
      <c r="AY45" s="41"/>
      <c r="AZ45" s="41"/>
      <c r="BA45" s="41">
        <f>+AR45+AS45+AU45+AW45+AY45+AZ45</f>
        <v>0</v>
      </c>
      <c r="BB45" s="37"/>
      <c r="BC45" s="57"/>
      <c r="BD45" s="57"/>
      <c r="BE45" s="37"/>
      <c r="BF45" s="57"/>
    </row>
    <row r="46" spans="1:58" ht="12.95" customHeight="1">
      <c r="A46" s="44"/>
      <c r="B46" s="45"/>
      <c r="C46" s="452"/>
      <c r="D46" s="45"/>
      <c r="E46" s="46"/>
      <c r="F46" s="46"/>
      <c r="G46" s="465"/>
      <c r="H46" s="48"/>
      <c r="I46" s="49"/>
      <c r="J46" s="91"/>
      <c r="K46" s="91"/>
      <c r="L46" s="39"/>
      <c r="M46" s="39"/>
      <c r="N46" s="50"/>
      <c r="O46" s="51"/>
      <c r="P46" s="52"/>
      <c r="Q46" s="51"/>
      <c r="R46" s="422"/>
      <c r="S46" s="422"/>
      <c r="T46" s="41"/>
      <c r="U46" s="41"/>
      <c r="V46" s="41"/>
      <c r="W46" s="41"/>
      <c r="X46" s="42"/>
      <c r="Y46" s="223"/>
      <c r="Z46" s="41"/>
      <c r="AA46" s="41"/>
      <c r="AB46" s="41"/>
      <c r="AC46" s="41"/>
      <c r="AD46" s="41"/>
      <c r="AE46" s="241"/>
      <c r="AF46" s="37"/>
      <c r="AG46" s="37"/>
      <c r="AH46" s="37"/>
      <c r="AI46" s="46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37"/>
      <c r="BC46" s="57"/>
      <c r="BD46" s="57"/>
      <c r="BE46" s="37"/>
      <c r="BF46" s="57"/>
    </row>
    <row r="47" spans="1:58" ht="12.75" customHeight="1">
      <c r="A47" s="44">
        <v>45939</v>
      </c>
      <c r="B47" s="45" t="s">
        <v>7</v>
      </c>
      <c r="C47" s="452">
        <f>(M47*E47*O47*Q47)/100000000</f>
        <v>24.14543712</v>
      </c>
      <c r="D47" s="45" t="s">
        <v>411</v>
      </c>
      <c r="E47" s="46">
        <v>12</v>
      </c>
      <c r="F47" s="46">
        <v>1</v>
      </c>
      <c r="G47" s="465">
        <v>1700</v>
      </c>
      <c r="H47" s="48">
        <v>0.2</v>
      </c>
      <c r="I47" s="49">
        <v>0.88</v>
      </c>
      <c r="J47" s="91">
        <f>E47*G47*(1-H47)*1440/1000000*2.77</f>
        <v>65.097216000000003</v>
      </c>
      <c r="K47" s="91">
        <f>(IF(G47&lt;L47,L47,G47)*(1-IF(H47&lt;N47,H47,N47))*E47*O47*Q47)/100000000</f>
        <v>24.874617600000001</v>
      </c>
      <c r="L47" s="39">
        <v>1689.1797556719023</v>
      </c>
      <c r="M47" s="39">
        <v>1320.1326352530541</v>
      </c>
      <c r="N47" s="50">
        <f>1-(M47/L47)</f>
        <v>0.21847711540448389</v>
      </c>
      <c r="O47" s="51">
        <f>+'Trim Rwd'!H38</f>
        <v>266</v>
      </c>
      <c r="P47" s="52">
        <f>O47*(Q47-R47-S47)</f>
        <v>147098</v>
      </c>
      <c r="Q47" s="51">
        <v>573</v>
      </c>
      <c r="R47" s="422">
        <v>0</v>
      </c>
      <c r="S47" s="422">
        <v>20</v>
      </c>
      <c r="T47" s="41">
        <f>E47*M47*O47*Q47/100000000</f>
        <v>24.14543712</v>
      </c>
      <c r="U47" s="41">
        <f>E47*M47*O47*(Q47-R47-S47)/100000000</f>
        <v>23.30266444565445</v>
      </c>
      <c r="V47" s="41">
        <f>E47*G47*(1-N47)*O47/100*(R47+S47)/1000000</f>
        <v>0.84817115619382166</v>
      </c>
      <c r="W47" s="41">
        <f>+'9'!K16/1000</f>
        <v>23.15</v>
      </c>
      <c r="X47" s="419">
        <f>SUM(W47:W50)/SUM(K47:K50)</f>
        <v>0.94994401801247519</v>
      </c>
      <c r="Y47" s="223">
        <v>0</v>
      </c>
      <c r="Z47" s="41">
        <f>+'9'!D34/1000</f>
        <v>0.39200000000000002</v>
      </c>
      <c r="AA47" s="53">
        <f>SUM(U47:U50)-SUM(W47:W50)-SUM(Z47:Z50)-SUM(Y47:Y50)</f>
        <v>-0.98166552314554834</v>
      </c>
      <c r="AB47" s="53">
        <f>(SUM(K47:K50)-SUM(W47:W50)-SUM(Y47:Y50)-SUM(Z47:Z50)-SUM(AC47:AC50)-SUM(V47:V50))-AA47</f>
        <v>-5.3984818482718522E-3</v>
      </c>
      <c r="AC47" s="41">
        <f>K47-T47</f>
        <v>0.72918048000000013</v>
      </c>
      <c r="AD47" s="41">
        <f>+AM47+BA47</f>
        <v>20</v>
      </c>
      <c r="AE47" s="241" t="s">
        <v>540</v>
      </c>
      <c r="AF47" s="41">
        <v>20</v>
      </c>
      <c r="AG47" s="41"/>
      <c r="AH47" s="41"/>
      <c r="AI47" s="609"/>
      <c r="AJ47" s="41"/>
      <c r="AK47" s="41"/>
      <c r="AL47" s="41"/>
      <c r="AM47" s="41">
        <f>SUM(AF47:AL47)+AT47+AV47+AX47</f>
        <v>20</v>
      </c>
      <c r="AN47" s="41"/>
      <c r="AO47" s="41"/>
      <c r="AP47" s="41"/>
      <c r="AQ47" s="41"/>
      <c r="AR47" s="41">
        <f>SUM(AN47:AQ47)</f>
        <v>0</v>
      </c>
      <c r="AS47" s="41"/>
      <c r="AT47" s="41"/>
      <c r="AU47" s="41"/>
      <c r="AV47" s="41"/>
      <c r="AW47" s="41"/>
      <c r="AX47" s="41"/>
      <c r="AY47" s="41"/>
      <c r="AZ47" s="41"/>
      <c r="BA47" s="41">
        <f>+AR47+AS47+AU47+AW47+AY47+AZ47</f>
        <v>0</v>
      </c>
      <c r="BB47" s="37">
        <v>4</v>
      </c>
      <c r="BC47" s="55"/>
      <c r="BD47" s="55"/>
      <c r="BE47" s="37"/>
      <c r="BF47" s="55"/>
    </row>
    <row r="48" spans="1:58" ht="12.95" customHeight="1">
      <c r="A48" s="44"/>
      <c r="B48" s="45" t="s">
        <v>7</v>
      </c>
      <c r="C48" s="452">
        <f>(M48*E48*O48*Q48)/100000000</f>
        <v>34.519408711200001</v>
      </c>
      <c r="D48" s="45" t="s">
        <v>411</v>
      </c>
      <c r="E48" s="46">
        <v>10.3</v>
      </c>
      <c r="F48" s="46">
        <v>1</v>
      </c>
      <c r="G48" s="465">
        <v>1730</v>
      </c>
      <c r="H48" s="48">
        <v>0.16</v>
      </c>
      <c r="I48" s="49">
        <v>0.88</v>
      </c>
      <c r="J48" s="91">
        <f>E48*G48*(1-H48)*1440/1000000*2.77</f>
        <v>59.704198847999997</v>
      </c>
      <c r="K48" s="91">
        <f>(IF(G48&lt;L48,L48,G48)*(1-IF(H48&lt;N48,H48,N48))*E48*O48*Q48)/100000000</f>
        <v>34.519408711200001</v>
      </c>
      <c r="L48" s="39">
        <v>1730</v>
      </c>
      <c r="M48" s="39">
        <f>+L48-L48*0.16</f>
        <v>1453.2</v>
      </c>
      <c r="N48" s="50">
        <f>1-(M48/L48)</f>
        <v>0.15999999999999992</v>
      </c>
      <c r="O48" s="51">
        <f>+'Trim Rwd'!H39</f>
        <v>266</v>
      </c>
      <c r="P48" s="52">
        <f>O48*(Q48-R48-S48)</f>
        <v>217322</v>
      </c>
      <c r="Q48" s="51">
        <v>867</v>
      </c>
      <c r="R48" s="422">
        <v>0</v>
      </c>
      <c r="S48" s="422">
        <v>50</v>
      </c>
      <c r="T48" s="41">
        <f>E48*M48*O48*Q48/100000000</f>
        <v>34.519408711200001</v>
      </c>
      <c r="U48" s="41">
        <f>E48*M48*O48*(Q48-R48-S48)/100000000</f>
        <v>32.528670031200001</v>
      </c>
      <c r="V48" s="41">
        <f>E48*G48*(1-N48)*O48/100*(R48+S48)/1000000</f>
        <v>1.99073868</v>
      </c>
      <c r="W48" s="41">
        <f>+'9'!K8/1000</f>
        <v>33.271000000000001</v>
      </c>
      <c r="X48" s="42"/>
      <c r="Y48" s="223"/>
      <c r="Z48" s="41"/>
      <c r="AA48" s="41"/>
      <c r="AB48" s="41"/>
      <c r="AC48" s="41">
        <f>K48-T48</f>
        <v>0</v>
      </c>
      <c r="AD48" s="41">
        <f>+AM48+BA48</f>
        <v>16</v>
      </c>
      <c r="AE48" s="241" t="s">
        <v>599</v>
      </c>
      <c r="AF48" s="41"/>
      <c r="AG48" s="41">
        <v>16</v>
      </c>
      <c r="AH48" s="41"/>
      <c r="AI48" s="609"/>
      <c r="AJ48" s="41"/>
      <c r="AK48" s="41"/>
      <c r="AL48" s="41"/>
      <c r="AM48" s="41">
        <f>SUM(AF48:AL48)+AT48+AV48+AX48</f>
        <v>16</v>
      </c>
      <c r="AN48" s="92"/>
      <c r="AO48" s="41"/>
      <c r="AP48" s="41"/>
      <c r="AQ48" s="41"/>
      <c r="AR48" s="41">
        <f>SUM(AN48:AQ48)</f>
        <v>0</v>
      </c>
      <c r="AS48" s="41"/>
      <c r="AT48" s="41"/>
      <c r="AU48" s="41"/>
      <c r="AV48" s="41"/>
      <c r="AW48" s="41"/>
      <c r="AX48" s="41"/>
      <c r="AY48" s="41"/>
      <c r="AZ48" s="41"/>
      <c r="BA48" s="41">
        <f>+AR48+AS48+AU48+AW48+AY48+AZ48</f>
        <v>0</v>
      </c>
      <c r="BB48" s="54"/>
      <c r="BC48" s="55">
        <v>15</v>
      </c>
      <c r="BD48" s="55"/>
      <c r="BE48" s="54"/>
      <c r="BF48" s="55"/>
    </row>
    <row r="49" spans="1:58" ht="12.95" customHeight="1">
      <c r="A49" s="44"/>
      <c r="B49" s="45"/>
      <c r="C49" s="452"/>
      <c r="D49" s="45"/>
      <c r="E49" s="46"/>
      <c r="F49" s="46"/>
      <c r="G49" s="465"/>
      <c r="H49" s="48"/>
      <c r="I49" s="49"/>
      <c r="J49" s="91"/>
      <c r="K49" s="91"/>
      <c r="L49" s="39"/>
      <c r="M49" s="39"/>
      <c r="N49" s="50"/>
      <c r="O49" s="51"/>
      <c r="P49" s="52"/>
      <c r="Q49" s="51"/>
      <c r="R49" s="422"/>
      <c r="S49" s="422"/>
      <c r="T49" s="41"/>
      <c r="U49" s="41"/>
      <c r="V49" s="41"/>
      <c r="W49" s="41"/>
      <c r="X49" s="42"/>
      <c r="Y49" s="223"/>
      <c r="Z49" s="41"/>
      <c r="AA49" s="41"/>
      <c r="AB49" s="41"/>
      <c r="AC49" s="41"/>
      <c r="AD49" s="41">
        <f>+AM49+BA49</f>
        <v>26</v>
      </c>
      <c r="AE49" s="241" t="s">
        <v>600</v>
      </c>
      <c r="AF49" s="37"/>
      <c r="AG49" s="37"/>
      <c r="AH49" s="37">
        <v>26</v>
      </c>
      <c r="AI49" s="609"/>
      <c r="AJ49" s="41"/>
      <c r="AK49" s="41"/>
      <c r="AL49" s="41"/>
      <c r="AM49" s="41">
        <f>SUM(AF49:AL49)+AT49+AV49+AX49</f>
        <v>26</v>
      </c>
      <c r="AN49" s="41"/>
      <c r="AO49" s="41"/>
      <c r="AP49" s="41"/>
      <c r="AQ49" s="41"/>
      <c r="AR49" s="41">
        <f>SUM(AN49:AQ49)</f>
        <v>0</v>
      </c>
      <c r="AS49" s="41"/>
      <c r="AT49" s="41"/>
      <c r="AU49" s="41"/>
      <c r="AV49" s="41"/>
      <c r="AW49" s="41"/>
      <c r="AX49" s="41"/>
      <c r="AY49" s="41"/>
      <c r="AZ49" s="41"/>
      <c r="BA49" s="41">
        <f>+AR49+AS49+AU49+AW49+AY49+AZ49</f>
        <v>0</v>
      </c>
      <c r="BB49" s="37"/>
      <c r="BC49" s="57"/>
      <c r="BD49" s="57"/>
      <c r="BE49" s="37"/>
      <c r="BF49" s="57"/>
    </row>
    <row r="50" spans="1:58" ht="12.95" customHeight="1">
      <c r="A50" s="44"/>
      <c r="B50" s="45"/>
      <c r="C50" s="452"/>
      <c r="D50" s="45"/>
      <c r="E50" s="46"/>
      <c r="F50" s="46"/>
      <c r="G50" s="465"/>
      <c r="H50" s="48"/>
      <c r="I50" s="49"/>
      <c r="J50" s="91"/>
      <c r="K50" s="91"/>
      <c r="L50" s="39"/>
      <c r="M50" s="39"/>
      <c r="N50" s="50"/>
      <c r="O50" s="51"/>
      <c r="P50" s="52"/>
      <c r="Q50" s="51"/>
      <c r="R50" s="422"/>
      <c r="S50" s="422"/>
      <c r="T50" s="41"/>
      <c r="U50" s="41"/>
      <c r="V50" s="41"/>
      <c r="W50" s="41"/>
      <c r="X50" s="42"/>
      <c r="Y50" s="223"/>
      <c r="Z50" s="41"/>
      <c r="AA50" s="41"/>
      <c r="AB50" s="41"/>
      <c r="AC50" s="41"/>
      <c r="AD50" s="41">
        <f>+AM50+BA50</f>
        <v>8</v>
      </c>
      <c r="AE50" s="241" t="s">
        <v>424</v>
      </c>
      <c r="AF50" s="37"/>
      <c r="AG50" s="37"/>
      <c r="AH50" s="37"/>
      <c r="AI50" s="461">
        <v>8</v>
      </c>
      <c r="AJ50" s="41"/>
      <c r="AK50" s="41"/>
      <c r="AL50" s="41"/>
      <c r="AM50" s="41">
        <f>SUM(AF50:AL50)+AT50+AV50+AX50</f>
        <v>8</v>
      </c>
      <c r="AN50" s="41"/>
      <c r="AO50" s="41"/>
      <c r="AP50" s="41"/>
      <c r="AQ50" s="41"/>
      <c r="AR50" s="41">
        <f>SUM(AN50:AQ50)</f>
        <v>0</v>
      </c>
      <c r="AS50" s="41"/>
      <c r="AT50" s="41"/>
      <c r="AU50" s="41"/>
      <c r="AV50" s="41"/>
      <c r="AW50" s="41"/>
      <c r="AX50" s="41"/>
      <c r="AY50" s="41"/>
      <c r="AZ50" s="41"/>
      <c r="BA50" s="41">
        <f>+AR50+AS50+AU50+AW50+AY50+AZ50</f>
        <v>0</v>
      </c>
      <c r="BB50" s="37"/>
      <c r="BC50" s="57"/>
      <c r="BD50" s="57"/>
      <c r="BE50" s="37"/>
      <c r="BF50" s="57"/>
    </row>
    <row r="51" spans="1:58" ht="12.95" customHeight="1">
      <c r="A51" s="44"/>
      <c r="B51" s="45"/>
      <c r="C51" s="452"/>
      <c r="D51" s="45"/>
      <c r="E51" s="46"/>
      <c r="F51" s="46"/>
      <c r="G51" s="47"/>
      <c r="H51" s="48"/>
      <c r="I51" s="49"/>
      <c r="J51" s="91"/>
      <c r="K51" s="91"/>
      <c r="L51" s="39"/>
      <c r="M51" s="39"/>
      <c r="N51" s="50"/>
      <c r="O51" s="51"/>
      <c r="P51" s="52"/>
      <c r="Q51" s="51"/>
      <c r="R51" s="422"/>
      <c r="S51" s="422"/>
      <c r="T51" s="41"/>
      <c r="U51" s="41"/>
      <c r="V51" s="41"/>
      <c r="W51" s="41"/>
      <c r="X51" s="42"/>
      <c r="Y51" s="223"/>
      <c r="Z51" s="41"/>
      <c r="AA51" s="41"/>
      <c r="AB51" s="41"/>
      <c r="AC51" s="41"/>
      <c r="AD51" s="41"/>
      <c r="AE51" s="2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37"/>
      <c r="BC51" s="55"/>
      <c r="BD51" s="55"/>
      <c r="BE51" s="55"/>
      <c r="BF51" s="55"/>
    </row>
    <row r="52" spans="1:58" ht="12.75" customHeight="1">
      <c r="A52" s="44">
        <v>45940</v>
      </c>
      <c r="B52" s="45" t="s">
        <v>7</v>
      </c>
      <c r="C52" s="452">
        <f>(M52*E52*O52*Q52)/100000000</f>
        <v>48.528103680000001</v>
      </c>
      <c r="D52" s="45" t="s">
        <v>411</v>
      </c>
      <c r="E52" s="46">
        <v>12</v>
      </c>
      <c r="F52" s="46">
        <v>1</v>
      </c>
      <c r="G52" s="465">
        <v>1700</v>
      </c>
      <c r="H52" s="48">
        <v>0.2</v>
      </c>
      <c r="I52" s="49">
        <v>0.88</v>
      </c>
      <c r="J52" s="91">
        <f>E52*G52*(1-H52)*1440/1000000*2.77</f>
        <v>65.097216000000003</v>
      </c>
      <c r="K52" s="91">
        <f>(IF(G52&lt;L52,L52,G52)*(1-IF(H52&lt;N52,H52,N52))*E52*O52*Q52)/100000000</f>
        <v>51.442272000000003</v>
      </c>
      <c r="L52" s="39">
        <v>1688.1012658227849</v>
      </c>
      <c r="M52" s="39">
        <v>1282.9569620253164</v>
      </c>
      <c r="N52" s="50">
        <f>1-(M52/L52)</f>
        <v>0.24</v>
      </c>
      <c r="O52" s="51">
        <f>+'Trim Rwd'!H42</f>
        <v>266</v>
      </c>
      <c r="P52" s="52">
        <f>O52*(Q52-R52-S52)</f>
        <v>296590</v>
      </c>
      <c r="Q52" s="51">
        <v>1185</v>
      </c>
      <c r="R52" s="422">
        <v>0</v>
      </c>
      <c r="S52" s="422">
        <v>70</v>
      </c>
      <c r="T52" s="41">
        <f>E52*M52*O52*Q52/100000000</f>
        <v>48.528103680000001</v>
      </c>
      <c r="U52" s="41">
        <f>E52*M52*O52*(Q52-R52-S52)/100000000</f>
        <v>45.661464644050639</v>
      </c>
      <c r="V52" s="41">
        <f>E52*G52*(1-N52)*O52/100*(R52+S52)/1000000</f>
        <v>2.8868448</v>
      </c>
      <c r="W52" s="41">
        <f>+'10'!K16/1000</f>
        <v>45.844999999999999</v>
      </c>
      <c r="X52" s="419">
        <f>SUM(W52:W55)/SUM(K52:K55)</f>
        <v>0.80516096591570163</v>
      </c>
      <c r="Y52" s="223">
        <v>0</v>
      </c>
      <c r="Z52" s="41">
        <f>+'10'!D34/1000</f>
        <v>0.68899999999999995</v>
      </c>
      <c r="AA52" s="53">
        <f>SUM(U52:U55)-SUM(W52:W55)-SUM(Z52:Z55)-SUM(Y52:Y55)</f>
        <v>3.8285064652271146</v>
      </c>
      <c r="AB52" s="53">
        <f>(SUM(K52:K55)-SUM(W52:W55)-SUM(Y52:Y55)-SUM(Z52:Z55)-SUM(AC52:AC55)-SUM(V52:V55))-AA52</f>
        <v>-7.3880433227107467E-2</v>
      </c>
      <c r="AC52" s="41">
        <f>K52-T52</f>
        <v>2.9141683200000017</v>
      </c>
      <c r="AD52" s="41">
        <f>+AM52+BA52</f>
        <v>55</v>
      </c>
      <c r="AE52" s="241" t="s">
        <v>617</v>
      </c>
      <c r="AF52" s="41">
        <v>55</v>
      </c>
      <c r="AG52" s="41"/>
      <c r="AH52" s="41"/>
      <c r="AI52" s="609"/>
      <c r="AJ52" s="41"/>
      <c r="AK52" s="41"/>
      <c r="AL52" s="41"/>
      <c r="AM52" s="41">
        <f>SUM(AF52:AL52)+AT52+AV52+AX52</f>
        <v>55</v>
      </c>
      <c r="AN52" s="41"/>
      <c r="AO52" s="41"/>
      <c r="AP52" s="41"/>
      <c r="AQ52" s="41"/>
      <c r="AR52" s="41">
        <f>SUM(AN52:AQ52)</f>
        <v>0</v>
      </c>
      <c r="AS52" s="41"/>
      <c r="AT52" s="41"/>
      <c r="AU52" s="41"/>
      <c r="AV52" s="41"/>
      <c r="AW52" s="41"/>
      <c r="AX52" s="41"/>
      <c r="AY52" s="41"/>
      <c r="AZ52" s="41"/>
      <c r="BA52" s="41">
        <f>+AR52+AS52+AU52+AW52+AY52+AZ52</f>
        <v>0</v>
      </c>
      <c r="BB52" s="37">
        <v>11</v>
      </c>
      <c r="BC52" s="55"/>
      <c r="BD52" s="55"/>
      <c r="BE52" s="37"/>
      <c r="BF52" s="55"/>
    </row>
    <row r="53" spans="1:58" ht="12.95" customHeight="1">
      <c r="A53" s="44"/>
      <c r="B53" s="45" t="s">
        <v>7</v>
      </c>
      <c r="C53" s="452">
        <f>(M53*E53*O53*Q53)/100000000</f>
        <v>8.9364827999999985</v>
      </c>
      <c r="D53" s="45" t="s">
        <v>411</v>
      </c>
      <c r="E53" s="46">
        <v>10.5</v>
      </c>
      <c r="F53" s="46">
        <v>1</v>
      </c>
      <c r="G53" s="465">
        <v>1730</v>
      </c>
      <c r="H53" s="608">
        <v>0.24</v>
      </c>
      <c r="I53" s="49">
        <v>0.88</v>
      </c>
      <c r="J53" s="91">
        <f>E53*G53*(1-H53)*1440/1000000*2.77</f>
        <v>55.066979519999997</v>
      </c>
      <c r="K53" s="91">
        <f>(IF(G53&lt;L53,L53,G53)*(1-IF(H53&lt;N53,H53,N53))*E53*O53*Q53)/100000000</f>
        <v>9.3642028199999992</v>
      </c>
      <c r="L53" s="39">
        <v>1650.9803921568628</v>
      </c>
      <c r="M53" s="39">
        <v>1254.7450980392157</v>
      </c>
      <c r="N53" s="50">
        <f>1-(M53/L53)</f>
        <v>0.24</v>
      </c>
      <c r="O53" s="51">
        <f>+'Trim Rwd'!H43</f>
        <v>266</v>
      </c>
      <c r="P53" s="52">
        <f>O53*(Q53-R53-S53)</f>
        <v>59318</v>
      </c>
      <c r="Q53" s="51">
        <v>255</v>
      </c>
      <c r="R53" s="422">
        <v>0</v>
      </c>
      <c r="S53" s="422">
        <v>32</v>
      </c>
      <c r="T53" s="41">
        <f>E53*M53*O53*Q53/100000000</f>
        <v>8.9364827999999985</v>
      </c>
      <c r="U53" s="41">
        <f>E53*M53*O53*(Q53-R53-S53)/100000000</f>
        <v>7.8150418211764707</v>
      </c>
      <c r="V53" s="41">
        <f>E53*G53*(1-N53)*O53/100*(R53+S53)/1000000</f>
        <v>1.175115648</v>
      </c>
      <c r="W53" s="41">
        <f>+'10'!K17/1000</f>
        <v>3.1139999999999999</v>
      </c>
      <c r="X53" s="42"/>
      <c r="Y53" s="223"/>
      <c r="Z53" s="41"/>
      <c r="AA53" s="41"/>
      <c r="AB53" s="41"/>
      <c r="AC53" s="41">
        <f>K53-T53</f>
        <v>0.42772002000000064</v>
      </c>
      <c r="AD53" s="41">
        <f>+AM53+BA53</f>
        <v>16</v>
      </c>
      <c r="AE53" s="241" t="s">
        <v>618</v>
      </c>
      <c r="AF53" s="41"/>
      <c r="AG53" s="41">
        <v>16</v>
      </c>
      <c r="AH53" s="41"/>
      <c r="AI53" s="609"/>
      <c r="AJ53" s="41"/>
      <c r="AK53" s="41"/>
      <c r="AL53" s="41"/>
      <c r="AM53" s="41">
        <f>SUM(AF53:AL53)+AT53+AV53+AX53</f>
        <v>16</v>
      </c>
      <c r="AN53" s="92"/>
      <c r="AO53" s="41"/>
      <c r="AP53" s="41"/>
      <c r="AQ53" s="41"/>
      <c r="AR53" s="41">
        <f>SUM(AN53:AQ53)</f>
        <v>0</v>
      </c>
      <c r="AS53" s="41"/>
      <c r="AT53" s="41"/>
      <c r="AU53" s="41"/>
      <c r="AV53" s="41"/>
      <c r="AW53" s="41"/>
      <c r="AX53" s="41"/>
      <c r="AY53" s="41"/>
      <c r="AZ53" s="41"/>
      <c r="BA53" s="41">
        <f>+AR53+AS53+AU53+AW53+AY53+AZ53</f>
        <v>0</v>
      </c>
      <c r="BB53" s="54"/>
      <c r="BC53" s="55">
        <v>12</v>
      </c>
      <c r="BD53" s="55"/>
      <c r="BE53" s="54"/>
      <c r="BF53" s="55"/>
    </row>
    <row r="54" spans="1:58" ht="12.95" customHeight="1">
      <c r="A54" s="44"/>
      <c r="B54" s="45"/>
      <c r="C54" s="452"/>
      <c r="D54" s="45"/>
      <c r="E54" s="46"/>
      <c r="F54" s="46"/>
      <c r="G54" s="465"/>
      <c r="H54" s="48"/>
      <c r="I54" s="49"/>
      <c r="J54" s="91"/>
      <c r="K54" s="91"/>
      <c r="L54" s="39"/>
      <c r="M54" s="39"/>
      <c r="N54" s="50"/>
      <c r="O54" s="51"/>
      <c r="P54" s="52"/>
      <c r="Q54" s="51"/>
      <c r="R54" s="422"/>
      <c r="S54" s="422"/>
      <c r="T54" s="41"/>
      <c r="U54" s="41"/>
      <c r="V54" s="41"/>
      <c r="W54" s="41"/>
      <c r="X54" s="42"/>
      <c r="Y54" s="223"/>
      <c r="Z54" s="41"/>
      <c r="AA54" s="41"/>
      <c r="AB54" s="41"/>
      <c r="AC54" s="41"/>
      <c r="AD54" s="41">
        <f>+AM54+BA54</f>
        <v>31</v>
      </c>
      <c r="AE54" s="241" t="s">
        <v>619</v>
      </c>
      <c r="AF54" s="37"/>
      <c r="AG54" s="37"/>
      <c r="AH54" s="37">
        <v>31</v>
      </c>
      <c r="AI54" s="609"/>
      <c r="AJ54" s="41"/>
      <c r="AK54" s="41"/>
      <c r="AL54" s="41"/>
      <c r="AM54" s="41">
        <f>SUM(AF54:AL54)+AT54+AV54+AX54</f>
        <v>31</v>
      </c>
      <c r="AN54" s="41"/>
      <c r="AO54" s="41"/>
      <c r="AP54" s="41"/>
      <c r="AQ54" s="41"/>
      <c r="AR54" s="41">
        <f>SUM(AN54:AQ54)</f>
        <v>0</v>
      </c>
      <c r="AS54" s="41"/>
      <c r="AT54" s="41"/>
      <c r="AU54" s="41"/>
      <c r="AV54" s="41"/>
      <c r="AW54" s="41"/>
      <c r="AX54" s="41"/>
      <c r="AY54" s="41"/>
      <c r="AZ54" s="41"/>
      <c r="BA54" s="41">
        <f>+AR54+AS54+AU54+AW54+AY54+AZ54</f>
        <v>0</v>
      </c>
      <c r="BB54" s="37"/>
      <c r="BC54" s="57"/>
      <c r="BD54" s="57"/>
      <c r="BE54" s="37"/>
      <c r="BF54" s="57"/>
    </row>
    <row r="55" spans="1:58" ht="12.95" customHeight="1">
      <c r="A55" s="44"/>
      <c r="B55" s="45"/>
      <c r="C55" s="452"/>
      <c r="D55" s="45"/>
      <c r="E55" s="46"/>
      <c r="F55" s="46"/>
      <c r="G55" s="465"/>
      <c r="H55" s="48"/>
      <c r="I55" s="49"/>
      <c r="J55" s="91"/>
      <c r="K55" s="91"/>
      <c r="L55" s="39"/>
      <c r="M55" s="39"/>
      <c r="N55" s="50"/>
      <c r="O55" s="51"/>
      <c r="P55" s="52"/>
      <c r="Q55" s="51"/>
      <c r="R55" s="422"/>
      <c r="S55" s="422"/>
      <c r="T55" s="41"/>
      <c r="U55" s="41"/>
      <c r="V55" s="41"/>
      <c r="W55" s="41"/>
      <c r="X55" s="42"/>
      <c r="Y55" s="223"/>
      <c r="Z55" s="41"/>
      <c r="AA55" s="41"/>
      <c r="AB55" s="41"/>
      <c r="AC55" s="41"/>
      <c r="AD55" s="41"/>
      <c r="AE55" s="241"/>
      <c r="AF55" s="37"/>
      <c r="AG55" s="37"/>
      <c r="AH55" s="37"/>
      <c r="AI55" s="46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37"/>
      <c r="BC55" s="57"/>
      <c r="BD55" s="57"/>
      <c r="BE55" s="37"/>
      <c r="BF55" s="57"/>
    </row>
    <row r="56" spans="1:58" ht="12.75" customHeight="1">
      <c r="A56" s="44">
        <v>45941</v>
      </c>
      <c r="B56" s="45" t="s">
        <v>7</v>
      </c>
      <c r="C56" s="452">
        <f>(M56*E56*O56*Q56)/100000000</f>
        <v>29.751482880000001</v>
      </c>
      <c r="D56" s="45" t="s">
        <v>411</v>
      </c>
      <c r="E56" s="46">
        <v>10.5</v>
      </c>
      <c r="F56" s="46">
        <v>1</v>
      </c>
      <c r="G56" s="465">
        <v>1730</v>
      </c>
      <c r="H56" s="608">
        <v>0.24</v>
      </c>
      <c r="I56" s="49">
        <v>0.88</v>
      </c>
      <c r="J56" s="91">
        <f>E56*G56*(1-H56)*1440/1000000*2.77</f>
        <v>55.066979519999997</v>
      </c>
      <c r="K56" s="91">
        <f>(IF(G56&lt;L56,L56,G56)*(1-IF(H56&lt;N56,H56,N56))*E56*O56*Q56)/100000000</f>
        <v>30.846785759999996</v>
      </c>
      <c r="L56" s="39">
        <v>1668.5714285714287</v>
      </c>
      <c r="M56" s="39">
        <v>1268.1142857142856</v>
      </c>
      <c r="N56" s="50">
        <f>1-(M56/L56)</f>
        <v>0.2400000000000001</v>
      </c>
      <c r="O56" s="51">
        <f>+'Trim Rwd'!H45</f>
        <v>266</v>
      </c>
      <c r="P56" s="52">
        <f>O56*(Q56-R56-S56)</f>
        <v>212534</v>
      </c>
      <c r="Q56" s="51">
        <v>840</v>
      </c>
      <c r="R56" s="422">
        <v>0</v>
      </c>
      <c r="S56" s="422">
        <f>15+26</f>
        <v>41</v>
      </c>
      <c r="T56" s="41">
        <f>E56*M56*O56*Q56/100000000</f>
        <v>29.751482880000001</v>
      </c>
      <c r="U56" s="41">
        <f>E56*M56*O56*(Q56-R56-S56)/100000000</f>
        <v>28.299327167999998</v>
      </c>
      <c r="V56" s="41">
        <f>E56*G56*(1-N56)*O56/100*(R56+S56)/1000000</f>
        <v>1.5056169239999997</v>
      </c>
      <c r="W56" s="41">
        <f>+'11'!K17/1000</f>
        <v>32.396999999999998</v>
      </c>
      <c r="X56" s="419">
        <f>SUM(W56:W59)/SUM(K56:K59)</f>
        <v>0.89387041756401464</v>
      </c>
      <c r="Y56" s="223">
        <v>0</v>
      </c>
      <c r="Z56" s="41">
        <v>0</v>
      </c>
      <c r="AA56" s="53">
        <f>SUM(U56:U59)-SUM(W56:W59)-SUM(Z56:Z59)-SUM(Y56:Y59)</f>
        <v>1.71977768</v>
      </c>
      <c r="AB56" s="53">
        <f>(SUM(K56:K59)-SUM(W56:W59)-SUM(Y56:Y59)-SUM(Z56:Z59)-SUM(AC56:AC59)-SUM(V56:V59))-AA56</f>
        <v>6.6210698400005707E-2</v>
      </c>
      <c r="AC56" s="41">
        <f>K56-T56</f>
        <v>1.0953028799999949</v>
      </c>
      <c r="AD56" s="41">
        <f>+AM56+BA56</f>
        <v>15</v>
      </c>
      <c r="AE56" s="241" t="s">
        <v>614</v>
      </c>
      <c r="AF56" s="41">
        <v>15</v>
      </c>
      <c r="AG56" s="41"/>
      <c r="AH56" s="41"/>
      <c r="AI56" s="609"/>
      <c r="AJ56" s="41"/>
      <c r="AK56" s="41"/>
      <c r="AL56" s="41"/>
      <c r="AM56" s="41">
        <f>SUM(AF56:AL56)+AT56+AV56+AX56</f>
        <v>15</v>
      </c>
      <c r="AN56" s="41"/>
      <c r="AO56" s="41"/>
      <c r="AP56" s="41"/>
      <c r="AQ56" s="41"/>
      <c r="AR56" s="41">
        <f>SUM(AN56:AQ56)</f>
        <v>0</v>
      </c>
      <c r="AS56" s="41"/>
      <c r="AT56" s="41"/>
      <c r="AU56" s="41"/>
      <c r="AV56" s="41"/>
      <c r="AW56" s="41"/>
      <c r="AX56" s="41"/>
      <c r="AY56" s="41"/>
      <c r="AZ56" s="41"/>
      <c r="BA56" s="41">
        <f>+AR56+AS56+AU56+AW56+AY56+AZ56</f>
        <v>0</v>
      </c>
      <c r="BB56" s="37">
        <v>3</v>
      </c>
      <c r="BC56" s="55"/>
      <c r="BD56" s="55"/>
      <c r="BE56" s="37"/>
      <c r="BF56" s="55"/>
    </row>
    <row r="57" spans="1:58" ht="12.95" customHeight="1">
      <c r="A57" s="44"/>
      <c r="B57" s="45" t="s">
        <v>7</v>
      </c>
      <c r="C57" s="452">
        <f>(M57*E57*O57*Q57)/100000000</f>
        <v>11.3920884</v>
      </c>
      <c r="D57" s="45" t="s">
        <v>411</v>
      </c>
      <c r="E57" s="46">
        <v>10.3</v>
      </c>
      <c r="F57" s="46">
        <v>1</v>
      </c>
      <c r="G57" s="465">
        <v>1730</v>
      </c>
      <c r="H57" s="48">
        <v>0.16</v>
      </c>
      <c r="I57" s="49">
        <v>0.88</v>
      </c>
      <c r="J57" s="91">
        <f>E57*G57*(1-H57)*1440/1000000*2.77</f>
        <v>59.704198847999997</v>
      </c>
      <c r="K57" s="91">
        <f>(IF(G57&lt;L57,L57,G57)*(1-IF(H57&lt;N57,H57,N57))*E57*O57*Q57)/100000000</f>
        <v>11.94443208</v>
      </c>
      <c r="L57" s="39">
        <v>1650</v>
      </c>
      <c r="M57" s="39">
        <f>+L57-L57*0.16</f>
        <v>1386</v>
      </c>
      <c r="N57" s="50">
        <f>1-(M57/L57)</f>
        <v>0.16000000000000003</v>
      </c>
      <c r="O57" s="51">
        <f>+'Trim Rwd'!H46</f>
        <v>266</v>
      </c>
      <c r="P57" s="52">
        <f>O57*(Q57-R57-S57)</f>
        <v>75544</v>
      </c>
      <c r="Q57" s="51">
        <v>300</v>
      </c>
      <c r="R57" s="422">
        <v>0</v>
      </c>
      <c r="S57" s="422">
        <v>16</v>
      </c>
      <c r="T57" s="41">
        <f>E57*M57*O57*Q57/100000000</f>
        <v>11.3920884</v>
      </c>
      <c r="U57" s="41">
        <f>E57*M57*O57*(Q57-R57-S57)/100000000</f>
        <v>10.784510352</v>
      </c>
      <c r="V57" s="41">
        <f>E57*G57*(1-N57)*O57/100*(R57+S57)/1000000</f>
        <v>0.63703637759999998</v>
      </c>
      <c r="W57" s="41">
        <f>+'11'!K8/1000</f>
        <v>10.47</v>
      </c>
      <c r="X57" s="42"/>
      <c r="Y57" s="223"/>
      <c r="Z57" s="41"/>
      <c r="AA57" s="41"/>
      <c r="AB57" s="41"/>
      <c r="AC57" s="41">
        <f>K57-T57</f>
        <v>0.55234367999999989</v>
      </c>
      <c r="AD57" s="41">
        <f>+AM57+BA57</f>
        <v>16</v>
      </c>
      <c r="AE57" s="241" t="s">
        <v>639</v>
      </c>
      <c r="AF57" s="41"/>
      <c r="AG57" s="41">
        <v>16</v>
      </c>
      <c r="AH57" s="41"/>
      <c r="AI57" s="609"/>
      <c r="AJ57" s="41"/>
      <c r="AK57" s="41"/>
      <c r="AL57" s="41"/>
      <c r="AM57" s="41">
        <f>SUM(AF57:AL57)+AT57+AV57+AX57</f>
        <v>16</v>
      </c>
      <c r="AN57" s="92"/>
      <c r="AO57" s="41"/>
      <c r="AP57" s="41"/>
      <c r="AQ57" s="41"/>
      <c r="AR57" s="41">
        <f>SUM(AN57:AQ57)</f>
        <v>0</v>
      </c>
      <c r="AS57" s="41"/>
      <c r="AT57" s="41"/>
      <c r="AU57" s="41"/>
      <c r="AV57" s="41"/>
      <c r="AW57" s="41"/>
      <c r="AX57" s="41"/>
      <c r="AY57" s="41"/>
      <c r="AZ57" s="41"/>
      <c r="BA57" s="41">
        <f>+AR57+AS57+AU57+AW57+AY57+AZ57</f>
        <v>0</v>
      </c>
      <c r="BB57" s="54"/>
      <c r="BC57" s="55">
        <v>17</v>
      </c>
      <c r="BD57" s="55"/>
      <c r="BE57" s="54"/>
      <c r="BF57" s="55"/>
    </row>
    <row r="58" spans="1:58" ht="12.95" customHeight="1">
      <c r="A58" s="44"/>
      <c r="B58" s="45" t="s">
        <v>7</v>
      </c>
      <c r="C58" s="452">
        <f>(M58*E58*O58*Q58)/100000000</f>
        <v>12.870144</v>
      </c>
      <c r="D58" s="45" t="s">
        <v>411</v>
      </c>
      <c r="E58" s="46">
        <v>12</v>
      </c>
      <c r="F58" s="46">
        <v>1</v>
      </c>
      <c r="G58" s="465">
        <v>1700</v>
      </c>
      <c r="H58" s="48">
        <v>0.2</v>
      </c>
      <c r="I58" s="49">
        <v>0.88</v>
      </c>
      <c r="J58" s="91">
        <f>E58*G58*(1-H58)*1440/1000000*2.77</f>
        <v>65.097216000000003</v>
      </c>
      <c r="K58" s="91">
        <f>(IF(G58&lt;L58,L58,G58)*(1-IF(H58&lt;N58,H58,N58))*E58*O58*Q58)/100000000</f>
        <v>13.02336</v>
      </c>
      <c r="L58" s="39">
        <v>1680</v>
      </c>
      <c r="M58" s="39">
        <f>+L58-L58*0.2</f>
        <v>1344</v>
      </c>
      <c r="N58" s="50">
        <f>1-(M58/L58)</f>
        <v>0.19999999999999996</v>
      </c>
      <c r="O58" s="51">
        <f>+'Trim Rwd'!H47</f>
        <v>266</v>
      </c>
      <c r="P58" s="52">
        <f>O58*(Q58-R58-S58)</f>
        <v>77672</v>
      </c>
      <c r="Q58" s="51">
        <v>300</v>
      </c>
      <c r="R58" s="422">
        <v>0</v>
      </c>
      <c r="S58" s="422">
        <v>8</v>
      </c>
      <c r="T58" s="41">
        <f>E58*M58*O58*Q58/100000000</f>
        <v>12.870144</v>
      </c>
      <c r="U58" s="41">
        <f>E58*M58*O58*(Q58-R58-S58)/100000000</f>
        <v>12.526940160000001</v>
      </c>
      <c r="V58" s="41">
        <f>E58*G58*(1-N58)*O58/100*(R58+S58)/1000000</f>
        <v>0.34728959999999998</v>
      </c>
      <c r="W58" s="41">
        <f>+'11'!K16/1000</f>
        <v>7.024</v>
      </c>
      <c r="X58" s="42"/>
      <c r="Y58" s="223"/>
      <c r="Z58" s="41"/>
      <c r="AA58" s="41"/>
      <c r="AB58" s="41"/>
      <c r="AC58" s="41"/>
      <c r="AD58" s="41">
        <f>+AM58+BA58</f>
        <v>26</v>
      </c>
      <c r="AE58" s="241" t="s">
        <v>619</v>
      </c>
      <c r="AF58" s="37"/>
      <c r="AG58" s="37"/>
      <c r="AH58" s="37">
        <v>26</v>
      </c>
      <c r="AI58" s="609"/>
      <c r="AJ58" s="41"/>
      <c r="AK58" s="41"/>
      <c r="AL58" s="41"/>
      <c r="AM58" s="41">
        <f>SUM(AF58:AL58)+AT58+AV58+AX58</f>
        <v>26</v>
      </c>
      <c r="AN58" s="41"/>
      <c r="AO58" s="41"/>
      <c r="AP58" s="41"/>
      <c r="AQ58" s="41"/>
      <c r="AR58" s="41">
        <f>SUM(AN58:AQ58)</f>
        <v>0</v>
      </c>
      <c r="AS58" s="41"/>
      <c r="AT58" s="41"/>
      <c r="AU58" s="41"/>
      <c r="AV58" s="41"/>
      <c r="AW58" s="41"/>
      <c r="AX58" s="41"/>
      <c r="AY58" s="41"/>
      <c r="AZ58" s="41"/>
      <c r="BA58" s="41">
        <f>+AR58+AS58+AU58+AW58+AY58+AZ58</f>
        <v>0</v>
      </c>
      <c r="BB58" s="37"/>
      <c r="BC58" s="57"/>
      <c r="BD58" s="57"/>
      <c r="BE58" s="37"/>
      <c r="BF58" s="57"/>
    </row>
    <row r="59" spans="1:58" ht="12.95" customHeight="1">
      <c r="A59" s="44"/>
      <c r="B59" s="45"/>
      <c r="C59" s="452"/>
      <c r="D59" s="45"/>
      <c r="E59" s="46"/>
      <c r="F59" s="46"/>
      <c r="G59" s="465"/>
      <c r="H59" s="48"/>
      <c r="I59" s="49"/>
      <c r="J59" s="91"/>
      <c r="K59" s="91"/>
      <c r="L59" s="39"/>
      <c r="M59" s="39"/>
      <c r="N59" s="50"/>
      <c r="O59" s="51"/>
      <c r="P59" s="52"/>
      <c r="Q59" s="51"/>
      <c r="R59" s="422"/>
      <c r="S59" s="422"/>
      <c r="T59" s="41"/>
      <c r="U59" s="41"/>
      <c r="V59" s="41"/>
      <c r="W59" s="41"/>
      <c r="X59" s="42"/>
      <c r="Y59" s="223"/>
      <c r="Z59" s="41"/>
      <c r="AA59" s="41"/>
      <c r="AB59" s="41"/>
      <c r="AC59" s="41"/>
      <c r="AD59" s="41">
        <f>+AM59+BA59</f>
        <v>8</v>
      </c>
      <c r="AE59" s="241" t="s">
        <v>424</v>
      </c>
      <c r="AF59" s="37"/>
      <c r="AG59" s="37"/>
      <c r="AH59" s="37"/>
      <c r="AI59" s="461">
        <v>8</v>
      </c>
      <c r="AJ59" s="41"/>
      <c r="AK59" s="41"/>
      <c r="AL59" s="41"/>
      <c r="AM59" s="41">
        <f>SUM(AF59:AL59)+AT59+AV59+AX59</f>
        <v>8</v>
      </c>
      <c r="AN59" s="41"/>
      <c r="AO59" s="41"/>
      <c r="AP59" s="41"/>
      <c r="AQ59" s="41"/>
      <c r="AR59" s="41">
        <f>SUM(AN59:AQ59)</f>
        <v>0</v>
      </c>
      <c r="AS59" s="41"/>
      <c r="AT59" s="41"/>
      <c r="AU59" s="41"/>
      <c r="AV59" s="41"/>
      <c r="AW59" s="41"/>
      <c r="AX59" s="41"/>
      <c r="AY59" s="41"/>
      <c r="AZ59" s="41"/>
      <c r="BA59" s="41">
        <f>+AR59+AS59+AU59+AW59+AY59+AZ59</f>
        <v>0</v>
      </c>
      <c r="BB59" s="37"/>
      <c r="BC59" s="57"/>
      <c r="BD59" s="57"/>
      <c r="BE59" s="37"/>
      <c r="BF59" s="57"/>
    </row>
    <row r="60" spans="1:58" ht="12.75" customHeight="1">
      <c r="A60" s="44"/>
      <c r="B60" s="45"/>
      <c r="C60" s="452"/>
      <c r="D60" s="45"/>
      <c r="E60" s="46"/>
      <c r="F60" s="46"/>
      <c r="G60" s="465"/>
      <c r="H60" s="48"/>
      <c r="I60" s="49"/>
      <c r="J60" s="91"/>
      <c r="K60" s="91"/>
      <c r="L60" s="39"/>
      <c r="M60" s="39"/>
      <c r="N60" s="50"/>
      <c r="O60" s="51"/>
      <c r="P60" s="52"/>
      <c r="Q60" s="51"/>
      <c r="R60" s="422"/>
      <c r="S60" s="422"/>
      <c r="T60" s="41"/>
      <c r="U60" s="41"/>
      <c r="V60" s="41"/>
      <c r="W60" s="41"/>
      <c r="X60" s="419"/>
      <c r="Y60" s="223"/>
      <c r="Z60" s="41"/>
      <c r="AA60" s="53"/>
      <c r="AB60" s="53"/>
      <c r="AC60" s="41"/>
      <c r="AD60" s="41"/>
      <c r="AE60" s="241"/>
      <c r="AF60" s="41"/>
      <c r="AG60" s="41"/>
      <c r="AH60" s="41"/>
      <c r="AI60" s="609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37"/>
      <c r="BC60" s="55"/>
      <c r="BD60" s="55"/>
      <c r="BE60" s="37"/>
      <c r="BF60" s="55"/>
    </row>
    <row r="61" spans="1:58" ht="12.75" customHeight="1">
      <c r="A61" s="44">
        <v>45942</v>
      </c>
      <c r="B61" s="45" t="s">
        <v>7</v>
      </c>
      <c r="C61" s="452">
        <f>(M61*E61*O61*Q61)/100000000</f>
        <v>59.764582079999997</v>
      </c>
      <c r="D61" s="45" t="s">
        <v>411</v>
      </c>
      <c r="E61" s="46">
        <v>12</v>
      </c>
      <c r="F61" s="46">
        <v>1</v>
      </c>
      <c r="G61" s="465">
        <v>1700</v>
      </c>
      <c r="H61" s="608">
        <f>+N61</f>
        <v>0.22113066267315618</v>
      </c>
      <c r="I61" s="49">
        <v>0.88</v>
      </c>
      <c r="J61" s="91">
        <f>E61*G61*(1-H61)*1440/1000000*2.77</f>
        <v>63.377781859678024</v>
      </c>
      <c r="K61" s="91">
        <f>(IF(G61&lt;L61,L61,G61)*(1-IF(H61&lt;N61,H61,N61))*E61*O61*Q61)/100000000</f>
        <v>60.860974637813548</v>
      </c>
      <c r="L61" s="39">
        <v>1669.375</v>
      </c>
      <c r="M61" s="39">
        <v>1300.2249999999999</v>
      </c>
      <c r="N61" s="50">
        <f>1-(M61/L61)</f>
        <v>0.22113066267315618</v>
      </c>
      <c r="O61" s="51">
        <f>+'Trim Rwd'!H49</f>
        <v>266</v>
      </c>
      <c r="P61" s="52">
        <f>O61*(Q61-R61-S61)</f>
        <v>351918</v>
      </c>
      <c r="Q61" s="51">
        <v>1440</v>
      </c>
      <c r="R61" s="422">
        <v>0</v>
      </c>
      <c r="S61" s="422">
        <v>117</v>
      </c>
      <c r="T61" s="41">
        <f>E61*M61*O61*Q61/100000000</f>
        <v>59.764582079999997</v>
      </c>
      <c r="U61" s="41">
        <f>E61*M61*O61*(Q61-R61-S61)/100000000</f>
        <v>54.908709785999996</v>
      </c>
      <c r="V61" s="41">
        <f>E61*G61*(1-N61)*O61/100*(R61+S61)/1000000</f>
        <v>4.9449541893223508</v>
      </c>
      <c r="W61" s="41">
        <f>+'12'!K34/1000</f>
        <v>48.902999999999999</v>
      </c>
      <c r="X61" s="419">
        <f>SUM(W61:W64)/SUM(K61:K64)</f>
        <v>0.80351983008855832</v>
      </c>
      <c r="Y61" s="223">
        <v>0</v>
      </c>
      <c r="Z61" s="41">
        <f>+'12'!D34/1000</f>
        <v>0.89</v>
      </c>
      <c r="AA61" s="53">
        <f>SUM(U61:U64)-SUM(W61:W64)-SUM(Z61:Z64)-SUM(Y61:Y64)</f>
        <v>5.1157097859999974</v>
      </c>
      <c r="AB61" s="53">
        <f>(SUM(K61:K64)-SUM(W61:W64)-SUM(Y61:Y64)-SUM(Z61:Z64)-SUM(AC61:AC64)-SUM(V61:V64))-AA61</f>
        <v>-8.9081895322350668E-2</v>
      </c>
      <c r="AC61" s="41">
        <f>K61-T61</f>
        <v>1.0963925578135516</v>
      </c>
      <c r="AD61" s="41">
        <f>+AM61+BA61</f>
        <v>65</v>
      </c>
      <c r="AE61" s="241" t="s">
        <v>643</v>
      </c>
      <c r="AF61" s="41">
        <v>65</v>
      </c>
      <c r="AG61" s="41"/>
      <c r="AH61" s="41"/>
      <c r="AI61" s="609"/>
      <c r="AJ61" s="41"/>
      <c r="AK61" s="41"/>
      <c r="AL61" s="41"/>
      <c r="AM61" s="41">
        <f>SUM(AF61:AL61)+AT61+AV61+AX61</f>
        <v>65</v>
      </c>
      <c r="AN61" s="41"/>
      <c r="AO61" s="41"/>
      <c r="AP61" s="41"/>
      <c r="AQ61" s="41"/>
      <c r="AR61" s="41">
        <f>SUM(AN61:AQ61)</f>
        <v>0</v>
      </c>
      <c r="AS61" s="41"/>
      <c r="AT61" s="41"/>
      <c r="AU61" s="41"/>
      <c r="AV61" s="41"/>
      <c r="AW61" s="41"/>
      <c r="AX61" s="41"/>
      <c r="AY61" s="41"/>
      <c r="AZ61" s="41"/>
      <c r="BA61" s="41">
        <f>+AR61+AS61+AU61+AW61+AY61+AZ61</f>
        <v>0</v>
      </c>
      <c r="BB61" s="37">
        <v>13</v>
      </c>
      <c r="BC61" s="55"/>
      <c r="BD61" s="55"/>
      <c r="BE61" s="37"/>
      <c r="BF61" s="55"/>
    </row>
    <row r="62" spans="1:58" ht="12.95" customHeight="1">
      <c r="A62" s="44"/>
      <c r="B62" s="45"/>
      <c r="C62" s="452"/>
      <c r="D62" s="45"/>
      <c r="E62" s="46"/>
      <c r="F62" s="46"/>
      <c r="G62" s="465"/>
      <c r="H62" s="48"/>
      <c r="I62" s="49"/>
      <c r="J62" s="91"/>
      <c r="K62" s="91"/>
      <c r="L62" s="39"/>
      <c r="M62" s="39"/>
      <c r="N62" s="50"/>
      <c r="O62" s="51"/>
      <c r="P62" s="52"/>
      <c r="Q62" s="51"/>
      <c r="R62" s="422"/>
      <c r="S62" s="422"/>
      <c r="T62" s="41"/>
      <c r="U62" s="41"/>
      <c r="V62" s="41"/>
      <c r="W62" s="41"/>
      <c r="X62" s="42"/>
      <c r="Y62" s="223"/>
      <c r="Z62" s="41"/>
      <c r="AA62" s="41"/>
      <c r="AB62" s="41"/>
      <c r="AC62" s="41"/>
      <c r="AD62" s="41">
        <f>+AM62+BA62</f>
        <v>22</v>
      </c>
      <c r="AE62" s="241" t="s">
        <v>644</v>
      </c>
      <c r="AF62" s="41"/>
      <c r="AG62" s="41">
        <v>22</v>
      </c>
      <c r="AH62" s="41"/>
      <c r="AI62" s="609"/>
      <c r="AJ62" s="41"/>
      <c r="AK62" s="41"/>
      <c r="AL62" s="41"/>
      <c r="AM62" s="41">
        <f>SUM(AF62:AL62)+AT62+AV62+AX62</f>
        <v>22</v>
      </c>
      <c r="AN62" s="92"/>
      <c r="AO62" s="41"/>
      <c r="AP62" s="41"/>
      <c r="AQ62" s="41"/>
      <c r="AR62" s="41">
        <f>SUM(AN62:AQ62)</f>
        <v>0</v>
      </c>
      <c r="AS62" s="41"/>
      <c r="AT62" s="41"/>
      <c r="AU62" s="41"/>
      <c r="AV62" s="41"/>
      <c r="AW62" s="41"/>
      <c r="AX62" s="41"/>
      <c r="AY62" s="41"/>
      <c r="AZ62" s="41"/>
      <c r="BA62" s="41">
        <f>+AR62+AS62+AU62+AW62+AY62+AZ62</f>
        <v>0</v>
      </c>
      <c r="BB62" s="54"/>
      <c r="BC62" s="55">
        <v>16</v>
      </c>
      <c r="BD62" s="55"/>
      <c r="BE62" s="54"/>
      <c r="BF62" s="55"/>
    </row>
    <row r="63" spans="1:58" ht="12.95" customHeight="1">
      <c r="A63" s="44"/>
      <c r="B63" s="45"/>
      <c r="C63" s="452"/>
      <c r="D63" s="45"/>
      <c r="E63" s="46"/>
      <c r="F63" s="46"/>
      <c r="G63" s="465"/>
      <c r="H63" s="48"/>
      <c r="I63" s="49"/>
      <c r="J63" s="91"/>
      <c r="K63" s="91"/>
      <c r="L63" s="39"/>
      <c r="M63" s="39"/>
      <c r="N63" s="50"/>
      <c r="O63" s="51"/>
      <c r="P63" s="52"/>
      <c r="Q63" s="51"/>
      <c r="R63" s="422"/>
      <c r="S63" s="422"/>
      <c r="T63" s="41"/>
      <c r="U63" s="41"/>
      <c r="V63" s="41"/>
      <c r="W63" s="41"/>
      <c r="X63" s="42"/>
      <c r="Y63" s="223"/>
      <c r="Z63" s="41"/>
      <c r="AA63" s="41"/>
      <c r="AB63" s="41"/>
      <c r="AC63" s="41"/>
      <c r="AD63" s="41">
        <f>+AM63+BA63</f>
        <v>30</v>
      </c>
      <c r="AE63" s="241" t="s">
        <v>645</v>
      </c>
      <c r="AF63" s="37"/>
      <c r="AG63" s="37"/>
      <c r="AH63" s="37">
        <v>30</v>
      </c>
      <c r="AI63" s="609"/>
      <c r="AJ63" s="41"/>
      <c r="AK63" s="41"/>
      <c r="AL63" s="41"/>
      <c r="AM63" s="41">
        <f>SUM(AF63:AL63)+AT63+AV63+AX63</f>
        <v>30</v>
      </c>
      <c r="AN63" s="41"/>
      <c r="AO63" s="41"/>
      <c r="AP63" s="41"/>
      <c r="AQ63" s="41"/>
      <c r="AR63" s="41">
        <f>SUM(AN63:AQ63)</f>
        <v>0</v>
      </c>
      <c r="AS63" s="41"/>
      <c r="AT63" s="41"/>
      <c r="AU63" s="41"/>
      <c r="AV63" s="41"/>
      <c r="AW63" s="41"/>
      <c r="AX63" s="41"/>
      <c r="AY63" s="41"/>
      <c r="AZ63" s="41"/>
      <c r="BA63" s="41">
        <f>+AR63+AS63+AU63+AW63+AY63+AZ63</f>
        <v>0</v>
      </c>
      <c r="BB63" s="37"/>
      <c r="BC63" s="57"/>
      <c r="BD63" s="57"/>
      <c r="BE63" s="37"/>
      <c r="BF63" s="57"/>
    </row>
    <row r="64" spans="1:58" ht="12.95" customHeight="1">
      <c r="A64" s="44"/>
      <c r="B64" s="45"/>
      <c r="C64" s="452"/>
      <c r="D64" s="45"/>
      <c r="E64" s="46"/>
      <c r="F64" s="46"/>
      <c r="G64" s="465"/>
      <c r="H64" s="48"/>
      <c r="I64" s="49"/>
      <c r="J64" s="91"/>
      <c r="K64" s="91"/>
      <c r="L64" s="39"/>
      <c r="M64" s="39"/>
      <c r="N64" s="50"/>
      <c r="O64" s="51"/>
      <c r="P64" s="52"/>
      <c r="Q64" s="51"/>
      <c r="R64" s="422"/>
      <c r="S64" s="422"/>
      <c r="T64" s="41"/>
      <c r="U64" s="41"/>
      <c r="V64" s="41"/>
      <c r="W64" s="41"/>
      <c r="X64" s="42"/>
      <c r="Y64" s="223"/>
      <c r="Z64" s="41"/>
      <c r="AA64" s="41"/>
      <c r="AB64" s="41"/>
      <c r="AC64" s="41"/>
      <c r="AD64" s="41"/>
      <c r="AE64" s="241"/>
      <c r="AF64" s="37"/>
      <c r="AG64" s="37"/>
      <c r="AH64" s="37"/>
      <c r="AI64" s="46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37"/>
      <c r="BC64" s="57"/>
      <c r="BD64" s="57"/>
      <c r="BE64" s="37"/>
      <c r="BF64" s="57"/>
    </row>
    <row r="65" spans="1:58" ht="12.75" customHeight="1">
      <c r="A65" s="44">
        <v>45943</v>
      </c>
      <c r="B65" s="45" t="s">
        <v>7</v>
      </c>
      <c r="C65" s="452">
        <f>(M65*E65*O65*Q65)/100000000</f>
        <v>58.06289454545454</v>
      </c>
      <c r="D65" s="45" t="s">
        <v>411</v>
      </c>
      <c r="E65" s="46">
        <v>12</v>
      </c>
      <c r="F65" s="46">
        <v>1</v>
      </c>
      <c r="G65" s="465">
        <v>1700</v>
      </c>
      <c r="H65" s="608">
        <v>0.24</v>
      </c>
      <c r="I65" s="49">
        <v>0.88</v>
      </c>
      <c r="J65" s="91">
        <f>E65*G65*(1-H65)*1440/1000000*2.77</f>
        <v>61.8423552</v>
      </c>
      <c r="K65" s="91">
        <f>(IF(G65&lt;L65,L65,G65)*(1-IF(H65&lt;N65,H65,N65))*E65*O65*Q65)/100000000</f>
        <v>59.224152436363632</v>
      </c>
      <c r="L65" s="39">
        <v>1666.6666666666667</v>
      </c>
      <c r="M65" s="39">
        <v>1266.6666666666667</v>
      </c>
      <c r="N65" s="50">
        <f>1-(M65/L65)</f>
        <v>0.24</v>
      </c>
      <c r="O65" s="51">
        <f>+'Trim Rwd'!H52</f>
        <v>265.27272727272725</v>
      </c>
      <c r="P65" s="52">
        <f>O65*(Q65-R65-S65)</f>
        <v>352812.72727272724</v>
      </c>
      <c r="Q65" s="51">
        <v>1440</v>
      </c>
      <c r="R65" s="422">
        <v>0</v>
      </c>
      <c r="S65" s="422">
        <v>110</v>
      </c>
      <c r="T65" s="41">
        <f>E65*M65*O65*Q65/100000000</f>
        <v>58.06289454545454</v>
      </c>
      <c r="U65" s="41">
        <f>E65*M65*O65*(Q65-R65-S65)/100000000</f>
        <v>53.627534545454537</v>
      </c>
      <c r="V65" s="41">
        <f>E65*G65*(1-N65)*O65/100*(R65+S65)/1000000</f>
        <v>4.5240672000000002</v>
      </c>
      <c r="W65" s="41">
        <f>+'13'!K34/1000</f>
        <v>55.070999999999998</v>
      </c>
      <c r="X65" s="419">
        <f>SUM(W65:W68)/SUM(K65:K68)</f>
        <v>0.92987400806071141</v>
      </c>
      <c r="Y65" s="223">
        <v>0</v>
      </c>
      <c r="Z65" s="41">
        <v>0</v>
      </c>
      <c r="AA65" s="53">
        <f>SUM(U65:U68)-SUM(W65:W68)-SUM(Z65:Z68)-SUM(Y65:Y68)</f>
        <v>-1.4434654545454606</v>
      </c>
      <c r="AB65" s="53">
        <f>(SUM(K65:K68)-SUM(W65:W68)-SUM(Y65:Y68)-SUM(Z65:Z68)-SUM(AC65:AC68)-SUM(V65:V68))-AA65</f>
        <v>-8.8707199999997322E-2</v>
      </c>
      <c r="AC65" s="41">
        <f>K65-T65</f>
        <v>1.1612578909090914</v>
      </c>
      <c r="AD65" s="41">
        <f>+AM65+BA65</f>
        <v>65</v>
      </c>
      <c r="AE65" s="241" t="s">
        <v>643</v>
      </c>
      <c r="AF65" s="41">
        <v>65</v>
      </c>
      <c r="AG65" s="41"/>
      <c r="AH65" s="41"/>
      <c r="AI65" s="609"/>
      <c r="AJ65" s="41"/>
      <c r="AK65" s="41"/>
      <c r="AL65" s="41"/>
      <c r="AM65" s="41">
        <f>SUM(AF65:AL65)+AT65+AV65+AX65</f>
        <v>65</v>
      </c>
      <c r="AN65" s="41"/>
      <c r="AO65" s="41"/>
      <c r="AP65" s="41"/>
      <c r="AQ65" s="41"/>
      <c r="AR65" s="41">
        <f>SUM(AN65:AQ65)</f>
        <v>0</v>
      </c>
      <c r="AS65" s="41"/>
      <c r="AT65" s="41"/>
      <c r="AU65" s="41"/>
      <c r="AV65" s="41"/>
      <c r="AW65" s="41"/>
      <c r="AX65" s="41"/>
      <c r="AY65" s="41"/>
      <c r="AZ65" s="41"/>
      <c r="BA65" s="41">
        <f>+AR65+AS65+AU65+AW65+AY65+AZ65</f>
        <v>0</v>
      </c>
      <c r="BB65" s="37">
        <v>13</v>
      </c>
      <c r="BC65" s="55"/>
      <c r="BD65" s="55"/>
      <c r="BE65" s="37"/>
      <c r="BF65" s="55"/>
    </row>
    <row r="66" spans="1:58" ht="12.95" customHeight="1">
      <c r="A66" s="44"/>
      <c r="B66" s="45"/>
      <c r="C66" s="452"/>
      <c r="D66" s="45"/>
      <c r="E66" s="46"/>
      <c r="F66" s="46"/>
      <c r="G66" s="465"/>
      <c r="H66" s="48"/>
      <c r="I66" s="49"/>
      <c r="J66" s="91"/>
      <c r="K66" s="91"/>
      <c r="L66" s="39"/>
      <c r="M66" s="39"/>
      <c r="N66" s="50"/>
      <c r="O66" s="51"/>
      <c r="P66" s="52"/>
      <c r="Q66" s="51"/>
      <c r="R66" s="422"/>
      <c r="S66" s="422"/>
      <c r="T66" s="41"/>
      <c r="U66" s="41"/>
      <c r="V66" s="41"/>
      <c r="W66" s="41"/>
      <c r="X66" s="42"/>
      <c r="Y66" s="223"/>
      <c r="Z66" s="41"/>
      <c r="AA66" s="41"/>
      <c r="AB66" s="41"/>
      <c r="AC66" s="41"/>
      <c r="AD66" s="41">
        <f>+AM66+BA66</f>
        <v>15</v>
      </c>
      <c r="AE66" s="241" t="s">
        <v>588</v>
      </c>
      <c r="AF66" s="41"/>
      <c r="AG66" s="41">
        <v>15</v>
      </c>
      <c r="AH66" s="41"/>
      <c r="AI66" s="609"/>
      <c r="AJ66" s="41"/>
      <c r="AK66" s="41"/>
      <c r="AL66" s="41"/>
      <c r="AM66" s="41">
        <f>SUM(AF66:AL66)+AT66+AV66+AX66</f>
        <v>15</v>
      </c>
      <c r="AN66" s="92"/>
      <c r="AO66" s="41"/>
      <c r="AP66" s="41"/>
      <c r="AQ66" s="41"/>
      <c r="AR66" s="41">
        <f>SUM(AN66:AQ66)</f>
        <v>0</v>
      </c>
      <c r="AS66" s="41"/>
      <c r="AT66" s="41"/>
      <c r="AU66" s="41"/>
      <c r="AV66" s="41"/>
      <c r="AW66" s="41"/>
      <c r="AX66" s="41"/>
      <c r="AY66" s="41"/>
      <c r="AZ66" s="41"/>
      <c r="BA66" s="41">
        <f>+AR66+AS66+AU66+AW66+AY66+AZ66</f>
        <v>0</v>
      </c>
      <c r="BB66" s="54"/>
      <c r="BC66" s="55">
        <v>11</v>
      </c>
      <c r="BD66" s="55"/>
      <c r="BE66" s="54"/>
      <c r="BF66" s="55"/>
    </row>
    <row r="67" spans="1:58" ht="12.95" customHeight="1">
      <c r="A67" s="44"/>
      <c r="B67" s="45"/>
      <c r="C67" s="452"/>
      <c r="D67" s="45"/>
      <c r="E67" s="46"/>
      <c r="F67" s="46"/>
      <c r="G67" s="465"/>
      <c r="H67" s="48"/>
      <c r="I67" s="49"/>
      <c r="J67" s="91"/>
      <c r="K67" s="91"/>
      <c r="L67" s="39"/>
      <c r="M67" s="39"/>
      <c r="N67" s="50"/>
      <c r="O67" s="51"/>
      <c r="P67" s="52"/>
      <c r="Q67" s="51"/>
      <c r="R67" s="422"/>
      <c r="S67" s="422"/>
      <c r="T67" s="41"/>
      <c r="U67" s="41"/>
      <c r="V67" s="41"/>
      <c r="W67" s="41"/>
      <c r="X67" s="42"/>
      <c r="Y67" s="223"/>
      <c r="Z67" s="41"/>
      <c r="AA67" s="41"/>
      <c r="AB67" s="41"/>
      <c r="AC67" s="41"/>
      <c r="AD67" s="41">
        <f>+AM67+BA67</f>
        <v>30</v>
      </c>
      <c r="AE67" s="241" t="s">
        <v>600</v>
      </c>
      <c r="AF67" s="37"/>
      <c r="AG67" s="37"/>
      <c r="AH67" s="37">
        <v>30</v>
      </c>
      <c r="AI67" s="609"/>
      <c r="AJ67" s="41"/>
      <c r="AK67" s="41"/>
      <c r="AL67" s="41"/>
      <c r="AM67" s="41">
        <f>SUM(AF67:AL67)+AT67+AV67+AX67</f>
        <v>30</v>
      </c>
      <c r="AN67" s="41"/>
      <c r="AO67" s="41"/>
      <c r="AP67" s="41"/>
      <c r="AQ67" s="41"/>
      <c r="AR67" s="41">
        <f>SUM(AN67:AQ67)</f>
        <v>0</v>
      </c>
      <c r="AS67" s="41"/>
      <c r="AT67" s="41"/>
      <c r="AU67" s="41"/>
      <c r="AV67" s="41"/>
      <c r="AW67" s="41"/>
      <c r="AX67" s="41"/>
      <c r="AY67" s="41"/>
      <c r="AZ67" s="41"/>
      <c r="BA67" s="41">
        <f>+AR67+AS67+AU67+AW67+AY67+AZ67</f>
        <v>0</v>
      </c>
      <c r="BB67" s="37"/>
      <c r="BC67" s="57"/>
      <c r="BD67" s="57"/>
      <c r="BE67" s="37"/>
      <c r="BF67" s="57"/>
    </row>
    <row r="68" spans="1:58" ht="12.95" customHeight="1">
      <c r="A68" s="44"/>
      <c r="B68" s="45"/>
      <c r="C68" s="452"/>
      <c r="D68" s="45"/>
      <c r="E68" s="46"/>
      <c r="F68" s="46"/>
      <c r="G68" s="465"/>
      <c r="H68" s="48"/>
      <c r="I68" s="49"/>
      <c r="J68" s="91"/>
      <c r="K68" s="91"/>
      <c r="L68" s="39"/>
      <c r="M68" s="39"/>
      <c r="N68" s="50"/>
      <c r="O68" s="51"/>
      <c r="P68" s="52"/>
      <c r="Q68" s="51"/>
      <c r="R68" s="422"/>
      <c r="S68" s="422"/>
      <c r="T68" s="41"/>
      <c r="U68" s="41"/>
      <c r="V68" s="41"/>
      <c r="W68" s="41"/>
      <c r="X68" s="42"/>
      <c r="Y68" s="223"/>
      <c r="Z68" s="41"/>
      <c r="AA68" s="41"/>
      <c r="AB68" s="41"/>
      <c r="AC68" s="41"/>
      <c r="AD68" s="41"/>
      <c r="AE68" s="241"/>
      <c r="AF68" s="37"/>
      <c r="AG68" s="37"/>
      <c r="AH68" s="37"/>
      <c r="AI68" s="46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37"/>
      <c r="BC68" s="57"/>
      <c r="BD68" s="57"/>
      <c r="BE68" s="37"/>
      <c r="BF68" s="57"/>
    </row>
    <row r="69" spans="1:58" ht="12.75" customHeight="1">
      <c r="A69" s="44">
        <v>45944</v>
      </c>
      <c r="B69" s="45" t="s">
        <v>7</v>
      </c>
      <c r="C69" s="452">
        <f>(M69*E69*O69*Q69)/100000000</f>
        <v>58.55428077714285</v>
      </c>
      <c r="D69" s="45" t="s">
        <v>411</v>
      </c>
      <c r="E69" s="46">
        <v>12</v>
      </c>
      <c r="F69" s="46">
        <v>1</v>
      </c>
      <c r="G69" s="465">
        <v>1700</v>
      </c>
      <c r="H69" s="608">
        <v>0.24</v>
      </c>
      <c r="I69" s="49">
        <v>0.88</v>
      </c>
      <c r="J69" s="91">
        <f>E69*G69*(1-H69)*1440/1000000*2.77</f>
        <v>61.8423552</v>
      </c>
      <c r="K69" s="91">
        <f>(IF(G69&lt;L69,L69,G69)*(1-IF(H69&lt;N69,H69,N69))*E69*O69*Q69)/100000000</f>
        <v>59.556622628571418</v>
      </c>
      <c r="L69" s="39">
        <v>1671.3888888888889</v>
      </c>
      <c r="M69" s="39">
        <v>1270.2555555555555</v>
      </c>
      <c r="N69" s="50">
        <f>1-(M69/L69)</f>
        <v>0.2400000000000001</v>
      </c>
      <c r="O69" s="51">
        <f>+'Trim Rwd'!H56</f>
        <v>266.76190476190476</v>
      </c>
      <c r="P69" s="52">
        <f>O69*(Q69-R69-S69)</f>
        <v>360662.09523809521</v>
      </c>
      <c r="Q69" s="51">
        <v>1440</v>
      </c>
      <c r="R69" s="422">
        <v>0</v>
      </c>
      <c r="S69" s="422">
        <v>88</v>
      </c>
      <c r="T69" s="41">
        <f>E69*M69*O69*Q69/100000000</f>
        <v>58.55428077714285</v>
      </c>
      <c r="U69" s="41">
        <f>E69*M69*O69*(Q69-R69-S69)/100000000</f>
        <v>54.97596361853968</v>
      </c>
      <c r="V69" s="41">
        <f>E69*G69*(1-N69)*O69/100*(R69+S69)/1000000</f>
        <v>3.6395713828571421</v>
      </c>
      <c r="W69" s="41">
        <f>+'14'!K34/1000</f>
        <v>60.683</v>
      </c>
      <c r="X69" s="419">
        <f>SUM(W69:W72)/SUM(K69:K72)</f>
        <v>1.0189127140142467</v>
      </c>
      <c r="Y69" s="223">
        <v>0</v>
      </c>
      <c r="Z69" s="41">
        <v>0</v>
      </c>
      <c r="AA69" s="53">
        <f>SUM(U69:U72)-SUM(W69:W72)-SUM(Z69:Z72)-SUM(Y69:Y72)</f>
        <v>-5.7070363814603198</v>
      </c>
      <c r="AB69" s="53">
        <f>(SUM(K69:K72)-SUM(W69:W72)-SUM(Y69:Y72)-SUM(Z69:Z72)-SUM(AC69:AC72)-SUM(V69:V72))-AA69</f>
        <v>-6.1254224253971756E-2</v>
      </c>
      <c r="AC69" s="41">
        <f>K69-T69</f>
        <v>1.002341851428568</v>
      </c>
      <c r="AD69" s="41">
        <f>+AM69+BA69</f>
        <v>15</v>
      </c>
      <c r="AE69" s="241" t="s">
        <v>614</v>
      </c>
      <c r="AF69" s="41">
        <v>15</v>
      </c>
      <c r="AG69" s="41"/>
      <c r="AH69" s="41"/>
      <c r="AI69" s="609"/>
      <c r="AJ69" s="41"/>
      <c r="AK69" s="41"/>
      <c r="AL69" s="41"/>
      <c r="AM69" s="41">
        <f>SUM(AF69:AL69)+AT69+AV69+AX69</f>
        <v>15</v>
      </c>
      <c r="AN69" s="41"/>
      <c r="AO69" s="41"/>
      <c r="AP69" s="41"/>
      <c r="AQ69" s="41"/>
      <c r="AR69" s="41">
        <f>SUM(AN69:AQ69)</f>
        <v>0</v>
      </c>
      <c r="AS69" s="41"/>
      <c r="AT69" s="41"/>
      <c r="AU69" s="41"/>
      <c r="AV69" s="41"/>
      <c r="AW69" s="41"/>
      <c r="AX69" s="41"/>
      <c r="AY69" s="41"/>
      <c r="AZ69" s="41"/>
      <c r="BA69" s="41">
        <f>+AR69+AS69+AU69+AW69+AY69+AZ69</f>
        <v>0</v>
      </c>
      <c r="BB69" s="37">
        <v>3</v>
      </c>
      <c r="BC69" s="55"/>
      <c r="BD69" s="55"/>
      <c r="BE69" s="37"/>
      <c r="BF69" s="55"/>
    </row>
    <row r="70" spans="1:58" ht="12.95" customHeight="1">
      <c r="A70" s="44"/>
      <c r="B70" s="45"/>
      <c r="C70" s="452"/>
      <c r="D70" s="45"/>
      <c r="E70" s="46"/>
      <c r="F70" s="46"/>
      <c r="G70" s="465"/>
      <c r="H70" s="48"/>
      <c r="I70" s="49"/>
      <c r="J70" s="91"/>
      <c r="K70" s="91"/>
      <c r="L70" s="39"/>
      <c r="M70" s="39"/>
      <c r="N70" s="50"/>
      <c r="O70" s="51"/>
      <c r="P70" s="52"/>
      <c r="Q70" s="51"/>
      <c r="R70" s="422"/>
      <c r="S70" s="422"/>
      <c r="T70" s="41"/>
      <c r="U70" s="41"/>
      <c r="V70" s="41"/>
      <c r="W70" s="41"/>
      <c r="X70" s="42"/>
      <c r="Y70" s="223"/>
      <c r="Z70" s="41"/>
      <c r="AA70" s="41"/>
      <c r="AB70" s="41"/>
      <c r="AC70" s="41"/>
      <c r="AD70" s="41">
        <f>+AM70+BA70</f>
        <v>30</v>
      </c>
      <c r="AE70" s="241" t="s">
        <v>665</v>
      </c>
      <c r="AF70" s="41"/>
      <c r="AG70" s="41">
        <v>30</v>
      </c>
      <c r="AH70" s="41"/>
      <c r="AI70" s="609"/>
      <c r="AJ70" s="41"/>
      <c r="AK70" s="41"/>
      <c r="AL70" s="41"/>
      <c r="AM70" s="41">
        <f>SUM(AF70:AL70)+AT70+AV70+AX70</f>
        <v>30</v>
      </c>
      <c r="AN70" s="92"/>
      <c r="AO70" s="41"/>
      <c r="AP70" s="41"/>
      <c r="AQ70" s="41"/>
      <c r="AR70" s="41">
        <f>SUM(AN70:AQ70)</f>
        <v>0</v>
      </c>
      <c r="AS70" s="41"/>
      <c r="AT70" s="41"/>
      <c r="AU70" s="41"/>
      <c r="AV70" s="41"/>
      <c r="AW70" s="41"/>
      <c r="AX70" s="41"/>
      <c r="AY70" s="41"/>
      <c r="AZ70" s="41"/>
      <c r="BA70" s="41">
        <f>+AR70+AS70+AU70+AW70+AY70+AZ70</f>
        <v>0</v>
      </c>
      <c r="BB70" s="54"/>
      <c r="BC70" s="55">
        <v>28</v>
      </c>
      <c r="BD70" s="55"/>
      <c r="BE70" s="54"/>
      <c r="BF70" s="55"/>
    </row>
    <row r="71" spans="1:58" ht="12.95" customHeight="1">
      <c r="A71" s="44"/>
      <c r="B71" s="45"/>
      <c r="C71" s="452"/>
      <c r="D71" s="45"/>
      <c r="E71" s="46"/>
      <c r="F71" s="46"/>
      <c r="G71" s="465"/>
      <c r="H71" s="48"/>
      <c r="I71" s="49"/>
      <c r="J71" s="91"/>
      <c r="K71" s="91"/>
      <c r="L71" s="39"/>
      <c r="M71" s="39"/>
      <c r="N71" s="50"/>
      <c r="O71" s="51"/>
      <c r="P71" s="52"/>
      <c r="Q71" s="51"/>
      <c r="R71" s="422"/>
      <c r="S71" s="422"/>
      <c r="T71" s="41"/>
      <c r="U71" s="41"/>
      <c r="V71" s="41"/>
      <c r="W71" s="41"/>
      <c r="X71" s="42"/>
      <c r="Y71" s="223"/>
      <c r="Z71" s="41"/>
      <c r="AA71" s="41"/>
      <c r="AB71" s="41"/>
      <c r="AC71" s="41"/>
      <c r="AD71" s="41">
        <f>+AM71+BA71</f>
        <v>35</v>
      </c>
      <c r="AE71" s="241" t="s">
        <v>666</v>
      </c>
      <c r="AF71" s="37"/>
      <c r="AG71" s="37"/>
      <c r="AH71" s="37">
        <v>35</v>
      </c>
      <c r="AI71" s="609"/>
      <c r="AJ71" s="41"/>
      <c r="AK71" s="41"/>
      <c r="AL71" s="41"/>
      <c r="AM71" s="41">
        <f>SUM(AF71:AL71)+AT71+AV71+AX71</f>
        <v>35</v>
      </c>
      <c r="AN71" s="41"/>
      <c r="AO71" s="41"/>
      <c r="AP71" s="41"/>
      <c r="AQ71" s="41"/>
      <c r="AR71" s="41">
        <f>SUM(AN71:AQ71)</f>
        <v>0</v>
      </c>
      <c r="AS71" s="41"/>
      <c r="AT71" s="41"/>
      <c r="AU71" s="41"/>
      <c r="AV71" s="41"/>
      <c r="AW71" s="41"/>
      <c r="AX71" s="41"/>
      <c r="AY71" s="41"/>
      <c r="AZ71" s="41"/>
      <c r="BA71" s="41">
        <f>+AR71+AS71+AU71+AW71+AY71+AZ71</f>
        <v>0</v>
      </c>
      <c r="BB71" s="37"/>
      <c r="BC71" s="57"/>
      <c r="BD71" s="57"/>
      <c r="BE71" s="37"/>
      <c r="BF71" s="57"/>
    </row>
    <row r="72" spans="1:58" ht="12.95" customHeight="1">
      <c r="A72" s="44"/>
      <c r="B72" s="45"/>
      <c r="C72" s="452"/>
      <c r="D72" s="45"/>
      <c r="E72" s="46"/>
      <c r="F72" s="46"/>
      <c r="G72" s="465"/>
      <c r="H72" s="48"/>
      <c r="I72" s="49"/>
      <c r="J72" s="91"/>
      <c r="K72" s="91"/>
      <c r="L72" s="39"/>
      <c r="M72" s="39"/>
      <c r="N72" s="50"/>
      <c r="O72" s="51"/>
      <c r="P72" s="52"/>
      <c r="Q72" s="51"/>
      <c r="R72" s="422"/>
      <c r="S72" s="422"/>
      <c r="T72" s="41"/>
      <c r="U72" s="41"/>
      <c r="V72" s="41"/>
      <c r="W72" s="41"/>
      <c r="X72" s="42"/>
      <c r="Y72" s="223"/>
      <c r="Z72" s="41"/>
      <c r="AA72" s="41"/>
      <c r="AB72" s="41"/>
      <c r="AC72" s="41"/>
      <c r="AD72" s="41">
        <f>+AM72+BA72</f>
        <v>8</v>
      </c>
      <c r="AE72" s="241" t="s">
        <v>424</v>
      </c>
      <c r="AF72" s="37"/>
      <c r="AG72" s="37"/>
      <c r="AH72" s="37"/>
      <c r="AI72" s="461">
        <v>8</v>
      </c>
      <c r="AJ72" s="41"/>
      <c r="AK72" s="41"/>
      <c r="AL72" s="41"/>
      <c r="AM72" s="41">
        <f>SUM(AF72:AL72)+AT72+AV72+AX72</f>
        <v>8</v>
      </c>
      <c r="AN72" s="41"/>
      <c r="AO72" s="41"/>
      <c r="AP72" s="41"/>
      <c r="AQ72" s="41"/>
      <c r="AR72" s="41">
        <f>SUM(AN72:AQ72)</f>
        <v>0</v>
      </c>
      <c r="AS72" s="41"/>
      <c r="AT72" s="41"/>
      <c r="AU72" s="41"/>
      <c r="AV72" s="41"/>
      <c r="AW72" s="41"/>
      <c r="AX72" s="41"/>
      <c r="AY72" s="41"/>
      <c r="AZ72" s="41"/>
      <c r="BA72" s="41">
        <f>+AR72+AS72+AU72+AW72+AY72+AZ72</f>
        <v>0</v>
      </c>
      <c r="BB72" s="37"/>
      <c r="BC72" s="57"/>
      <c r="BD72" s="57"/>
      <c r="BE72" s="37"/>
      <c r="BF72" s="57"/>
    </row>
    <row r="73" spans="1:58" ht="12.95" customHeight="1">
      <c r="A73" s="346"/>
      <c r="B73" s="45"/>
      <c r="C73" s="452"/>
      <c r="D73" s="45"/>
      <c r="E73" s="46"/>
      <c r="F73" s="46"/>
      <c r="G73" s="465"/>
      <c r="H73" s="48"/>
      <c r="I73" s="49"/>
      <c r="J73" s="91"/>
      <c r="K73" s="91"/>
      <c r="L73" s="39"/>
      <c r="M73" s="39"/>
      <c r="N73" s="50"/>
      <c r="O73" s="51"/>
      <c r="P73" s="52"/>
      <c r="Q73" s="51"/>
      <c r="R73" s="422"/>
      <c r="S73" s="422"/>
      <c r="T73" s="41"/>
      <c r="U73" s="41"/>
      <c r="V73" s="41"/>
      <c r="W73" s="41"/>
      <c r="X73" s="419"/>
      <c r="Y73" s="223"/>
      <c r="Z73" s="41"/>
      <c r="AA73" s="53"/>
      <c r="AB73" s="53"/>
      <c r="AC73" s="41"/>
      <c r="AD73" s="41"/>
      <c r="AE73" s="241"/>
      <c r="AF73" s="41"/>
      <c r="AG73" s="41"/>
      <c r="AH73" s="41"/>
      <c r="AI73" s="461"/>
      <c r="AJ73" s="41"/>
      <c r="AK73" s="41"/>
      <c r="AL73" s="41"/>
      <c r="AM73" s="41"/>
      <c r="AN73" s="92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54"/>
      <c r="BC73" s="55"/>
      <c r="BD73" s="55"/>
      <c r="BE73" s="55"/>
      <c r="BF73" s="55"/>
    </row>
    <row r="74" spans="1:58" ht="12.75" customHeight="1">
      <c r="A74" s="44">
        <v>45945</v>
      </c>
      <c r="B74" s="45" t="s">
        <v>7</v>
      </c>
      <c r="C74" s="452">
        <f>(M74*E74*O74*Q74)/100000000</f>
        <v>59.615840492307683</v>
      </c>
      <c r="D74" s="45" t="s">
        <v>411</v>
      </c>
      <c r="E74" s="46">
        <v>12</v>
      </c>
      <c r="F74" s="46">
        <v>1</v>
      </c>
      <c r="G74" s="465">
        <v>1700</v>
      </c>
      <c r="H74" s="608">
        <v>0.24</v>
      </c>
      <c r="I74" s="49">
        <v>0.88</v>
      </c>
      <c r="J74" s="91">
        <f>E74*G74*(1-H74)*1440/1000000*2.77</f>
        <v>61.8423552</v>
      </c>
      <c r="K74" s="91">
        <f>(IF(G74&lt;L74,L74,G74)*(1-IF(H74&lt;N74,H74,N74))*E74*O74*Q74)/100000000</f>
        <v>61.052366769230744</v>
      </c>
      <c r="L74" s="39">
        <v>1660</v>
      </c>
      <c r="M74" s="39">
        <v>1261.5999999999999</v>
      </c>
      <c r="N74" s="50">
        <f>1-(M74/L74)</f>
        <v>0.2400000000000001</v>
      </c>
      <c r="O74" s="51">
        <f>+'Trim Rwd'!H60</f>
        <v>273.46153846153845</v>
      </c>
      <c r="P74" s="52">
        <f>O74*(Q74-R74-S74)</f>
        <v>359328.4615384615</v>
      </c>
      <c r="Q74" s="51">
        <v>1440</v>
      </c>
      <c r="R74" s="422">
        <v>0</v>
      </c>
      <c r="S74" s="422">
        <v>126</v>
      </c>
      <c r="T74" s="41">
        <f>E74*M74*O74*Q74/100000000</f>
        <v>59.615840492307683</v>
      </c>
      <c r="U74" s="41">
        <f>E74*M74*O74*(Q74-R74-S74)/100000000</f>
        <v>54.399454449230767</v>
      </c>
      <c r="V74" s="41">
        <f>E74*G74*(1-N74)*O74/100*(R74+S74)/1000000</f>
        <v>5.3420820923076926</v>
      </c>
      <c r="W74" s="41">
        <f>+'15'!K34/1000</f>
        <v>55.631</v>
      </c>
      <c r="X74" s="419">
        <f>SUM(W74:W77)/SUM(K74:K77)</f>
        <v>0.9112013660383923</v>
      </c>
      <c r="Y74" s="223">
        <v>0</v>
      </c>
      <c r="Z74" s="41">
        <v>0</v>
      </c>
      <c r="AA74" s="53">
        <f>SUM(U74:U77)-SUM(W74:W77)-SUM(Z74:Z77)-SUM(Y74:Y77)</f>
        <v>-1.2315455507692334</v>
      </c>
      <c r="AB74" s="53">
        <f>(SUM(K74:K77)-SUM(W74:W77)-SUM(Y74:Y77)-SUM(Z74:Z77)-SUM(AC74:AC77)-SUM(V74:V77))-AA74</f>
        <v>-0.12569604923077637</v>
      </c>
      <c r="AC74" s="41">
        <f>K74-T74</f>
        <v>1.4365262769230611</v>
      </c>
      <c r="AD74" s="41">
        <f>+AM74+BA74</f>
        <v>65</v>
      </c>
      <c r="AE74" s="241" t="s">
        <v>643</v>
      </c>
      <c r="AF74" s="41">
        <v>65</v>
      </c>
      <c r="AG74" s="41"/>
      <c r="AH74" s="41"/>
      <c r="AI74" s="609"/>
      <c r="AJ74" s="41"/>
      <c r="AK74" s="41"/>
      <c r="AL74" s="41"/>
      <c r="AM74" s="41">
        <f>SUM(AF74:AL74)+AT74+AV74+AX74</f>
        <v>65</v>
      </c>
      <c r="AN74" s="41"/>
      <c r="AO74" s="41"/>
      <c r="AP74" s="41"/>
      <c r="AQ74" s="41"/>
      <c r="AR74" s="41">
        <f>SUM(AN74:AQ74)</f>
        <v>0</v>
      </c>
      <c r="AS74" s="41"/>
      <c r="AT74" s="41"/>
      <c r="AU74" s="41"/>
      <c r="AV74" s="41"/>
      <c r="AW74" s="41"/>
      <c r="AX74" s="41"/>
      <c r="AY74" s="41"/>
      <c r="AZ74" s="41"/>
      <c r="BA74" s="41">
        <f>+AR74+AS74+AU74+AW74+AY74+AZ74</f>
        <v>0</v>
      </c>
      <c r="BB74" s="37">
        <v>13</v>
      </c>
      <c r="BC74" s="55"/>
      <c r="BD74" s="55"/>
      <c r="BE74" s="37"/>
      <c r="BF74" s="55"/>
    </row>
    <row r="75" spans="1:58" ht="12.95" customHeight="1">
      <c r="A75" s="44"/>
      <c r="B75" s="45"/>
      <c r="C75" s="452"/>
      <c r="D75" s="45"/>
      <c r="E75" s="46"/>
      <c r="F75" s="46"/>
      <c r="G75" s="465"/>
      <c r="H75" s="48"/>
      <c r="I75" s="49"/>
      <c r="J75" s="91"/>
      <c r="K75" s="91"/>
      <c r="L75" s="39"/>
      <c r="M75" s="39"/>
      <c r="N75" s="50"/>
      <c r="O75" s="51"/>
      <c r="P75" s="52"/>
      <c r="Q75" s="51"/>
      <c r="R75" s="422"/>
      <c r="S75" s="422"/>
      <c r="T75" s="41"/>
      <c r="U75" s="41"/>
      <c r="V75" s="41"/>
      <c r="W75" s="41"/>
      <c r="X75" s="42"/>
      <c r="Y75" s="223"/>
      <c r="Z75" s="41"/>
      <c r="AA75" s="41"/>
      <c r="AB75" s="41"/>
      <c r="AC75" s="41"/>
      <c r="AD75" s="41">
        <f>+AM75+BA75</f>
        <v>27</v>
      </c>
      <c r="AE75" s="241" t="s">
        <v>671</v>
      </c>
      <c r="AF75" s="41"/>
      <c r="AG75" s="41">
        <v>27</v>
      </c>
      <c r="AH75" s="41"/>
      <c r="AI75" s="609"/>
      <c r="AJ75" s="41"/>
      <c r="AK75" s="41"/>
      <c r="AL75" s="41"/>
      <c r="AM75" s="41">
        <f>SUM(AF75:AL75)+AT75+AV75+AX75</f>
        <v>27</v>
      </c>
      <c r="AN75" s="92"/>
      <c r="AO75" s="41"/>
      <c r="AP75" s="41"/>
      <c r="AQ75" s="41"/>
      <c r="AR75" s="41">
        <f>SUM(AN75:AQ75)</f>
        <v>0</v>
      </c>
      <c r="AS75" s="41"/>
      <c r="AT75" s="41"/>
      <c r="AU75" s="41"/>
      <c r="AV75" s="41"/>
      <c r="AW75" s="41"/>
      <c r="AX75" s="41"/>
      <c r="AY75" s="41"/>
      <c r="AZ75" s="41"/>
      <c r="BA75" s="41">
        <f>+AR75+AS75+AU75+AW75+AY75+AZ75</f>
        <v>0</v>
      </c>
      <c r="BB75" s="54"/>
      <c r="BC75" s="55">
        <v>26</v>
      </c>
      <c r="BD75" s="55"/>
      <c r="BE75" s="54"/>
      <c r="BF75" s="55"/>
    </row>
    <row r="76" spans="1:58" ht="12.95" customHeight="1">
      <c r="A76" s="44"/>
      <c r="B76" s="45"/>
      <c r="C76" s="452"/>
      <c r="D76" s="45"/>
      <c r="E76" s="46"/>
      <c r="F76" s="46"/>
      <c r="G76" s="465"/>
      <c r="H76" s="48"/>
      <c r="I76" s="49"/>
      <c r="J76" s="91"/>
      <c r="K76" s="91"/>
      <c r="L76" s="39"/>
      <c r="M76" s="39"/>
      <c r="N76" s="50"/>
      <c r="O76" s="51"/>
      <c r="P76" s="52"/>
      <c r="Q76" s="51"/>
      <c r="R76" s="422"/>
      <c r="S76" s="422"/>
      <c r="T76" s="41"/>
      <c r="U76" s="41"/>
      <c r="V76" s="41"/>
      <c r="W76" s="41"/>
      <c r="X76" s="42"/>
      <c r="Y76" s="223"/>
      <c r="Z76" s="41"/>
      <c r="AA76" s="41"/>
      <c r="AB76" s="41"/>
      <c r="AC76" s="41"/>
      <c r="AD76" s="41">
        <f>+AM76+BA76</f>
        <v>34</v>
      </c>
      <c r="AE76" s="241" t="s">
        <v>666</v>
      </c>
      <c r="AF76" s="37"/>
      <c r="AG76" s="37"/>
      <c r="AH76" s="37">
        <v>34</v>
      </c>
      <c r="AI76" s="609"/>
      <c r="AJ76" s="41"/>
      <c r="AK76" s="41"/>
      <c r="AL76" s="41"/>
      <c r="AM76" s="41">
        <f>SUM(AF76:AL76)+AT76+AV76+AX76</f>
        <v>34</v>
      </c>
      <c r="AN76" s="41"/>
      <c r="AO76" s="41"/>
      <c r="AP76" s="41"/>
      <c r="AQ76" s="41"/>
      <c r="AR76" s="41">
        <f>SUM(AN76:AQ76)</f>
        <v>0</v>
      </c>
      <c r="AS76" s="41"/>
      <c r="AT76" s="41"/>
      <c r="AU76" s="41"/>
      <c r="AV76" s="41"/>
      <c r="AW76" s="41"/>
      <c r="AX76" s="41"/>
      <c r="AY76" s="41"/>
      <c r="AZ76" s="41"/>
      <c r="BA76" s="41">
        <f>+AR76+AS76+AU76+AW76+AY76+AZ76</f>
        <v>0</v>
      </c>
      <c r="BB76" s="37"/>
      <c r="BC76" s="57"/>
      <c r="BD76" s="57"/>
      <c r="BE76" s="37"/>
      <c r="BF76" s="57"/>
    </row>
    <row r="77" spans="1:58" ht="12.95" customHeight="1">
      <c r="A77" s="44"/>
      <c r="B77" s="45"/>
      <c r="C77" s="452"/>
      <c r="D77" s="45"/>
      <c r="E77" s="46"/>
      <c r="F77" s="46"/>
      <c r="G77" s="465"/>
      <c r="H77" s="48"/>
      <c r="I77" s="49"/>
      <c r="J77" s="91"/>
      <c r="K77" s="91"/>
      <c r="L77" s="39"/>
      <c r="M77" s="39"/>
      <c r="N77" s="50"/>
      <c r="O77" s="51"/>
      <c r="P77" s="52"/>
      <c r="Q77" s="51"/>
      <c r="R77" s="422"/>
      <c r="S77" s="422"/>
      <c r="T77" s="41"/>
      <c r="U77" s="41"/>
      <c r="V77" s="41"/>
      <c r="W77" s="41"/>
      <c r="X77" s="42"/>
      <c r="Y77" s="223"/>
      <c r="Z77" s="41"/>
      <c r="AA77" s="41"/>
      <c r="AB77" s="41"/>
      <c r="AC77" s="41"/>
      <c r="AD77" s="41"/>
      <c r="AE77" s="241"/>
      <c r="AF77" s="37"/>
      <c r="AG77" s="37"/>
      <c r="AH77" s="37"/>
      <c r="AI77" s="46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37"/>
      <c r="BC77" s="57"/>
      <c r="BD77" s="57"/>
      <c r="BE77" s="37"/>
      <c r="BF77" s="57"/>
    </row>
    <row r="78" spans="1:58" ht="12.75" customHeight="1">
      <c r="A78" s="44">
        <v>45946</v>
      </c>
      <c r="B78" s="45" t="s">
        <v>7</v>
      </c>
      <c r="C78" s="452">
        <f>(M78*E78*O78*Q78)/100000000</f>
        <v>46.156392959999998</v>
      </c>
      <c r="D78" s="45" t="s">
        <v>411</v>
      </c>
      <c r="E78" s="46">
        <v>12</v>
      </c>
      <c r="F78" s="46">
        <v>1</v>
      </c>
      <c r="G78" s="465">
        <v>1700</v>
      </c>
      <c r="H78" s="608">
        <v>0.24</v>
      </c>
      <c r="I78" s="49">
        <v>0.88</v>
      </c>
      <c r="J78" s="91">
        <f>E78*G78*(1-H78)*1440/1000000*2.77</f>
        <v>61.8423552</v>
      </c>
      <c r="K78" s="91">
        <f>(IF(G78&lt;L78,L78,G78)*(1-IF(H78&lt;N78,H78,N78))*E78*O78*Q78)/100000000</f>
        <v>47.268595199999993</v>
      </c>
      <c r="L78" s="39">
        <v>1660</v>
      </c>
      <c r="M78" s="39">
        <v>1261.5999999999999</v>
      </c>
      <c r="N78" s="50">
        <f>1-(M78/L78)</f>
        <v>0.2400000000000001</v>
      </c>
      <c r="O78" s="51">
        <f>+'Trim Rwd'!H63</f>
        <v>272.21428571428572</v>
      </c>
      <c r="P78" s="52">
        <f>O78*(Q78-R78-S78)</f>
        <v>255881.42857142858</v>
      </c>
      <c r="Q78" s="51">
        <v>1120</v>
      </c>
      <c r="R78" s="422">
        <v>0</v>
      </c>
      <c r="S78" s="422">
        <v>180</v>
      </c>
      <c r="T78" s="41">
        <f>E78*M78*O78*Q78/100000000</f>
        <v>46.156392959999998</v>
      </c>
      <c r="U78" s="41">
        <f>E78*M78*O78*(Q78-R78-S78)/100000000</f>
        <v>38.73840123428571</v>
      </c>
      <c r="V78" s="41">
        <f>E78*G78*(1-N78)*O78/100*(R78+S78)/1000000</f>
        <v>7.5967385142857138</v>
      </c>
      <c r="W78" s="41">
        <f>+'16'!K16/1000</f>
        <v>40.835999999999999</v>
      </c>
      <c r="X78" s="419">
        <f>SUM(W78:W81)/SUM(K78:K81)</f>
        <v>0.74194393845244266</v>
      </c>
      <c r="Y78" s="223">
        <v>0</v>
      </c>
      <c r="Z78" s="41">
        <f>+'16'!D34/1000</f>
        <v>1.02</v>
      </c>
      <c r="AA78" s="53">
        <f>SUM(U78:U81)-SUM(W78:W81)-SUM(Z78:Z81)-SUM(Y78:Y81)</f>
        <v>5.3070172342857127</v>
      </c>
      <c r="AB78" s="53">
        <f>(SUM(K78:K81)-SUM(W78:W81)-SUM(Y78:Y81)-SUM(Z78:Z81)-SUM(AC78:AC81)-SUM(V78:V81))-AA78</f>
        <v>-0.19060278857142876</v>
      </c>
      <c r="AC78" s="41">
        <f>K78-T78</f>
        <v>1.1122022399999949</v>
      </c>
      <c r="AD78" s="41">
        <f t="shared" ref="AD78:AD83" si="4">+AM78+BA78</f>
        <v>60</v>
      </c>
      <c r="AE78" s="241" t="s">
        <v>679</v>
      </c>
      <c r="AF78" s="41">
        <v>60</v>
      </c>
      <c r="AG78" s="41"/>
      <c r="AH78" s="41"/>
      <c r="AI78" s="609"/>
      <c r="AJ78" s="41"/>
      <c r="AK78" s="41"/>
      <c r="AL78" s="41"/>
      <c r="AM78" s="41">
        <f t="shared" ref="AM78:AM83" si="5">SUM(AF78:AL78)+AT78+AV78+AX78</f>
        <v>60</v>
      </c>
      <c r="AN78" s="41"/>
      <c r="AO78" s="41"/>
      <c r="AP78" s="41"/>
      <c r="AQ78" s="41"/>
      <c r="AR78" s="41">
        <f t="shared" ref="AR78:AR83" si="6">SUM(AN78:AQ78)</f>
        <v>0</v>
      </c>
      <c r="AS78" s="41"/>
      <c r="AT78" s="41"/>
      <c r="AU78" s="41"/>
      <c r="AV78" s="41"/>
      <c r="AW78" s="41"/>
      <c r="AX78" s="41"/>
      <c r="AY78" s="41"/>
      <c r="AZ78" s="41"/>
      <c r="BA78" s="41">
        <f t="shared" ref="BA78:BA83" si="7">+AR78+AS78+AU78+AW78+AY78+AZ78</f>
        <v>0</v>
      </c>
      <c r="BB78" s="37">
        <v>12</v>
      </c>
      <c r="BC78" s="55"/>
      <c r="BD78" s="55"/>
      <c r="BE78" s="37"/>
      <c r="BF78" s="55"/>
    </row>
    <row r="79" spans="1:58" ht="12.95" customHeight="1">
      <c r="A79" s="44"/>
      <c r="B79" s="45" t="s">
        <v>7</v>
      </c>
      <c r="C79" s="452">
        <f>(M79*E79*O79*Q79)/100000000</f>
        <v>13.120639999999998</v>
      </c>
      <c r="D79" s="45" t="s">
        <v>411</v>
      </c>
      <c r="E79" s="46">
        <v>12.5</v>
      </c>
      <c r="F79" s="46">
        <v>1</v>
      </c>
      <c r="G79" s="465">
        <v>1700</v>
      </c>
      <c r="H79" s="608">
        <v>0.24</v>
      </c>
      <c r="I79" s="49">
        <v>0.88</v>
      </c>
      <c r="J79" s="91">
        <f>E79*G79*(1-H79)*1440/1000000*2.77</f>
        <v>64.419120000000007</v>
      </c>
      <c r="K79" s="91">
        <f>(IF(G79&lt;L79,L79,G79)*(1-IF(H79&lt;N79,H79,N79))*E79*O79*Q79)/100000000</f>
        <v>13.436799999999998</v>
      </c>
      <c r="L79" s="39">
        <v>1660</v>
      </c>
      <c r="M79" s="39">
        <v>1261.5999999999999</v>
      </c>
      <c r="N79" s="50">
        <f>1-(M79/L79)</f>
        <v>0.2400000000000001</v>
      </c>
      <c r="O79" s="51">
        <f>+'Trim Rwd'!H65</f>
        <v>260</v>
      </c>
      <c r="P79" s="52">
        <f>O79*(Q79-R79-S79)</f>
        <v>80080</v>
      </c>
      <c r="Q79" s="51">
        <v>320</v>
      </c>
      <c r="R79" s="422">
        <v>0</v>
      </c>
      <c r="S79" s="422">
        <v>12</v>
      </c>
      <c r="T79" s="41">
        <f>E79*M79*O79*Q79/100000000</f>
        <v>13.120639999999998</v>
      </c>
      <c r="U79" s="41">
        <f>E79*M79*O79*(Q79-R79-S79)/100000000</f>
        <v>12.628615999999997</v>
      </c>
      <c r="V79" s="41">
        <f>E79*G79*(1-N79)*O79/100*(R79+S79)/1000000</f>
        <v>0.50387999999999988</v>
      </c>
      <c r="W79" s="41">
        <f>+'16'!K18/1000</f>
        <v>4.2039999999999997</v>
      </c>
      <c r="X79" s="42"/>
      <c r="Y79" s="223"/>
      <c r="Z79" s="41"/>
      <c r="AA79" s="41"/>
      <c r="AB79" s="41"/>
      <c r="AC79" s="41">
        <f>K79-T79</f>
        <v>0.31616</v>
      </c>
      <c r="AD79" s="41">
        <f t="shared" si="4"/>
        <v>12</v>
      </c>
      <c r="AE79" s="241" t="s">
        <v>618</v>
      </c>
      <c r="AF79" s="41"/>
      <c r="AG79" s="41">
        <v>12</v>
      </c>
      <c r="AH79" s="41"/>
      <c r="AI79" s="609"/>
      <c r="AJ79" s="41"/>
      <c r="AK79" s="41"/>
      <c r="AL79" s="41"/>
      <c r="AM79" s="41">
        <f t="shared" si="5"/>
        <v>12</v>
      </c>
      <c r="AN79" s="92"/>
      <c r="AO79" s="41"/>
      <c r="AP79" s="41"/>
      <c r="AQ79" s="41"/>
      <c r="AR79" s="41">
        <f t="shared" si="6"/>
        <v>0</v>
      </c>
      <c r="AS79" s="41"/>
      <c r="AT79" s="41"/>
      <c r="AU79" s="41"/>
      <c r="AV79" s="41"/>
      <c r="AW79" s="41"/>
      <c r="AX79" s="41"/>
      <c r="AY79" s="41"/>
      <c r="AZ79" s="41"/>
      <c r="BA79" s="41">
        <f t="shared" si="7"/>
        <v>0</v>
      </c>
      <c r="BB79" s="54"/>
      <c r="BC79" s="55">
        <v>12</v>
      </c>
      <c r="BD79" s="55"/>
      <c r="BE79" s="54"/>
      <c r="BF79" s="55"/>
    </row>
    <row r="80" spans="1:58" ht="12.95" customHeight="1">
      <c r="A80" s="44"/>
      <c r="B80" s="45"/>
      <c r="C80" s="452"/>
      <c r="D80" s="45"/>
      <c r="E80" s="46"/>
      <c r="F80" s="46"/>
      <c r="G80" s="465"/>
      <c r="H80" s="48"/>
      <c r="I80" s="49"/>
      <c r="J80" s="91"/>
      <c r="K80" s="91"/>
      <c r="L80" s="39"/>
      <c r="M80" s="39"/>
      <c r="N80" s="50"/>
      <c r="O80" s="51"/>
      <c r="P80" s="52"/>
      <c r="Q80" s="51"/>
      <c r="R80" s="422"/>
      <c r="S80" s="422"/>
      <c r="T80" s="41"/>
      <c r="U80" s="41"/>
      <c r="V80" s="41"/>
      <c r="W80" s="41"/>
      <c r="X80" s="42"/>
      <c r="Y80" s="223"/>
      <c r="Z80" s="41"/>
      <c r="AA80" s="41"/>
      <c r="AB80" s="41"/>
      <c r="AC80" s="41"/>
      <c r="AD80" s="41">
        <f t="shared" si="4"/>
        <v>30</v>
      </c>
      <c r="AE80" s="241" t="s">
        <v>645</v>
      </c>
      <c r="AF80" s="37"/>
      <c r="AG80" s="37"/>
      <c r="AH80" s="37">
        <v>30</v>
      </c>
      <c r="AI80" s="609"/>
      <c r="AJ80" s="41"/>
      <c r="AK80" s="41"/>
      <c r="AL80" s="41"/>
      <c r="AM80" s="41">
        <f t="shared" si="5"/>
        <v>30</v>
      </c>
      <c r="AN80" s="41"/>
      <c r="AO80" s="41"/>
      <c r="AP80" s="41"/>
      <c r="AQ80" s="41"/>
      <c r="AR80" s="41">
        <f t="shared" si="6"/>
        <v>0</v>
      </c>
      <c r="AS80" s="41"/>
      <c r="AT80" s="41"/>
      <c r="AU80" s="41"/>
      <c r="AV80" s="41"/>
      <c r="AW80" s="41"/>
      <c r="AX80" s="41"/>
      <c r="AY80" s="41"/>
      <c r="AZ80" s="41"/>
      <c r="BA80" s="41">
        <f t="shared" si="7"/>
        <v>0</v>
      </c>
      <c r="BB80" s="37"/>
      <c r="BC80" s="57"/>
      <c r="BD80" s="57"/>
      <c r="BE80" s="37"/>
      <c r="BF80" s="57"/>
    </row>
    <row r="81" spans="1:58" ht="12.95" customHeight="1">
      <c r="A81" s="44"/>
      <c r="B81" s="45"/>
      <c r="C81" s="452"/>
      <c r="D81" s="45"/>
      <c r="E81" s="46"/>
      <c r="F81" s="46"/>
      <c r="G81" s="465"/>
      <c r="H81" s="48"/>
      <c r="I81" s="49"/>
      <c r="J81" s="91"/>
      <c r="K81" s="91"/>
      <c r="L81" s="39"/>
      <c r="M81" s="39"/>
      <c r="N81" s="50"/>
      <c r="O81" s="51"/>
      <c r="P81" s="52"/>
      <c r="Q81" s="51"/>
      <c r="R81" s="422"/>
      <c r="S81" s="422"/>
      <c r="T81" s="41"/>
      <c r="U81" s="41"/>
      <c r="V81" s="41"/>
      <c r="W81" s="41"/>
      <c r="X81" s="42"/>
      <c r="Y81" s="223"/>
      <c r="Z81" s="41"/>
      <c r="AA81" s="41"/>
      <c r="AB81" s="41"/>
      <c r="AC81" s="41"/>
      <c r="AD81" s="41">
        <f t="shared" si="4"/>
        <v>5</v>
      </c>
      <c r="AE81" s="241" t="s">
        <v>424</v>
      </c>
      <c r="AF81" s="37"/>
      <c r="AG81" s="37"/>
      <c r="AH81" s="37"/>
      <c r="AI81" s="461">
        <v>5</v>
      </c>
      <c r="AJ81" s="41"/>
      <c r="AK81" s="41"/>
      <c r="AL81" s="41"/>
      <c r="AM81" s="41">
        <f t="shared" si="5"/>
        <v>5</v>
      </c>
      <c r="AN81" s="41"/>
      <c r="AO81" s="41"/>
      <c r="AP81" s="41"/>
      <c r="AQ81" s="41"/>
      <c r="AR81" s="41">
        <f t="shared" si="6"/>
        <v>0</v>
      </c>
      <c r="AS81" s="41"/>
      <c r="AT81" s="41"/>
      <c r="AU81" s="41"/>
      <c r="AV81" s="41"/>
      <c r="AW81" s="41"/>
      <c r="AX81" s="41"/>
      <c r="AY81" s="41"/>
      <c r="AZ81" s="41"/>
      <c r="BA81" s="41">
        <f t="shared" si="7"/>
        <v>0</v>
      </c>
      <c r="BB81" s="37"/>
      <c r="BC81" s="57"/>
      <c r="BD81" s="57"/>
      <c r="BE81" s="37"/>
      <c r="BF81" s="57"/>
    </row>
    <row r="82" spans="1:58" ht="12.95" customHeight="1">
      <c r="A82" s="346"/>
      <c r="B82" s="45"/>
      <c r="C82" s="452"/>
      <c r="D82" s="45"/>
      <c r="E82" s="46"/>
      <c r="F82" s="46"/>
      <c r="G82" s="465"/>
      <c r="H82" s="48"/>
      <c r="I82" s="49"/>
      <c r="J82" s="91"/>
      <c r="K82" s="91"/>
      <c r="L82" s="39"/>
      <c r="M82" s="39"/>
      <c r="N82" s="50"/>
      <c r="O82" s="51"/>
      <c r="P82" s="52"/>
      <c r="Q82" s="51"/>
      <c r="R82" s="422"/>
      <c r="S82" s="422"/>
      <c r="T82" s="41"/>
      <c r="U82" s="41"/>
      <c r="V82" s="41"/>
      <c r="W82" s="41"/>
      <c r="X82" s="419"/>
      <c r="Y82" s="223"/>
      <c r="Z82" s="41"/>
      <c r="AA82" s="53"/>
      <c r="AB82" s="53"/>
      <c r="AC82" s="41"/>
      <c r="AD82" s="41">
        <f t="shared" si="4"/>
        <v>15</v>
      </c>
      <c r="AE82" s="244" t="s">
        <v>678</v>
      </c>
      <c r="AF82" s="41">
        <v>15</v>
      </c>
      <c r="AG82" s="41"/>
      <c r="AH82" s="41"/>
      <c r="AI82" s="461"/>
      <c r="AJ82" s="41"/>
      <c r="AK82" s="41"/>
      <c r="AL82" s="41"/>
      <c r="AM82" s="41">
        <f t="shared" si="5"/>
        <v>15</v>
      </c>
      <c r="AN82" s="41"/>
      <c r="AO82" s="41"/>
      <c r="AP82" s="41"/>
      <c r="AQ82" s="41"/>
      <c r="AR82" s="41">
        <f t="shared" si="6"/>
        <v>0</v>
      </c>
      <c r="AS82" s="41"/>
      <c r="AT82" s="41"/>
      <c r="AU82" s="41"/>
      <c r="AV82" s="41"/>
      <c r="AW82" s="41"/>
      <c r="AX82" s="41"/>
      <c r="AY82" s="41"/>
      <c r="AZ82" s="41"/>
      <c r="BA82" s="41">
        <f t="shared" si="7"/>
        <v>0</v>
      </c>
      <c r="BB82" s="37"/>
      <c r="BC82" s="57"/>
      <c r="BD82" s="57"/>
      <c r="BE82" s="37"/>
      <c r="BF82" s="57"/>
    </row>
    <row r="83" spans="1:58" ht="12.95" customHeight="1">
      <c r="A83" s="44"/>
      <c r="B83" s="45"/>
      <c r="C83" s="452"/>
      <c r="D83" s="45"/>
      <c r="E83" s="46"/>
      <c r="F83" s="46"/>
      <c r="G83" s="47"/>
      <c r="H83" s="48"/>
      <c r="I83" s="49"/>
      <c r="J83" s="91"/>
      <c r="K83" s="91"/>
      <c r="L83" s="39"/>
      <c r="M83" s="39"/>
      <c r="N83" s="50"/>
      <c r="O83" s="51"/>
      <c r="P83" s="52"/>
      <c r="Q83" s="51"/>
      <c r="R83" s="422"/>
      <c r="S83" s="422"/>
      <c r="T83" s="41"/>
      <c r="U83" s="41"/>
      <c r="V83" s="41"/>
      <c r="W83" s="41"/>
      <c r="X83" s="42"/>
      <c r="Y83" s="223"/>
      <c r="Z83" s="41"/>
      <c r="AA83" s="41"/>
      <c r="AB83" s="41"/>
      <c r="AC83" s="41"/>
      <c r="AD83" s="41">
        <f t="shared" si="4"/>
        <v>70</v>
      </c>
      <c r="AE83" s="244" t="s">
        <v>680</v>
      </c>
      <c r="AF83" s="37"/>
      <c r="AG83" s="37"/>
      <c r="AH83" s="37"/>
      <c r="AJ83" s="41"/>
      <c r="AK83" s="41">
        <v>70</v>
      </c>
      <c r="AL83" s="41"/>
      <c r="AM83" s="41">
        <f t="shared" si="5"/>
        <v>70</v>
      </c>
      <c r="AN83" s="41"/>
      <c r="AO83" s="41"/>
      <c r="AP83" s="41"/>
      <c r="AQ83" s="41"/>
      <c r="AR83" s="41">
        <f t="shared" si="6"/>
        <v>0</v>
      </c>
      <c r="AS83" s="41"/>
      <c r="AT83" s="41"/>
      <c r="AU83" s="41"/>
      <c r="AV83" s="41"/>
      <c r="AW83" s="41"/>
      <c r="AX83" s="41"/>
      <c r="AY83" s="41"/>
      <c r="AZ83" s="41"/>
      <c r="BA83" s="41">
        <f t="shared" si="7"/>
        <v>0</v>
      </c>
      <c r="BB83" s="37"/>
      <c r="BC83" s="57"/>
      <c r="BD83" s="57"/>
      <c r="BE83" s="37"/>
      <c r="BF83" s="57"/>
    </row>
    <row r="84" spans="1:58" ht="12.95" customHeight="1">
      <c r="A84" s="346"/>
      <c r="B84" s="45"/>
      <c r="C84" s="452"/>
      <c r="D84" s="45"/>
      <c r="E84" s="46"/>
      <c r="F84" s="46"/>
      <c r="G84" s="465"/>
      <c r="H84" s="48"/>
      <c r="I84" s="49"/>
      <c r="J84" s="91"/>
      <c r="K84" s="91"/>
      <c r="L84" s="39"/>
      <c r="M84" s="39"/>
      <c r="N84" s="50"/>
      <c r="O84" s="51"/>
      <c r="P84" s="52"/>
      <c r="Q84" s="51"/>
      <c r="R84" s="422"/>
      <c r="S84" s="422"/>
      <c r="T84" s="41"/>
      <c r="U84" s="41"/>
      <c r="V84" s="41"/>
      <c r="W84" s="41"/>
      <c r="X84" s="42"/>
      <c r="Y84" s="223"/>
      <c r="Z84" s="41"/>
      <c r="AA84" s="53"/>
      <c r="AB84" s="53"/>
      <c r="AC84" s="41"/>
      <c r="AD84" s="41"/>
      <c r="AE84" s="2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37"/>
      <c r="BC84" s="55"/>
      <c r="BD84" s="55"/>
      <c r="BE84" s="55"/>
      <c r="BF84" s="55"/>
    </row>
    <row r="85" spans="1:58" ht="12.75" customHeight="1">
      <c r="A85" s="44">
        <v>45947</v>
      </c>
      <c r="B85" s="45" t="s">
        <v>7</v>
      </c>
      <c r="C85" s="452">
        <f>(M85*E85*O85*Q85)/100000000</f>
        <v>4.1001999999999992</v>
      </c>
      <c r="D85" s="45" t="s">
        <v>411</v>
      </c>
      <c r="E85" s="46">
        <v>12.5</v>
      </c>
      <c r="F85" s="46">
        <v>1</v>
      </c>
      <c r="G85" s="465">
        <v>1700</v>
      </c>
      <c r="H85" s="608">
        <v>0.24</v>
      </c>
      <c r="I85" s="49">
        <v>0.88</v>
      </c>
      <c r="J85" s="91">
        <f>E85*G85*(1-H85)*1440/1000000*2.77</f>
        <v>64.419120000000007</v>
      </c>
      <c r="K85" s="91">
        <f>(IF(G85&lt;L85,L85,G85)*(1-IF(H85&lt;N85,H85,N85))*E85*O85*Q85)/100000000</f>
        <v>4.198999999999999</v>
      </c>
      <c r="L85" s="39">
        <v>1660</v>
      </c>
      <c r="M85" s="39">
        <v>1261.5999999999999</v>
      </c>
      <c r="N85" s="50">
        <f>1-(M85/L85)</f>
        <v>0.2400000000000001</v>
      </c>
      <c r="O85" s="51">
        <f>+'Trim Rwd'!H67</f>
        <v>260</v>
      </c>
      <c r="P85" s="52">
        <f>O85*(Q85-R85-S85)</f>
        <v>24440</v>
      </c>
      <c r="Q85" s="51">
        <v>100</v>
      </c>
      <c r="R85" s="422">
        <v>0</v>
      </c>
      <c r="S85" s="422">
        <v>6</v>
      </c>
      <c r="T85" s="41">
        <f>E85*M85*O85*Q85/100000000</f>
        <v>4.1001999999999992</v>
      </c>
      <c r="U85" s="41">
        <f>E85*M85*O85*(Q85-R85-S85)/100000000</f>
        <v>3.8541879999999993</v>
      </c>
      <c r="V85" s="41">
        <f>E85*G85*(1-N85)*O85/100*(R85+S85)/1000000</f>
        <v>0.25193999999999994</v>
      </c>
      <c r="W85" s="41">
        <f>+'17'!K18/1000</f>
        <v>12.579000000000001</v>
      </c>
      <c r="X85" s="419">
        <f>SUM(W85:W88)/SUM(K85:K88)</f>
        <v>0.93396511391766379</v>
      </c>
      <c r="Y85" s="223">
        <v>0</v>
      </c>
      <c r="Z85" s="41">
        <v>0</v>
      </c>
      <c r="AA85" s="53">
        <f>SUM(U85:U88)-SUM(W85:W88)-SUM(Z85:Z88)-SUM(Y85:Y88)</f>
        <v>-0.93027979105882341</v>
      </c>
      <c r="AB85" s="53">
        <f>(SUM(K85:K88)-SUM(W85:W88)-SUM(Y85:Y88)-SUM(Z85:Z88)-SUM(AC85:AC88)-SUM(V85:V88))-AA85</f>
        <v>-6.8901492705881751E-2</v>
      </c>
      <c r="AC85" s="41">
        <f>K85-T85</f>
        <v>9.8799999999999777E-2</v>
      </c>
      <c r="AD85" s="41">
        <f>+AM85+BA85</f>
        <v>10</v>
      </c>
      <c r="AE85" s="241" t="s">
        <v>571</v>
      </c>
      <c r="AF85" s="41">
        <v>10</v>
      </c>
      <c r="AG85" s="41"/>
      <c r="AH85" s="41"/>
      <c r="AI85" s="609"/>
      <c r="AJ85" s="41"/>
      <c r="AK85" s="41"/>
      <c r="AL85" s="41"/>
      <c r="AM85" s="41">
        <f>SUM(AF85:AL85)+AT85+AV85+AX85</f>
        <v>10</v>
      </c>
      <c r="AN85" s="41"/>
      <c r="AO85" s="41"/>
      <c r="AP85" s="41"/>
      <c r="AQ85" s="41"/>
      <c r="AR85" s="41">
        <f>SUM(AN85:AQ85)</f>
        <v>0</v>
      </c>
      <c r="AS85" s="41"/>
      <c r="AT85" s="41"/>
      <c r="AU85" s="41"/>
      <c r="AV85" s="41"/>
      <c r="AW85" s="41"/>
      <c r="AX85" s="41"/>
      <c r="AY85" s="41"/>
      <c r="AZ85" s="41"/>
      <c r="BA85" s="41">
        <f>+AR85+AS85+AU85+AW85+AY85+AZ85</f>
        <v>0</v>
      </c>
      <c r="BB85" s="37">
        <v>2</v>
      </c>
      <c r="BC85" s="55"/>
      <c r="BD85" s="55"/>
      <c r="BE85" s="37"/>
      <c r="BF85" s="55"/>
    </row>
    <row r="86" spans="1:58" ht="12.95" customHeight="1">
      <c r="A86" s="44"/>
      <c r="B86" s="45" t="s">
        <v>7</v>
      </c>
      <c r="C86" s="452">
        <f>(M86*E86*O86*Q86)/100000000</f>
        <v>58.365932156235296</v>
      </c>
      <c r="D86" s="45" t="s">
        <v>411</v>
      </c>
      <c r="E86" s="46">
        <v>13</v>
      </c>
      <c r="F86" s="46">
        <v>1</v>
      </c>
      <c r="G86" s="465">
        <v>1700</v>
      </c>
      <c r="H86" s="608">
        <v>0.24</v>
      </c>
      <c r="I86" s="49">
        <v>0.88</v>
      </c>
      <c r="J86" s="91">
        <f>E86*G86*(1-H86)*1440/1000000*2.77</f>
        <v>66.995884799999999</v>
      </c>
      <c r="K86" s="91">
        <f>(IF(G86&lt;L86,L86,G86)*(1-IF(H86&lt;N86,H86,N86))*E86*O86*Q86)/100000000</f>
        <v>59.772340159999978</v>
      </c>
      <c r="L86" s="39">
        <v>1660</v>
      </c>
      <c r="M86" s="39">
        <v>1261.5999999999999</v>
      </c>
      <c r="N86" s="50">
        <f>1-(M86/L86)</f>
        <v>0.2400000000000001</v>
      </c>
      <c r="O86" s="51">
        <f>+'Trim Rwd'!H68</f>
        <v>265.57647058823528</v>
      </c>
      <c r="P86" s="52">
        <f>O86*(Q86-R86-S86)</f>
        <v>339937.88235294115</v>
      </c>
      <c r="Q86" s="51">
        <v>1340</v>
      </c>
      <c r="R86" s="422">
        <v>0</v>
      </c>
      <c r="S86" s="422">
        <v>60</v>
      </c>
      <c r="T86" s="41">
        <f>E86*M86*O86*Q86/100000000</f>
        <v>58.365932156235296</v>
      </c>
      <c r="U86" s="41">
        <f>E86*M86*O86*(Q86-R86-S86)/100000000</f>
        <v>55.752532208941176</v>
      </c>
      <c r="V86" s="41">
        <f>E86*G86*(1-N86)*O86/100*(R86+S86)/1000000</f>
        <v>2.6763734399999994</v>
      </c>
      <c r="W86" s="41">
        <f>+'17'!K7/1000</f>
        <v>47.167999999999999</v>
      </c>
      <c r="X86" s="42"/>
      <c r="Y86" s="223"/>
      <c r="Z86" s="41">
        <f>+'17'!D34/1000</f>
        <v>0.79</v>
      </c>
      <c r="AA86" s="41"/>
      <c r="AB86" s="41"/>
      <c r="AC86" s="41">
        <f>K86-T86</f>
        <v>1.4064080037646818</v>
      </c>
      <c r="AD86" s="41">
        <f>+AM86+BA86</f>
        <v>18</v>
      </c>
      <c r="AE86" s="241" t="s">
        <v>618</v>
      </c>
      <c r="AF86" s="41"/>
      <c r="AG86" s="41">
        <v>18</v>
      </c>
      <c r="AH86" s="41"/>
      <c r="AI86" s="609"/>
      <c r="AJ86" s="41"/>
      <c r="AK86" s="41"/>
      <c r="AL86" s="41"/>
      <c r="AM86" s="41">
        <f>SUM(AF86:AL86)+AT86+AV86+AX86</f>
        <v>18</v>
      </c>
      <c r="AN86" s="92"/>
      <c r="AO86" s="41"/>
      <c r="AP86" s="41"/>
      <c r="AQ86" s="41"/>
      <c r="AR86" s="41">
        <f>SUM(AN86:AQ86)</f>
        <v>0</v>
      </c>
      <c r="AS86" s="41"/>
      <c r="AT86" s="41"/>
      <c r="AU86" s="41"/>
      <c r="AV86" s="41"/>
      <c r="AW86" s="41"/>
      <c r="AX86" s="41"/>
      <c r="AY86" s="41"/>
      <c r="AZ86" s="41"/>
      <c r="BA86" s="41">
        <f>+AR86+AS86+AU86+AW86+AY86+AZ86</f>
        <v>0</v>
      </c>
      <c r="BB86" s="54"/>
      <c r="BC86" s="55">
        <v>12</v>
      </c>
      <c r="BD86" s="55"/>
      <c r="BE86" s="54"/>
      <c r="BF86" s="55"/>
    </row>
    <row r="87" spans="1:58" ht="12.95" customHeight="1">
      <c r="A87" s="44"/>
      <c r="B87" s="45"/>
      <c r="C87" s="452"/>
      <c r="D87" s="45"/>
      <c r="E87" s="46"/>
      <c r="F87" s="46"/>
      <c r="G87" s="465"/>
      <c r="H87" s="48"/>
      <c r="I87" s="49"/>
      <c r="J87" s="91"/>
      <c r="K87" s="91"/>
      <c r="L87" s="39"/>
      <c r="M87" s="39"/>
      <c r="N87" s="50"/>
      <c r="O87" s="51"/>
      <c r="P87" s="52"/>
      <c r="Q87" s="51"/>
      <c r="R87" s="422"/>
      <c r="S87" s="422"/>
      <c r="T87" s="41"/>
      <c r="U87" s="41"/>
      <c r="V87" s="41"/>
      <c r="W87" s="41"/>
      <c r="X87" s="42"/>
      <c r="Y87" s="223"/>
      <c r="Z87" s="41"/>
      <c r="AA87" s="41"/>
      <c r="AB87" s="41"/>
      <c r="AC87" s="41"/>
      <c r="AD87" s="41">
        <f>+AM87+BA87</f>
        <v>26</v>
      </c>
      <c r="AE87" s="241" t="s">
        <v>600</v>
      </c>
      <c r="AF87" s="37"/>
      <c r="AG87" s="37"/>
      <c r="AH87" s="37">
        <v>26</v>
      </c>
      <c r="AI87" s="609"/>
      <c r="AJ87" s="41"/>
      <c r="AK87" s="41"/>
      <c r="AL87" s="41"/>
      <c r="AM87" s="41">
        <f>SUM(AF87:AL87)+AT87+AV87+AX87</f>
        <v>26</v>
      </c>
      <c r="AN87" s="41"/>
      <c r="AO87" s="41"/>
      <c r="AP87" s="41"/>
      <c r="AQ87" s="41"/>
      <c r="AR87" s="41">
        <f>SUM(AN87:AQ87)</f>
        <v>0</v>
      </c>
      <c r="AS87" s="41"/>
      <c r="AT87" s="41"/>
      <c r="AU87" s="41"/>
      <c r="AV87" s="41"/>
      <c r="AW87" s="41"/>
      <c r="AX87" s="41"/>
      <c r="AY87" s="41"/>
      <c r="AZ87" s="41"/>
      <c r="BA87" s="41">
        <f>+AR87+AS87+AU87+AW87+AY87+AZ87</f>
        <v>0</v>
      </c>
      <c r="BB87" s="37"/>
      <c r="BC87" s="57"/>
      <c r="BD87" s="57"/>
      <c r="BE87" s="37"/>
      <c r="BF87" s="57"/>
    </row>
    <row r="88" spans="1:58" ht="12.95" customHeight="1">
      <c r="A88" s="44"/>
      <c r="B88" s="45"/>
      <c r="C88" s="452"/>
      <c r="D88" s="45"/>
      <c r="E88" s="46"/>
      <c r="F88" s="46"/>
      <c r="G88" s="465"/>
      <c r="H88" s="48"/>
      <c r="I88" s="49"/>
      <c r="J88" s="91"/>
      <c r="K88" s="91"/>
      <c r="L88" s="39"/>
      <c r="M88" s="39"/>
      <c r="N88" s="50"/>
      <c r="O88" s="51"/>
      <c r="P88" s="52"/>
      <c r="Q88" s="51"/>
      <c r="R88" s="422"/>
      <c r="S88" s="422"/>
      <c r="T88" s="41"/>
      <c r="U88" s="41"/>
      <c r="V88" s="41"/>
      <c r="W88" s="41"/>
      <c r="X88" s="42"/>
      <c r="Y88" s="223"/>
      <c r="Z88" s="41"/>
      <c r="AA88" s="41"/>
      <c r="AB88" s="41"/>
      <c r="AC88" s="41"/>
      <c r="AD88" s="41">
        <f>+AM88+BA88</f>
        <v>6</v>
      </c>
      <c r="AE88" s="241" t="s">
        <v>424</v>
      </c>
      <c r="AF88" s="37"/>
      <c r="AG88" s="37"/>
      <c r="AH88" s="37"/>
      <c r="AI88" s="461">
        <v>6</v>
      </c>
      <c r="AJ88" s="41"/>
      <c r="AK88" s="41"/>
      <c r="AL88" s="41"/>
      <c r="AM88" s="41">
        <f>SUM(AF88:AL88)+AT88+AV88+AX88</f>
        <v>6</v>
      </c>
      <c r="AN88" s="41"/>
      <c r="AO88" s="41"/>
      <c r="AP88" s="41"/>
      <c r="AQ88" s="41"/>
      <c r="AR88" s="41">
        <f>SUM(AN88:AQ88)</f>
        <v>0</v>
      </c>
      <c r="AS88" s="41"/>
      <c r="AT88" s="41"/>
      <c r="AU88" s="41"/>
      <c r="AV88" s="41"/>
      <c r="AW88" s="41"/>
      <c r="AX88" s="41"/>
      <c r="AY88" s="41"/>
      <c r="AZ88" s="41"/>
      <c r="BA88" s="41">
        <f>+AR88+AS88+AU88+AW88+AY88+AZ88</f>
        <v>0</v>
      </c>
      <c r="BB88" s="37"/>
      <c r="BC88" s="57"/>
      <c r="BD88" s="57"/>
      <c r="BE88" s="37"/>
      <c r="BF88" s="57"/>
    </row>
    <row r="89" spans="1:58" ht="12.95" customHeight="1">
      <c r="A89" s="346"/>
      <c r="B89" s="45"/>
      <c r="C89" s="452"/>
      <c r="D89" s="45"/>
      <c r="E89" s="46"/>
      <c r="F89" s="46"/>
      <c r="G89" s="465"/>
      <c r="H89" s="48"/>
      <c r="I89" s="49"/>
      <c r="J89" s="91"/>
      <c r="K89" s="91"/>
      <c r="L89" s="39"/>
      <c r="M89" s="39"/>
      <c r="N89" s="50"/>
      <c r="O89" s="51"/>
      <c r="P89" s="52"/>
      <c r="Q89" s="51"/>
      <c r="R89" s="422"/>
      <c r="S89" s="422"/>
      <c r="T89" s="41"/>
      <c r="U89" s="41"/>
      <c r="V89" s="41"/>
      <c r="W89" s="41"/>
      <c r="X89" s="419"/>
      <c r="Y89" s="223"/>
      <c r="Z89" s="41"/>
      <c r="AA89" s="53"/>
      <c r="AB89" s="53"/>
      <c r="AC89" s="41"/>
      <c r="AD89" s="41">
        <f>+AM89+BA89</f>
        <v>6</v>
      </c>
      <c r="AE89" s="244" t="s">
        <v>688</v>
      </c>
      <c r="AF89" s="41"/>
      <c r="AG89" s="41"/>
      <c r="AH89" s="41"/>
      <c r="AI89" s="461"/>
      <c r="AJ89" s="41"/>
      <c r="AK89" s="41">
        <v>6</v>
      </c>
      <c r="AL89" s="41"/>
      <c r="AM89" s="41">
        <f>SUM(AF89:AL89)+AT89+AV89+AX89</f>
        <v>6</v>
      </c>
      <c r="AN89" s="41"/>
      <c r="AO89" s="41"/>
      <c r="AP89" s="41"/>
      <c r="AQ89" s="41"/>
      <c r="AR89" s="41">
        <f>SUM(AN89:AQ89)</f>
        <v>0</v>
      </c>
      <c r="AS89" s="41"/>
      <c r="AT89" s="41"/>
      <c r="AU89" s="41"/>
      <c r="AV89" s="41"/>
      <c r="AW89" s="41"/>
      <c r="AX89" s="41"/>
      <c r="AY89" s="41"/>
      <c r="AZ89" s="41"/>
      <c r="BA89" s="41">
        <f>+AR89+AS89+AU89+AW89+AY89+AZ89</f>
        <v>0</v>
      </c>
      <c r="BB89" s="37"/>
      <c r="BC89" s="57"/>
      <c r="BD89" s="57"/>
      <c r="BE89" s="37"/>
      <c r="BF89" s="57"/>
    </row>
    <row r="90" spans="1:58" ht="12.95" customHeight="1">
      <c r="A90" s="44"/>
      <c r="B90" s="45"/>
      <c r="C90" s="452"/>
      <c r="D90" s="45"/>
      <c r="E90" s="46"/>
      <c r="F90" s="46"/>
      <c r="G90" s="47"/>
      <c r="H90" s="48"/>
      <c r="I90" s="49"/>
      <c r="J90" s="91"/>
      <c r="K90" s="91"/>
      <c r="L90" s="39"/>
      <c r="M90" s="39"/>
      <c r="N90" s="50"/>
      <c r="O90" s="51"/>
      <c r="P90" s="52"/>
      <c r="Q90" s="51"/>
      <c r="R90" s="422"/>
      <c r="S90" s="422"/>
      <c r="T90" s="41"/>
      <c r="U90" s="41"/>
      <c r="V90" s="41"/>
      <c r="W90" s="41"/>
      <c r="X90" s="42"/>
      <c r="Y90" s="223"/>
      <c r="Z90" s="41"/>
      <c r="AA90" s="41"/>
      <c r="AB90" s="41"/>
      <c r="AC90" s="41"/>
      <c r="AD90" s="41"/>
      <c r="AE90" s="244"/>
      <c r="AF90" s="37"/>
      <c r="AG90" s="37"/>
      <c r="AH90" s="37"/>
      <c r="AI90" s="46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37"/>
      <c r="BC90" s="57"/>
      <c r="BD90" s="57"/>
      <c r="BE90" s="37"/>
      <c r="BF90" s="57"/>
    </row>
    <row r="91" spans="1:58" ht="12.75" customHeight="1">
      <c r="A91" s="44">
        <v>45948</v>
      </c>
      <c r="B91" s="45" t="s">
        <v>7</v>
      </c>
      <c r="C91" s="452">
        <f>(M91*E91*O91*Q91)/100000000</f>
        <v>15.930753392432432</v>
      </c>
      <c r="D91" s="45" t="s">
        <v>411</v>
      </c>
      <c r="E91" s="46">
        <v>13</v>
      </c>
      <c r="F91" s="46">
        <v>1</v>
      </c>
      <c r="G91" s="465">
        <v>1700</v>
      </c>
      <c r="H91" s="608">
        <v>0.24</v>
      </c>
      <c r="I91" s="49">
        <v>0.88</v>
      </c>
      <c r="J91" s="91">
        <f>E91*G91*(1-H91)*1440/1000000*2.77</f>
        <v>66.995884799999999</v>
      </c>
      <c r="K91" s="91">
        <f>(IF(G91&lt;L91,L91,G91)*(1-IF(H91&lt;N91,H91,N91))*E91*O91*Q91)/100000000</f>
        <v>16.025018205405406</v>
      </c>
      <c r="L91" s="39">
        <v>1690</v>
      </c>
      <c r="M91" s="39">
        <f>+L91-L91*0.24</f>
        <v>1284.4000000000001</v>
      </c>
      <c r="N91" s="50">
        <f>1-(M91/L91)</f>
        <v>0.24</v>
      </c>
      <c r="O91" s="51">
        <f>+'Trim Rwd'!H71</f>
        <v>265.02702702702703</v>
      </c>
      <c r="P91" s="52">
        <f>O91*(Q91-R91-S91)</f>
        <v>87723.945945945947</v>
      </c>
      <c r="Q91" s="51">
        <v>360</v>
      </c>
      <c r="R91" s="422">
        <v>0</v>
      </c>
      <c r="S91" s="422">
        <v>29</v>
      </c>
      <c r="T91" s="41">
        <f>E91*M91*O91*Q91/100000000</f>
        <v>15.930753392432432</v>
      </c>
      <c r="U91" s="41">
        <f>E91*M91*O91*(Q91-R91-S91)/100000000</f>
        <v>14.647442702486487</v>
      </c>
      <c r="V91" s="41">
        <f>E91*G91*(1-N91)*O91/100*(R91+S91)/1000000</f>
        <v>1.2909042443243242</v>
      </c>
      <c r="W91" s="41">
        <f>+'18'!K7/1000</f>
        <v>19.631</v>
      </c>
      <c r="X91" s="419">
        <f>SUM(W91:W94)/SUM(K91:K94)</f>
        <v>0.87887573724610002</v>
      </c>
      <c r="Y91" s="223">
        <v>0</v>
      </c>
      <c r="Z91" s="41">
        <f>+'18'!D7/1000</f>
        <v>0.25</v>
      </c>
      <c r="AA91" s="53">
        <f>SUM(U91:U94)-SUM(W91:W94)-SUM(Z91:Z94)-SUM(Y91:Y94)</f>
        <v>3.1494620304864895</v>
      </c>
      <c r="AB91" s="53">
        <f>(SUM(K91:K94)-SUM(W91:W94)-SUM(Y91:Y94)-SUM(Z91:Z94)-SUM(AC91:AC94)-SUM(V91:V94))-AA91</f>
        <v>-4.0338002378383031E-2</v>
      </c>
      <c r="AC91" s="41">
        <f>K91-T91</f>
        <v>9.4264812972973289E-2</v>
      </c>
      <c r="AD91" s="41">
        <f>+AM91+BA91</f>
        <v>0</v>
      </c>
      <c r="AE91" s="241" t="s">
        <v>280</v>
      </c>
      <c r="AF91" s="41">
        <v>0</v>
      </c>
      <c r="AG91" s="41"/>
      <c r="AH91" s="41"/>
      <c r="AI91" s="609"/>
      <c r="AJ91" s="41"/>
      <c r="AK91" s="41"/>
      <c r="AL91" s="41"/>
      <c r="AM91" s="41">
        <f>SUM(AF91:AL91)+AT91+AV91+AX91</f>
        <v>0</v>
      </c>
      <c r="AN91" s="41"/>
      <c r="AO91" s="41"/>
      <c r="AP91" s="41"/>
      <c r="AQ91" s="41"/>
      <c r="AR91" s="41">
        <f>SUM(AN91:AQ91)</f>
        <v>0</v>
      </c>
      <c r="AS91" s="41"/>
      <c r="AT91" s="41"/>
      <c r="AU91" s="41"/>
      <c r="AV91" s="41"/>
      <c r="AW91" s="41"/>
      <c r="AX91" s="41"/>
      <c r="AY91" s="41"/>
      <c r="AZ91" s="41"/>
      <c r="BA91" s="41">
        <f>+AR91+AS91+AU91+AW91+AY91+AZ91</f>
        <v>0</v>
      </c>
      <c r="BB91" s="37">
        <v>0</v>
      </c>
      <c r="BC91" s="55"/>
      <c r="BD91" s="55"/>
      <c r="BE91" s="37"/>
      <c r="BF91" s="55"/>
    </row>
    <row r="92" spans="1:58" ht="12.95" customHeight="1">
      <c r="A92" s="44"/>
      <c r="B92" s="45" t="s">
        <v>7</v>
      </c>
      <c r="C92" s="452">
        <f>(M92*E92*O92*Q92)/100000000</f>
        <v>44.472913920000003</v>
      </c>
      <c r="D92" s="45" t="s">
        <v>411</v>
      </c>
      <c r="E92" s="46">
        <v>12</v>
      </c>
      <c r="F92" s="46">
        <v>1</v>
      </c>
      <c r="G92" s="465">
        <v>1700</v>
      </c>
      <c r="H92" s="608">
        <v>0.24</v>
      </c>
      <c r="I92" s="49">
        <v>0.88</v>
      </c>
      <c r="J92" s="91">
        <f>E92*G92*(1-H92)*1440/1000000*2.77</f>
        <v>61.8423552</v>
      </c>
      <c r="K92" s="91">
        <f>(IF(G92&lt;L92,L92,G92)*(1-IF(H92&lt;N92,H92,N92))*E92*O92*Q92)/100000000</f>
        <v>45.544550399999991</v>
      </c>
      <c r="L92" s="39">
        <v>1660</v>
      </c>
      <c r="M92" s="39">
        <f>+L92-L92*0.24</f>
        <v>1261.5999999999999</v>
      </c>
      <c r="N92" s="50">
        <f>1-(M92/L92)</f>
        <v>0.2400000000000001</v>
      </c>
      <c r="O92" s="51">
        <f>+'Trim Rwd'!H73</f>
        <v>272</v>
      </c>
      <c r="P92" s="52">
        <f>O92*(Q92-R92-S92)</f>
        <v>284784</v>
      </c>
      <c r="Q92" s="51">
        <v>1080</v>
      </c>
      <c r="R92" s="422">
        <v>0</v>
      </c>
      <c r="S92" s="422">
        <v>33</v>
      </c>
      <c r="T92" s="41">
        <f>E92*M92*O92*Q92/100000000</f>
        <v>44.472913920000003</v>
      </c>
      <c r="U92" s="41">
        <f>E92*M92*O92*(Q92-R92-S92)/100000000</f>
        <v>43.114019328000005</v>
      </c>
      <c r="V92" s="41">
        <f>E92*G92*(1-N92)*O92/100*(R92+S92)/1000000</f>
        <v>1.3916390399999996</v>
      </c>
      <c r="W92" s="41">
        <f>+'18'!K16/1000</f>
        <v>34.481000000000002</v>
      </c>
      <c r="X92" s="42"/>
      <c r="Y92" s="223"/>
      <c r="Z92" s="41">
        <f>+'18'!D25/1000</f>
        <v>0.25</v>
      </c>
      <c r="AA92" s="41"/>
      <c r="AB92" s="41"/>
      <c r="AC92" s="41">
        <f>K92-T92</f>
        <v>1.071636479999988</v>
      </c>
      <c r="AD92" s="41">
        <f>+AM92+BA92</f>
        <v>21</v>
      </c>
      <c r="AE92" s="241" t="s">
        <v>644</v>
      </c>
      <c r="AF92" s="41"/>
      <c r="AG92" s="41">
        <v>21</v>
      </c>
      <c r="AH92" s="41"/>
      <c r="AI92" s="609"/>
      <c r="AJ92" s="41"/>
      <c r="AK92" s="41"/>
      <c r="AL92" s="41"/>
      <c r="AM92" s="41">
        <f>SUM(AF92:AL92)+AT92+AV92+AX92</f>
        <v>21</v>
      </c>
      <c r="AN92" s="92"/>
      <c r="AO92" s="41"/>
      <c r="AP92" s="41"/>
      <c r="AQ92" s="41"/>
      <c r="AR92" s="41">
        <f>SUM(AN92:AQ92)</f>
        <v>0</v>
      </c>
      <c r="AS92" s="41"/>
      <c r="AT92" s="41"/>
      <c r="AU92" s="41"/>
      <c r="AV92" s="41"/>
      <c r="AW92" s="41"/>
      <c r="AX92" s="41"/>
      <c r="AY92" s="41"/>
      <c r="AZ92" s="41"/>
      <c r="BA92" s="41">
        <f>+AR92+AS92+AU92+AW92+AY92+AZ92</f>
        <v>0</v>
      </c>
      <c r="BB92" s="54"/>
      <c r="BC92" s="55">
        <v>16</v>
      </c>
      <c r="BD92" s="55"/>
      <c r="BE92" s="54"/>
      <c r="BF92" s="55"/>
    </row>
    <row r="93" spans="1:58" ht="12.95" customHeight="1">
      <c r="A93" s="44"/>
      <c r="B93" s="45"/>
      <c r="C93" s="452"/>
      <c r="D93" s="45"/>
      <c r="E93" s="46"/>
      <c r="F93" s="46"/>
      <c r="G93" s="465"/>
      <c r="H93" s="48"/>
      <c r="I93" s="49"/>
      <c r="J93" s="91"/>
      <c r="K93" s="91"/>
      <c r="L93" s="39"/>
      <c r="M93" s="39"/>
      <c r="N93" s="50"/>
      <c r="O93" s="51"/>
      <c r="P93" s="52"/>
      <c r="Q93" s="51"/>
      <c r="R93" s="422"/>
      <c r="S93" s="422"/>
      <c r="T93" s="41"/>
      <c r="U93" s="41"/>
      <c r="V93" s="41"/>
      <c r="W93" s="41"/>
      <c r="X93" s="42"/>
      <c r="Y93" s="223"/>
      <c r="Z93" s="41"/>
      <c r="AA93" s="41"/>
      <c r="AB93" s="41"/>
      <c r="AC93" s="41"/>
      <c r="AD93" s="41">
        <f>+AM93+BA93</f>
        <v>33</v>
      </c>
      <c r="AE93" s="241" t="s">
        <v>703</v>
      </c>
      <c r="AF93" s="37"/>
      <c r="AG93" s="37"/>
      <c r="AH93" s="37">
        <v>33</v>
      </c>
      <c r="AI93" s="609"/>
      <c r="AJ93" s="41"/>
      <c r="AK93" s="41"/>
      <c r="AL93" s="41"/>
      <c r="AM93" s="41">
        <f>SUM(AF93:AL93)+AT93+AV93+AX93</f>
        <v>33</v>
      </c>
      <c r="AN93" s="41"/>
      <c r="AO93" s="41"/>
      <c r="AP93" s="41"/>
      <c r="AQ93" s="41"/>
      <c r="AR93" s="41">
        <f>SUM(AN93:AQ93)</f>
        <v>0</v>
      </c>
      <c r="AS93" s="41"/>
      <c r="AT93" s="41"/>
      <c r="AU93" s="41"/>
      <c r="AV93" s="41"/>
      <c r="AW93" s="41"/>
      <c r="AX93" s="41"/>
      <c r="AY93" s="41"/>
      <c r="AZ93" s="41"/>
      <c r="BA93" s="41">
        <f>+AR93+AS93+AU93+AW93+AY93+AZ93</f>
        <v>0</v>
      </c>
      <c r="BB93" s="37"/>
      <c r="BC93" s="57"/>
      <c r="BD93" s="57"/>
      <c r="BE93" s="37"/>
      <c r="BF93" s="57"/>
    </row>
    <row r="94" spans="1:58" ht="12.95" customHeight="1">
      <c r="A94" s="44"/>
      <c r="B94" s="45"/>
      <c r="C94" s="452"/>
      <c r="D94" s="45"/>
      <c r="E94" s="46"/>
      <c r="F94" s="46"/>
      <c r="G94" s="465"/>
      <c r="H94" s="48"/>
      <c r="I94" s="49"/>
      <c r="J94" s="91"/>
      <c r="K94" s="91"/>
      <c r="L94" s="39"/>
      <c r="M94" s="39"/>
      <c r="N94" s="50"/>
      <c r="O94" s="51"/>
      <c r="P94" s="52"/>
      <c r="Q94" s="51"/>
      <c r="R94" s="422"/>
      <c r="S94" s="422"/>
      <c r="T94" s="41"/>
      <c r="U94" s="41"/>
      <c r="V94" s="41"/>
      <c r="W94" s="41"/>
      <c r="X94" s="42"/>
      <c r="Y94" s="223"/>
      <c r="Z94" s="41"/>
      <c r="AA94" s="41"/>
      <c r="AB94" s="41"/>
      <c r="AC94" s="41"/>
      <c r="AD94" s="41">
        <f>+AM94+BA94</f>
        <v>8</v>
      </c>
      <c r="AE94" s="241" t="s">
        <v>424</v>
      </c>
      <c r="AF94" s="37"/>
      <c r="AG94" s="37"/>
      <c r="AH94" s="37"/>
      <c r="AI94" s="461">
        <v>8</v>
      </c>
      <c r="AJ94" s="41"/>
      <c r="AK94" s="41"/>
      <c r="AL94" s="41"/>
      <c r="AM94" s="41">
        <f>SUM(AF94:AL94)+AT94+AV94+AX94</f>
        <v>8</v>
      </c>
      <c r="AN94" s="41"/>
      <c r="AO94" s="41"/>
      <c r="AP94" s="41"/>
      <c r="AQ94" s="41"/>
      <c r="AR94" s="41">
        <f>SUM(AN94:AQ94)</f>
        <v>0</v>
      </c>
      <c r="AS94" s="41"/>
      <c r="AT94" s="41"/>
      <c r="AU94" s="41"/>
      <c r="AV94" s="41"/>
      <c r="AW94" s="41"/>
      <c r="AX94" s="41"/>
      <c r="AY94" s="41"/>
      <c r="AZ94" s="41"/>
      <c r="BA94" s="41">
        <f>+AR94+AS94+AU94+AW94+AY94+AZ94</f>
        <v>0</v>
      </c>
      <c r="BB94" s="37"/>
      <c r="BC94" s="57"/>
      <c r="BD94" s="57"/>
      <c r="BE94" s="37"/>
      <c r="BF94" s="57"/>
    </row>
    <row r="95" spans="1:58" ht="12.95" customHeight="1">
      <c r="A95" s="346"/>
      <c r="B95" s="45"/>
      <c r="C95" s="452"/>
      <c r="D95" s="45"/>
      <c r="E95" s="46"/>
      <c r="F95" s="46"/>
      <c r="G95" s="465"/>
      <c r="H95" s="48"/>
      <c r="I95" s="49"/>
      <c r="J95" s="91"/>
      <c r="K95" s="91"/>
      <c r="L95" s="39"/>
      <c r="M95" s="39"/>
      <c r="N95" s="50"/>
      <c r="O95" s="51"/>
      <c r="P95" s="52"/>
      <c r="Q95" s="51"/>
      <c r="R95" s="422"/>
      <c r="S95" s="422"/>
      <c r="T95" s="41"/>
      <c r="U95" s="41"/>
      <c r="V95" s="41"/>
      <c r="W95" s="41"/>
      <c r="X95" s="419"/>
      <c r="Y95" s="223"/>
      <c r="Z95" s="41"/>
      <c r="AA95" s="53"/>
      <c r="AB95" s="53"/>
      <c r="AC95" s="41"/>
      <c r="AD95" s="41"/>
      <c r="AE95" s="244"/>
      <c r="AF95" s="41"/>
      <c r="AG95" s="41"/>
      <c r="AH95" s="41"/>
      <c r="AI95" s="46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37"/>
      <c r="BC95" s="57"/>
      <c r="BD95" s="57"/>
      <c r="BE95" s="37"/>
      <c r="BF95" s="57"/>
    </row>
    <row r="96" spans="1:58" ht="12.95" customHeight="1">
      <c r="A96" s="44">
        <v>45949</v>
      </c>
      <c r="B96" s="45" t="s">
        <v>7</v>
      </c>
      <c r="C96" s="452">
        <f>(M96*E96*O96*Q96)/100000000</f>
        <v>59.547125881422907</v>
      </c>
      <c r="D96" s="45" t="s">
        <v>411</v>
      </c>
      <c r="E96" s="46">
        <v>12</v>
      </c>
      <c r="F96" s="46">
        <v>1</v>
      </c>
      <c r="G96" s="47">
        <v>1700</v>
      </c>
      <c r="H96" s="48">
        <v>0.24</v>
      </c>
      <c r="I96" s="49">
        <v>0.88</v>
      </c>
      <c r="J96" s="91">
        <f>E96*G96*(1-H96)*1440/1000000*2.77</f>
        <v>61.8423552</v>
      </c>
      <c r="K96" s="91">
        <f>(IF(G96&lt;L96,L96,G96)*(1-IF(H96&lt;N96,H96,N96))*E96*O96*Q96)/100000000</f>
        <v>60.726067200000003</v>
      </c>
      <c r="L96" s="39">
        <v>1666.99604743083</v>
      </c>
      <c r="M96" s="39">
        <v>1266.9169960474308</v>
      </c>
      <c r="N96" s="50">
        <f>1-(M96/L96)</f>
        <v>0.24</v>
      </c>
      <c r="O96" s="51">
        <f>+'Trim Rwd'!H75</f>
        <v>272</v>
      </c>
      <c r="P96" s="52">
        <f>O96*(Q96-R96-S96)</f>
        <v>366928</v>
      </c>
      <c r="Q96" s="51">
        <v>1440</v>
      </c>
      <c r="R96" s="422">
        <v>0</v>
      </c>
      <c r="S96" s="422">
        <v>91</v>
      </c>
      <c r="T96" s="41">
        <f>E96*M96*O96*Q96/100000000</f>
        <v>59.547125881422907</v>
      </c>
      <c r="U96" s="41">
        <f>E96*M96*O96*(Q96-R96-S96)/100000000</f>
        <v>55.784078343082989</v>
      </c>
      <c r="V96" s="41">
        <f>E96*G96*(1-N96)*O96/100*(R96+S96)/1000000</f>
        <v>3.8375500799999998</v>
      </c>
      <c r="W96" s="41">
        <f>+'19'!K34/1000</f>
        <v>53.927</v>
      </c>
      <c r="X96" s="42">
        <f>SUM(W96:W99)/SUM(K96:K99)</f>
        <v>0.88803708994347652</v>
      </c>
      <c r="Y96" s="223">
        <v>0</v>
      </c>
      <c r="Z96" s="41">
        <f>+'19'!D34/1000</f>
        <v>0.54300000000000004</v>
      </c>
      <c r="AA96" s="41">
        <f>SUM(U96:U99)-SUM(W96:W99)-SUM(Z96:Z99)-SUM(Y96:Y99)</f>
        <v>1.314078343082989</v>
      </c>
      <c r="AB96" s="41">
        <f>(SUM(K96:K99)-SUM(W96:W99)-SUM(Y96:Y99)-SUM(Z96:Z99)-SUM(AC96:AC99)-SUM(V96:V99))-AA96</f>
        <v>-7.4502541660081079E-2</v>
      </c>
      <c r="AC96" s="41">
        <f>K96-T96</f>
        <v>1.1789413185770954</v>
      </c>
      <c r="AD96" s="41">
        <f>+AM96+BA96</f>
        <v>45</v>
      </c>
      <c r="AE96" s="244" t="s">
        <v>704</v>
      </c>
      <c r="AF96" s="37">
        <v>45</v>
      </c>
      <c r="AG96" s="37"/>
      <c r="AH96" s="37"/>
      <c r="AI96" s="461"/>
      <c r="AJ96" s="41"/>
      <c r="AK96" s="41"/>
      <c r="AL96" s="41"/>
      <c r="AM96" s="41">
        <f>SUM(AF96:AL96)+AT96+AV96+AX96</f>
        <v>45</v>
      </c>
      <c r="AN96" s="41"/>
      <c r="AO96" s="41"/>
      <c r="AP96" s="41"/>
      <c r="AQ96" s="41"/>
      <c r="AR96" s="41">
        <f>SUM(AN96:AQ96)</f>
        <v>0</v>
      </c>
      <c r="AS96" s="41"/>
      <c r="AT96" s="41"/>
      <c r="AU96" s="41"/>
      <c r="AV96" s="41"/>
      <c r="AW96" s="41"/>
      <c r="AX96" s="41"/>
      <c r="AY96" s="41"/>
      <c r="AZ96" s="41"/>
      <c r="BA96" s="41">
        <f>+AR96+AS96+AU96+AW96+AY96+AZ96</f>
        <v>0</v>
      </c>
      <c r="BB96" s="37">
        <v>9</v>
      </c>
      <c r="BC96" s="57"/>
      <c r="BD96" s="57"/>
      <c r="BE96" s="37"/>
      <c r="BF96" s="57"/>
    </row>
    <row r="97" spans="1:58" ht="12.95" customHeight="1">
      <c r="A97" s="44"/>
      <c r="B97" s="45"/>
      <c r="C97" s="452"/>
      <c r="D97" s="45"/>
      <c r="E97" s="46"/>
      <c r="F97" s="46"/>
      <c r="G97" s="47"/>
      <c r="H97" s="48"/>
      <c r="I97" s="49"/>
      <c r="J97" s="91"/>
      <c r="K97" s="91"/>
      <c r="L97" s="39"/>
      <c r="M97" s="39"/>
      <c r="N97" s="50"/>
      <c r="O97" s="51"/>
      <c r="P97" s="52"/>
      <c r="Q97" s="51"/>
      <c r="R97" s="422"/>
      <c r="S97" s="422"/>
      <c r="T97" s="41"/>
      <c r="U97" s="41"/>
      <c r="V97" s="41"/>
      <c r="W97" s="41"/>
      <c r="X97" s="42"/>
      <c r="Y97" s="223"/>
      <c r="Z97" s="41"/>
      <c r="AA97" s="41"/>
      <c r="AB97" s="41"/>
      <c r="AC97" s="41"/>
      <c r="AD97" s="41">
        <f>+AM97+BA97</f>
        <v>19</v>
      </c>
      <c r="AE97" s="241" t="s">
        <v>705</v>
      </c>
      <c r="AF97" s="37"/>
      <c r="AG97" s="37">
        <v>19</v>
      </c>
      <c r="AH97" s="37"/>
      <c r="AJ97" s="41"/>
      <c r="AK97" s="41"/>
      <c r="AL97" s="41"/>
      <c r="AM97" s="41">
        <f>SUM(AF97:AL97)+AT97+AV97+AX97</f>
        <v>19</v>
      </c>
      <c r="AN97" s="41"/>
      <c r="AO97" s="41"/>
      <c r="AP97" s="41"/>
      <c r="AQ97" s="41"/>
      <c r="AR97" s="41">
        <f>SUM(AN97:AQ97)</f>
        <v>0</v>
      </c>
      <c r="AS97" s="41"/>
      <c r="AT97" s="41"/>
      <c r="AU97" s="41"/>
      <c r="AV97" s="41"/>
      <c r="AW97" s="41"/>
      <c r="AX97" s="41"/>
      <c r="AY97" s="41"/>
      <c r="AZ97" s="41"/>
      <c r="BA97" s="41">
        <f>+AR97+AS97+AU97+AW97+AY97+AZ97</f>
        <v>0</v>
      </c>
      <c r="BB97" s="37"/>
      <c r="BC97" s="57">
        <v>14</v>
      </c>
      <c r="BD97" s="55"/>
      <c r="BE97" s="55"/>
      <c r="BF97" s="55"/>
    </row>
    <row r="98" spans="1:58" ht="12.95" customHeight="1">
      <c r="A98" s="346"/>
      <c r="B98" s="45"/>
      <c r="C98" s="452"/>
      <c r="D98" s="45"/>
      <c r="E98" s="46"/>
      <c r="F98" s="46"/>
      <c r="G98" s="465"/>
      <c r="H98" s="48"/>
      <c r="I98" s="49"/>
      <c r="J98" s="91"/>
      <c r="K98" s="91"/>
      <c r="L98" s="39"/>
      <c r="M98" s="39"/>
      <c r="N98" s="50"/>
      <c r="O98" s="51"/>
      <c r="P98" s="52"/>
      <c r="Q98" s="51"/>
      <c r="R98" s="422"/>
      <c r="S98" s="422"/>
      <c r="T98" s="41"/>
      <c r="U98" s="41"/>
      <c r="V98" s="41"/>
      <c r="W98" s="41"/>
      <c r="X98" s="419"/>
      <c r="Y98" s="223"/>
      <c r="Z98" s="41"/>
      <c r="AA98" s="53"/>
      <c r="AB98" s="53"/>
      <c r="AC98" s="41"/>
      <c r="AD98" s="41">
        <f>+AM98+BA98</f>
        <v>27</v>
      </c>
      <c r="AE98" s="241" t="s">
        <v>706</v>
      </c>
      <c r="AF98" s="41"/>
      <c r="AG98" s="41"/>
      <c r="AH98" s="41">
        <v>27</v>
      </c>
      <c r="AI98" s="461"/>
      <c r="AJ98" s="41"/>
      <c r="AK98" s="41"/>
      <c r="AL98" s="41"/>
      <c r="AM98" s="41">
        <f>SUM(AF98:AL98)+AT98+AV98+AX98</f>
        <v>27</v>
      </c>
      <c r="AN98" s="41"/>
      <c r="AO98" s="41"/>
      <c r="AP98" s="41"/>
      <c r="AQ98" s="41"/>
      <c r="AR98" s="41">
        <f>SUM(AN98:AQ98)</f>
        <v>0</v>
      </c>
      <c r="AS98" s="41"/>
      <c r="AT98" s="41"/>
      <c r="AU98" s="41"/>
      <c r="AV98" s="41"/>
      <c r="AW98" s="41"/>
      <c r="AX98" s="41"/>
      <c r="AY98" s="41"/>
      <c r="AZ98" s="41"/>
      <c r="BA98" s="41">
        <f>+AR98+AS98+AU98+AW98+AY98+AZ98</f>
        <v>0</v>
      </c>
      <c r="BB98" s="37"/>
      <c r="BC98" s="55"/>
      <c r="BD98" s="55"/>
      <c r="BE98" s="55"/>
      <c r="BF98" s="55"/>
    </row>
    <row r="99" spans="1:58" ht="12.95" customHeight="1">
      <c r="A99" s="346"/>
      <c r="B99" s="45"/>
      <c r="C99" s="452"/>
      <c r="D99" s="45"/>
      <c r="E99" s="46"/>
      <c r="F99" s="46"/>
      <c r="G99" s="465"/>
      <c r="H99" s="48"/>
      <c r="I99" s="49"/>
      <c r="J99" s="91"/>
      <c r="K99" s="91"/>
      <c r="L99" s="39"/>
      <c r="M99" s="39"/>
      <c r="N99" s="50"/>
      <c r="O99" s="51"/>
      <c r="P99" s="52"/>
      <c r="Q99" s="51"/>
      <c r="R99" s="422"/>
      <c r="S99" s="422"/>
      <c r="T99" s="41"/>
      <c r="U99" s="41"/>
      <c r="V99" s="41"/>
      <c r="W99" s="41"/>
      <c r="X99" s="419"/>
      <c r="Y99" s="223"/>
      <c r="Z99" s="41"/>
      <c r="AA99" s="53"/>
      <c r="AB99" s="53"/>
      <c r="AC99" s="41"/>
      <c r="AD99" s="41"/>
      <c r="AE99" s="241"/>
      <c r="AF99" s="41"/>
      <c r="AG99" s="41"/>
      <c r="AH99" s="41"/>
      <c r="AI99" s="461"/>
      <c r="AJ99" s="41"/>
      <c r="AK99" s="41"/>
      <c r="AL99" s="41"/>
      <c r="AM99" s="41"/>
      <c r="AN99" s="92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54"/>
      <c r="BC99" s="55"/>
      <c r="BD99" s="55"/>
      <c r="BE99" s="55"/>
      <c r="BF99" s="55"/>
    </row>
    <row r="100" spans="1:58" ht="12.95" customHeight="1">
      <c r="A100" s="44">
        <v>45950</v>
      </c>
      <c r="B100" s="45" t="s">
        <v>7</v>
      </c>
      <c r="C100" s="452">
        <f>(M100*E100*O100*Q100)/100000000</f>
        <v>59.892572160000007</v>
      </c>
      <c r="D100" s="45" t="s">
        <v>411</v>
      </c>
      <c r="E100" s="46">
        <v>12</v>
      </c>
      <c r="F100" s="46">
        <v>1</v>
      </c>
      <c r="G100" s="47">
        <v>1700</v>
      </c>
      <c r="H100" s="48">
        <v>0.24</v>
      </c>
      <c r="I100" s="49">
        <v>0.88</v>
      </c>
      <c r="J100" s="91">
        <f>E100*G100*(1-H100)*1440/1000000*2.77</f>
        <v>61.8423552</v>
      </c>
      <c r="K100" s="91">
        <f>(IF(G100&lt;L100,L100,G100)*(1-IF(H100&lt;N100,H100,N100))*E100*O100*Q100)/100000000</f>
        <v>60.726067200000003</v>
      </c>
      <c r="L100" s="39">
        <v>1676.6666666666667</v>
      </c>
      <c r="M100" s="39">
        <v>1274.2666666666667</v>
      </c>
      <c r="N100" s="50">
        <f>1-(M100/L100)</f>
        <v>0.24</v>
      </c>
      <c r="O100" s="51">
        <f>+'Trim Rwd'!H77</f>
        <v>272</v>
      </c>
      <c r="P100" s="52">
        <f>O100*(Q100-R100-S100)</f>
        <v>374000</v>
      </c>
      <c r="Q100" s="51">
        <v>1440</v>
      </c>
      <c r="R100" s="422">
        <v>0</v>
      </c>
      <c r="S100" s="422">
        <v>65</v>
      </c>
      <c r="T100" s="41">
        <f>E100*M100*O100*Q100/100000000</f>
        <v>59.892572160000007</v>
      </c>
      <c r="U100" s="41">
        <f>E100*M100*O100*(Q100-R100-S100)/100000000</f>
        <v>57.189088000000012</v>
      </c>
      <c r="V100" s="41">
        <f>E100*G100*(1-N100)*O100/100*(R100+S100)/1000000</f>
        <v>2.7411071999999996</v>
      </c>
      <c r="W100" s="41">
        <f>+'20'!K34/1000</f>
        <v>55.262999999999998</v>
      </c>
      <c r="X100" s="42">
        <f>SUM(W100:W103)/SUM(K100:K103)</f>
        <v>0.91003752668508053</v>
      </c>
      <c r="Y100" s="223">
        <v>0</v>
      </c>
      <c r="Z100" s="41">
        <f>+'20'!D34/1000</f>
        <v>0.96399999999999997</v>
      </c>
      <c r="AA100" s="41">
        <f>SUM(U100:U103)-SUM(W100:W103)-SUM(Z100:Z103)-SUM(Y100:Y103)</f>
        <v>0.96208800000001427</v>
      </c>
      <c r="AB100" s="41">
        <f>(SUM(K100:K103)-SUM(W100:W103)-SUM(Y100:Y103)-SUM(Z100:Z103)-SUM(AC100:AC103)-SUM(V100:V103))-AA100</f>
        <v>-3.7623040000005048E-2</v>
      </c>
      <c r="AC100" s="41">
        <f>K100-T100</f>
        <v>0.83349503999999541</v>
      </c>
      <c r="AD100" s="41">
        <f>+AM100+BA100</f>
        <v>17</v>
      </c>
      <c r="AE100" s="244" t="s">
        <v>614</v>
      </c>
      <c r="AF100" s="37">
        <v>17</v>
      </c>
      <c r="AG100" s="37"/>
      <c r="AH100" s="37"/>
      <c r="AI100" s="461"/>
      <c r="AJ100" s="41"/>
      <c r="AK100" s="41"/>
      <c r="AL100" s="41"/>
      <c r="AM100" s="41">
        <f>SUM(AF100:AL100)+AT100+AV100+AX100</f>
        <v>17</v>
      </c>
      <c r="AN100" s="41"/>
      <c r="AO100" s="41"/>
      <c r="AP100" s="41"/>
      <c r="AQ100" s="41"/>
      <c r="AR100" s="41">
        <f>SUM(AN100:AQ100)</f>
        <v>0</v>
      </c>
      <c r="AS100" s="41"/>
      <c r="AT100" s="41"/>
      <c r="AU100" s="41"/>
      <c r="AV100" s="41"/>
      <c r="AW100" s="41"/>
      <c r="AX100" s="41"/>
      <c r="AY100" s="41"/>
      <c r="AZ100" s="41"/>
      <c r="BA100" s="41">
        <f>+AR100+AS100+AU100+AW100+AY100+AZ100</f>
        <v>0</v>
      </c>
      <c r="BB100" s="37">
        <v>3</v>
      </c>
      <c r="BC100" s="57"/>
      <c r="BD100" s="57"/>
      <c r="BE100" s="37"/>
      <c r="BF100" s="57"/>
    </row>
    <row r="101" spans="1:58" ht="12.95" customHeight="1">
      <c r="A101" s="44"/>
      <c r="B101" s="45"/>
      <c r="C101" s="452"/>
      <c r="D101" s="45"/>
      <c r="E101" s="46"/>
      <c r="F101" s="46"/>
      <c r="G101" s="47"/>
      <c r="H101" s="48"/>
      <c r="I101" s="49"/>
      <c r="J101" s="91"/>
      <c r="K101" s="91"/>
      <c r="L101" s="39"/>
      <c r="M101" s="39"/>
      <c r="N101" s="50"/>
      <c r="O101" s="51"/>
      <c r="P101" s="52"/>
      <c r="Q101" s="51"/>
      <c r="R101" s="422"/>
      <c r="S101" s="422"/>
      <c r="T101" s="41"/>
      <c r="U101" s="41"/>
      <c r="V101" s="41"/>
      <c r="W101" s="41"/>
      <c r="X101" s="42"/>
      <c r="Y101" s="223"/>
      <c r="Z101" s="41"/>
      <c r="AA101" s="41"/>
      <c r="AB101" s="41"/>
      <c r="AC101" s="41"/>
      <c r="AD101" s="41">
        <f>+AM101+BA101</f>
        <v>18</v>
      </c>
      <c r="AE101" s="241" t="s">
        <v>588</v>
      </c>
      <c r="AF101" s="37"/>
      <c r="AG101" s="37">
        <v>18</v>
      </c>
      <c r="AH101" s="37"/>
      <c r="AJ101" s="41"/>
      <c r="AK101" s="41"/>
      <c r="AL101" s="41"/>
      <c r="AM101" s="41">
        <f>SUM(AF101:AL101)+AT101+AV101+AX101</f>
        <v>18</v>
      </c>
      <c r="AN101" s="41"/>
      <c r="AO101" s="41"/>
      <c r="AP101" s="41"/>
      <c r="AQ101" s="41"/>
      <c r="AR101" s="41">
        <f>SUM(AN101:AQ101)</f>
        <v>0</v>
      </c>
      <c r="AS101" s="41"/>
      <c r="AT101" s="41"/>
      <c r="AU101" s="41"/>
      <c r="AV101" s="41"/>
      <c r="AW101" s="41"/>
      <c r="AX101" s="41"/>
      <c r="AY101" s="41"/>
      <c r="AZ101" s="41"/>
      <c r="BA101" s="41">
        <f>+AR101+AS101+AU101+AW101+AY101+AZ101</f>
        <v>0</v>
      </c>
      <c r="BB101" s="37"/>
      <c r="BC101" s="57">
        <v>11</v>
      </c>
      <c r="BD101" s="55"/>
      <c r="BE101" s="55"/>
      <c r="BF101" s="55"/>
    </row>
    <row r="102" spans="1:58" ht="12.95" customHeight="1">
      <c r="A102" s="346"/>
      <c r="B102" s="45"/>
      <c r="C102" s="452"/>
      <c r="D102" s="45"/>
      <c r="E102" s="46"/>
      <c r="F102" s="46"/>
      <c r="G102" s="465"/>
      <c r="H102" s="48"/>
      <c r="I102" s="49"/>
      <c r="J102" s="91"/>
      <c r="K102" s="91"/>
      <c r="L102" s="39"/>
      <c r="M102" s="39"/>
      <c r="N102" s="50"/>
      <c r="O102" s="51"/>
      <c r="P102" s="52"/>
      <c r="Q102" s="51"/>
      <c r="R102" s="422"/>
      <c r="S102" s="422"/>
      <c r="T102" s="41"/>
      <c r="U102" s="41"/>
      <c r="V102" s="41"/>
      <c r="W102" s="41"/>
      <c r="X102" s="419"/>
      <c r="Y102" s="223"/>
      <c r="Z102" s="41"/>
      <c r="AA102" s="53"/>
      <c r="AB102" s="53"/>
      <c r="AC102" s="41"/>
      <c r="AD102" s="41">
        <f>+AM102+BA102</f>
        <v>30</v>
      </c>
      <c r="AE102" s="241" t="s">
        <v>619</v>
      </c>
      <c r="AF102" s="41"/>
      <c r="AG102" s="41"/>
      <c r="AH102" s="41">
        <v>30</v>
      </c>
      <c r="AI102" s="461"/>
      <c r="AJ102" s="41"/>
      <c r="AK102" s="41"/>
      <c r="AL102" s="41"/>
      <c r="AM102" s="41">
        <f>SUM(AF102:AL102)+AT102+AV102+AX102</f>
        <v>30</v>
      </c>
      <c r="AN102" s="41"/>
      <c r="AO102" s="41"/>
      <c r="AP102" s="41"/>
      <c r="AQ102" s="41"/>
      <c r="AR102" s="41">
        <f>SUM(AN102:AQ102)</f>
        <v>0</v>
      </c>
      <c r="AS102" s="41"/>
      <c r="AT102" s="41"/>
      <c r="AU102" s="41"/>
      <c r="AV102" s="41"/>
      <c r="AW102" s="41"/>
      <c r="AX102" s="41"/>
      <c r="AY102" s="41"/>
      <c r="AZ102" s="41"/>
      <c r="BA102" s="41">
        <f>+AR102+AS102+AU102+AW102+AY102+AZ102</f>
        <v>0</v>
      </c>
      <c r="BB102" s="37"/>
      <c r="BC102" s="55"/>
      <c r="BD102" s="55"/>
      <c r="BE102" s="55"/>
      <c r="BF102" s="55"/>
    </row>
    <row r="103" spans="1:58" ht="12.95" customHeight="1">
      <c r="A103" s="346"/>
      <c r="B103" s="45"/>
      <c r="C103" s="452"/>
      <c r="D103" s="45"/>
      <c r="E103" s="46"/>
      <c r="F103" s="46"/>
      <c r="G103" s="465"/>
      <c r="H103" s="48"/>
      <c r="I103" s="49"/>
      <c r="J103" s="91"/>
      <c r="K103" s="91"/>
      <c r="L103" s="39"/>
      <c r="M103" s="39"/>
      <c r="N103" s="50"/>
      <c r="O103" s="51"/>
      <c r="P103" s="52"/>
      <c r="Q103" s="51"/>
      <c r="R103" s="422"/>
      <c r="S103" s="422"/>
      <c r="T103" s="41"/>
      <c r="U103" s="41"/>
      <c r="V103" s="41"/>
      <c r="W103" s="41"/>
      <c r="X103" s="419"/>
      <c r="Y103" s="223"/>
      <c r="Z103" s="41"/>
      <c r="AA103" s="53"/>
      <c r="AB103" s="53"/>
      <c r="AC103" s="41"/>
      <c r="AD103" s="41"/>
      <c r="AE103" s="241"/>
      <c r="AF103" s="41"/>
      <c r="AG103" s="41"/>
      <c r="AH103" s="41"/>
      <c r="AI103" s="461"/>
      <c r="AJ103" s="41"/>
      <c r="AK103" s="41"/>
      <c r="AL103" s="41"/>
      <c r="AM103" s="41"/>
      <c r="AN103" s="92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54"/>
      <c r="BC103" s="55"/>
      <c r="BD103" s="55"/>
      <c r="BE103" s="55"/>
      <c r="BF103" s="55"/>
    </row>
    <row r="104" spans="1:58" ht="12.95" customHeight="1">
      <c r="A104" s="44">
        <v>45951</v>
      </c>
      <c r="B104" s="45" t="s">
        <v>7</v>
      </c>
      <c r="C104" s="452">
        <f>(M104*E104*O104*Q104)/100000000</f>
        <v>2.48669568</v>
      </c>
      <c r="D104" s="45" t="s">
        <v>411</v>
      </c>
      <c r="E104" s="46">
        <v>12</v>
      </c>
      <c r="F104" s="46">
        <v>1</v>
      </c>
      <c r="G104" s="47">
        <v>1700</v>
      </c>
      <c r="H104" s="48">
        <v>0.24</v>
      </c>
      <c r="I104" s="49">
        <v>0.88</v>
      </c>
      <c r="J104" s="91">
        <f>E104*G104*(1-H104)*1440/1000000*2.77</f>
        <v>61.8423552</v>
      </c>
      <c r="K104" s="91">
        <f>(IF(G104&lt;L104,L104,G104)*(1-IF(H104&lt;N104,H104,N104))*E104*O104*Q104)/100000000</f>
        <v>2.5162992000000002</v>
      </c>
      <c r="L104" s="39">
        <v>1680</v>
      </c>
      <c r="M104" s="39">
        <f>+L104-L104*0.24</f>
        <v>1276.8</v>
      </c>
      <c r="N104" s="50">
        <f>1-(M104/L104)</f>
        <v>0.24</v>
      </c>
      <c r="O104" s="51">
        <f>+'Trim Rwd'!H79</f>
        <v>270.5</v>
      </c>
      <c r="P104" s="52">
        <f>O104*(Q104-R104-S104)</f>
        <v>14877.5</v>
      </c>
      <c r="Q104" s="51">
        <v>60</v>
      </c>
      <c r="R104" s="422">
        <v>0</v>
      </c>
      <c r="S104" s="422">
        <v>5</v>
      </c>
      <c r="T104" s="41">
        <f>E104*M104*O104*Q104/100000000</f>
        <v>2.48669568</v>
      </c>
      <c r="U104" s="41">
        <f>E104*M104*O104*(Q104-R104-S104)/100000000</f>
        <v>2.2794710399999998</v>
      </c>
      <c r="V104" s="41">
        <f>E104*G104*(1-N104)*O104/100*(R104+S104)/1000000</f>
        <v>0.20969160000000001</v>
      </c>
      <c r="W104" s="41">
        <f>+'21'!K16/1000</f>
        <v>7.9109999999999996</v>
      </c>
      <c r="X104" s="42">
        <f>SUM(W104:W107)/SUM(K104:K107)</f>
        <v>0.74059237433392344</v>
      </c>
      <c r="Y104" s="223">
        <v>0</v>
      </c>
      <c r="Z104" s="41">
        <v>0</v>
      </c>
      <c r="AA104" s="41">
        <f>SUM(U104:U107)-SUM(W104:W107)-SUM(Z104:Z107)-SUM(Y104:Y107)</f>
        <v>-0.18516096000000415</v>
      </c>
      <c r="AB104" s="41">
        <f>(SUM(K104:K107)-SUM(W104:W107)-SUM(Y104:Y107)-SUM(Z104:Z107)-SUM(AC104:AC107)-SUM(V104:V107))-AA104</f>
        <v>-2.466959999994689E-3</v>
      </c>
      <c r="AC104" s="41">
        <f>K104-T104</f>
        <v>2.9603520000000216E-2</v>
      </c>
      <c r="AD104" s="41">
        <f>+AM104+BA104</f>
        <v>25</v>
      </c>
      <c r="AE104" s="244" t="s">
        <v>547</v>
      </c>
      <c r="AF104" s="37">
        <v>25</v>
      </c>
      <c r="AG104" s="37"/>
      <c r="AH104" s="37"/>
      <c r="AI104" s="461"/>
      <c r="AJ104" s="41"/>
      <c r="AK104" s="41"/>
      <c r="AL104" s="41"/>
      <c r="AM104" s="41">
        <f>SUM(AF104:AL104)+AT104+AV104+AX104</f>
        <v>25</v>
      </c>
      <c r="AN104" s="41"/>
      <c r="AO104" s="41"/>
      <c r="AP104" s="41"/>
      <c r="AQ104" s="41"/>
      <c r="AR104" s="41">
        <f>SUM(AN104:AQ104)</f>
        <v>0</v>
      </c>
      <c r="AS104" s="41"/>
      <c r="AT104" s="41"/>
      <c r="AU104" s="41"/>
      <c r="AV104" s="41"/>
      <c r="AW104" s="41"/>
      <c r="AX104" s="41"/>
      <c r="AY104" s="41"/>
      <c r="AZ104" s="41"/>
      <c r="BA104" s="41">
        <f>+AR104+AS104+AU104+AW104+AY104+AZ104</f>
        <v>0</v>
      </c>
      <c r="BB104" s="37">
        <v>5</v>
      </c>
      <c r="BC104" s="57"/>
      <c r="BD104" s="57"/>
      <c r="BE104" s="37"/>
      <c r="BF104" s="57"/>
    </row>
    <row r="105" spans="1:58" ht="12.95" customHeight="1">
      <c r="A105" s="44"/>
      <c r="B105" s="45" t="s">
        <v>473</v>
      </c>
      <c r="C105" s="452">
        <f>(M105*E105*O105*Q105)/100000000</f>
        <v>51.799680000000002</v>
      </c>
      <c r="D105" s="45" t="s">
        <v>411</v>
      </c>
      <c r="E105" s="46">
        <v>15</v>
      </c>
      <c r="F105" s="46">
        <v>1</v>
      </c>
      <c r="G105" s="465">
        <f>+L105</f>
        <v>1150</v>
      </c>
      <c r="H105" s="48">
        <v>0.2</v>
      </c>
      <c r="I105" s="49">
        <v>0.88</v>
      </c>
      <c r="J105" s="91">
        <f>E105*G105*(1-H105)*1440/1000000*2.77</f>
        <v>55.045439999999999</v>
      </c>
      <c r="K105" s="91">
        <f>(IF(G105&lt;L105,L105,G105)*(1-IF(H105&lt;N105,H105,N105))*E105*O105*Q105)/100000000</f>
        <v>51.799680000000002</v>
      </c>
      <c r="L105" s="39">
        <v>1150</v>
      </c>
      <c r="M105" s="39">
        <f>+L105-L105*0.2</f>
        <v>920</v>
      </c>
      <c r="N105" s="50">
        <f>1-(M105/L105)</f>
        <v>0.19999999999999996</v>
      </c>
      <c r="O105" s="51">
        <f>+'Trim Rwd'!H81</f>
        <v>272</v>
      </c>
      <c r="P105" s="52">
        <f>O105*(Q105-R105-S105)</f>
        <v>282336</v>
      </c>
      <c r="Q105" s="51">
        <v>1380</v>
      </c>
      <c r="R105" s="422">
        <v>270</v>
      </c>
      <c r="S105" s="422">
        <v>72</v>
      </c>
      <c r="T105" s="41">
        <f>E105*M105*O105*Q105/100000000</f>
        <v>51.799680000000002</v>
      </c>
      <c r="U105" s="41">
        <f>E105*M105*O105*(Q105-R105-S105)/100000000</f>
        <v>38.962367999999998</v>
      </c>
      <c r="V105" s="41">
        <f>E105*G105*(1-N105)*O105/100*(R105+S105)/1000000</f>
        <v>12.837312000000001</v>
      </c>
      <c r="W105" s="41">
        <f>+'21'!K9/1000</f>
        <v>32.314999999999998</v>
      </c>
      <c r="X105" s="42"/>
      <c r="Y105" s="223"/>
      <c r="Z105" s="41">
        <f>+'21'!D34/1000</f>
        <v>1.2010000000000001</v>
      </c>
      <c r="AA105" s="41"/>
      <c r="AB105" s="41"/>
      <c r="AC105" s="41">
        <f>K105-T105</f>
        <v>0</v>
      </c>
      <c r="AD105" s="41">
        <f>+AM105+BA105</f>
        <v>22</v>
      </c>
      <c r="AE105" s="241" t="s">
        <v>639</v>
      </c>
      <c r="AF105" s="37"/>
      <c r="AG105" s="37">
        <v>22</v>
      </c>
      <c r="AH105" s="37"/>
      <c r="AJ105" s="41"/>
      <c r="AK105" s="41"/>
      <c r="AL105" s="41"/>
      <c r="AM105" s="41">
        <f>SUM(AF105:AL105)+AT105+AV105+AX105</f>
        <v>22</v>
      </c>
      <c r="AN105" s="41"/>
      <c r="AO105" s="41"/>
      <c r="AP105" s="41"/>
      <c r="AQ105" s="41"/>
      <c r="AR105" s="41">
        <f>SUM(AN105:AQ105)</f>
        <v>0</v>
      </c>
      <c r="AS105" s="41"/>
      <c r="AT105" s="41"/>
      <c r="AU105" s="41"/>
      <c r="AV105" s="41"/>
      <c r="AW105" s="41"/>
      <c r="AX105" s="41"/>
      <c r="AY105" s="41"/>
      <c r="AZ105" s="41"/>
      <c r="BA105" s="41">
        <f>+AR105+AS105+AU105+AW105+AY105+AZ105</f>
        <v>0</v>
      </c>
      <c r="BB105" s="37"/>
      <c r="BC105" s="57">
        <v>17</v>
      </c>
      <c r="BD105" s="55"/>
      <c r="BE105" s="55"/>
      <c r="BF105" s="55"/>
    </row>
    <row r="106" spans="1:58" ht="12.95" customHeight="1">
      <c r="A106" s="346"/>
      <c r="B106" s="45"/>
      <c r="C106" s="452"/>
      <c r="D106" s="45"/>
      <c r="E106" s="46"/>
      <c r="F106" s="46"/>
      <c r="G106" s="465"/>
      <c r="H106" s="48"/>
      <c r="I106" s="49"/>
      <c r="J106" s="91"/>
      <c r="K106" s="91"/>
      <c r="L106" s="39"/>
      <c r="M106" s="39"/>
      <c r="N106" s="50"/>
      <c r="O106" s="51"/>
      <c r="P106" s="52"/>
      <c r="Q106" s="51"/>
      <c r="R106" s="422"/>
      <c r="S106" s="422"/>
      <c r="T106" s="41"/>
      <c r="U106" s="41"/>
      <c r="V106" s="41"/>
      <c r="W106" s="41"/>
      <c r="X106" s="419"/>
      <c r="Y106" s="223"/>
      <c r="Z106" s="41"/>
      <c r="AA106" s="53"/>
      <c r="AB106" s="53"/>
      <c r="AC106" s="41"/>
      <c r="AD106" s="41">
        <f>+AM106+BA106</f>
        <v>30</v>
      </c>
      <c r="AE106" s="241" t="s">
        <v>720</v>
      </c>
      <c r="AF106" s="41"/>
      <c r="AG106" s="41"/>
      <c r="AH106" s="41">
        <v>30</v>
      </c>
      <c r="AI106" s="461"/>
      <c r="AJ106" s="41"/>
      <c r="AK106" s="41"/>
      <c r="AL106" s="41"/>
      <c r="AM106" s="41">
        <f>SUM(AF106:AL106)+AT106+AV106+AX106</f>
        <v>30</v>
      </c>
      <c r="AN106" s="41"/>
      <c r="AO106" s="41"/>
      <c r="AP106" s="41"/>
      <c r="AQ106" s="41"/>
      <c r="AR106" s="41">
        <f>SUM(AN106:AQ106)</f>
        <v>0</v>
      </c>
      <c r="AS106" s="41"/>
      <c r="AT106" s="41"/>
      <c r="AU106" s="41"/>
      <c r="AV106" s="41"/>
      <c r="AW106" s="41"/>
      <c r="AX106" s="41"/>
      <c r="AY106" s="41"/>
      <c r="AZ106" s="41"/>
      <c r="BA106" s="41">
        <f>+AR106+AS106+AU106+AW106+AY106+AZ106</f>
        <v>0</v>
      </c>
      <c r="BB106" s="37"/>
      <c r="BC106" s="55"/>
      <c r="BD106" s="55"/>
      <c r="BE106" s="55"/>
      <c r="BF106" s="55"/>
    </row>
    <row r="107" spans="1:58" ht="12.95" customHeight="1">
      <c r="A107" s="346"/>
      <c r="B107" s="45"/>
      <c r="C107" s="452"/>
      <c r="D107" s="45"/>
      <c r="E107" s="46"/>
      <c r="F107" s="46"/>
      <c r="G107" s="465"/>
      <c r="H107" s="48"/>
      <c r="I107" s="49"/>
      <c r="J107" s="91"/>
      <c r="K107" s="91"/>
      <c r="L107" s="39"/>
      <c r="M107" s="39"/>
      <c r="N107" s="50"/>
      <c r="O107" s="51"/>
      <c r="P107" s="52"/>
      <c r="Q107" s="51"/>
      <c r="R107" s="422"/>
      <c r="S107" s="422"/>
      <c r="T107" s="41"/>
      <c r="U107" s="41"/>
      <c r="V107" s="41"/>
      <c r="W107" s="41"/>
      <c r="X107" s="419"/>
      <c r="Y107" s="223"/>
      <c r="Z107" s="41"/>
      <c r="AA107" s="53"/>
      <c r="AB107" s="53"/>
      <c r="AC107" s="41"/>
      <c r="AD107" s="41">
        <f>+AM107+BA107</f>
        <v>270</v>
      </c>
      <c r="AE107" s="244" t="s">
        <v>711</v>
      </c>
      <c r="AF107" s="41"/>
      <c r="AG107" s="41"/>
      <c r="AH107" s="41"/>
      <c r="AI107" s="461"/>
      <c r="AJ107" s="41"/>
      <c r="AK107" s="41"/>
      <c r="AL107" s="41"/>
      <c r="AM107" s="41">
        <f>SUM(AF107:AL107)+AT107+AV107+AX107</f>
        <v>0</v>
      </c>
      <c r="AN107" s="41"/>
      <c r="AO107" s="41"/>
      <c r="AP107" s="41"/>
      <c r="AQ107" s="41"/>
      <c r="AR107" s="41">
        <f>SUM(AN107:AQ107)</f>
        <v>0</v>
      </c>
      <c r="AS107" s="41"/>
      <c r="AT107" s="41"/>
      <c r="AU107" s="41">
        <v>270</v>
      </c>
      <c r="AV107" s="41"/>
      <c r="AW107" s="41"/>
      <c r="AX107" s="41"/>
      <c r="AY107" s="41"/>
      <c r="AZ107" s="41"/>
      <c r="BA107" s="41">
        <f>+AR107+AS107+AU107+AW107+AY107+AZ107</f>
        <v>270</v>
      </c>
      <c r="BB107" s="37"/>
      <c r="BC107" s="55"/>
      <c r="BD107" s="55"/>
      <c r="BE107" s="55"/>
      <c r="BF107" s="55"/>
    </row>
    <row r="108" spans="1:58" ht="12.95" customHeight="1">
      <c r="A108" s="346"/>
      <c r="B108" s="45"/>
      <c r="C108" s="452"/>
      <c r="D108" s="45"/>
      <c r="E108" s="46"/>
      <c r="F108" s="46"/>
      <c r="G108" s="465"/>
      <c r="H108" s="48"/>
      <c r="I108" s="49"/>
      <c r="J108" s="91"/>
      <c r="K108" s="91"/>
      <c r="L108" s="39"/>
      <c r="M108" s="39"/>
      <c r="N108" s="50"/>
      <c r="O108" s="51"/>
      <c r="P108" s="52"/>
      <c r="Q108" s="51"/>
      <c r="R108" s="422"/>
      <c r="S108" s="422"/>
      <c r="T108" s="41"/>
      <c r="U108" s="41"/>
      <c r="V108" s="41"/>
      <c r="W108" s="41"/>
      <c r="X108" s="419"/>
      <c r="Y108" s="223"/>
      <c r="Z108" s="41"/>
      <c r="AA108" s="53"/>
      <c r="AB108" s="53"/>
      <c r="AC108" s="41"/>
      <c r="AD108" s="41"/>
      <c r="AE108" s="241"/>
      <c r="AF108" s="41"/>
      <c r="AG108" s="41"/>
      <c r="AH108" s="41"/>
      <c r="AI108" s="46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37"/>
      <c r="BC108" s="55"/>
      <c r="BD108" s="55"/>
      <c r="BE108" s="55"/>
      <c r="BF108" s="55"/>
    </row>
    <row r="109" spans="1:58" ht="12.95" customHeight="1">
      <c r="A109" s="44">
        <v>45952</v>
      </c>
      <c r="B109" s="45" t="s">
        <v>473</v>
      </c>
      <c r="C109" s="452">
        <f>(M109*E109*O109*Q109)/100000000</f>
        <v>55.132876799999998</v>
      </c>
      <c r="D109" s="45" t="s">
        <v>411</v>
      </c>
      <c r="E109" s="46">
        <v>15</v>
      </c>
      <c r="F109" s="46">
        <v>1</v>
      </c>
      <c r="G109" s="465">
        <f>+L109</f>
        <v>1173</v>
      </c>
      <c r="H109" s="48">
        <v>0.2</v>
      </c>
      <c r="I109" s="49">
        <v>0.88</v>
      </c>
      <c r="J109" s="91">
        <f>E109*G109*(1-H109)*1440/1000000*2.77</f>
        <v>56.146348799999998</v>
      </c>
      <c r="K109" s="91">
        <f>(IF(G109&lt;L109,L109,G109)*(1-IF(H109&lt;N109,H109,N109))*E109*O109*Q109)/100000000</f>
        <v>55.132876799999998</v>
      </c>
      <c r="L109" s="39">
        <v>1173</v>
      </c>
      <c r="M109" s="39">
        <v>938.4</v>
      </c>
      <c r="N109" s="50">
        <f>1-(M109/L109)</f>
        <v>0.20000000000000007</v>
      </c>
      <c r="O109" s="51">
        <f>+'Trim Rwd'!H83</f>
        <v>272</v>
      </c>
      <c r="P109" s="52">
        <f>O109*(Q109-R109-S109)</f>
        <v>374272</v>
      </c>
      <c r="Q109" s="51">
        <v>1440</v>
      </c>
      <c r="R109" s="422">
        <v>0</v>
      </c>
      <c r="S109" s="422">
        <v>64</v>
      </c>
      <c r="T109" s="41">
        <f>E109*M109*O109*Q109/100000000</f>
        <v>55.132876799999998</v>
      </c>
      <c r="U109" s="41">
        <f>E109*M109*O109*(Q109-R109-S109)/100000000</f>
        <v>52.682526719999998</v>
      </c>
      <c r="V109" s="41">
        <f>E109*G109*(1-N109)*O109/100*(R109+S109)/1000000</f>
        <v>2.4503500799999998</v>
      </c>
      <c r="W109" s="41">
        <f>+'22'!K34/1000</f>
        <v>52.610999999999997</v>
      </c>
      <c r="X109" s="42">
        <f>SUM(W109:W112)/SUM(K109:K112)</f>
        <v>0.95425820406309725</v>
      </c>
      <c r="Y109" s="223">
        <v>0</v>
      </c>
      <c r="Z109" s="41">
        <f>+'22'!D34/1000</f>
        <v>1.032</v>
      </c>
      <c r="AA109" s="41">
        <f>SUM(U109:U112)-SUM(W109:W112)-SUM(Z109:Z112)-SUM(Y109:Y112)</f>
        <v>-0.96047327999999865</v>
      </c>
      <c r="AB109" s="41">
        <f>(SUM(K109:K112)-SUM(W109:W112)-SUM(Y109:Y112)-SUM(Z109:Z112)-SUM(AC109:AC112)-SUM(V109:V112))-AA109</f>
        <v>0</v>
      </c>
      <c r="AC109" s="41">
        <f>K109-T109</f>
        <v>0</v>
      </c>
      <c r="AD109" s="41">
        <f>+AM109+BA109</f>
        <v>15</v>
      </c>
      <c r="AE109" s="244" t="s">
        <v>614</v>
      </c>
      <c r="AF109" s="37">
        <v>15</v>
      </c>
      <c r="AG109" s="37"/>
      <c r="AH109" s="37"/>
      <c r="AI109" s="461"/>
      <c r="AJ109" s="41"/>
      <c r="AK109" s="41"/>
      <c r="AL109" s="41"/>
      <c r="AM109" s="41">
        <f>SUM(AF109:AL109)+AT109+AV109+AX109</f>
        <v>15</v>
      </c>
      <c r="AN109" s="41"/>
      <c r="AO109" s="41"/>
      <c r="AP109" s="41"/>
      <c r="AQ109" s="41"/>
      <c r="AR109" s="41">
        <f>SUM(AN109:AQ109)</f>
        <v>0</v>
      </c>
      <c r="AS109" s="41"/>
      <c r="AT109" s="41"/>
      <c r="AU109" s="41"/>
      <c r="AV109" s="41"/>
      <c r="AW109" s="41"/>
      <c r="AX109" s="41"/>
      <c r="AY109" s="41"/>
      <c r="AZ109" s="41"/>
      <c r="BA109" s="41">
        <f>+AR109+AS109+AU109+AW109+AY109+AZ109</f>
        <v>0</v>
      </c>
      <c r="BB109" s="37">
        <v>3</v>
      </c>
      <c r="BC109" s="57"/>
      <c r="BD109" s="57"/>
      <c r="BE109" s="37"/>
      <c r="BF109" s="57"/>
    </row>
    <row r="110" spans="1:58" ht="12.95" customHeight="1">
      <c r="A110" s="44"/>
      <c r="B110" s="45"/>
      <c r="C110" s="452"/>
      <c r="D110" s="45"/>
      <c r="E110" s="46"/>
      <c r="F110" s="46"/>
      <c r="G110" s="465"/>
      <c r="H110" s="48"/>
      <c r="I110" s="49"/>
      <c r="J110" s="91"/>
      <c r="K110" s="91"/>
      <c r="L110" s="39"/>
      <c r="M110" s="39"/>
      <c r="N110" s="50"/>
      <c r="O110" s="51"/>
      <c r="P110" s="52"/>
      <c r="Q110" s="51"/>
      <c r="R110" s="422"/>
      <c r="S110" s="422"/>
      <c r="T110" s="41"/>
      <c r="U110" s="41"/>
      <c r="V110" s="41"/>
      <c r="W110" s="41"/>
      <c r="X110" s="42"/>
      <c r="Y110" s="223"/>
      <c r="Z110" s="41"/>
      <c r="AA110" s="41"/>
      <c r="AB110" s="41"/>
      <c r="AC110" s="41"/>
      <c r="AD110" s="41">
        <f>+AM110+BA110</f>
        <v>21</v>
      </c>
      <c r="AE110" s="241" t="s">
        <v>730</v>
      </c>
      <c r="AF110" s="37"/>
      <c r="AG110" s="37">
        <v>21</v>
      </c>
      <c r="AH110" s="37"/>
      <c r="AJ110" s="41"/>
      <c r="AK110" s="41"/>
      <c r="AL110" s="41"/>
      <c r="AM110" s="41">
        <f>SUM(AF110:AL110)+AT110+AV110+AX110</f>
        <v>21</v>
      </c>
      <c r="AN110" s="41"/>
      <c r="AO110" s="41"/>
      <c r="AP110" s="41"/>
      <c r="AQ110" s="41"/>
      <c r="AR110" s="41">
        <f>SUM(AN110:AQ110)</f>
        <v>0</v>
      </c>
      <c r="AS110" s="41"/>
      <c r="AT110" s="41"/>
      <c r="AU110" s="41"/>
      <c r="AV110" s="41"/>
      <c r="AW110" s="41"/>
      <c r="AX110" s="41"/>
      <c r="AY110" s="41"/>
      <c r="AZ110" s="41"/>
      <c r="BA110" s="41">
        <f>+AR110+AS110+AU110+AW110+AY110+AZ110</f>
        <v>0</v>
      </c>
      <c r="BB110" s="37"/>
      <c r="BC110" s="57">
        <v>21</v>
      </c>
      <c r="BD110" s="55"/>
      <c r="BE110" s="55"/>
      <c r="BF110" s="55"/>
    </row>
    <row r="111" spans="1:58" ht="12.95" customHeight="1">
      <c r="A111" s="346"/>
      <c r="B111" s="45"/>
      <c r="C111" s="452"/>
      <c r="D111" s="45"/>
      <c r="E111" s="46"/>
      <c r="F111" s="46"/>
      <c r="G111" s="465"/>
      <c r="H111" s="48"/>
      <c r="I111" s="49"/>
      <c r="J111" s="91"/>
      <c r="K111" s="91"/>
      <c r="L111" s="39"/>
      <c r="M111" s="39"/>
      <c r="N111" s="50"/>
      <c r="O111" s="51"/>
      <c r="P111" s="52"/>
      <c r="Q111" s="51"/>
      <c r="R111" s="422"/>
      <c r="S111" s="422"/>
      <c r="T111" s="41"/>
      <c r="U111" s="41"/>
      <c r="V111" s="41"/>
      <c r="W111" s="41"/>
      <c r="X111" s="419"/>
      <c r="Y111" s="223"/>
      <c r="Z111" s="41"/>
      <c r="AA111" s="53"/>
      <c r="AB111" s="53"/>
      <c r="AC111" s="41"/>
      <c r="AD111" s="41">
        <f>+AM111+BA111</f>
        <v>28</v>
      </c>
      <c r="AE111" s="241" t="s">
        <v>534</v>
      </c>
      <c r="AF111" s="41"/>
      <c r="AG111" s="41"/>
      <c r="AH111" s="41">
        <v>28</v>
      </c>
      <c r="AI111" s="461"/>
      <c r="AJ111" s="41"/>
      <c r="AK111" s="41"/>
      <c r="AL111" s="41"/>
      <c r="AM111" s="41">
        <f>SUM(AF111:AL111)+AT111+AV111+AX111</f>
        <v>28</v>
      </c>
      <c r="AN111" s="41"/>
      <c r="AO111" s="41"/>
      <c r="AP111" s="41"/>
      <c r="AQ111" s="41"/>
      <c r="AR111" s="41">
        <f>SUM(AN111:AQ111)</f>
        <v>0</v>
      </c>
      <c r="AS111" s="41"/>
      <c r="AT111" s="41"/>
      <c r="AU111" s="41"/>
      <c r="AV111" s="41"/>
      <c r="AW111" s="41"/>
      <c r="AX111" s="41"/>
      <c r="AY111" s="41"/>
      <c r="AZ111" s="41"/>
      <c r="BA111" s="41">
        <f>+AR111+AS111+AU111+AW111+AY111+AZ111</f>
        <v>0</v>
      </c>
      <c r="BB111" s="37"/>
      <c r="BC111" s="55"/>
      <c r="BD111" s="55"/>
      <c r="BE111" s="55"/>
      <c r="BF111" s="55"/>
    </row>
    <row r="112" spans="1:58" ht="12.95" customHeight="1">
      <c r="A112" s="346"/>
      <c r="B112" s="45"/>
      <c r="C112" s="452"/>
      <c r="D112" s="45"/>
      <c r="E112" s="46"/>
      <c r="F112" s="46"/>
      <c r="G112" s="465"/>
      <c r="H112" s="48"/>
      <c r="I112" s="49"/>
      <c r="J112" s="91"/>
      <c r="K112" s="91"/>
      <c r="L112" s="39"/>
      <c r="M112" s="39"/>
      <c r="N112" s="50"/>
      <c r="O112" s="51"/>
      <c r="P112" s="52"/>
      <c r="Q112" s="51"/>
      <c r="R112" s="422"/>
      <c r="S112" s="422"/>
      <c r="T112" s="41"/>
      <c r="U112" s="41"/>
      <c r="V112" s="41"/>
      <c r="W112" s="41"/>
      <c r="X112" s="419"/>
      <c r="Y112" s="223"/>
      <c r="Z112" s="41"/>
      <c r="AA112" s="53"/>
      <c r="AB112" s="53"/>
      <c r="AC112" s="41"/>
      <c r="AD112" s="41"/>
      <c r="AE112" s="244"/>
      <c r="AF112" s="41"/>
      <c r="AG112" s="41"/>
      <c r="AH112" s="41"/>
      <c r="AI112" s="46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37"/>
      <c r="BC112" s="55"/>
      <c r="BD112" s="55"/>
      <c r="BE112" s="55"/>
      <c r="BF112" s="55"/>
    </row>
    <row r="113" spans="1:58" ht="12.95" customHeight="1">
      <c r="A113" s="44">
        <v>45953</v>
      </c>
      <c r="B113" s="45" t="s">
        <v>473</v>
      </c>
      <c r="C113" s="452">
        <f>(M113*E113*O113*Q113)/100000000</f>
        <v>56.088576000000003</v>
      </c>
      <c r="D113" s="45" t="s">
        <v>411</v>
      </c>
      <c r="E113" s="46">
        <v>15</v>
      </c>
      <c r="F113" s="46">
        <v>1</v>
      </c>
      <c r="G113" s="465">
        <f>+L113</f>
        <v>1193.3333333333333</v>
      </c>
      <c r="H113" s="48">
        <v>0.2</v>
      </c>
      <c r="I113" s="49">
        <v>0.88</v>
      </c>
      <c r="J113" s="91">
        <f>E113*G113*(1-H113)*1440/1000000*2.77</f>
        <v>57.119616000000001</v>
      </c>
      <c r="K113" s="91">
        <f>(IF(G113&lt;L113,L113,G113)*(1-IF(H113&lt;N113,H113,N113))*E113*O113*Q113)/100000000</f>
        <v>56.088576000000003</v>
      </c>
      <c r="L113" s="39">
        <v>1193.3333333333333</v>
      </c>
      <c r="M113" s="39">
        <v>954.66666666666663</v>
      </c>
      <c r="N113" s="50">
        <f>1-(M113/L113)</f>
        <v>0.19999999999999996</v>
      </c>
      <c r="O113" s="51">
        <f>+'Trim Rwd'!H85</f>
        <v>272</v>
      </c>
      <c r="P113" s="52">
        <f>O113*(Q113-R113-S113)</f>
        <v>380256</v>
      </c>
      <c r="Q113" s="51">
        <v>1440</v>
      </c>
      <c r="R113" s="422">
        <v>0</v>
      </c>
      <c r="S113" s="422">
        <v>42</v>
      </c>
      <c r="T113" s="41">
        <f>E113*M113*O113*Q113/100000000</f>
        <v>56.088576000000003</v>
      </c>
      <c r="U113" s="41">
        <f>E113*M113*O113*(Q113-R113-S113)/100000000</f>
        <v>54.452659199999999</v>
      </c>
      <c r="V113" s="41">
        <f>E113*G113*(1-N113)*O113/100*(R113+S113)/1000000</f>
        <v>1.6359167999999999</v>
      </c>
      <c r="W113" s="41">
        <f>+'23'!K34/1000</f>
        <v>53.991999999999997</v>
      </c>
      <c r="X113" s="42">
        <f>SUM(W113:W116)/SUM(K113:K116)</f>
        <v>0.9626202669149595</v>
      </c>
      <c r="Y113" s="223">
        <v>0</v>
      </c>
      <c r="Z113" s="41">
        <f>+'23'!D34/1000</f>
        <v>0.80700000000000005</v>
      </c>
      <c r="AA113" s="41">
        <f>SUM(U113:U116)-SUM(W113:W116)-SUM(Z113:Z116)-SUM(Y113:Y116)</f>
        <v>-0.34634079999999801</v>
      </c>
      <c r="AB113" s="41">
        <f>(SUM(K113:K116)-SUM(W113:W116)-SUM(Y113:Y116)-SUM(Z113:Z116)-SUM(AC113:AC116)-SUM(V113:V116))-AA113</f>
        <v>4.1078251911130792E-15</v>
      </c>
      <c r="AC113" s="41">
        <f>K113-T113</f>
        <v>0</v>
      </c>
      <c r="AD113" s="41">
        <f>+AM113+BA113</f>
        <v>5</v>
      </c>
      <c r="AE113" s="244" t="s">
        <v>541</v>
      </c>
      <c r="AF113" s="37">
        <v>5</v>
      </c>
      <c r="AG113" s="37"/>
      <c r="AH113" s="37"/>
      <c r="AI113" s="461"/>
      <c r="AJ113" s="41"/>
      <c r="AK113" s="41"/>
      <c r="AL113" s="41"/>
      <c r="AM113" s="41">
        <f>SUM(AF113:AL113)+AT113+AV113+AX113</f>
        <v>5</v>
      </c>
      <c r="AN113" s="41"/>
      <c r="AO113" s="41"/>
      <c r="AP113" s="41"/>
      <c r="AQ113" s="41"/>
      <c r="AR113" s="41">
        <f>SUM(AN113:AQ113)</f>
        <v>0</v>
      </c>
      <c r="AS113" s="41"/>
      <c r="AT113" s="41"/>
      <c r="AU113" s="41"/>
      <c r="AV113" s="41"/>
      <c r="AW113" s="41"/>
      <c r="AX113" s="41"/>
      <c r="AY113" s="41"/>
      <c r="AZ113" s="41"/>
      <c r="BA113" s="41">
        <f>+AR113+AS113+AU113+AW113+AY113+AZ113</f>
        <v>0</v>
      </c>
      <c r="BB113" s="37">
        <v>1</v>
      </c>
      <c r="BC113" s="57"/>
      <c r="BD113" s="57"/>
      <c r="BE113" s="37"/>
      <c r="BF113" s="57"/>
    </row>
    <row r="114" spans="1:58" ht="12.95" customHeight="1">
      <c r="A114" s="44"/>
      <c r="B114" s="45"/>
      <c r="C114" s="452"/>
      <c r="D114" s="45"/>
      <c r="E114" s="46"/>
      <c r="F114" s="46"/>
      <c r="G114" s="465"/>
      <c r="H114" s="48"/>
      <c r="I114" s="49"/>
      <c r="J114" s="91"/>
      <c r="K114" s="91"/>
      <c r="L114" s="39"/>
      <c r="M114" s="39"/>
      <c r="N114" s="50"/>
      <c r="O114" s="51"/>
      <c r="P114" s="52"/>
      <c r="Q114" s="51"/>
      <c r="R114" s="422"/>
      <c r="S114" s="422"/>
      <c r="T114" s="41"/>
      <c r="U114" s="41"/>
      <c r="V114" s="41"/>
      <c r="W114" s="41"/>
      <c r="X114" s="42"/>
      <c r="Y114" s="223"/>
      <c r="Z114" s="41"/>
      <c r="AA114" s="41"/>
      <c r="AB114" s="41"/>
      <c r="AC114" s="41"/>
      <c r="AD114" s="41">
        <f>+AM114+BA114</f>
        <v>18</v>
      </c>
      <c r="AE114" s="241" t="s">
        <v>736</v>
      </c>
      <c r="AF114" s="37"/>
      <c r="AG114" s="37">
        <v>18</v>
      </c>
      <c r="AH114" s="37"/>
      <c r="AJ114" s="41"/>
      <c r="AK114" s="41"/>
      <c r="AL114" s="41"/>
      <c r="AM114" s="41">
        <f>SUM(AF114:AL114)+AT114+AV114+AX114</f>
        <v>18</v>
      </c>
      <c r="AN114" s="41"/>
      <c r="AO114" s="41"/>
      <c r="AP114" s="41"/>
      <c r="AQ114" s="41"/>
      <c r="AR114" s="41">
        <f>SUM(AN114:AQ114)</f>
        <v>0</v>
      </c>
      <c r="AS114" s="41"/>
      <c r="AT114" s="41"/>
      <c r="AU114" s="41"/>
      <c r="AV114" s="41"/>
      <c r="AW114" s="41"/>
      <c r="AX114" s="41"/>
      <c r="AY114" s="41"/>
      <c r="AZ114" s="41"/>
      <c r="BA114" s="41">
        <f>+AR114+AS114+AU114+AW114+AY114+AZ114</f>
        <v>0</v>
      </c>
      <c r="BB114" s="37"/>
      <c r="BC114" s="57">
        <v>19</v>
      </c>
      <c r="BD114" s="55"/>
      <c r="BE114" s="55"/>
      <c r="BF114" s="55"/>
    </row>
    <row r="115" spans="1:58" ht="12.95" customHeight="1">
      <c r="A115" s="346"/>
      <c r="B115" s="45"/>
      <c r="C115" s="452"/>
      <c r="D115" s="45"/>
      <c r="E115" s="46"/>
      <c r="F115" s="46"/>
      <c r="G115" s="465"/>
      <c r="H115" s="48"/>
      <c r="I115" s="49"/>
      <c r="J115" s="91"/>
      <c r="K115" s="91"/>
      <c r="L115" s="39"/>
      <c r="M115" s="39"/>
      <c r="N115" s="50"/>
      <c r="O115" s="51"/>
      <c r="P115" s="52"/>
      <c r="Q115" s="51"/>
      <c r="R115" s="422"/>
      <c r="S115" s="422"/>
      <c r="T115" s="41"/>
      <c r="U115" s="41"/>
      <c r="V115" s="41"/>
      <c r="W115" s="41"/>
      <c r="X115" s="419"/>
      <c r="Y115" s="223"/>
      <c r="Z115" s="41"/>
      <c r="AA115" s="53"/>
      <c r="AB115" s="53"/>
      <c r="AC115" s="41"/>
      <c r="AD115" s="41">
        <f>+AM115+BA115</f>
        <v>19</v>
      </c>
      <c r="AE115" s="241" t="s">
        <v>737</v>
      </c>
      <c r="AF115" s="41"/>
      <c r="AG115" s="41"/>
      <c r="AH115" s="41">
        <v>19</v>
      </c>
      <c r="AI115" s="461"/>
      <c r="AJ115" s="41"/>
      <c r="AK115" s="41"/>
      <c r="AL115" s="41"/>
      <c r="AM115" s="41">
        <f>SUM(AF115:AL115)+AT115+AV115+AX115</f>
        <v>19</v>
      </c>
      <c r="AN115" s="41"/>
      <c r="AO115" s="41"/>
      <c r="AP115" s="41"/>
      <c r="AQ115" s="41"/>
      <c r="AR115" s="41">
        <f>SUM(AN115:AQ115)</f>
        <v>0</v>
      </c>
      <c r="AS115" s="41"/>
      <c r="AT115" s="41"/>
      <c r="AU115" s="41"/>
      <c r="AV115" s="41"/>
      <c r="AW115" s="41"/>
      <c r="AX115" s="41"/>
      <c r="AY115" s="41"/>
      <c r="AZ115" s="41"/>
      <c r="BA115" s="41">
        <f>+AR115+AS115+AU115+AW115+AY115+AZ115</f>
        <v>0</v>
      </c>
      <c r="BB115" s="37"/>
      <c r="BC115" s="55"/>
      <c r="BD115" s="55"/>
      <c r="BE115" s="55"/>
      <c r="BF115" s="55"/>
    </row>
    <row r="116" spans="1:58" ht="12.95" customHeight="1">
      <c r="A116" s="346"/>
      <c r="B116" s="45"/>
      <c r="C116" s="452"/>
      <c r="D116" s="45"/>
      <c r="E116" s="46"/>
      <c r="F116" s="46"/>
      <c r="G116" s="465"/>
      <c r="H116" s="48"/>
      <c r="I116" s="49"/>
      <c r="J116" s="91"/>
      <c r="K116" s="91"/>
      <c r="L116" s="39"/>
      <c r="M116" s="39"/>
      <c r="N116" s="50"/>
      <c r="O116" s="51"/>
      <c r="P116" s="52"/>
      <c r="Q116" s="51"/>
      <c r="R116" s="422"/>
      <c r="S116" s="422"/>
      <c r="T116" s="41"/>
      <c r="U116" s="41"/>
      <c r="V116" s="41"/>
      <c r="W116" s="41"/>
      <c r="X116" s="419"/>
      <c r="Y116" s="223"/>
      <c r="Z116" s="41"/>
      <c r="AA116" s="53"/>
      <c r="AB116" s="53"/>
      <c r="AC116" s="41"/>
      <c r="AD116" s="41"/>
      <c r="AE116" s="244"/>
      <c r="AF116" s="41"/>
      <c r="AG116" s="41"/>
      <c r="AH116" s="41"/>
      <c r="AI116" s="46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37"/>
      <c r="BC116" s="55"/>
      <c r="BD116" s="55"/>
      <c r="BE116" s="55"/>
      <c r="BF116" s="55"/>
    </row>
    <row r="117" spans="1:58" ht="12.95" customHeight="1">
      <c r="A117" s="44">
        <v>45954</v>
      </c>
      <c r="B117" s="45" t="s">
        <v>7</v>
      </c>
      <c r="C117" s="452">
        <f>(M117*E117*O117*Q117)/100000000</f>
        <v>44.274558514809158</v>
      </c>
      <c r="D117" s="45" t="s">
        <v>411</v>
      </c>
      <c r="E117" s="46">
        <v>12</v>
      </c>
      <c r="F117" s="46">
        <v>1</v>
      </c>
      <c r="G117" s="47">
        <v>1700</v>
      </c>
      <c r="H117" s="48">
        <v>0.24</v>
      </c>
      <c r="I117" s="49">
        <v>0.88</v>
      </c>
      <c r="J117" s="91">
        <f>E117*G117*(1-H117)*1440/1000000*2.77</f>
        <v>61.8423552</v>
      </c>
      <c r="K117" s="91">
        <f>(IF(G117&lt;L117,L117,G117)*(1-IF(H117&lt;N117,H117,N117))*E117*O117*Q117)/100000000</f>
        <v>59.386521600000002</v>
      </c>
      <c r="L117" s="39">
        <v>1267.4045801526718</v>
      </c>
      <c r="M117" s="39">
        <v>963.22748091603057</v>
      </c>
      <c r="N117" s="50">
        <f>1-(M117/L117)</f>
        <v>0.24</v>
      </c>
      <c r="O117" s="51">
        <f>+'Trim Rwd'!H87</f>
        <v>266</v>
      </c>
      <c r="P117" s="52">
        <f>O117*(Q117-R117-S117)</f>
        <v>268926</v>
      </c>
      <c r="Q117" s="51">
        <v>1440</v>
      </c>
      <c r="R117" s="422">
        <f>357+35</f>
        <v>392</v>
      </c>
      <c r="S117" s="422">
        <v>37</v>
      </c>
      <c r="T117" s="41">
        <f>E117*M117*O117*Q117/100000000</f>
        <v>44.274558514809158</v>
      </c>
      <c r="U117" s="41">
        <f>E117*M117*O117*(Q117-R117-S117)/100000000</f>
        <v>31.084429623938931</v>
      </c>
      <c r="V117" s="41">
        <f>E117*G117*(1-N117)*O117/100*(R117+S117)/1000000</f>
        <v>17.692234559999999</v>
      </c>
      <c r="W117" s="41">
        <f>+'24'!K16/1000</f>
        <v>22.355</v>
      </c>
      <c r="X117" s="42">
        <f>SUM(W117:W120)/SUM(K117:K120)</f>
        <v>0.49253600332099595</v>
      </c>
      <c r="Y117" s="223">
        <v>0</v>
      </c>
      <c r="Z117" s="41">
        <f>+'24'!D16/1000</f>
        <v>0.27700000000000002</v>
      </c>
      <c r="AA117" s="41">
        <f>SUM(U117:U120)-SUM(W117:W120)-SUM(Z117:Z120)-SUM(Y117:Y120)</f>
        <v>1.5014296239389309</v>
      </c>
      <c r="AB117" s="41">
        <f>(SUM(K117:K120)-SUM(W117:W120)-SUM(Y117:Y120)-SUM(Z117:Z120)-SUM(AC117:AC120)-SUM(V117:V120))-AA117</f>
        <v>-4.5021056691297705</v>
      </c>
      <c r="AC117" s="41">
        <f>K117-T117</f>
        <v>15.111963085190844</v>
      </c>
      <c r="AD117" s="41">
        <f>+AM117+BA117</f>
        <v>10</v>
      </c>
      <c r="AE117" s="244" t="s">
        <v>571</v>
      </c>
      <c r="AF117" s="37">
        <v>10</v>
      </c>
      <c r="AG117" s="37"/>
      <c r="AH117" s="37"/>
      <c r="AI117" s="461"/>
      <c r="AJ117" s="41"/>
      <c r="AK117" s="41"/>
      <c r="AL117" s="41"/>
      <c r="AM117" s="41">
        <f>SUM(AF117:AL117)+AT117+AV117+AX117</f>
        <v>10</v>
      </c>
      <c r="AN117" s="41"/>
      <c r="AO117" s="41"/>
      <c r="AP117" s="41"/>
      <c r="AQ117" s="41"/>
      <c r="AR117" s="41">
        <f>SUM(AN117:AQ117)</f>
        <v>0</v>
      </c>
      <c r="AS117" s="41"/>
      <c r="AT117" s="41"/>
      <c r="AU117" s="41"/>
      <c r="AV117" s="41"/>
      <c r="AW117" s="41"/>
      <c r="AX117" s="41"/>
      <c r="AY117" s="41"/>
      <c r="AZ117" s="41"/>
      <c r="BA117" s="41">
        <f>+AR117+AS117+AU117+AW117+AY117+AZ117</f>
        <v>0</v>
      </c>
      <c r="BB117" s="37">
        <v>2</v>
      </c>
      <c r="BC117" s="57"/>
      <c r="BD117" s="57"/>
      <c r="BE117" s="37"/>
      <c r="BF117" s="57"/>
    </row>
    <row r="118" spans="1:58" ht="12.95" customHeight="1">
      <c r="A118" s="44"/>
      <c r="B118" s="45" t="s">
        <v>473</v>
      </c>
      <c r="C118" s="452"/>
      <c r="D118" s="45"/>
      <c r="E118" s="46">
        <v>15</v>
      </c>
      <c r="F118" s="46"/>
      <c r="G118" s="465"/>
      <c r="H118" s="48"/>
      <c r="I118" s="49"/>
      <c r="J118" s="91"/>
      <c r="K118" s="91"/>
      <c r="L118" s="39"/>
      <c r="M118" s="39"/>
      <c r="N118" s="50"/>
      <c r="O118" s="51"/>
      <c r="P118" s="52"/>
      <c r="Q118" s="51"/>
      <c r="R118" s="422"/>
      <c r="S118" s="422"/>
      <c r="T118" s="41"/>
      <c r="U118" s="41"/>
      <c r="V118" s="41"/>
      <c r="W118" s="41">
        <f>+'24'!K9/1000</f>
        <v>6.8949999999999996</v>
      </c>
      <c r="X118" s="42"/>
      <c r="Y118" s="223"/>
      <c r="Z118" s="41">
        <f>+'24'!D7/1000</f>
        <v>5.6000000000000001E-2</v>
      </c>
      <c r="AA118" s="41"/>
      <c r="AB118" s="41"/>
      <c r="AC118" s="41"/>
      <c r="AD118" s="41">
        <f>+AM118+BA118</f>
        <v>7</v>
      </c>
      <c r="AE118" s="241" t="s">
        <v>719</v>
      </c>
      <c r="AF118" s="37"/>
      <c r="AG118" s="37">
        <v>7</v>
      </c>
      <c r="AH118" s="37"/>
      <c r="AJ118" s="41"/>
      <c r="AK118" s="41"/>
      <c r="AL118" s="41"/>
      <c r="AM118" s="41">
        <f>SUM(AF118:AL118)+AT118+AV118+AX118</f>
        <v>7</v>
      </c>
      <c r="AN118" s="41"/>
      <c r="AO118" s="41"/>
      <c r="AP118" s="41"/>
      <c r="AQ118" s="41"/>
      <c r="AR118" s="41">
        <f>SUM(AN118:AQ118)</f>
        <v>0</v>
      </c>
      <c r="AS118" s="41"/>
      <c r="AT118" s="41"/>
      <c r="AU118" s="41"/>
      <c r="AV118" s="41"/>
      <c r="AW118" s="41"/>
      <c r="AX118" s="41"/>
      <c r="AY118" s="41"/>
      <c r="AZ118" s="41"/>
      <c r="BA118" s="41">
        <f>+AR118+AS118+AU118+AW118+AY118+AZ118</f>
        <v>0</v>
      </c>
      <c r="BB118" s="37"/>
      <c r="BC118" s="57">
        <v>7</v>
      </c>
      <c r="BD118" s="55"/>
      <c r="BE118" s="55"/>
      <c r="BF118" s="55"/>
    </row>
    <row r="119" spans="1:58" ht="12.95" customHeight="1">
      <c r="A119" s="346"/>
      <c r="B119" s="45"/>
      <c r="C119" s="452"/>
      <c r="D119" s="45"/>
      <c r="E119" s="46"/>
      <c r="F119" s="46"/>
      <c r="G119" s="465"/>
      <c r="H119" s="48"/>
      <c r="I119" s="49"/>
      <c r="J119" s="91"/>
      <c r="K119" s="91"/>
      <c r="L119" s="39"/>
      <c r="M119" s="39"/>
      <c r="N119" s="50"/>
      <c r="O119" s="51"/>
      <c r="P119" s="52"/>
      <c r="Q119" s="51"/>
      <c r="R119" s="422"/>
      <c r="S119" s="422"/>
      <c r="T119" s="41"/>
      <c r="U119" s="41"/>
      <c r="V119" s="41"/>
      <c r="W119" s="41"/>
      <c r="X119" s="419"/>
      <c r="Y119" s="223"/>
      <c r="Z119" s="41"/>
      <c r="AA119" s="53"/>
      <c r="AB119" s="53"/>
      <c r="AC119" s="41"/>
      <c r="AD119" s="41">
        <f>+AM119+BA119</f>
        <v>20</v>
      </c>
      <c r="AE119" s="241" t="s">
        <v>534</v>
      </c>
      <c r="AF119" s="41"/>
      <c r="AG119" s="41"/>
      <c r="AH119" s="41">
        <v>20</v>
      </c>
      <c r="AI119" s="461"/>
      <c r="AJ119" s="41"/>
      <c r="AK119" s="41"/>
      <c r="AL119" s="41"/>
      <c r="AM119" s="41">
        <f>SUM(AF119:AL119)+AT119+AV119+AX119</f>
        <v>20</v>
      </c>
      <c r="AN119" s="41"/>
      <c r="AO119" s="41"/>
      <c r="AP119" s="41"/>
      <c r="AQ119" s="41"/>
      <c r="AR119" s="41">
        <f>SUM(AN119:AQ119)</f>
        <v>0</v>
      </c>
      <c r="AS119" s="41"/>
      <c r="AT119" s="41"/>
      <c r="AU119" s="41"/>
      <c r="AV119" s="41"/>
      <c r="AW119" s="41"/>
      <c r="AX119" s="41"/>
      <c r="AY119" s="41"/>
      <c r="AZ119" s="41"/>
      <c r="BA119" s="41">
        <f>+AR119+AS119+AU119+AW119+AY119+AZ119</f>
        <v>0</v>
      </c>
      <c r="BB119" s="37"/>
      <c r="BC119" s="55"/>
      <c r="BD119" s="55"/>
      <c r="BE119" s="55"/>
      <c r="BF119" s="55"/>
    </row>
    <row r="120" spans="1:58" ht="12.95" customHeight="1">
      <c r="A120" s="346"/>
      <c r="B120" s="45"/>
      <c r="C120" s="452"/>
      <c r="D120" s="45"/>
      <c r="E120" s="46"/>
      <c r="F120" s="46"/>
      <c r="G120" s="465"/>
      <c r="H120" s="48"/>
      <c r="I120" s="49"/>
      <c r="J120" s="91"/>
      <c r="K120" s="91"/>
      <c r="L120" s="39"/>
      <c r="M120" s="39"/>
      <c r="N120" s="50"/>
      <c r="O120" s="51"/>
      <c r="P120" s="52"/>
      <c r="Q120" s="51"/>
      <c r="R120" s="422"/>
      <c r="S120" s="422"/>
      <c r="T120" s="41"/>
      <c r="U120" s="41"/>
      <c r="V120" s="41"/>
      <c r="W120" s="41"/>
      <c r="X120" s="419"/>
      <c r="Y120" s="223"/>
      <c r="Z120" s="41"/>
      <c r="AA120" s="53"/>
      <c r="AB120" s="53"/>
      <c r="AC120" s="41"/>
      <c r="AD120" s="41">
        <f>+AM120+BA120</f>
        <v>357</v>
      </c>
      <c r="AE120" s="598" t="s">
        <v>752</v>
      </c>
      <c r="AF120" s="41"/>
      <c r="AG120" s="41"/>
      <c r="AH120" s="41"/>
      <c r="AI120" s="461"/>
      <c r="AJ120" s="41"/>
      <c r="AK120" s="41"/>
      <c r="AL120" s="41"/>
      <c r="AM120" s="41">
        <f>SUM(AF120:AL120)+AT120+AV120+AX120</f>
        <v>0</v>
      </c>
      <c r="AN120" s="41"/>
      <c r="AO120" s="41"/>
      <c r="AP120" s="41"/>
      <c r="AQ120" s="41"/>
      <c r="AR120" s="41">
        <f>SUM(AN120:AQ120)</f>
        <v>0</v>
      </c>
      <c r="AS120" s="41"/>
      <c r="AT120" s="41"/>
      <c r="AU120" s="41">
        <v>357</v>
      </c>
      <c r="AV120" s="41"/>
      <c r="AW120" s="41"/>
      <c r="AX120" s="41"/>
      <c r="AY120" s="41"/>
      <c r="AZ120" s="41"/>
      <c r="BA120" s="41">
        <f>+AR120+AS120+AU120+AW120+AY120+AZ120</f>
        <v>357</v>
      </c>
      <c r="BB120" s="37"/>
      <c r="BC120" s="55"/>
      <c r="BD120" s="55"/>
      <c r="BE120" s="55"/>
      <c r="BF120" s="55"/>
    </row>
    <row r="121" spans="1:58" ht="12.95" customHeight="1">
      <c r="A121" s="346"/>
      <c r="B121" s="45"/>
      <c r="C121" s="452"/>
      <c r="D121" s="45"/>
      <c r="E121" s="46"/>
      <c r="F121" s="46"/>
      <c r="G121" s="465"/>
      <c r="H121" s="48"/>
      <c r="I121" s="49"/>
      <c r="J121" s="91"/>
      <c r="K121" s="91"/>
      <c r="L121" s="39"/>
      <c r="M121" s="39"/>
      <c r="N121" s="50"/>
      <c r="O121" s="51"/>
      <c r="P121" s="52"/>
      <c r="Q121" s="51"/>
      <c r="R121" s="422"/>
      <c r="S121" s="422"/>
      <c r="T121" s="41"/>
      <c r="U121" s="41"/>
      <c r="V121" s="41"/>
      <c r="W121" s="41"/>
      <c r="X121" s="419"/>
      <c r="Y121" s="223"/>
      <c r="Z121" s="41"/>
      <c r="AA121" s="53"/>
      <c r="AB121" s="53"/>
      <c r="AC121" s="41"/>
      <c r="AD121" s="41">
        <f>+AM121+BA121</f>
        <v>35</v>
      </c>
      <c r="AE121" s="244" t="s">
        <v>753</v>
      </c>
      <c r="AF121" s="41"/>
      <c r="AG121" s="41"/>
      <c r="AH121" s="41"/>
      <c r="AI121" s="461"/>
      <c r="AJ121" s="41"/>
      <c r="AK121" s="41"/>
      <c r="AL121" s="41"/>
      <c r="AM121" s="41">
        <f>SUM(AF121:AL121)+AT121+AV121+AX121</f>
        <v>0</v>
      </c>
      <c r="AN121" s="41"/>
      <c r="AO121" s="41"/>
      <c r="AP121" s="41">
        <v>35</v>
      </c>
      <c r="AQ121" s="41"/>
      <c r="AR121" s="41">
        <f>SUM(AN121:AQ121)</f>
        <v>35</v>
      </c>
      <c r="AS121" s="41"/>
      <c r="AT121" s="41"/>
      <c r="AU121" s="41"/>
      <c r="AV121" s="41"/>
      <c r="AW121" s="41"/>
      <c r="AX121" s="41"/>
      <c r="AY121" s="41"/>
      <c r="AZ121" s="41"/>
      <c r="BA121" s="41">
        <f>+AR121+AS121+AU121+AW121+AY121+AZ121</f>
        <v>35</v>
      </c>
      <c r="BB121" s="37"/>
      <c r="BC121" s="55"/>
      <c r="BD121" s="55"/>
      <c r="BE121" s="55"/>
      <c r="BF121" s="55"/>
    </row>
    <row r="122" spans="1:58" ht="12.95" customHeight="1">
      <c r="A122" s="44"/>
      <c r="B122" s="45"/>
      <c r="C122" s="452"/>
      <c r="D122" s="45"/>
      <c r="E122" s="46"/>
      <c r="F122" s="46"/>
      <c r="G122" s="465"/>
      <c r="H122" s="48"/>
      <c r="I122" s="49"/>
      <c r="J122" s="91"/>
      <c r="K122" s="91"/>
      <c r="L122" s="39"/>
      <c r="M122" s="39"/>
      <c r="N122" s="50"/>
      <c r="O122" s="51"/>
      <c r="P122" s="52"/>
      <c r="Q122" s="51"/>
      <c r="R122" s="422"/>
      <c r="S122" s="422"/>
      <c r="T122" s="41"/>
      <c r="U122" s="41"/>
      <c r="V122" s="41"/>
      <c r="W122" s="41"/>
      <c r="X122" s="42"/>
      <c r="Y122" s="223"/>
      <c r="Z122" s="41"/>
      <c r="AA122" s="41"/>
      <c r="AB122" s="41"/>
      <c r="AC122" s="41"/>
      <c r="AD122" s="41"/>
      <c r="AE122" s="241"/>
      <c r="AF122" s="37"/>
      <c r="AG122" s="37"/>
      <c r="AH122" s="37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37"/>
      <c r="BC122" s="57"/>
      <c r="BD122" s="55"/>
      <c r="BE122" s="55"/>
      <c r="BF122" s="55"/>
    </row>
    <row r="123" spans="1:58" ht="12.95" customHeight="1">
      <c r="A123" s="44">
        <v>45955</v>
      </c>
      <c r="B123" s="45" t="s">
        <v>7</v>
      </c>
      <c r="C123" s="452">
        <f>(M123*E123*O123*Q123)/100000000</f>
        <v>12.21693312</v>
      </c>
      <c r="D123" s="45" t="s">
        <v>411</v>
      </c>
      <c r="E123" s="46">
        <v>12</v>
      </c>
      <c r="F123" s="46">
        <v>1</v>
      </c>
      <c r="G123" s="47">
        <v>1700</v>
      </c>
      <c r="H123" s="48">
        <v>0.24</v>
      </c>
      <c r="I123" s="49">
        <v>0.88</v>
      </c>
      <c r="J123" s="91">
        <f>E123*G123*(1-H123)*1440/1000000*2.77</f>
        <v>61.8423552</v>
      </c>
      <c r="K123" s="91">
        <f>(IF(G123&lt;L123,L123,G123)*(1-IF(H123&lt;N123,H123,N123))*E123*O123*Q123)/100000000</f>
        <v>15.259036800000001</v>
      </c>
      <c r="L123" s="39">
        <v>1361.081081081081</v>
      </c>
      <c r="M123" s="39">
        <v>1034.4216216216216</v>
      </c>
      <c r="N123" s="50">
        <f>1-(M123/L123)</f>
        <v>0.24</v>
      </c>
      <c r="O123" s="51">
        <f>+'Trim Rwd'!H90</f>
        <v>266</v>
      </c>
      <c r="P123" s="52">
        <f>O123*(Q123-R123-S123)</f>
        <v>94430</v>
      </c>
      <c r="Q123" s="51">
        <v>370</v>
      </c>
      <c r="R123" s="422">
        <v>0</v>
      </c>
      <c r="S123" s="422">
        <v>15</v>
      </c>
      <c r="T123" s="41">
        <f>E123*M123*O123*Q123/100000000</f>
        <v>12.21693312</v>
      </c>
      <c r="U123" s="41">
        <f>E123*M123*O123*(Q123-R123-S123)/100000000</f>
        <v>11.721652047567568</v>
      </c>
      <c r="V123" s="41">
        <f>E123*G123*(1-N123)*O123/100*(R123+S123)/1000000</f>
        <v>0.61860959999999998</v>
      </c>
      <c r="W123" s="41">
        <f>+'25'!K16/1000</f>
        <v>11.38</v>
      </c>
      <c r="X123" s="42">
        <f>SUM(W123:W126)/SUM(K123:K126)</f>
        <v>0.67129498069958682</v>
      </c>
      <c r="Y123" s="223">
        <v>0</v>
      </c>
      <c r="Z123" s="41">
        <f>+'25'!D7/1000</f>
        <v>0.29899999999999999</v>
      </c>
      <c r="AA123" s="41">
        <f>SUM(U123:U126)-SUM(W123:W126)-SUM(Z123:Z126)-SUM(Y123:Y126)</f>
        <v>8.6435461618055189</v>
      </c>
      <c r="AB123" s="41">
        <f>(SUM(K123:K126)-SUM(W123:W126)-SUM(Y123:Y126)-SUM(Z123:Z126)-SUM(AC123:AC126)-SUM(V123:V126))-AA123</f>
        <v>-0.43224997460552572</v>
      </c>
      <c r="AC123" s="41">
        <f>K123-T123</f>
        <v>3.0421036800000003</v>
      </c>
      <c r="AD123" s="41">
        <f>+AM123+BA123</f>
        <v>15</v>
      </c>
      <c r="AE123" s="244" t="s">
        <v>614</v>
      </c>
      <c r="AF123" s="37">
        <v>15</v>
      </c>
      <c r="AG123" s="37"/>
      <c r="AH123" s="37"/>
      <c r="AI123" s="461"/>
      <c r="AJ123" s="41"/>
      <c r="AK123" s="41"/>
      <c r="AL123" s="41"/>
      <c r="AM123" s="41">
        <f>SUM(AF123:AL123)+AT123+AV123+AX123</f>
        <v>15</v>
      </c>
      <c r="AN123" s="41"/>
      <c r="AO123" s="41"/>
      <c r="AP123" s="41"/>
      <c r="AQ123" s="41"/>
      <c r="AR123" s="41">
        <f>SUM(AN123:AQ123)</f>
        <v>0</v>
      </c>
      <c r="AS123" s="41"/>
      <c r="AT123" s="41"/>
      <c r="AU123" s="41"/>
      <c r="AV123" s="41"/>
      <c r="AW123" s="41"/>
      <c r="AX123" s="41"/>
      <c r="AY123" s="41"/>
      <c r="AZ123" s="41"/>
      <c r="BA123" s="41">
        <f>+AR123+AS123+AU123+AW123+AY123+AZ123</f>
        <v>0</v>
      </c>
      <c r="BB123" s="37">
        <v>3</v>
      </c>
      <c r="BC123" s="57"/>
      <c r="BD123" s="57"/>
      <c r="BE123" s="37"/>
      <c r="BF123" s="57"/>
    </row>
    <row r="124" spans="1:58" ht="12.95" customHeight="1">
      <c r="A124" s="44"/>
      <c r="B124" s="45" t="s">
        <v>7</v>
      </c>
      <c r="C124" s="452">
        <f>(M124*E124*O124*Q124)/100000000</f>
        <v>12.984120531199999</v>
      </c>
      <c r="D124" s="45" t="s">
        <v>411</v>
      </c>
      <c r="E124" s="46">
        <v>13</v>
      </c>
      <c r="F124" s="46">
        <v>1</v>
      </c>
      <c r="G124" s="465">
        <v>1700</v>
      </c>
      <c r="H124" s="48">
        <v>0.24</v>
      </c>
      <c r="I124" s="49">
        <v>0.88</v>
      </c>
      <c r="J124" s="91">
        <f>E124*G124*(1-H124)*1440/1000000*2.77</f>
        <v>66.995884799999999</v>
      </c>
      <c r="K124" s="91">
        <f>(IF(G124&lt;L124,L124,G124)*(1-IF(H124&lt;N124,H124,N124))*E124*O124*Q124)/100000000</f>
        <v>15.392291095999999</v>
      </c>
      <c r="L124" s="39">
        <v>1434.0298507462687</v>
      </c>
      <c r="M124" s="39">
        <v>1089.8626865671642</v>
      </c>
      <c r="N124" s="50">
        <f>1-(M124/L124)</f>
        <v>0.24</v>
      </c>
      <c r="O124" s="51">
        <f>+'Trim Rwd'!H91</f>
        <v>273.56</v>
      </c>
      <c r="P124" s="52">
        <f>O124*(Q124-R124-S124)</f>
        <v>87539.199999999997</v>
      </c>
      <c r="Q124" s="51">
        <v>335</v>
      </c>
      <c r="R124" s="422">
        <v>0</v>
      </c>
      <c r="S124" s="422">
        <v>15</v>
      </c>
      <c r="T124" s="41">
        <f>E124*M124*O124*Q124/100000000</f>
        <v>12.984120531199999</v>
      </c>
      <c r="U124" s="41">
        <f>E124*M124*O124*(Q124-R124-S124)/100000000</f>
        <v>12.402741999952241</v>
      </c>
      <c r="V124" s="41">
        <f>E124*G124*(1-N124)*O124/100*(R124+S124)/1000000</f>
        <v>0.68920706399999987</v>
      </c>
      <c r="W124" s="41">
        <f>+'25'!K7/1000</f>
        <v>13.093</v>
      </c>
      <c r="X124" s="42"/>
      <c r="Y124" s="223"/>
      <c r="Z124" s="41">
        <f>+('25'!D16+'25'!D25)/1000</f>
        <v>0.45</v>
      </c>
      <c r="AA124" s="41"/>
      <c r="AB124" s="41"/>
      <c r="AC124" s="41">
        <f>K124-T124</f>
        <v>2.4081705648000007</v>
      </c>
      <c r="AD124" s="41">
        <f>+AM124+BA124</f>
        <v>11</v>
      </c>
      <c r="AE124" s="241" t="s">
        <v>767</v>
      </c>
      <c r="AF124" s="37"/>
      <c r="AG124" s="37">
        <v>11</v>
      </c>
      <c r="AH124" s="37"/>
      <c r="AJ124" s="41"/>
      <c r="AK124" s="41"/>
      <c r="AL124" s="41"/>
      <c r="AM124" s="41">
        <f>SUM(AF124:AL124)+AT124+AV124+AX124</f>
        <v>11</v>
      </c>
      <c r="AN124" s="41"/>
      <c r="AO124" s="41"/>
      <c r="AP124" s="41"/>
      <c r="AQ124" s="41"/>
      <c r="AR124" s="41">
        <f>SUM(AN124:AQ124)</f>
        <v>0</v>
      </c>
      <c r="AS124" s="41"/>
      <c r="AT124" s="41"/>
      <c r="AU124" s="41"/>
      <c r="AV124" s="41"/>
      <c r="AW124" s="41"/>
      <c r="AX124" s="41"/>
      <c r="AY124" s="41"/>
      <c r="AZ124" s="41"/>
      <c r="BA124" s="41">
        <f>+AR124+AS124+AU124+AW124+AY124+AZ124</f>
        <v>0</v>
      </c>
      <c r="BB124" s="37"/>
      <c r="BC124" s="57">
        <v>9</v>
      </c>
      <c r="BD124" s="55"/>
      <c r="BE124" s="55"/>
      <c r="BF124" s="55"/>
    </row>
    <row r="125" spans="1:58" ht="12.95" customHeight="1">
      <c r="A125" s="346"/>
      <c r="B125" s="45" t="s">
        <v>7</v>
      </c>
      <c r="C125" s="452">
        <f>(M125*E125*O125*Q125)/100000000</f>
        <v>32.303772000000002</v>
      </c>
      <c r="D125" s="45" t="s">
        <v>411</v>
      </c>
      <c r="E125" s="46">
        <v>13.5</v>
      </c>
      <c r="F125" s="46">
        <v>1</v>
      </c>
      <c r="G125" s="465">
        <v>1700</v>
      </c>
      <c r="H125" s="48">
        <v>0.2</v>
      </c>
      <c r="I125" s="49">
        <v>0.88</v>
      </c>
      <c r="J125" s="91">
        <f>E125*G125*(1-H125)*1440/1000000*2.77</f>
        <v>73.234368000000003</v>
      </c>
      <c r="K125" s="91">
        <f>(IF(G125&lt;L125,L125,G125)*(1-IF(H125&lt;N125,H125,N125))*E125*O125*Q125)/100000000</f>
        <v>37.582461000000002</v>
      </c>
      <c r="L125" s="39">
        <v>1461.2244897959183</v>
      </c>
      <c r="M125" s="39">
        <v>1168.9795918367347</v>
      </c>
      <c r="N125" s="50">
        <f>1-(M125/L125)</f>
        <v>0.19999999999999996</v>
      </c>
      <c r="O125" s="51">
        <f>+'Trim Rwd'!H93</f>
        <v>278.5</v>
      </c>
      <c r="P125" s="52">
        <f>O125*(Q125-R125-S125)</f>
        <v>196899.5</v>
      </c>
      <c r="Q125" s="51">
        <v>735</v>
      </c>
      <c r="R125" s="422">
        <v>0</v>
      </c>
      <c r="S125" s="422">
        <v>28</v>
      </c>
      <c r="T125" s="41">
        <f>E125*M125*O125*Q125/100000000</f>
        <v>32.303772000000002</v>
      </c>
      <c r="U125" s="41">
        <f>E125*M125*O125*(Q125-R125-S125)/100000000</f>
        <v>31.073152114285715</v>
      </c>
      <c r="V125" s="41">
        <f>E125*G125*(1-N125)*O125/100*(R125+S125)/1000000</f>
        <v>1.4317128000000001</v>
      </c>
      <c r="W125" s="41">
        <f>+'25'!K19/1000</f>
        <v>21.332000000000001</v>
      </c>
      <c r="X125" s="419"/>
      <c r="Y125" s="223"/>
      <c r="Z125" s="41"/>
      <c r="AA125" s="53"/>
      <c r="AB125" s="53"/>
      <c r="AC125" s="41">
        <f>K125-T125</f>
        <v>5.278689</v>
      </c>
      <c r="AD125" s="41">
        <f>+AM125+BA125</f>
        <v>27</v>
      </c>
      <c r="AE125" s="241" t="s">
        <v>768</v>
      </c>
      <c r="AF125" s="41"/>
      <c r="AG125" s="41"/>
      <c r="AH125" s="41">
        <v>27</v>
      </c>
      <c r="AI125" s="461"/>
      <c r="AJ125" s="41"/>
      <c r="AK125" s="41"/>
      <c r="AL125" s="41"/>
      <c r="AM125" s="41">
        <f>SUM(AF125:AL125)+AT125+AV125+AX125</f>
        <v>27</v>
      </c>
      <c r="AN125" s="41"/>
      <c r="AO125" s="41"/>
      <c r="AP125" s="41"/>
      <c r="AQ125" s="41"/>
      <c r="AR125" s="41">
        <f>SUM(AN125:AQ125)</f>
        <v>0</v>
      </c>
      <c r="AS125" s="41"/>
      <c r="AT125" s="41"/>
      <c r="AU125" s="41"/>
      <c r="AV125" s="41"/>
      <c r="AW125" s="41"/>
      <c r="AX125" s="41"/>
      <c r="AY125" s="41"/>
      <c r="AZ125" s="41"/>
      <c r="BA125" s="41">
        <f>+AR125+AS125+AU125+AW125+AY125+AZ125</f>
        <v>0</v>
      </c>
      <c r="BB125" s="37"/>
      <c r="BC125" s="55"/>
      <c r="BD125" s="55"/>
      <c r="BE125" s="55"/>
      <c r="BF125" s="55"/>
    </row>
    <row r="126" spans="1:58" ht="12.95" customHeight="1">
      <c r="A126" s="346"/>
      <c r="B126" s="45"/>
      <c r="C126" s="452"/>
      <c r="D126" s="45"/>
      <c r="E126" s="46"/>
      <c r="F126" s="46"/>
      <c r="G126" s="465"/>
      <c r="H126" s="48"/>
      <c r="I126" s="49"/>
      <c r="J126" s="91"/>
      <c r="K126" s="91"/>
      <c r="L126" s="39"/>
      <c r="M126" s="39"/>
      <c r="N126" s="50"/>
      <c r="O126" s="51"/>
      <c r="P126" s="52"/>
      <c r="Q126" s="51"/>
      <c r="R126" s="422"/>
      <c r="S126" s="422"/>
      <c r="T126" s="41"/>
      <c r="U126" s="41"/>
      <c r="V126" s="41"/>
      <c r="W126" s="41"/>
      <c r="X126" s="419"/>
      <c r="Y126" s="223"/>
      <c r="Z126" s="41"/>
      <c r="AA126" s="53"/>
      <c r="AB126" s="53"/>
      <c r="AC126" s="41"/>
      <c r="AD126" s="41">
        <f>+AM126+BA126</f>
        <v>5</v>
      </c>
      <c r="AE126" s="241" t="s">
        <v>424</v>
      </c>
      <c r="AF126" s="41"/>
      <c r="AG126" s="41"/>
      <c r="AH126" s="41"/>
      <c r="AI126" s="461">
        <v>5</v>
      </c>
      <c r="AJ126" s="41"/>
      <c r="AK126" s="41"/>
      <c r="AL126" s="41"/>
      <c r="AM126" s="41">
        <f>SUM(AF126:AL126)+AT126+AV126+AX126</f>
        <v>5</v>
      </c>
      <c r="AN126" s="41"/>
      <c r="AO126" s="41"/>
      <c r="AP126" s="41"/>
      <c r="AQ126" s="41"/>
      <c r="AR126" s="41">
        <f>SUM(AN126:AQ126)</f>
        <v>0</v>
      </c>
      <c r="AS126" s="41"/>
      <c r="AT126" s="41"/>
      <c r="AU126" s="41"/>
      <c r="AV126" s="41"/>
      <c r="AW126" s="41"/>
      <c r="AX126" s="41"/>
      <c r="AY126" s="41"/>
      <c r="AZ126" s="41"/>
      <c r="BA126" s="41">
        <f>+AR126+AS126+AU126+AW126+AY126+AZ126</f>
        <v>0</v>
      </c>
      <c r="BB126" s="37"/>
      <c r="BC126" s="55"/>
      <c r="BD126" s="55"/>
      <c r="BE126" s="55"/>
      <c r="BF126" s="55"/>
    </row>
    <row r="127" spans="1:58" ht="12.95" customHeight="1">
      <c r="A127" s="346"/>
      <c r="B127" s="45"/>
      <c r="C127" s="452"/>
      <c r="D127" s="45"/>
      <c r="E127" s="46"/>
      <c r="F127" s="46"/>
      <c r="G127" s="465"/>
      <c r="H127" s="48"/>
      <c r="I127" s="49"/>
      <c r="J127" s="91"/>
      <c r="K127" s="91"/>
      <c r="L127" s="39"/>
      <c r="M127" s="39"/>
      <c r="N127" s="50"/>
      <c r="O127" s="51"/>
      <c r="P127" s="52"/>
      <c r="Q127" s="51"/>
      <c r="R127" s="422"/>
      <c r="S127" s="422"/>
      <c r="T127" s="41"/>
      <c r="U127" s="41"/>
      <c r="V127" s="41"/>
      <c r="W127" s="41"/>
      <c r="X127" s="419"/>
      <c r="Y127" s="223"/>
      <c r="Z127" s="41"/>
      <c r="AA127" s="53"/>
      <c r="AB127" s="53"/>
      <c r="AC127" s="41"/>
      <c r="AD127" s="41"/>
      <c r="AE127" s="241"/>
      <c r="AF127" s="41"/>
      <c r="AG127" s="41"/>
      <c r="AH127" s="41"/>
      <c r="AI127" s="461"/>
      <c r="AJ127" s="41"/>
      <c r="AK127" s="41"/>
      <c r="AL127" s="41"/>
      <c r="AM127" s="41"/>
      <c r="AN127" s="92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54"/>
      <c r="BC127" s="55"/>
      <c r="BD127" s="55"/>
      <c r="BE127" s="55"/>
      <c r="BF127" s="55"/>
    </row>
    <row r="128" spans="1:58" ht="12.95" customHeight="1">
      <c r="A128" s="44">
        <v>45956</v>
      </c>
      <c r="B128" s="45" t="s">
        <v>7</v>
      </c>
      <c r="C128" s="452">
        <f>(M128*E128*O128*Q128)/100000000</f>
        <v>16.148966399999999</v>
      </c>
      <c r="D128" s="45" t="s">
        <v>411</v>
      </c>
      <c r="E128" s="46">
        <v>12</v>
      </c>
      <c r="F128" s="46">
        <v>1</v>
      </c>
      <c r="G128" s="47">
        <v>1700</v>
      </c>
      <c r="H128" s="48">
        <v>0.24</v>
      </c>
      <c r="I128" s="49">
        <v>0.88</v>
      </c>
      <c r="J128" s="91">
        <f>E128*G128*(1-H128)*1440/1000000*2.77</f>
        <v>61.8423552</v>
      </c>
      <c r="K128" s="91">
        <f>(IF(G128&lt;L128,L128,G128)*(1-IF(H128&lt;N128,H128,N128))*E128*O128*Q128)/100000000</f>
        <v>19.6094592</v>
      </c>
      <c r="L128" s="39">
        <v>1400</v>
      </c>
      <c r="M128" s="39">
        <f>+L128-L128*0.24</f>
        <v>1064</v>
      </c>
      <c r="N128" s="50">
        <f>1-(M128/L128)</f>
        <v>0.24</v>
      </c>
      <c r="O128" s="51">
        <f>+'Trim Rwd'!H96</f>
        <v>272</v>
      </c>
      <c r="P128" s="52">
        <f>O128*(Q128-R128-S128)</f>
        <v>104448</v>
      </c>
      <c r="Q128" s="51">
        <f>480-15</f>
        <v>465</v>
      </c>
      <c r="R128" s="422">
        <v>60</v>
      </c>
      <c r="S128" s="422">
        <v>21</v>
      </c>
      <c r="T128" s="41">
        <f>E128*M128*O128*Q128/100000000</f>
        <v>16.148966399999999</v>
      </c>
      <c r="U128" s="41">
        <f>E128*M128*O128*(Q128-R128-S128)/100000000</f>
        <v>13.335920639999999</v>
      </c>
      <c r="V128" s="41">
        <f>E128*G128*(1-N128)*O128/100*(R128+S128)/1000000</f>
        <v>3.41584128</v>
      </c>
      <c r="W128" s="41">
        <f>+'26'!K16/1000</f>
        <v>12.759</v>
      </c>
      <c r="X128" s="42">
        <f>SUM(W128:W131)/SUM(K128:K131)</f>
        <v>0.66534898440076218</v>
      </c>
      <c r="Y128" s="223">
        <v>0</v>
      </c>
      <c r="Z128" s="41">
        <f>+'26'!D16/1000</f>
        <v>0.58599999999999997</v>
      </c>
      <c r="AA128" s="41">
        <f>SUM(U128:U131)-SUM(W128:W131)-SUM(Z128:Z131)-SUM(Y128:Y131)</f>
        <v>4.862805440000006</v>
      </c>
      <c r="AB128" s="41">
        <f>(SUM(K128:K131)-SUM(W128:W131)-SUM(Y128:Y131)-SUM(Z128:Z131)-SUM(AC128:AC131)-SUM(V128:V131))-AA128</f>
        <v>-0.77819592000000259</v>
      </c>
      <c r="AC128" s="41">
        <f>K128-T128</f>
        <v>3.4604928000000008</v>
      </c>
      <c r="AD128" s="41">
        <f>+AM128+BA128</f>
        <v>5</v>
      </c>
      <c r="AE128" s="244" t="s">
        <v>541</v>
      </c>
      <c r="AF128" s="37">
        <v>5</v>
      </c>
      <c r="AG128" s="37"/>
      <c r="AH128" s="37"/>
      <c r="AI128" s="461"/>
      <c r="AJ128" s="41"/>
      <c r="AK128" s="41"/>
      <c r="AL128" s="41"/>
      <c r="AM128" s="41">
        <f>SUM(AF128:AL128)+AT128+AV128+AX128</f>
        <v>5</v>
      </c>
      <c r="AN128" s="41"/>
      <c r="AO128" s="41"/>
      <c r="AP128" s="41"/>
      <c r="AQ128" s="41"/>
      <c r="AR128" s="41">
        <f>SUM(AN128:AQ128)</f>
        <v>0</v>
      </c>
      <c r="AS128" s="41"/>
      <c r="AT128" s="41"/>
      <c r="AU128" s="41"/>
      <c r="AV128" s="41"/>
      <c r="AW128" s="41"/>
      <c r="AX128" s="41"/>
      <c r="AY128" s="41"/>
      <c r="AZ128" s="41"/>
      <c r="BA128" s="41">
        <f>+AR128+AS128+AU128+AW128+AY128+AZ128</f>
        <v>0</v>
      </c>
      <c r="BB128" s="37">
        <v>1</v>
      </c>
      <c r="BC128" s="57"/>
      <c r="BD128" s="57"/>
      <c r="BE128" s="37"/>
      <c r="BF128" s="57"/>
    </row>
    <row r="129" spans="1:58" ht="12.95" customHeight="1">
      <c r="A129" s="44"/>
      <c r="B129" s="45" t="s">
        <v>7</v>
      </c>
      <c r="C129" s="452">
        <f>(M129*E129*O129*Q129)/100000000</f>
        <v>38.003420000000006</v>
      </c>
      <c r="D129" s="45" t="s">
        <v>411</v>
      </c>
      <c r="E129" s="46">
        <v>14</v>
      </c>
      <c r="F129" s="46">
        <v>1</v>
      </c>
      <c r="G129" s="465">
        <v>1700</v>
      </c>
      <c r="H129" s="48">
        <v>0.24</v>
      </c>
      <c r="I129" s="49">
        <v>0.88</v>
      </c>
      <c r="J129" s="91">
        <f>E129*G129*(1-H129)*1440/1000000*2.77</f>
        <v>72.149414399999998</v>
      </c>
      <c r="K129" s="91">
        <f>(IF(G129&lt;L129,L129,G129)*(1-IF(H129&lt;N129,H129,N129))*E129*O129*Q129)/100000000</f>
        <v>46.147010000000002</v>
      </c>
      <c r="L129" s="39">
        <v>1400</v>
      </c>
      <c r="M129" s="39">
        <f>+L129-L129*0.24</f>
        <v>1064</v>
      </c>
      <c r="N129" s="50">
        <f>1-(M129/L129)</f>
        <v>0.24</v>
      </c>
      <c r="O129" s="51">
        <f>+'Trim Rwd'!H97</f>
        <v>261.66666666666669</v>
      </c>
      <c r="P129" s="52">
        <f>O129*(Q129-R129-S129)</f>
        <v>249630.00000000003</v>
      </c>
      <c r="Q129" s="51">
        <f>960+15</f>
        <v>975</v>
      </c>
      <c r="R129" s="422">
        <v>0</v>
      </c>
      <c r="S129" s="422">
        <v>21</v>
      </c>
      <c r="T129" s="41">
        <f>E129*M129*O129*Q129/100000000</f>
        <v>38.003420000000006</v>
      </c>
      <c r="U129" s="41">
        <f>E129*M129*O129*(Q129-R129-S129)/100000000</f>
        <v>37.184884800000006</v>
      </c>
      <c r="V129" s="41">
        <f>E129*G129*(1-N129)*O129/100*(R129+S129)/1000000</f>
        <v>0.99393560000000014</v>
      </c>
      <c r="W129" s="41">
        <f>+'26'!K20/1000</f>
        <v>13.534000000000001</v>
      </c>
      <c r="X129" s="42"/>
      <c r="Y129" s="223"/>
      <c r="Z129" s="41">
        <f>+('26'!D18+'26'!D26)/1000</f>
        <v>1.321</v>
      </c>
      <c r="AA129" s="41"/>
      <c r="AB129" s="41"/>
      <c r="AC129" s="41">
        <f>K129-T129</f>
        <v>8.1435899999999961</v>
      </c>
      <c r="AD129" s="41">
        <f>+AM129+BA129</f>
        <v>10</v>
      </c>
      <c r="AE129" s="241" t="s">
        <v>598</v>
      </c>
      <c r="AF129" s="37"/>
      <c r="AG129" s="37">
        <v>10</v>
      </c>
      <c r="AH129" s="37"/>
      <c r="AJ129" s="41"/>
      <c r="AK129" s="41"/>
      <c r="AL129" s="41"/>
      <c r="AM129" s="41">
        <f>SUM(AF129:AL129)+AT129+AV129+AX129</f>
        <v>10</v>
      </c>
      <c r="AN129" s="41"/>
      <c r="AO129" s="41"/>
      <c r="AP129" s="41"/>
      <c r="AQ129" s="41"/>
      <c r="AR129" s="41">
        <f>SUM(AN129:AQ129)</f>
        <v>0</v>
      </c>
      <c r="AS129" s="41"/>
      <c r="AT129" s="41"/>
      <c r="AU129" s="41"/>
      <c r="AV129" s="41"/>
      <c r="AW129" s="41"/>
      <c r="AX129" s="41"/>
      <c r="AY129" s="41"/>
      <c r="AZ129" s="41"/>
      <c r="BA129" s="41">
        <f>+AR129+AS129+AU129+AW129+AY129+AZ129</f>
        <v>0</v>
      </c>
      <c r="BB129" s="37"/>
      <c r="BC129" s="57">
        <v>8</v>
      </c>
      <c r="BD129" s="55"/>
      <c r="BE129" s="55"/>
      <c r="BF129" s="55"/>
    </row>
    <row r="130" spans="1:58" ht="12.95" customHeight="1">
      <c r="A130" s="346"/>
      <c r="B130" s="45" t="s">
        <v>7</v>
      </c>
      <c r="C130" s="452"/>
      <c r="D130" s="45"/>
      <c r="E130" s="46">
        <v>13</v>
      </c>
      <c r="F130" s="46"/>
      <c r="G130" s="465"/>
      <c r="H130" s="48"/>
      <c r="I130" s="49"/>
      <c r="J130" s="91"/>
      <c r="K130" s="91"/>
      <c r="L130" s="39"/>
      <c r="M130" s="39"/>
      <c r="N130" s="50"/>
      <c r="O130" s="51"/>
      <c r="P130" s="52"/>
      <c r="Q130" s="51"/>
      <c r="R130" s="422"/>
      <c r="S130" s="422"/>
      <c r="T130" s="41"/>
      <c r="U130" s="41"/>
      <c r="V130" s="41"/>
      <c r="W130" s="41">
        <f>+'26'!K7/1000</f>
        <v>16.536999999999999</v>
      </c>
      <c r="X130" s="419"/>
      <c r="Y130" s="223"/>
      <c r="Z130" s="41"/>
      <c r="AA130" s="53"/>
      <c r="AB130" s="53"/>
      <c r="AC130" s="41"/>
      <c r="AD130" s="41">
        <f>+AM130+BA130</f>
        <v>27</v>
      </c>
      <c r="AE130" s="241" t="s">
        <v>505</v>
      </c>
      <c r="AF130" s="41"/>
      <c r="AG130" s="41"/>
      <c r="AH130" s="41">
        <v>27</v>
      </c>
      <c r="AI130" s="461"/>
      <c r="AJ130" s="41"/>
      <c r="AK130" s="41"/>
      <c r="AL130" s="41"/>
      <c r="AM130" s="41">
        <f>SUM(AF130:AL130)+AT130+AV130+AX130</f>
        <v>27</v>
      </c>
      <c r="AN130" s="41"/>
      <c r="AO130" s="41"/>
      <c r="AP130" s="41"/>
      <c r="AQ130" s="41"/>
      <c r="AR130" s="41">
        <f>SUM(AN130:AQ130)</f>
        <v>0</v>
      </c>
      <c r="AS130" s="41"/>
      <c r="AT130" s="41"/>
      <c r="AU130" s="41"/>
      <c r="AV130" s="41"/>
      <c r="AW130" s="41"/>
      <c r="AX130" s="41"/>
      <c r="AY130" s="41"/>
      <c r="AZ130" s="41"/>
      <c r="BA130" s="41">
        <f>+AR130+AS130+AU130+AW130+AY130+AZ130</f>
        <v>0</v>
      </c>
      <c r="BB130" s="37"/>
      <c r="BC130" s="55"/>
      <c r="BD130" s="55"/>
      <c r="BE130" s="55"/>
      <c r="BF130" s="55"/>
    </row>
    <row r="131" spans="1:58" ht="12.95" customHeight="1">
      <c r="A131" s="44"/>
      <c r="B131" s="45" t="s">
        <v>7</v>
      </c>
      <c r="C131" s="452"/>
      <c r="D131" s="45"/>
      <c r="E131" s="46">
        <v>13.5</v>
      </c>
      <c r="F131" s="46"/>
      <c r="G131" s="47"/>
      <c r="H131" s="48"/>
      <c r="I131" s="49"/>
      <c r="J131" s="91"/>
      <c r="K131" s="91"/>
      <c r="L131" s="39"/>
      <c r="M131" s="39"/>
      <c r="N131" s="50"/>
      <c r="O131" s="51"/>
      <c r="P131" s="52"/>
      <c r="Q131" s="51"/>
      <c r="R131" s="422"/>
      <c r="S131" s="422"/>
      <c r="T131" s="41"/>
      <c r="U131" s="41"/>
      <c r="V131" s="41"/>
      <c r="W131" s="41">
        <f>+'26'!K19/1000</f>
        <v>0.92100000000000004</v>
      </c>
      <c r="X131" s="42"/>
      <c r="Y131" s="223"/>
      <c r="Z131" s="41"/>
      <c r="AA131" s="41"/>
      <c r="AB131" s="41"/>
      <c r="AC131" s="41"/>
      <c r="AD131" s="41">
        <f>+AM131+BA131</f>
        <v>60</v>
      </c>
      <c r="AE131" s="21" t="s">
        <v>776</v>
      </c>
      <c r="AF131" s="41"/>
      <c r="AG131" s="41"/>
      <c r="AH131" s="41"/>
      <c r="AI131" s="41"/>
      <c r="AJ131" s="41"/>
      <c r="AK131" s="41"/>
      <c r="AL131" s="41"/>
      <c r="AM131" s="41">
        <f>SUM(AF131:AL131)+AT131+AV131+AX131</f>
        <v>0</v>
      </c>
      <c r="AN131" s="41"/>
      <c r="AO131" s="41"/>
      <c r="AP131" s="41">
        <v>60</v>
      </c>
      <c r="AQ131" s="41"/>
      <c r="AR131" s="41">
        <f>SUM(AN131:AQ131)</f>
        <v>60</v>
      </c>
      <c r="AS131" s="41"/>
      <c r="AT131" s="41"/>
      <c r="AU131" s="41"/>
      <c r="AV131" s="41"/>
      <c r="AW131" s="41"/>
      <c r="AX131" s="41"/>
      <c r="AY131" s="41"/>
      <c r="AZ131" s="41"/>
      <c r="BA131" s="41">
        <f>+AR131+AS131+AU131+AW131+AY131+AZ131</f>
        <v>60</v>
      </c>
      <c r="BB131" s="37"/>
      <c r="BC131" s="55"/>
      <c r="BD131" s="55"/>
      <c r="BE131" s="55"/>
      <c r="BF131" s="55"/>
    </row>
    <row r="132" spans="1:58" ht="12.95" customHeight="1">
      <c r="A132" s="346"/>
      <c r="B132" s="45"/>
      <c r="C132" s="452"/>
      <c r="D132" s="45"/>
      <c r="E132" s="46"/>
      <c r="F132" s="46"/>
      <c r="G132" s="465"/>
      <c r="H132" s="48"/>
      <c r="I132" s="49"/>
      <c r="J132" s="91"/>
      <c r="K132" s="91"/>
      <c r="L132" s="39"/>
      <c r="M132" s="39"/>
      <c r="N132" s="50"/>
      <c r="O132" s="51"/>
      <c r="P132" s="52"/>
      <c r="Q132" s="51"/>
      <c r="R132" s="422"/>
      <c r="S132" s="422"/>
      <c r="T132" s="41"/>
      <c r="U132" s="41"/>
      <c r="V132" s="41"/>
      <c r="W132" s="41"/>
      <c r="X132" s="419"/>
      <c r="Y132" s="223"/>
      <c r="Z132" s="41"/>
      <c r="AA132" s="53"/>
      <c r="AB132" s="53"/>
      <c r="AC132" s="41"/>
      <c r="AD132" s="41"/>
      <c r="AE132" s="241"/>
      <c r="AF132" s="41"/>
      <c r="AG132" s="41"/>
      <c r="AH132" s="41"/>
      <c r="AI132" s="46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37"/>
      <c r="BC132" s="55"/>
      <c r="BD132" s="55"/>
      <c r="BE132" s="55"/>
      <c r="BF132" s="55"/>
    </row>
    <row r="133" spans="1:58" ht="12.95" customHeight="1">
      <c r="A133" s="346">
        <v>45957</v>
      </c>
      <c r="B133" s="45" t="s">
        <v>7</v>
      </c>
      <c r="C133" s="452">
        <f>(M133*E133*O133*Q133)/100000000</f>
        <v>61.296359040000013</v>
      </c>
      <c r="D133" s="45" t="s">
        <v>411</v>
      </c>
      <c r="E133" s="46">
        <v>14</v>
      </c>
      <c r="F133" s="46">
        <v>1</v>
      </c>
      <c r="G133" s="465">
        <v>1700</v>
      </c>
      <c r="H133" s="48">
        <v>0.24</v>
      </c>
      <c r="I133" s="49">
        <v>0.88</v>
      </c>
      <c r="J133" s="91">
        <f>E133*G133*(1-H133)*1440/1000000*2.77</f>
        <v>72.149414399999998</v>
      </c>
      <c r="K133" s="91">
        <f>(IF(G133&lt;L133,L133,G133)*(1-IF(H133&lt;N133,H133,N133))*E133*O133*Q133)/100000000</f>
        <v>69.935443199999995</v>
      </c>
      <c r="L133" s="39">
        <v>1490</v>
      </c>
      <c r="M133" s="39">
        <v>1132.4000000000001</v>
      </c>
      <c r="N133" s="50">
        <f>1-(M133/L133)</f>
        <v>0.24</v>
      </c>
      <c r="O133" s="51">
        <f>+'Trim Rwd'!H102</f>
        <v>268.5</v>
      </c>
      <c r="P133" s="52">
        <f>O133*(Q133-R133-S133)</f>
        <v>369456</v>
      </c>
      <c r="Q133" s="51">
        <v>1440</v>
      </c>
      <c r="R133" s="422">
        <v>0</v>
      </c>
      <c r="S133" s="422">
        <v>64</v>
      </c>
      <c r="T133" s="41">
        <f>E133*M133*O133*Q133/100000000</f>
        <v>61.296359040000013</v>
      </c>
      <c r="U133" s="41">
        <f>E133*M133*O133*(Q133-R133-S133)/100000000</f>
        <v>58.572076416000002</v>
      </c>
      <c r="V133" s="41">
        <f>E133*G133*(1-N133)*O133/100*(R133+S133)/1000000</f>
        <v>3.1082419199999998</v>
      </c>
      <c r="W133" s="41">
        <f>+'27'!K34/1000</f>
        <v>51.003999999999998</v>
      </c>
      <c r="X133" s="419">
        <f>SUM(W133:W136)/SUM(K133:K136)</f>
        <v>0.72930116213233642</v>
      </c>
      <c r="Y133" s="223">
        <v>0</v>
      </c>
      <c r="Z133" s="41">
        <f>+'27'!D34/1000</f>
        <v>1.86</v>
      </c>
      <c r="AA133" s="53">
        <f>SUM(U133:U136)-SUM(W133:W136)-SUM(Z133:Z136)-SUM(Y133:Y136)</f>
        <v>5.7080764160000035</v>
      </c>
      <c r="AB133" s="53">
        <f>(SUM(K133:K136)-SUM(W133:W136)-SUM(Y133:Y136)-SUM(Z133:Z136)-SUM(AC133:AC136)-SUM(V133:V136))-AA133</f>
        <v>-0.38395929599998713</v>
      </c>
      <c r="AC133" s="41">
        <f>K133-T133</f>
        <v>8.6390841599999817</v>
      </c>
      <c r="AD133" s="41">
        <f>+AM133+BA133</f>
        <v>30</v>
      </c>
      <c r="AE133" s="241" t="s">
        <v>483</v>
      </c>
      <c r="AF133" s="41">
        <v>30</v>
      </c>
      <c r="AG133" s="41"/>
      <c r="AH133" s="41"/>
      <c r="AI133" s="461"/>
      <c r="AJ133" s="41"/>
      <c r="AK133" s="41"/>
      <c r="AL133" s="41"/>
      <c r="AM133" s="41">
        <f>SUM(AF133:AL133)+AT133+AV133+AX133</f>
        <v>30</v>
      </c>
      <c r="AN133" s="92"/>
      <c r="AO133" s="41"/>
      <c r="AP133" s="41"/>
      <c r="AQ133" s="41"/>
      <c r="AR133" s="41">
        <f>SUM(AN133:AQ133)</f>
        <v>0</v>
      </c>
      <c r="AS133" s="41"/>
      <c r="AT133" s="41"/>
      <c r="AU133" s="41"/>
      <c r="AV133" s="41"/>
      <c r="AW133" s="41"/>
      <c r="AX133" s="41"/>
      <c r="AY133" s="41"/>
      <c r="AZ133" s="41"/>
      <c r="BA133" s="41">
        <f>+AR133+AS133+AU133+AW133+AY133+AZ133</f>
        <v>0</v>
      </c>
      <c r="BB133" s="54">
        <v>6</v>
      </c>
      <c r="BC133" s="55"/>
      <c r="BD133" s="55"/>
      <c r="BE133" s="55"/>
      <c r="BF133" s="55"/>
    </row>
    <row r="134" spans="1:58" ht="12.95" customHeight="1">
      <c r="A134" s="44"/>
      <c r="B134" s="45"/>
      <c r="C134" s="452"/>
      <c r="D134" s="45"/>
      <c r="E134" s="46"/>
      <c r="F134" s="46"/>
      <c r="G134" s="465"/>
      <c r="H134" s="48"/>
      <c r="I134" s="49"/>
      <c r="J134" s="91"/>
      <c r="K134" s="91"/>
      <c r="L134" s="39"/>
      <c r="M134" s="39"/>
      <c r="N134" s="50"/>
      <c r="O134" s="51"/>
      <c r="P134" s="52"/>
      <c r="Q134" s="51"/>
      <c r="R134" s="422"/>
      <c r="S134" s="422"/>
      <c r="T134" s="41"/>
      <c r="U134" s="41"/>
      <c r="V134" s="41"/>
      <c r="W134" s="41"/>
      <c r="X134" s="42"/>
      <c r="Y134" s="223"/>
      <c r="Z134" s="41"/>
      <c r="AA134" s="41"/>
      <c r="AB134" s="41"/>
      <c r="AC134" s="41"/>
      <c r="AD134" s="41">
        <f>+AM134+BA134</f>
        <v>6</v>
      </c>
      <c r="AE134" s="241" t="s">
        <v>456</v>
      </c>
      <c r="AF134" s="37"/>
      <c r="AG134" s="37">
        <v>6</v>
      </c>
      <c r="AH134" s="37"/>
      <c r="AJ134" s="41"/>
      <c r="AK134" s="41"/>
      <c r="AL134" s="41"/>
      <c r="AM134" s="41">
        <f>SUM(AF134:AL134)+AT134+AV134+AX134</f>
        <v>6</v>
      </c>
      <c r="AN134" s="41"/>
      <c r="AO134" s="41"/>
      <c r="AP134" s="41"/>
      <c r="AQ134" s="41"/>
      <c r="AR134" s="41">
        <f>SUM(AN134:AQ134)</f>
        <v>0</v>
      </c>
      <c r="AS134" s="41"/>
      <c r="AT134" s="41"/>
      <c r="AU134" s="41"/>
      <c r="AV134" s="41"/>
      <c r="AW134" s="41"/>
      <c r="AX134" s="41"/>
      <c r="AY134" s="41"/>
      <c r="AZ134" s="41"/>
      <c r="BA134" s="41">
        <f>+AR134+AS134+AU134+AW134+AY134+AZ134</f>
        <v>0</v>
      </c>
      <c r="BB134" s="37"/>
      <c r="BC134" s="57">
        <v>6</v>
      </c>
      <c r="BD134" s="55"/>
      <c r="BE134" s="55"/>
      <c r="BF134" s="55"/>
    </row>
    <row r="135" spans="1:58" ht="12.95" customHeight="1">
      <c r="A135" s="44"/>
      <c r="B135" s="3"/>
      <c r="C135" s="452"/>
      <c r="D135" s="45"/>
      <c r="E135" s="258"/>
      <c r="F135" s="46"/>
      <c r="G135" s="47"/>
      <c r="H135" s="48"/>
      <c r="I135" s="49"/>
      <c r="J135" s="91"/>
      <c r="K135" s="91"/>
      <c r="L135" s="39"/>
      <c r="M135" s="39"/>
      <c r="N135" s="50"/>
      <c r="O135" s="51"/>
      <c r="P135" s="52"/>
      <c r="Q135" s="351"/>
      <c r="R135" s="54"/>
      <c r="S135" s="54"/>
      <c r="T135" s="41"/>
      <c r="U135" s="41"/>
      <c r="V135" s="41"/>
      <c r="W135" s="37"/>
      <c r="X135" s="42"/>
      <c r="Y135" s="42"/>
      <c r="Z135" s="37"/>
      <c r="AA135" s="53"/>
      <c r="AB135" s="53"/>
      <c r="AC135" s="41"/>
      <c r="AD135" s="41">
        <f>+AM135+BA135</f>
        <v>28</v>
      </c>
      <c r="AE135" s="22" t="s">
        <v>645</v>
      </c>
      <c r="AF135" s="41"/>
      <c r="AG135" s="41"/>
      <c r="AH135" s="41">
        <v>28</v>
      </c>
      <c r="AI135" s="41"/>
      <c r="AJ135" s="41"/>
      <c r="AK135" s="41"/>
      <c r="AL135" s="41"/>
      <c r="AM135" s="41">
        <f>SUM(AF135:AL135)+AT135+AV135+AX135</f>
        <v>28</v>
      </c>
      <c r="AN135" s="41"/>
      <c r="AO135" s="41"/>
      <c r="AP135" s="41"/>
      <c r="AQ135" s="41"/>
      <c r="AR135" s="41">
        <f>SUM(AN135:AQ135)</f>
        <v>0</v>
      </c>
      <c r="AS135" s="41"/>
      <c r="AT135" s="41"/>
      <c r="AU135" s="41"/>
      <c r="AV135" s="41"/>
      <c r="AW135" s="41"/>
      <c r="AX135" s="41"/>
      <c r="AY135" s="41"/>
      <c r="AZ135" s="41"/>
      <c r="BA135" s="41">
        <f>+AR135+AS135+AU135+AW135+AY135+AZ135</f>
        <v>0</v>
      </c>
      <c r="BB135" s="37"/>
      <c r="BC135" s="55"/>
      <c r="BD135" s="55"/>
      <c r="BE135" s="55"/>
      <c r="BF135" s="55"/>
    </row>
    <row r="136" spans="1:58" ht="12.95" customHeight="1">
      <c r="A136" s="346"/>
      <c r="B136" s="45"/>
      <c r="C136" s="452"/>
      <c r="D136" s="45"/>
      <c r="E136" s="46"/>
      <c r="F136" s="46"/>
      <c r="G136" s="465"/>
      <c r="H136" s="48"/>
      <c r="I136" s="49"/>
      <c r="J136" s="91"/>
      <c r="K136" s="91"/>
      <c r="L136" s="39"/>
      <c r="M136" s="39"/>
      <c r="N136" s="50"/>
      <c r="O136" s="51"/>
      <c r="P136" s="52"/>
      <c r="Q136" s="51"/>
      <c r="R136" s="422"/>
      <c r="S136" s="422"/>
      <c r="T136" s="41"/>
      <c r="U136" s="41"/>
      <c r="V136" s="41"/>
      <c r="W136" s="41"/>
      <c r="X136" s="419"/>
      <c r="Y136" s="223"/>
      <c r="Z136" s="41"/>
      <c r="AA136" s="53"/>
      <c r="AB136" s="53"/>
      <c r="AC136" s="41"/>
      <c r="AD136" s="41"/>
      <c r="AE136" s="241"/>
      <c r="AF136" s="41"/>
      <c r="AG136" s="41"/>
      <c r="AH136" s="41"/>
      <c r="AI136" s="46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37"/>
      <c r="BC136" s="55"/>
      <c r="BD136" s="55"/>
      <c r="BE136" s="55"/>
      <c r="BF136" s="55"/>
    </row>
    <row r="137" spans="1:58" ht="12.95" customHeight="1">
      <c r="A137" s="346">
        <v>45958</v>
      </c>
      <c r="B137" s="45" t="s">
        <v>7</v>
      </c>
      <c r="C137" s="452">
        <f>(M137*E137*O137*Q137)/100000000</f>
        <v>6.3850374000000008</v>
      </c>
      <c r="D137" s="45" t="s">
        <v>411</v>
      </c>
      <c r="E137" s="46">
        <v>14</v>
      </c>
      <c r="F137" s="46">
        <v>1</v>
      </c>
      <c r="G137" s="465">
        <v>1700</v>
      </c>
      <c r="H137" s="48">
        <v>0.24</v>
      </c>
      <c r="I137" s="49">
        <v>0.88</v>
      </c>
      <c r="J137" s="91">
        <f>E137*G137*(1-H137)*1440/1000000*2.77</f>
        <v>72.149414399999998</v>
      </c>
      <c r="K137" s="91">
        <f>(IF(G137&lt;L137,L137,G137)*(1-IF(H137&lt;N137,H137,N137))*E137*O137*Q137)/100000000</f>
        <v>7.284942</v>
      </c>
      <c r="L137" s="39">
        <v>1490</v>
      </c>
      <c r="M137" s="39">
        <v>1132.4000000000001</v>
      </c>
      <c r="N137" s="50">
        <f>1-(M137/L137)</f>
        <v>0.24</v>
      </c>
      <c r="O137" s="51">
        <f>+'Trim Rwd'!H104</f>
        <v>268.5</v>
      </c>
      <c r="P137" s="52">
        <f>O137*(Q137-R137-S137)</f>
        <v>38932.5</v>
      </c>
      <c r="Q137" s="51">
        <v>150</v>
      </c>
      <c r="R137" s="422">
        <v>0</v>
      </c>
      <c r="S137" s="422">
        <v>5</v>
      </c>
      <c r="T137" s="41">
        <f>E137*M137*O137*Q137/100000000</f>
        <v>6.3850374000000008</v>
      </c>
      <c r="U137" s="41">
        <f>E137*M137*O137*(Q137-R137-S137)/100000000</f>
        <v>6.1722028200000008</v>
      </c>
      <c r="V137" s="41">
        <f>E137*G137*(1-N137)*O137/100*(R137+S137)/1000000</f>
        <v>0.2428314</v>
      </c>
      <c r="W137" s="41">
        <f>+'28'!K20/1000</f>
        <v>5.024</v>
      </c>
      <c r="X137" s="419">
        <f>SUM(W137:W140)/SUM(K137:K140)</f>
        <v>0.7313933022456568</v>
      </c>
      <c r="Y137" s="223">
        <v>0</v>
      </c>
      <c r="Z137" s="41">
        <v>0</v>
      </c>
      <c r="AA137" s="53">
        <f>SUM(U137:U140)-SUM(W137:W140)-SUM(Z137:Z140)-SUM(Y137:Y140)</f>
        <v>8.5435787654930238</v>
      </c>
      <c r="AB137" s="53">
        <f>(SUM(K137:K140)-SUM(W137:W140)-SUM(Y137:Y140)-SUM(Z137:Z140)-SUM(AC137:AC140)-SUM(V137:V140))-AA137</f>
        <v>-0.33055302408802945</v>
      </c>
      <c r="AC137" s="41">
        <f>K137-T137</f>
        <v>0.89990459999999928</v>
      </c>
      <c r="AD137" s="41">
        <f>+AM137+BA137</f>
        <v>5</v>
      </c>
      <c r="AE137" s="241" t="s">
        <v>541</v>
      </c>
      <c r="AF137" s="41">
        <v>5</v>
      </c>
      <c r="AG137" s="41"/>
      <c r="AH137" s="41"/>
      <c r="AI137" s="461"/>
      <c r="AJ137" s="41"/>
      <c r="AK137" s="41"/>
      <c r="AL137" s="41"/>
      <c r="AM137" s="41">
        <f>SUM(AF137:AL137)+AT137+AV137+AX137</f>
        <v>5</v>
      </c>
      <c r="AN137" s="92"/>
      <c r="AO137" s="41"/>
      <c r="AP137" s="41"/>
      <c r="AQ137" s="41"/>
      <c r="AR137" s="41">
        <f>SUM(AN137:AQ137)</f>
        <v>0</v>
      </c>
      <c r="AS137" s="41"/>
      <c r="AT137" s="41"/>
      <c r="AU137" s="41"/>
      <c r="AV137" s="41"/>
      <c r="AW137" s="41"/>
      <c r="AX137" s="41"/>
      <c r="AY137" s="41"/>
      <c r="AZ137" s="41"/>
      <c r="BA137" s="41">
        <f>+AR137+AS137+AU137+AW137+AY137+AZ137</f>
        <v>0</v>
      </c>
      <c r="BB137" s="54">
        <v>1</v>
      </c>
      <c r="BC137" s="55"/>
      <c r="BD137" s="55"/>
      <c r="BE137" s="55"/>
      <c r="BF137" s="55"/>
    </row>
    <row r="138" spans="1:58" ht="12.95" customHeight="1">
      <c r="A138" s="44"/>
      <c r="B138" s="45" t="s">
        <v>7</v>
      </c>
      <c r="C138" s="452">
        <f>(M138*E138*O138*Q138)/100000000</f>
        <v>54.568479141405</v>
      </c>
      <c r="D138" s="45" t="s">
        <v>411</v>
      </c>
      <c r="E138" s="46">
        <v>13</v>
      </c>
      <c r="F138" s="46">
        <v>1</v>
      </c>
      <c r="G138" s="465">
        <v>1700</v>
      </c>
      <c r="H138" s="48">
        <v>0.24</v>
      </c>
      <c r="I138" s="49">
        <v>0.88</v>
      </c>
      <c r="J138" s="91">
        <f>E138*G138*(1-H138)*1440/1000000*2.77</f>
        <v>66.995884799999999</v>
      </c>
      <c r="K138" s="91">
        <f>(IF(G138&lt;L138,L138,G138)*(1-IF(H138&lt;N138,H138,N138))*E138*O138*Q138)/100000000</f>
        <v>58.876451400000001</v>
      </c>
      <c r="L138" s="39">
        <v>1575.611510791367</v>
      </c>
      <c r="M138" s="39">
        <v>1197.4647482014389</v>
      </c>
      <c r="N138" s="50">
        <f>1-(M138/L138)</f>
        <v>0.24</v>
      </c>
      <c r="O138" s="51">
        <f>+'Trim Rwd'!H105</f>
        <v>271.73529411764707</v>
      </c>
      <c r="P138" s="52">
        <f>O138*(Q138-R138-S138)</f>
        <v>326082.3529411765</v>
      </c>
      <c r="Q138" s="51">
        <v>1290</v>
      </c>
      <c r="R138" s="422">
        <v>39</v>
      </c>
      <c r="S138" s="422">
        <v>51</v>
      </c>
      <c r="T138" s="41">
        <f>E138*M138*O138*Q138/100000000</f>
        <v>54.568479141405</v>
      </c>
      <c r="U138" s="41">
        <f>E138*M138*O138*(Q138-R138-S138)/100000000</f>
        <v>50.761375945493022</v>
      </c>
      <c r="V138" s="41">
        <f>E138*G138*(1-N138)*O138/100*(R138+S138)/1000000</f>
        <v>4.1076594000000002</v>
      </c>
      <c r="W138" s="41">
        <f>+'28'!K7/1000</f>
        <v>43.366</v>
      </c>
      <c r="X138" s="42"/>
      <c r="Y138" s="223"/>
      <c r="Z138" s="41"/>
      <c r="AA138" s="41"/>
      <c r="AB138" s="41"/>
      <c r="AC138" s="41">
        <f>K138-T138</f>
        <v>4.3079722585950009</v>
      </c>
      <c r="AD138" s="41">
        <f>+AM138+BA138</f>
        <v>21</v>
      </c>
      <c r="AE138" s="241" t="s">
        <v>804</v>
      </c>
      <c r="AF138" s="37"/>
      <c r="AG138" s="37">
        <v>21</v>
      </c>
      <c r="AH138" s="37"/>
      <c r="AJ138" s="41"/>
      <c r="AK138" s="41"/>
      <c r="AL138" s="41"/>
      <c r="AM138" s="41">
        <f>SUM(AF138:AL138)+AT138+AV138+AX138</f>
        <v>21</v>
      </c>
      <c r="AN138" s="41"/>
      <c r="AO138" s="41"/>
      <c r="AP138" s="41"/>
      <c r="AQ138" s="41"/>
      <c r="AR138" s="41">
        <f>SUM(AN138:AQ138)</f>
        <v>0</v>
      </c>
      <c r="AS138" s="41"/>
      <c r="AT138" s="41"/>
      <c r="AU138" s="41"/>
      <c r="AV138" s="41"/>
      <c r="AW138" s="41"/>
      <c r="AX138" s="41"/>
      <c r="AY138" s="41"/>
      <c r="AZ138" s="41"/>
      <c r="BA138" s="41">
        <f>+AR138+AS138+AU138+AW138+AY138+AZ138</f>
        <v>0</v>
      </c>
      <c r="BB138" s="37"/>
      <c r="BC138" s="57">
        <v>18</v>
      </c>
      <c r="BD138" s="55"/>
      <c r="BE138" s="55"/>
      <c r="BF138" s="55"/>
    </row>
    <row r="139" spans="1:58" ht="12.95" customHeight="1">
      <c r="A139" s="44"/>
      <c r="B139" s="586"/>
      <c r="C139" s="452"/>
      <c r="D139" s="45"/>
      <c r="E139" s="258"/>
      <c r="F139" s="46"/>
      <c r="G139" s="47"/>
      <c r="H139" s="48"/>
      <c r="I139" s="49"/>
      <c r="J139" s="91"/>
      <c r="K139" s="91"/>
      <c r="L139" s="39"/>
      <c r="M139" s="39"/>
      <c r="N139" s="50"/>
      <c r="O139" s="51"/>
      <c r="P139" s="52"/>
      <c r="Q139" s="351"/>
      <c r="R139" s="54"/>
      <c r="S139" s="54"/>
      <c r="T139" s="41"/>
      <c r="U139" s="41"/>
      <c r="V139" s="41"/>
      <c r="W139" s="37"/>
      <c r="X139" s="42"/>
      <c r="Y139" s="42"/>
      <c r="Z139" s="37"/>
      <c r="AA139" s="53"/>
      <c r="AB139" s="53"/>
      <c r="AC139" s="41"/>
      <c r="AD139" s="41">
        <f>+AM139+BA139</f>
        <v>30</v>
      </c>
      <c r="AE139" s="22" t="s">
        <v>645</v>
      </c>
      <c r="AF139" s="41"/>
      <c r="AG139" s="41"/>
      <c r="AH139" s="41">
        <v>30</v>
      </c>
      <c r="AI139" s="41"/>
      <c r="AJ139" s="41"/>
      <c r="AK139" s="41"/>
      <c r="AL139" s="41"/>
      <c r="AM139" s="41">
        <f>SUM(AF139:AL139)+AT139+AV139+AX139</f>
        <v>30</v>
      </c>
      <c r="AN139" s="41"/>
      <c r="AO139" s="41"/>
      <c r="AP139" s="41"/>
      <c r="AQ139" s="41"/>
      <c r="AR139" s="41">
        <f>SUM(AN139:AQ139)</f>
        <v>0</v>
      </c>
      <c r="AS139" s="41"/>
      <c r="AT139" s="41"/>
      <c r="AU139" s="41"/>
      <c r="AV139" s="41"/>
      <c r="AW139" s="41"/>
      <c r="AX139" s="41"/>
      <c r="AY139" s="41"/>
      <c r="AZ139" s="41"/>
      <c r="BA139" s="41">
        <f>+AR139+AS139+AU139+AW139+AY139+AZ139</f>
        <v>0</v>
      </c>
      <c r="BB139" s="37"/>
      <c r="BC139" s="55"/>
      <c r="BD139" s="55"/>
      <c r="BE139" s="55"/>
      <c r="BF139" s="55"/>
    </row>
    <row r="140" spans="1:58" ht="12.95" customHeight="1">
      <c r="A140" s="346"/>
      <c r="B140" s="45"/>
      <c r="C140" s="452"/>
      <c r="D140" s="45"/>
      <c r="E140" s="46"/>
      <c r="F140" s="46"/>
      <c r="G140" s="465"/>
      <c r="H140" s="48"/>
      <c r="I140" s="49"/>
      <c r="J140" s="91"/>
      <c r="K140" s="91"/>
      <c r="L140" s="39"/>
      <c r="M140" s="39"/>
      <c r="N140" s="50"/>
      <c r="O140" s="51"/>
      <c r="P140" s="52"/>
      <c r="Q140" s="51"/>
      <c r="R140" s="422"/>
      <c r="S140" s="422"/>
      <c r="T140" s="41"/>
      <c r="U140" s="41"/>
      <c r="V140" s="41"/>
      <c r="W140" s="41"/>
      <c r="X140" s="419"/>
      <c r="Y140" s="223"/>
      <c r="Z140" s="41"/>
      <c r="AA140" s="53"/>
      <c r="AB140" s="53"/>
      <c r="AC140" s="41"/>
      <c r="AD140" s="41">
        <f>+AM140+BA140</f>
        <v>39</v>
      </c>
      <c r="AE140" s="241" t="s">
        <v>805</v>
      </c>
      <c r="AF140" s="41"/>
      <c r="AG140" s="41"/>
      <c r="AH140" s="41"/>
      <c r="AI140" s="461"/>
      <c r="AJ140" s="41"/>
      <c r="AK140" s="41"/>
      <c r="AL140" s="41"/>
      <c r="AM140" s="41">
        <f>SUM(AF140:AL140)+AT140+AV140+AX140</f>
        <v>0</v>
      </c>
      <c r="AN140" s="41"/>
      <c r="AO140" s="41"/>
      <c r="AP140" s="41">
        <v>39</v>
      </c>
      <c r="AQ140" s="41"/>
      <c r="AR140" s="41">
        <f>SUM(AN140:AQ140)</f>
        <v>39</v>
      </c>
      <c r="AS140" s="41"/>
      <c r="AT140" s="41"/>
      <c r="AU140" s="41"/>
      <c r="AV140" s="41"/>
      <c r="AW140" s="41"/>
      <c r="AX140" s="41"/>
      <c r="AY140" s="41"/>
      <c r="AZ140" s="41"/>
      <c r="BA140" s="41">
        <f>+AR140+AS140+AU140+AW140+AY140+AZ140</f>
        <v>39</v>
      </c>
      <c r="BB140" s="37"/>
      <c r="BC140" s="55"/>
      <c r="BD140" s="55"/>
      <c r="BE140" s="55"/>
      <c r="BF140" s="55"/>
    </row>
    <row r="141" spans="1:58" ht="12.95" customHeight="1">
      <c r="A141" s="346"/>
      <c r="B141" s="45"/>
      <c r="C141" s="452"/>
      <c r="D141" s="45"/>
      <c r="E141" s="46"/>
      <c r="F141" s="46"/>
      <c r="G141" s="465"/>
      <c r="H141" s="48"/>
      <c r="I141" s="49"/>
      <c r="J141" s="91"/>
      <c r="K141" s="91"/>
      <c r="L141" s="39"/>
      <c r="M141" s="39"/>
      <c r="N141" s="50"/>
      <c r="O141" s="51"/>
      <c r="P141" s="52"/>
      <c r="Q141" s="51"/>
      <c r="R141" s="422"/>
      <c r="S141" s="422"/>
      <c r="T141" s="41"/>
      <c r="U141" s="41"/>
      <c r="V141" s="41"/>
      <c r="W141" s="41"/>
      <c r="X141" s="419"/>
      <c r="Y141" s="223"/>
      <c r="Z141" s="41"/>
      <c r="AA141" s="53"/>
      <c r="AB141" s="53"/>
      <c r="AC141" s="41"/>
      <c r="AD141" s="41"/>
      <c r="AE141" s="241"/>
      <c r="AF141" s="41"/>
      <c r="AG141" s="41"/>
      <c r="AH141" s="41"/>
      <c r="AI141" s="461"/>
      <c r="AJ141" s="41"/>
      <c r="AK141" s="41"/>
      <c r="AL141" s="41"/>
      <c r="AM141" s="41"/>
      <c r="AN141" s="92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54"/>
      <c r="BC141" s="55"/>
      <c r="BD141" s="55"/>
      <c r="BE141" s="55"/>
      <c r="BF141" s="55"/>
    </row>
    <row r="142" spans="1:58" ht="12.95" customHeight="1">
      <c r="A142" s="44">
        <v>45959</v>
      </c>
      <c r="B142" s="45" t="s">
        <v>7</v>
      </c>
      <c r="C142" s="452">
        <f>(M142*E142*O142*Q142)/100000000</f>
        <v>59.884764770642207</v>
      </c>
      <c r="D142" s="45" t="s">
        <v>411</v>
      </c>
      <c r="E142" s="46">
        <v>13</v>
      </c>
      <c r="F142" s="46">
        <v>1</v>
      </c>
      <c r="G142" s="465">
        <v>1700</v>
      </c>
      <c r="H142" s="48">
        <v>0.24</v>
      </c>
      <c r="I142" s="49">
        <v>0.88</v>
      </c>
      <c r="J142" s="91">
        <f>E142*G142*(1-H142)*1440/1000000*2.77</f>
        <v>66.995884799999999</v>
      </c>
      <c r="K142" s="91">
        <f>(IF(G142&lt;L142,L142,G142)*(1-IF(H142&lt;N142,H142,N142))*E142*O142*Q142)/100000000</f>
        <v>65.680064587155968</v>
      </c>
      <c r="L142" s="39">
        <v>1550</v>
      </c>
      <c r="M142" s="39">
        <v>1178</v>
      </c>
      <c r="N142" s="50">
        <f>1-(M142/L142)</f>
        <v>0.24</v>
      </c>
      <c r="O142" s="51">
        <f>+'Trim Rwd'!H108</f>
        <v>271.55963302752292</v>
      </c>
      <c r="P142" s="52">
        <f>O142*(Q142-R142-S142)</f>
        <v>375295.41284403665</v>
      </c>
      <c r="Q142" s="51">
        <v>1440</v>
      </c>
      <c r="R142" s="422">
        <v>0</v>
      </c>
      <c r="S142" s="422">
        <v>58</v>
      </c>
      <c r="T142" s="41">
        <f>E142*M142*O142*Q142/100000000</f>
        <v>59.884764770642207</v>
      </c>
      <c r="U142" s="41">
        <f>E142*M142*O142*(Q142-R142-S142)/100000000</f>
        <v>57.472739522935782</v>
      </c>
      <c r="V142" s="41">
        <f>E142*G142*(1-N142)*O142/100*(R142+S142)/1000000</f>
        <v>2.6454470458715593</v>
      </c>
      <c r="W142" s="41">
        <f>+'29'!K34/1000</f>
        <v>61.749000000000002</v>
      </c>
      <c r="X142" s="42">
        <f>SUM(W142:W145)/SUM(K142:K145)</f>
        <v>0.94014828377734716</v>
      </c>
      <c r="Y142" s="223">
        <v>0</v>
      </c>
      <c r="Z142" s="41">
        <f>+'29'!D34/1000</f>
        <v>0.58599999999999997</v>
      </c>
      <c r="AA142" s="41">
        <f>SUM(U142:U145)-SUM(W142:W145)-SUM(Z142:Z145)-SUM(Y142:Y145)</f>
        <v>-4.8622604770642202</v>
      </c>
      <c r="AB142" s="41">
        <f>(SUM(K142:K145)-SUM(W142:W145)-SUM(Y142:Y145)-SUM(Z142:Z145)-SUM(AC142:AC145)-SUM(V142:V145))-AA142</f>
        <v>-0.23342179816513475</v>
      </c>
      <c r="AC142" s="41">
        <f>K142-T142</f>
        <v>5.7952998165137615</v>
      </c>
      <c r="AD142" s="41">
        <f>+AM142+BA142</f>
        <v>20</v>
      </c>
      <c r="AE142" s="241" t="s">
        <v>540</v>
      </c>
      <c r="AF142" s="37">
        <v>20</v>
      </c>
      <c r="AG142" s="37"/>
      <c r="AH142" s="37"/>
      <c r="AJ142" s="41"/>
      <c r="AK142" s="41"/>
      <c r="AL142" s="41"/>
      <c r="AM142" s="41">
        <f>SUM(AF142:AL142)+AT142+AV142+AX142</f>
        <v>20</v>
      </c>
      <c r="AN142" s="41"/>
      <c r="AO142" s="41"/>
      <c r="AP142" s="41"/>
      <c r="AQ142" s="41"/>
      <c r="AR142" s="41">
        <f>SUM(AN142:AQ142)</f>
        <v>0</v>
      </c>
      <c r="AS142" s="41"/>
      <c r="AT142" s="41"/>
      <c r="AU142" s="41"/>
      <c r="AV142" s="41"/>
      <c r="AW142" s="41"/>
      <c r="AX142" s="41"/>
      <c r="AY142" s="41"/>
      <c r="AZ142" s="41"/>
      <c r="BA142" s="41">
        <f>+AR142+AS142+AU142+AW142+AY142+AZ142</f>
        <v>0</v>
      </c>
      <c r="BB142" s="37">
        <v>4</v>
      </c>
      <c r="BC142" s="57"/>
      <c r="BD142" s="55"/>
      <c r="BE142" s="55"/>
      <c r="BF142" s="55"/>
    </row>
    <row r="143" spans="1:58" ht="12.95" customHeight="1">
      <c r="A143" s="44"/>
      <c r="B143" s="3"/>
      <c r="C143" s="452"/>
      <c r="D143" s="45"/>
      <c r="E143" s="258"/>
      <c r="F143" s="46"/>
      <c r="G143" s="47"/>
      <c r="H143" s="48"/>
      <c r="I143" s="49"/>
      <c r="J143" s="91"/>
      <c r="K143" s="91"/>
      <c r="L143" s="39"/>
      <c r="M143" s="39"/>
      <c r="N143" s="50"/>
      <c r="O143" s="51"/>
      <c r="P143" s="52"/>
      <c r="Q143" s="351"/>
      <c r="R143" s="54"/>
      <c r="S143" s="54"/>
      <c r="T143" s="41"/>
      <c r="U143" s="41"/>
      <c r="V143" s="41"/>
      <c r="W143" s="37"/>
      <c r="X143" s="42"/>
      <c r="Y143" s="42"/>
      <c r="Z143" s="37"/>
      <c r="AA143" s="53"/>
      <c r="AB143" s="53"/>
      <c r="AC143" s="41"/>
      <c r="AD143" s="41">
        <f>+AM143+BA143</f>
        <v>8</v>
      </c>
      <c r="AE143" s="21" t="s">
        <v>570</v>
      </c>
      <c r="AF143" s="41"/>
      <c r="AG143" s="41">
        <v>8</v>
      </c>
      <c r="AH143" s="41"/>
      <c r="AI143" s="41"/>
      <c r="AJ143" s="41"/>
      <c r="AK143" s="41"/>
      <c r="AL143" s="41"/>
      <c r="AM143" s="41">
        <f>SUM(AF143:AL143)+AT143+AV143+AX143</f>
        <v>8</v>
      </c>
      <c r="AN143" s="41"/>
      <c r="AO143" s="41"/>
      <c r="AP143" s="41"/>
      <c r="AQ143" s="41"/>
      <c r="AR143" s="41">
        <f>SUM(AN143:AQ143)</f>
        <v>0</v>
      </c>
      <c r="AS143" s="41"/>
      <c r="AT143" s="41"/>
      <c r="AU143" s="41"/>
      <c r="AV143" s="41"/>
      <c r="AW143" s="41"/>
      <c r="AX143" s="41"/>
      <c r="AY143" s="41"/>
      <c r="AZ143" s="41"/>
      <c r="BA143" s="41">
        <f>+AR143+AS143+AU143+AW143+AY143+AZ143</f>
        <v>0</v>
      </c>
      <c r="BB143" s="37"/>
      <c r="BC143" s="55">
        <v>5</v>
      </c>
      <c r="BD143" s="55"/>
      <c r="BE143" s="55"/>
      <c r="BF143" s="55"/>
    </row>
    <row r="144" spans="1:58" ht="12.95" customHeight="1">
      <c r="A144" s="44"/>
      <c r="B144" s="3"/>
      <c r="C144" s="452"/>
      <c r="D144" s="45"/>
      <c r="E144" s="258"/>
      <c r="F144" s="46"/>
      <c r="G144" s="47"/>
      <c r="H144" s="48"/>
      <c r="I144" s="49"/>
      <c r="J144" s="91"/>
      <c r="K144" s="91"/>
      <c r="L144" s="39"/>
      <c r="M144" s="39"/>
      <c r="N144" s="50"/>
      <c r="O144" s="51"/>
      <c r="P144" s="52"/>
      <c r="Q144" s="351"/>
      <c r="R144" s="54"/>
      <c r="S144" s="54"/>
      <c r="T144" s="41"/>
      <c r="U144" s="41"/>
      <c r="V144" s="41"/>
      <c r="W144" s="37"/>
      <c r="X144" s="42"/>
      <c r="Y144" s="42"/>
      <c r="Z144" s="37"/>
      <c r="AA144" s="53"/>
      <c r="AB144" s="53"/>
      <c r="AC144" s="41"/>
      <c r="AD144" s="41">
        <f>+AM144+BA144</f>
        <v>30</v>
      </c>
      <c r="AE144" s="21" t="s">
        <v>484</v>
      </c>
      <c r="AF144" s="41"/>
      <c r="AG144" s="41"/>
      <c r="AH144" s="41">
        <v>30</v>
      </c>
      <c r="AI144" s="41"/>
      <c r="AJ144" s="41"/>
      <c r="AK144" s="41"/>
      <c r="AL144" s="41"/>
      <c r="AM144" s="41">
        <f>SUM(AF144:AL144)+AT144+AV144+AX144</f>
        <v>30</v>
      </c>
      <c r="AN144" s="41"/>
      <c r="AO144" s="41"/>
      <c r="AP144" s="41"/>
      <c r="AQ144" s="41"/>
      <c r="AR144" s="41">
        <f>SUM(AN144:AQ144)</f>
        <v>0</v>
      </c>
      <c r="AS144" s="41"/>
      <c r="AT144" s="41"/>
      <c r="AU144" s="41"/>
      <c r="AV144" s="41"/>
      <c r="AW144" s="41"/>
      <c r="AX144" s="41"/>
      <c r="AY144" s="41"/>
      <c r="AZ144" s="41"/>
      <c r="BA144" s="41">
        <f>+AR144+AS144+AU144+AW144+AY144+AZ144</f>
        <v>0</v>
      </c>
      <c r="BB144" s="37"/>
      <c r="BC144" s="55"/>
      <c r="BD144" s="55"/>
      <c r="BE144" s="55"/>
      <c r="BF144" s="55"/>
    </row>
    <row r="145" spans="1:58" ht="12.95" customHeight="1">
      <c r="A145" s="44"/>
      <c r="B145" s="3"/>
      <c r="C145" s="452"/>
      <c r="D145" s="45"/>
      <c r="E145" s="46"/>
      <c r="F145" s="46"/>
      <c r="G145" s="47"/>
      <c r="H145" s="48"/>
      <c r="I145" s="49"/>
      <c r="J145" s="91"/>
      <c r="K145" s="91"/>
      <c r="L145" s="39"/>
      <c r="M145" s="39"/>
      <c r="N145" s="50"/>
      <c r="O145" s="51"/>
      <c r="P145" s="52"/>
      <c r="Q145" s="38"/>
      <c r="R145" s="422"/>
      <c r="S145" s="422"/>
      <c r="T145" s="41"/>
      <c r="U145" s="41"/>
      <c r="V145" s="41"/>
      <c r="W145" s="41"/>
      <c r="X145" s="42"/>
      <c r="Y145" s="42"/>
      <c r="Z145" s="41"/>
      <c r="AA145" s="53"/>
      <c r="AB145" s="53"/>
      <c r="AC145" s="41"/>
      <c r="AD145" s="41"/>
      <c r="AE145" s="2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37"/>
      <c r="BC145" s="55"/>
      <c r="BD145" s="55"/>
      <c r="BE145" s="55"/>
      <c r="BF145" s="55"/>
    </row>
    <row r="146" spans="1:58" ht="12.75" customHeight="1">
      <c r="A146" s="44">
        <v>45960</v>
      </c>
      <c r="B146" s="45" t="s">
        <v>7</v>
      </c>
      <c r="C146" s="452">
        <f>(M146*E146*O146*Q146)/100000000</f>
        <v>4.9984896000000001</v>
      </c>
      <c r="D146" s="45" t="s">
        <v>411</v>
      </c>
      <c r="E146" s="46">
        <v>13</v>
      </c>
      <c r="F146" s="46">
        <v>1</v>
      </c>
      <c r="G146" s="465">
        <v>1700</v>
      </c>
      <c r="H146" s="48">
        <v>0.24</v>
      </c>
      <c r="I146" s="49">
        <v>0.88</v>
      </c>
      <c r="J146" s="91">
        <f>E146*G146*(1-H146)*1440/1000000*2.77</f>
        <v>66.995884799999999</v>
      </c>
      <c r="K146" s="91">
        <f>(IF(G146&lt;L146,L146,G146)*(1-IF(H146&lt;N146,H146,N146))*E146*O146*Q146)/100000000</f>
        <v>5.4822144000000002</v>
      </c>
      <c r="L146" s="39">
        <v>1550</v>
      </c>
      <c r="M146" s="39">
        <f>+L146-L146*0.24</f>
        <v>1178</v>
      </c>
      <c r="N146" s="50">
        <f>1-(M146/L146)</f>
        <v>0.24</v>
      </c>
      <c r="O146" s="51">
        <f>+'Trim Rwd'!H111</f>
        <v>272</v>
      </c>
      <c r="P146" s="52">
        <f>O146*(Q146-R146-S146)</f>
        <v>31280</v>
      </c>
      <c r="Q146" s="51">
        <v>120</v>
      </c>
      <c r="R146" s="422">
        <v>0</v>
      </c>
      <c r="S146" s="422">
        <v>5</v>
      </c>
      <c r="T146" s="41">
        <f>E146*M146*O146*Q146/100000000</f>
        <v>4.9984896000000001</v>
      </c>
      <c r="U146" s="41">
        <f>E146*M146*O146*(Q146-R146-S146)/100000000</f>
        <v>4.7902192000000001</v>
      </c>
      <c r="V146" s="41">
        <f>E146*G146*(1-N146)*O146/100*(R146+S146)/1000000</f>
        <v>0.22842560000000001</v>
      </c>
      <c r="W146" s="41">
        <f>+'30'!K7/1000</f>
        <v>8.8930000000000007</v>
      </c>
      <c r="X146" s="42">
        <f>SUM(W146:W150)/SUM(K146:K150)</f>
        <v>0.70458464433047752</v>
      </c>
      <c r="Y146" s="223">
        <v>0</v>
      </c>
      <c r="Z146" s="41">
        <f>+'30'!D7/1000</f>
        <v>0.27900000000000003</v>
      </c>
      <c r="AA146" s="41">
        <f>SUM(U146:U150)-SUM(W146:W150)-SUM(Z146:Z150)-SUM(Y146:Y150)</f>
        <v>10.02350012296132</v>
      </c>
      <c r="AB146" s="41">
        <f>(SUM(K146:K150)-SUM(W146:W150)-SUM(Y146:Y150)-SUM(Z146:Z150)-SUM(AC146:AC150)-SUM(V146:V150))-AA146</f>
        <v>-0.25785222649883188</v>
      </c>
      <c r="AC146" s="41">
        <f>K146-T146</f>
        <v>0.48372480000000007</v>
      </c>
      <c r="AD146" s="41">
        <f>+AM146+BA146</f>
        <v>45</v>
      </c>
      <c r="AE146" s="622" t="s">
        <v>704</v>
      </c>
      <c r="AF146" s="37">
        <v>45</v>
      </c>
      <c r="AG146" s="37"/>
      <c r="AH146" s="37"/>
      <c r="AJ146" s="41"/>
      <c r="AK146" s="41"/>
      <c r="AL146" s="41"/>
      <c r="AM146" s="41">
        <f>SUM(AF146:AL146)+AT146+AV146+AX146</f>
        <v>45</v>
      </c>
      <c r="AN146" s="41"/>
      <c r="AO146" s="41"/>
      <c r="AP146" s="41"/>
      <c r="AQ146" s="41"/>
      <c r="AR146" s="41">
        <f>SUM(AN146:AQ146)</f>
        <v>0</v>
      </c>
      <c r="AS146" s="41"/>
      <c r="AT146" s="41"/>
      <c r="AU146" s="41"/>
      <c r="AV146" s="41"/>
      <c r="AW146" s="41"/>
      <c r="AX146" s="41"/>
      <c r="AY146" s="41"/>
      <c r="AZ146" s="41"/>
      <c r="BA146" s="41">
        <f>+AR146+AS146+AU146+AW146+AY146+AZ146</f>
        <v>0</v>
      </c>
      <c r="BB146" s="37">
        <v>9</v>
      </c>
      <c r="BC146" s="57"/>
      <c r="BD146" s="55"/>
      <c r="BE146" s="55"/>
      <c r="BF146" s="55"/>
    </row>
    <row r="147" spans="1:58" ht="12.95" customHeight="1">
      <c r="A147" s="44"/>
      <c r="B147" s="623" t="s">
        <v>234</v>
      </c>
      <c r="C147" s="452">
        <f>(M147*E147*O147*Q147)/100000000</f>
        <v>29.208036816000003</v>
      </c>
      <c r="D147" s="45" t="s">
        <v>411</v>
      </c>
      <c r="E147" s="258">
        <v>15.5</v>
      </c>
      <c r="F147" s="46">
        <v>1</v>
      </c>
      <c r="G147" s="47">
        <v>1270</v>
      </c>
      <c r="H147" s="48">
        <v>0</v>
      </c>
      <c r="I147" s="49">
        <v>0.88</v>
      </c>
      <c r="J147" s="91">
        <f>E147*G147*(1-H147)*1440/1000000*2.77</f>
        <v>78.519527999999994</v>
      </c>
      <c r="K147" s="91">
        <f>(IF(G147&lt;L147,L147,G147)*(1-IF(H147&lt;N147,H147,N147))*E147*O147*Q147)/100000000</f>
        <v>29.543247999999998</v>
      </c>
      <c r="L147" s="39">
        <v>1260</v>
      </c>
      <c r="M147" s="39">
        <f>+L147-L147*0.0035</f>
        <v>1255.5899999999999</v>
      </c>
      <c r="N147" s="50">
        <f>1-(M147/L147)</f>
        <v>3.5000000000000586E-3</v>
      </c>
      <c r="O147" s="51">
        <f>+'Trim Rwd'!H112</f>
        <v>268</v>
      </c>
      <c r="P147" s="52">
        <f>O147*(Q147-R147-S147)</f>
        <v>139628</v>
      </c>
      <c r="Q147" s="351">
        <v>560</v>
      </c>
      <c r="R147" s="422">
        <v>0</v>
      </c>
      <c r="S147" s="422">
        <v>39</v>
      </c>
      <c r="T147" s="41">
        <f>E147*M147*O147*Q147/100000000</f>
        <v>29.208036816000003</v>
      </c>
      <c r="U147" s="41">
        <f>E147*M147*O147*(Q147-R147-S147)/100000000</f>
        <v>27.173905680600001</v>
      </c>
      <c r="V147" s="41">
        <f>E147*G147*(1-N147)*O147/100*(R147+S147)/1000000</f>
        <v>2.0502750332999993</v>
      </c>
      <c r="W147" s="41">
        <f>+'30'!K10/1000</f>
        <v>25.364999999999998</v>
      </c>
      <c r="X147" s="42"/>
      <c r="Y147" s="42"/>
      <c r="Z147" s="41">
        <f>+'30'!D8/1000</f>
        <v>0.29699999999999999</v>
      </c>
      <c r="AA147" s="53"/>
      <c r="AB147" s="53"/>
      <c r="AC147" s="41">
        <f>K147-T147</f>
        <v>0.33521118399999494</v>
      </c>
      <c r="AD147" s="41">
        <f>+AM147+BA147</f>
        <v>5</v>
      </c>
      <c r="AE147" s="624" t="s">
        <v>481</v>
      </c>
      <c r="AF147" s="41"/>
      <c r="AG147" s="41">
        <v>5</v>
      </c>
      <c r="AH147" s="41"/>
      <c r="AI147" s="41"/>
      <c r="AJ147" s="41"/>
      <c r="AK147" s="41"/>
      <c r="AL147" s="41"/>
      <c r="AM147" s="41">
        <f>SUM(AF147:AL147)+AT147+AV147+AX147</f>
        <v>5</v>
      </c>
      <c r="AN147" s="41"/>
      <c r="AO147" s="41"/>
      <c r="AP147" s="41"/>
      <c r="AQ147" s="41"/>
      <c r="AR147" s="41">
        <f>SUM(AN147:AQ147)</f>
        <v>0</v>
      </c>
      <c r="AS147" s="41"/>
      <c r="AT147" s="41"/>
      <c r="AU147" s="41"/>
      <c r="AV147" s="41"/>
      <c r="AW147" s="41"/>
      <c r="AX147" s="41"/>
      <c r="AY147" s="41"/>
      <c r="AZ147" s="41"/>
      <c r="BA147" s="41">
        <f>+AR147+AS147+AU147+AW147+AY147+AZ147</f>
        <v>0</v>
      </c>
      <c r="BB147" s="37"/>
      <c r="BC147" s="55">
        <v>1</v>
      </c>
      <c r="BD147" s="55"/>
      <c r="BE147" s="55"/>
      <c r="BF147" s="55"/>
    </row>
    <row r="148" spans="1:58" ht="12.95" customHeight="1">
      <c r="A148" s="44"/>
      <c r="B148" s="623" t="s">
        <v>234</v>
      </c>
      <c r="C148" s="452">
        <f>(M148*E148*O148*Q148)/100000000</f>
        <v>29.161868896262497</v>
      </c>
      <c r="D148" s="45" t="s">
        <v>411</v>
      </c>
      <c r="E148" s="258">
        <v>21.5</v>
      </c>
      <c r="F148" s="46">
        <v>1</v>
      </c>
      <c r="G148" s="47">
        <v>960</v>
      </c>
      <c r="H148" s="48">
        <v>0</v>
      </c>
      <c r="I148" s="49">
        <v>0.88</v>
      </c>
      <c r="J148" s="91">
        <f>E148*G148*(1-H148)*1440/1000000*2.77</f>
        <v>82.328831999999991</v>
      </c>
      <c r="K148" s="91">
        <f>(IF(G148&lt;L148,L148,G148)*(1-IF(H148&lt;N148,H148,N148))*E148*O148*Q148)/100000000</f>
        <v>32.3146548</v>
      </c>
      <c r="L148" s="39">
        <v>869.38023450586263</v>
      </c>
      <c r="M148" s="39">
        <v>866.33740368509211</v>
      </c>
      <c r="N148" s="50">
        <f>1-(M148/L148)</f>
        <v>3.4999999999999476E-3</v>
      </c>
      <c r="O148" s="51">
        <f>+'Trim Rwd'!H113</f>
        <v>262.25</v>
      </c>
      <c r="P148" s="52">
        <f>O148*(Q148-R148-S148)</f>
        <v>146073.25</v>
      </c>
      <c r="Q148" s="351">
        <v>597</v>
      </c>
      <c r="R148" s="422">
        <v>0</v>
      </c>
      <c r="S148" s="422">
        <v>40</v>
      </c>
      <c r="T148" s="41">
        <f>E148*M148*O148*Q148/100000000</f>
        <v>29.161868896262497</v>
      </c>
      <c r="U148" s="41">
        <f>E148*M148*O148*(Q148-R148-S148)/100000000</f>
        <v>27.207974832861325</v>
      </c>
      <c r="V148" s="41">
        <f>E148*G148*(1-N148)*O148/100*(R148+S148)/1000000</f>
        <v>2.1575580240000001</v>
      </c>
      <c r="W148" s="41">
        <f>+'30'!K13/1000</f>
        <v>19.489000000000001</v>
      </c>
      <c r="X148" s="42"/>
      <c r="Y148" s="42"/>
      <c r="Z148" s="37">
        <f>+'30'!D25/1000</f>
        <v>2.9350000000000001</v>
      </c>
      <c r="AA148" s="53"/>
      <c r="AB148" s="53"/>
      <c r="AC148" s="41">
        <f>K148-T148</f>
        <v>3.1527859037375023</v>
      </c>
      <c r="AD148" s="41">
        <f>+AM148+BA148</f>
        <v>24</v>
      </c>
      <c r="AE148" s="624" t="s">
        <v>706</v>
      </c>
      <c r="AF148" s="41"/>
      <c r="AG148" s="41"/>
      <c r="AH148" s="41">
        <v>24</v>
      </c>
      <c r="AI148" s="41"/>
      <c r="AJ148" s="41"/>
      <c r="AK148" s="41"/>
      <c r="AL148" s="41"/>
      <c r="AM148" s="41">
        <f>SUM(AF148:AL148)+AT148+AV148+AX148</f>
        <v>24</v>
      </c>
      <c r="AN148" s="41"/>
      <c r="AO148" s="41"/>
      <c r="AP148" s="41"/>
      <c r="AQ148" s="41"/>
      <c r="AR148" s="41">
        <f>SUM(AN148:AQ148)</f>
        <v>0</v>
      </c>
      <c r="AS148" s="41"/>
      <c r="AT148" s="41"/>
      <c r="AU148" s="41"/>
      <c r="AV148" s="41"/>
      <c r="AW148" s="41"/>
      <c r="AX148" s="41"/>
      <c r="AY148" s="41"/>
      <c r="AZ148" s="41"/>
      <c r="BA148" s="41">
        <f>+AR148+AS148+AU148+AW148+AY148+AZ148</f>
        <v>0</v>
      </c>
      <c r="BB148" s="37"/>
      <c r="BC148" s="55"/>
      <c r="BD148" s="55"/>
      <c r="BE148" s="55"/>
      <c r="BF148" s="55"/>
    </row>
    <row r="149" spans="1:58" ht="12.95" customHeight="1">
      <c r="A149" s="44"/>
      <c r="B149" s="623" t="s">
        <v>234</v>
      </c>
      <c r="C149" s="452">
        <f>(M149*E149*O149*Q149)/100000000</f>
        <v>2.1947942394999997</v>
      </c>
      <c r="D149" s="45" t="s">
        <v>411</v>
      </c>
      <c r="E149" s="46">
        <v>17</v>
      </c>
      <c r="F149" s="46">
        <v>1</v>
      </c>
      <c r="G149" s="47">
        <v>1210</v>
      </c>
      <c r="H149" s="48">
        <v>0</v>
      </c>
      <c r="I149" s="49">
        <v>0.88</v>
      </c>
      <c r="J149" s="91">
        <f>E149*G149*(1-H149)*1440/1000000*2.77</f>
        <v>82.049616</v>
      </c>
      <c r="K149" s="91">
        <f>(IF(G149&lt;L149,L149,G149)*(1-IF(H149&lt;N149,H149,N149))*E149*O149*Q149)/100000000</f>
        <v>2.3174161999999998</v>
      </c>
      <c r="L149" s="39">
        <v>1150</v>
      </c>
      <c r="M149" s="39">
        <f>+L149-L149*0.0035</f>
        <v>1145.9749999999999</v>
      </c>
      <c r="N149" s="50">
        <f>1-(M149/L149)</f>
        <v>3.5000000000000586E-3</v>
      </c>
      <c r="O149" s="51">
        <f>+'Trim Rwd'!H115</f>
        <v>262</v>
      </c>
      <c r="P149" s="52">
        <f>O149*(Q149-R149-S149)</f>
        <v>11266</v>
      </c>
      <c r="Q149" s="38">
        <v>43</v>
      </c>
      <c r="R149" s="422">
        <v>0</v>
      </c>
      <c r="S149" s="422">
        <v>0</v>
      </c>
      <c r="T149" s="41">
        <f>E149*M149*O149*Q149/100000000</f>
        <v>2.1947942394999997</v>
      </c>
      <c r="U149" s="41">
        <f>E149*M149*O149*(Q149-R149-S149)/100000000</f>
        <v>2.1947942394999997</v>
      </c>
      <c r="V149" s="41">
        <f>E149*G149*(1-N149)*O149/100*(R149+S149)/1000000</f>
        <v>0</v>
      </c>
      <c r="W149" s="41">
        <f>+'30'!K14/1000</f>
        <v>0</v>
      </c>
      <c r="X149" s="42"/>
      <c r="Y149" s="42"/>
      <c r="Z149" s="41"/>
      <c r="AA149" s="53"/>
      <c r="AB149" s="53"/>
      <c r="AC149" s="41">
        <f>K149-T149</f>
        <v>0.12262196050000007</v>
      </c>
      <c r="AD149" s="41">
        <f>+AM149+BA149</f>
        <v>15</v>
      </c>
      <c r="AE149" s="241" t="s">
        <v>424</v>
      </c>
      <c r="AF149" s="41"/>
      <c r="AG149" s="41"/>
      <c r="AH149" s="41"/>
      <c r="AI149" s="41">
        <v>15</v>
      </c>
      <c r="AJ149" s="41"/>
      <c r="AK149" s="41"/>
      <c r="AL149" s="41"/>
      <c r="AM149" s="41">
        <f>SUM(AF149:AL149)+AT149+AV149+AX149</f>
        <v>15</v>
      </c>
      <c r="AN149" s="41"/>
      <c r="AO149" s="41"/>
      <c r="AP149" s="41"/>
      <c r="AQ149" s="41"/>
      <c r="AR149" s="41">
        <f>SUM(AN149:AQ149)</f>
        <v>0</v>
      </c>
      <c r="AS149" s="41"/>
      <c r="AT149" s="41"/>
      <c r="AU149" s="41"/>
      <c r="AV149" s="41"/>
      <c r="AW149" s="41"/>
      <c r="AX149" s="41"/>
      <c r="AY149" s="41"/>
      <c r="AZ149" s="41"/>
      <c r="BA149" s="41">
        <f>+AR149+AS149+AU149+AW149+AY149+AZ149</f>
        <v>0</v>
      </c>
      <c r="BB149" s="37"/>
      <c r="BC149" s="55"/>
      <c r="BD149" s="55"/>
      <c r="BE149" s="55"/>
      <c r="BF149" s="55"/>
    </row>
    <row r="150" spans="1:58" ht="12.95" customHeight="1">
      <c r="A150" s="44"/>
      <c r="B150" s="623" t="s">
        <v>234</v>
      </c>
      <c r="C150" s="452">
        <f>(M150*E150*O150*Q150)/100000000</f>
        <v>6.1717629599999997</v>
      </c>
      <c r="D150" s="45" t="s">
        <v>572</v>
      </c>
      <c r="E150" s="46">
        <v>16.5</v>
      </c>
      <c r="F150" s="46">
        <v>1</v>
      </c>
      <c r="G150" s="47">
        <v>1230</v>
      </c>
      <c r="H150" s="48">
        <v>0</v>
      </c>
      <c r="I150" s="49">
        <v>0.88</v>
      </c>
      <c r="J150" s="91">
        <f>E150*G150*(1-H150)*1440/1000000*2.77</f>
        <v>80.952695999999989</v>
      </c>
      <c r="K150" s="91">
        <f>(IF(G150&lt;L150,L150,G150)*(1-IF(H150&lt;N150,H150,N150))*E150*O150*Q150)/100000000</f>
        <v>6.624288</v>
      </c>
      <c r="L150" s="39">
        <v>1150</v>
      </c>
      <c r="M150" s="39">
        <f>+L150-L150*0.0035</f>
        <v>1145.9749999999999</v>
      </c>
      <c r="N150" s="50">
        <f>1-(M150/L150)</f>
        <v>3.5000000000000586E-3</v>
      </c>
      <c r="O150" s="51">
        <f>+'Trim Rwd'!H116</f>
        <v>272</v>
      </c>
      <c r="P150" s="52">
        <f>O150*(Q150-R150-S150)</f>
        <v>31280</v>
      </c>
      <c r="Q150" s="38">
        <v>120</v>
      </c>
      <c r="R150" s="422">
        <v>0</v>
      </c>
      <c r="S150" s="422">
        <v>5</v>
      </c>
      <c r="T150" s="41">
        <f>E150*M150*O150*Q150/100000000</f>
        <v>6.1717629599999997</v>
      </c>
      <c r="U150" s="41">
        <f>E150*M150*O150*(Q150-R150-S150)/100000000</f>
        <v>5.9146061699999999</v>
      </c>
      <c r="V150" s="41">
        <f>E150*G150*(1-N150)*O150/100*(R150+S150)/1000000</f>
        <v>0.27504595799999998</v>
      </c>
      <c r="W150" s="41">
        <f>+'30'!K11/1000</f>
        <v>0</v>
      </c>
      <c r="X150" s="42"/>
      <c r="Y150" s="42"/>
      <c r="Z150" s="41"/>
      <c r="AA150" s="53"/>
      <c r="AB150" s="53"/>
      <c r="AC150" s="41">
        <f>K150-T150</f>
        <v>0.45252504000000027</v>
      </c>
      <c r="AD150" s="41"/>
      <c r="AE150" s="624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37"/>
      <c r="BC150" s="55"/>
      <c r="BD150" s="55"/>
      <c r="BE150" s="55"/>
      <c r="BF150" s="55"/>
    </row>
    <row r="151" spans="1:58" ht="12.95" customHeight="1">
      <c r="A151" s="44"/>
      <c r="B151" s="623"/>
      <c r="C151" s="452"/>
      <c r="D151" s="45"/>
      <c r="E151" s="46"/>
      <c r="F151" s="46"/>
      <c r="G151" s="47"/>
      <c r="H151" s="48"/>
      <c r="I151" s="49"/>
      <c r="J151" s="91"/>
      <c r="K151" s="91"/>
      <c r="L151" s="39"/>
      <c r="M151" s="39"/>
      <c r="N151" s="50"/>
      <c r="O151" s="51"/>
      <c r="P151" s="52"/>
      <c r="Q151" s="38"/>
      <c r="R151" s="422"/>
      <c r="S151" s="422"/>
      <c r="T151" s="41"/>
      <c r="U151" s="41"/>
      <c r="V151" s="41"/>
      <c r="W151" s="41"/>
      <c r="X151" s="42"/>
      <c r="Y151" s="42"/>
      <c r="Z151" s="41"/>
      <c r="AA151" s="53"/>
      <c r="AB151" s="53"/>
      <c r="AC151" s="41"/>
      <c r="AD151" s="41"/>
      <c r="AE151" s="624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37"/>
      <c r="BC151" s="55"/>
      <c r="BD151" s="55"/>
      <c r="BE151" s="55"/>
      <c r="BF151" s="55"/>
    </row>
    <row r="152" spans="1:58" ht="12.75" customHeight="1">
      <c r="A152" s="44">
        <v>45961</v>
      </c>
      <c r="B152" s="623" t="s">
        <v>234</v>
      </c>
      <c r="C152" s="452">
        <f>(M152*E152*O152*Q152)/100000000</f>
        <v>54.833430524399994</v>
      </c>
      <c r="D152" s="45" t="s">
        <v>572</v>
      </c>
      <c r="E152" s="46">
        <v>16.5</v>
      </c>
      <c r="F152" s="46">
        <v>1</v>
      </c>
      <c r="G152" s="47">
        <v>1230</v>
      </c>
      <c r="H152" s="48">
        <v>0</v>
      </c>
      <c r="I152" s="49">
        <v>0.88</v>
      </c>
      <c r="J152" s="91">
        <f>E152*G152*(1-H152)*1440/1000000*2.77</f>
        <v>80.952695999999989</v>
      </c>
      <c r="K152" s="91">
        <f>(IF(G152&lt;L152,L152,G152)*(1-IF(H152&lt;N152,H152,N152))*E152*O152*Q152)/100000000</f>
        <v>58.128127200000002</v>
      </c>
      <c r="L152" s="39">
        <v>1164.3589743589744</v>
      </c>
      <c r="M152" s="39">
        <v>1160.2837179487178</v>
      </c>
      <c r="N152" s="50">
        <f>1-(M152/L152)</f>
        <v>3.5000000000000586E-3</v>
      </c>
      <c r="O152" s="51">
        <f>+'Trim Rwd'!H118</f>
        <v>272</v>
      </c>
      <c r="P152" s="52">
        <f>O152*(Q152-R152-S152)</f>
        <v>264384</v>
      </c>
      <c r="Q152" s="38">
        <v>1053</v>
      </c>
      <c r="R152" s="422">
        <v>0</v>
      </c>
      <c r="S152" s="422">
        <v>81</v>
      </c>
      <c r="T152" s="41">
        <f>E152*M152*O152*Q152/100000000</f>
        <v>54.833430524399994</v>
      </c>
      <c r="U152" s="41">
        <f>E152*M152*O152*(Q152-R152-S152)/100000000</f>
        <v>50.615474330215378</v>
      </c>
      <c r="V152" s="41">
        <f>E152*G152*(1-N152)*O152/100*(R152+S152)/1000000</f>
        <v>4.4557445196000005</v>
      </c>
      <c r="W152" s="41">
        <f>+'31'!K11/1000</f>
        <v>49.040999999999997</v>
      </c>
      <c r="X152" s="42">
        <f>SUM(W152:W155)/SUM(K152:K155)</f>
        <v>0.79466554557845015</v>
      </c>
      <c r="Y152" s="223">
        <f>+SUM(RBP!$AG$3:$AG$4)</f>
        <v>15.26</v>
      </c>
      <c r="Z152" s="41">
        <f>+('31'!D7+'31'!D16)/1000</f>
        <v>2.3410000000000002</v>
      </c>
      <c r="AA152" s="41">
        <f>SUM(U152:U155)-SUM(W152:W155)-SUM(Z152:Z155)-SUM(Y152:Y155)</f>
        <v>-11.859676863384617</v>
      </c>
      <c r="AB152" s="41">
        <f>(SUM(K152:K155)-SUM(W152:W155)-SUM(Y152:Y155)-SUM(Z152:Z155)-SUM(AC152:AC155)-SUM(V152:V155))-AA152</f>
        <v>-0.22993670261538668</v>
      </c>
      <c r="AC152" s="41">
        <f>K152-T152</f>
        <v>3.294696675600008</v>
      </c>
      <c r="AD152" s="41">
        <f>+AM152+BA152</f>
        <v>81</v>
      </c>
      <c r="AE152" s="622" t="s">
        <v>845</v>
      </c>
      <c r="AF152" s="37">
        <v>81</v>
      </c>
      <c r="AG152" s="37"/>
      <c r="AH152" s="37"/>
      <c r="AJ152" s="41"/>
      <c r="AK152" s="41"/>
      <c r="AL152" s="41"/>
      <c r="AM152" s="41">
        <f>SUM(AF152:AL152)+AT152+AV152+AX152</f>
        <v>81</v>
      </c>
      <c r="AN152" s="41"/>
      <c r="AO152" s="41"/>
      <c r="AP152" s="41"/>
      <c r="AQ152" s="41"/>
      <c r="AR152" s="41">
        <f>SUM(AN152:AQ152)</f>
        <v>0</v>
      </c>
      <c r="AS152" s="41"/>
      <c r="AT152" s="41"/>
      <c r="AU152" s="41"/>
      <c r="AV152" s="41"/>
      <c r="AW152" s="41"/>
      <c r="AX152" s="41"/>
      <c r="AY152" s="41"/>
      <c r="AZ152" s="41"/>
      <c r="BA152" s="41">
        <f>+AR152+AS152+AU152+AW152+AY152+AZ152</f>
        <v>0</v>
      </c>
      <c r="BB152" s="37">
        <v>10</v>
      </c>
      <c r="BC152" s="57"/>
      <c r="BD152" s="55"/>
      <c r="BE152" s="55"/>
      <c r="BF152" s="55"/>
    </row>
    <row r="153" spans="1:58" ht="12.95" customHeight="1">
      <c r="A153" s="44"/>
      <c r="B153" s="623" t="s">
        <v>234</v>
      </c>
      <c r="C153" s="452">
        <f>(M153*E153*O153*Q153)/100000000</f>
        <v>18.520856524799999</v>
      </c>
      <c r="D153" s="45" t="s">
        <v>411</v>
      </c>
      <c r="E153" s="258">
        <v>14</v>
      </c>
      <c r="F153" s="46">
        <v>1</v>
      </c>
      <c r="G153" s="47">
        <v>1270</v>
      </c>
      <c r="H153" s="48">
        <v>0</v>
      </c>
      <c r="I153" s="49">
        <v>0.88</v>
      </c>
      <c r="J153" s="91">
        <f>E153*G153*(1-H153)*1440/1000000*2.77</f>
        <v>70.920864000000009</v>
      </c>
      <c r="K153" s="91">
        <f>(IF(G153&lt;L153,L153,G153)*(1-IF(H153&lt;N153,H153,N153))*E153*O153*Q153)/100000000</f>
        <v>18.585907200000001</v>
      </c>
      <c r="L153" s="39">
        <v>1280</v>
      </c>
      <c r="M153" s="39">
        <f>+L153-L153*0.0035</f>
        <v>1275.52</v>
      </c>
      <c r="N153" s="50">
        <f>1-(M153/L153)</f>
        <v>3.5000000000000586E-3</v>
      </c>
      <c r="O153" s="51">
        <f>+'Trim Rwd'!H119</f>
        <v>268</v>
      </c>
      <c r="P153" s="52">
        <f>O153*(Q153-R153-S153)</f>
        <v>98088</v>
      </c>
      <c r="Q153" s="351">
        <v>387</v>
      </c>
      <c r="R153" s="422">
        <v>0</v>
      </c>
      <c r="S153" s="422">
        <v>21</v>
      </c>
      <c r="T153" s="41">
        <f>E153*M153*O153*Q153/100000000</f>
        <v>18.520856524799999</v>
      </c>
      <c r="U153" s="41">
        <f>E153*M153*O153*(Q153-R153-S153)/100000000</f>
        <v>17.515848806400001</v>
      </c>
      <c r="V153" s="41">
        <f>E153*G153*(1-N153)*O153/100*(R153+S153)/1000000</f>
        <v>0.99715609560000007</v>
      </c>
      <c r="W153" s="41">
        <f>+'31'!K15/1000</f>
        <v>10.022</v>
      </c>
      <c r="X153" s="42"/>
      <c r="Y153" s="42"/>
      <c r="Z153" s="41">
        <f>+'31'!D26/1000</f>
        <v>0.11799999999999999</v>
      </c>
      <c r="AA153" s="53"/>
      <c r="AB153" s="53"/>
      <c r="AC153" s="41">
        <f>K153-T153</f>
        <v>6.5050675200001962E-2</v>
      </c>
      <c r="AD153" s="41">
        <f>+AM153+BA153</f>
        <v>0</v>
      </c>
      <c r="AE153" s="624" t="s">
        <v>458</v>
      </c>
      <c r="AF153" s="41"/>
      <c r="AG153" s="41">
        <v>0</v>
      </c>
      <c r="AH153" s="41"/>
      <c r="AI153" s="41"/>
      <c r="AJ153" s="41"/>
      <c r="AK153" s="41"/>
      <c r="AL153" s="41"/>
      <c r="AM153" s="41">
        <f>SUM(AF153:AL153)+AT153+AV153+AX153</f>
        <v>0</v>
      </c>
      <c r="AN153" s="41"/>
      <c r="AO153" s="41"/>
      <c r="AP153" s="41"/>
      <c r="AQ153" s="41"/>
      <c r="AR153" s="41">
        <f>SUM(AN153:AQ153)</f>
        <v>0</v>
      </c>
      <c r="AS153" s="41"/>
      <c r="AT153" s="41"/>
      <c r="AU153" s="41"/>
      <c r="AV153" s="41"/>
      <c r="AW153" s="41"/>
      <c r="AX153" s="41"/>
      <c r="AY153" s="41"/>
      <c r="AZ153" s="41"/>
      <c r="BA153" s="41">
        <f>+AR153+AS153+AU153+AW153+AY153+AZ153</f>
        <v>0</v>
      </c>
      <c r="BB153" s="37"/>
      <c r="BC153" s="55">
        <v>0</v>
      </c>
      <c r="BD153" s="55"/>
      <c r="BE153" s="55"/>
      <c r="BF153" s="55"/>
    </row>
    <row r="154" spans="1:58" ht="12.95" customHeight="1">
      <c r="A154" s="44"/>
      <c r="B154" s="623" t="s">
        <v>234</v>
      </c>
      <c r="C154" s="452"/>
      <c r="D154" s="45"/>
      <c r="E154" s="258">
        <v>22</v>
      </c>
      <c r="F154" s="46"/>
      <c r="G154" s="47"/>
      <c r="H154" s="48"/>
      <c r="I154" s="49"/>
      <c r="J154" s="91"/>
      <c r="K154" s="91"/>
      <c r="L154" s="39"/>
      <c r="M154" s="39"/>
      <c r="N154" s="50"/>
      <c r="O154" s="51"/>
      <c r="P154" s="52"/>
      <c r="Q154" s="351"/>
      <c r="R154" s="422"/>
      <c r="S154" s="422"/>
      <c r="T154" s="41"/>
      <c r="U154" s="41"/>
      <c r="V154" s="41"/>
      <c r="W154" s="41">
        <f>+'31'!K13/1000</f>
        <v>0.36299999999999999</v>
      </c>
      <c r="X154" s="42"/>
      <c r="Y154" s="42"/>
      <c r="Z154" s="41">
        <f>+'31'!D9/1000</f>
        <v>0.74</v>
      </c>
      <c r="AA154" s="53"/>
      <c r="AB154" s="53"/>
      <c r="AC154" s="41"/>
      <c r="AD154" s="41">
        <f>+AM154+BA154</f>
        <v>21</v>
      </c>
      <c r="AE154" s="624" t="s">
        <v>505</v>
      </c>
      <c r="AF154" s="41"/>
      <c r="AG154" s="41"/>
      <c r="AH154" s="41">
        <v>21</v>
      </c>
      <c r="AI154" s="41"/>
      <c r="AJ154" s="41"/>
      <c r="AK154" s="41"/>
      <c r="AL154" s="41"/>
      <c r="AM154" s="41">
        <f>SUM(AF154:AL154)+AT154+AV154+AX154</f>
        <v>21</v>
      </c>
      <c r="AN154" s="41"/>
      <c r="AO154" s="41"/>
      <c r="AP154" s="41"/>
      <c r="AQ154" s="41"/>
      <c r="AR154" s="41">
        <f>SUM(AN154:AQ154)</f>
        <v>0</v>
      </c>
      <c r="AS154" s="41"/>
      <c r="AT154" s="41"/>
      <c r="AU154" s="41"/>
      <c r="AV154" s="41"/>
      <c r="AW154" s="41"/>
      <c r="AX154" s="41"/>
      <c r="AY154" s="41"/>
      <c r="AZ154" s="41"/>
      <c r="BA154" s="41">
        <f>+AR154+AS154+AU154+AW154+AY154+AZ154</f>
        <v>0</v>
      </c>
      <c r="BB154" s="37"/>
      <c r="BC154" s="55"/>
      <c r="BD154" s="55"/>
      <c r="BE154" s="55"/>
      <c r="BF154" s="55"/>
    </row>
    <row r="155" spans="1:58" ht="12.95" customHeight="1">
      <c r="A155" s="44"/>
      <c r="B155" s="623" t="s">
        <v>234</v>
      </c>
      <c r="C155" s="452"/>
      <c r="D155" s="45"/>
      <c r="E155" s="46">
        <v>17</v>
      </c>
      <c r="F155" s="46"/>
      <c r="G155" s="47"/>
      <c r="H155" s="48"/>
      <c r="I155" s="49"/>
      <c r="J155" s="91"/>
      <c r="K155" s="91"/>
      <c r="L155" s="39"/>
      <c r="M155" s="39"/>
      <c r="N155" s="50"/>
      <c r="O155" s="51"/>
      <c r="P155" s="52"/>
      <c r="Q155" s="38"/>
      <c r="R155" s="422"/>
      <c r="S155" s="422"/>
      <c r="T155" s="41"/>
      <c r="U155" s="41"/>
      <c r="V155" s="41"/>
      <c r="W155" s="41">
        <f>+'31'!K14/1000</f>
        <v>1.536</v>
      </c>
      <c r="X155" s="42"/>
      <c r="Y155" s="42"/>
      <c r="Z155" s="41">
        <f>+('31'!D17+'31'!D25)/1000</f>
        <v>0.56999999999999995</v>
      </c>
      <c r="AA155" s="53"/>
      <c r="AB155" s="53"/>
      <c r="AC155" s="41"/>
      <c r="AD155" s="41"/>
      <c r="AE155" s="2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37"/>
      <c r="BC155" s="55"/>
      <c r="BD155" s="55"/>
      <c r="BE155" s="55"/>
      <c r="BF155" s="55"/>
    </row>
    <row r="156" spans="1:58" ht="12.95" customHeight="1">
      <c r="A156" s="44"/>
      <c r="B156" s="623"/>
      <c r="C156" s="452"/>
      <c r="D156" s="45"/>
      <c r="E156" s="46"/>
      <c r="F156" s="46"/>
      <c r="G156" s="47"/>
      <c r="H156" s="48"/>
      <c r="I156" s="49"/>
      <c r="J156" s="91"/>
      <c r="K156" s="91"/>
      <c r="L156" s="39"/>
      <c r="M156" s="39"/>
      <c r="N156" s="50"/>
      <c r="O156" s="51"/>
      <c r="P156" s="52"/>
      <c r="Q156" s="38"/>
      <c r="R156" s="422"/>
      <c r="S156" s="422"/>
      <c r="T156" s="41"/>
      <c r="U156" s="41"/>
      <c r="V156" s="41"/>
      <c r="W156" s="41"/>
      <c r="X156" s="42"/>
      <c r="Y156" s="42"/>
      <c r="Z156" s="41"/>
      <c r="AA156" s="53"/>
      <c r="AB156" s="53"/>
      <c r="AC156" s="41"/>
      <c r="AD156" s="41"/>
      <c r="AE156" s="624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37"/>
      <c r="BC156" s="55"/>
      <c r="BD156" s="55"/>
      <c r="BE156" s="55"/>
      <c r="BF156" s="55"/>
    </row>
    <row r="157" spans="1:58" ht="12.95" customHeight="1">
      <c r="A157" s="346"/>
      <c r="B157" s="623"/>
      <c r="C157" s="452"/>
      <c r="D157" s="45"/>
      <c r="E157" s="46"/>
      <c r="F157" s="46"/>
      <c r="G157" s="47"/>
      <c r="H157" s="48"/>
      <c r="I157" s="49"/>
      <c r="J157" s="91"/>
      <c r="K157" s="91"/>
      <c r="L157" s="39"/>
      <c r="M157" s="39"/>
      <c r="N157" s="50"/>
      <c r="O157" s="51"/>
      <c r="P157" s="52"/>
      <c r="Q157" s="38"/>
      <c r="R157" s="422"/>
      <c r="S157" s="422"/>
      <c r="T157" s="41"/>
      <c r="U157" s="41"/>
      <c r="V157" s="41"/>
      <c r="W157" s="41"/>
      <c r="X157" s="42"/>
      <c r="Y157" s="42"/>
      <c r="Z157" s="41"/>
      <c r="AA157" s="53"/>
      <c r="AB157" s="53"/>
      <c r="AC157" s="41"/>
      <c r="AD157" s="41"/>
      <c r="AE157" s="624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37"/>
      <c r="BC157" s="55"/>
      <c r="BD157" s="55"/>
      <c r="BE157" s="55"/>
      <c r="BF157" s="55"/>
    </row>
    <row r="158" spans="1:58" ht="12.95" customHeight="1">
      <c r="A158" s="346"/>
      <c r="B158" s="45"/>
      <c r="C158" s="452"/>
      <c r="D158" s="45"/>
      <c r="E158" s="46"/>
      <c r="F158" s="46"/>
      <c r="G158" s="47"/>
      <c r="H158" s="48"/>
      <c r="I158" s="49"/>
      <c r="J158" s="91"/>
      <c r="K158" s="91"/>
      <c r="L158" s="39"/>
      <c r="M158" s="39"/>
      <c r="N158" s="50"/>
      <c r="O158" s="51"/>
      <c r="P158" s="52"/>
      <c r="Q158" s="38"/>
      <c r="R158" s="422"/>
      <c r="S158" s="422"/>
      <c r="T158" s="41"/>
      <c r="U158" s="41"/>
      <c r="V158" s="41"/>
      <c r="W158" s="41"/>
      <c r="X158" s="42"/>
      <c r="Y158" s="42"/>
      <c r="Z158" s="41"/>
      <c r="AA158" s="53"/>
      <c r="AB158" s="53"/>
      <c r="AC158" s="41"/>
      <c r="AD158" s="41"/>
      <c r="AE158" s="624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37"/>
      <c r="BC158" s="55"/>
      <c r="BD158" s="55"/>
      <c r="BE158" s="55"/>
      <c r="BF158" s="55"/>
    </row>
    <row r="159" spans="1:58" ht="12.95" customHeight="1">
      <c r="A159" s="44"/>
      <c r="B159" s="45"/>
      <c r="C159" s="452"/>
      <c r="D159" s="45"/>
      <c r="E159" s="46"/>
      <c r="F159" s="46"/>
      <c r="G159" s="58"/>
      <c r="H159" s="59"/>
      <c r="I159" s="49"/>
      <c r="J159" s="91"/>
      <c r="K159" s="91"/>
      <c r="L159" s="39"/>
      <c r="M159" s="39"/>
      <c r="N159" s="50"/>
      <c r="O159" s="51"/>
      <c r="P159" s="52"/>
      <c r="Q159" s="351"/>
      <c r="R159" s="54"/>
      <c r="S159" s="54"/>
      <c r="T159" s="41"/>
      <c r="U159" s="41"/>
      <c r="V159" s="41"/>
      <c r="W159" s="37"/>
      <c r="X159" s="42"/>
      <c r="Y159" s="42"/>
      <c r="Z159" s="37"/>
      <c r="AA159" s="53"/>
      <c r="AB159" s="53"/>
      <c r="AC159" s="41"/>
      <c r="AD159" s="41"/>
      <c r="AE159" s="2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37"/>
      <c r="BC159" s="55"/>
      <c r="BD159" s="55"/>
      <c r="BE159" s="55"/>
      <c r="BF159" s="55"/>
    </row>
    <row r="160" spans="1:58" ht="12.95" customHeight="1">
      <c r="A160" s="44"/>
      <c r="B160" s="45"/>
      <c r="C160" s="452"/>
      <c r="D160" s="45"/>
      <c r="E160" s="46"/>
      <c r="F160" s="46"/>
      <c r="G160" s="58"/>
      <c r="H160" s="59"/>
      <c r="I160" s="49"/>
      <c r="J160" s="91"/>
      <c r="K160" s="91"/>
      <c r="L160" s="39"/>
      <c r="M160" s="39"/>
      <c r="N160" s="50"/>
      <c r="O160" s="51"/>
      <c r="P160" s="52"/>
      <c r="Q160" s="351"/>
      <c r="R160" s="54"/>
      <c r="S160" s="54"/>
      <c r="T160" s="41"/>
      <c r="U160" s="41"/>
      <c r="V160" s="41"/>
      <c r="W160" s="37"/>
      <c r="X160" s="42"/>
      <c r="Y160" s="42"/>
      <c r="Z160" s="37"/>
      <c r="AA160" s="53"/>
      <c r="AB160" s="53"/>
      <c r="AC160" s="41"/>
      <c r="AD160" s="41"/>
      <c r="AE160" s="2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37"/>
      <c r="BC160" s="55"/>
      <c r="BD160" s="55"/>
      <c r="BE160" s="55"/>
      <c r="BF160" s="55"/>
    </row>
    <row r="161" spans="1:58" ht="12.95" customHeight="1">
      <c r="A161" s="44"/>
      <c r="B161" s="45"/>
      <c r="C161" s="452"/>
      <c r="D161" s="45"/>
      <c r="E161" s="46"/>
      <c r="F161" s="46"/>
      <c r="G161" s="58"/>
      <c r="H161" s="59"/>
      <c r="I161" s="49"/>
      <c r="J161" s="91"/>
      <c r="K161" s="91"/>
      <c r="L161" s="39"/>
      <c r="M161" s="39"/>
      <c r="N161" s="50"/>
      <c r="O161" s="51"/>
      <c r="P161" s="52"/>
      <c r="Q161" s="351"/>
      <c r="R161" s="54"/>
      <c r="S161" s="54"/>
      <c r="T161" s="41"/>
      <c r="U161" s="41"/>
      <c r="V161" s="41"/>
      <c r="W161" s="37"/>
      <c r="X161" s="42"/>
      <c r="Y161" s="42"/>
      <c r="Z161" s="37"/>
      <c r="AA161" s="53">
        <f>U161-W161-Z161</f>
        <v>0</v>
      </c>
      <c r="AB161" s="53"/>
      <c r="AC161" s="41">
        <f>K161-T161</f>
        <v>0</v>
      </c>
      <c r="AD161" s="41"/>
      <c r="AE161" s="6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37"/>
      <c r="BC161" s="55"/>
      <c r="BD161" s="55"/>
      <c r="BE161" s="55"/>
      <c r="BF161" s="55"/>
    </row>
    <row r="162" spans="1:58">
      <c r="R162" s="423"/>
      <c r="S162" s="423"/>
      <c r="AA162" s="259">
        <f>U162-W162-Z162</f>
        <v>0</v>
      </c>
      <c r="AB162" s="259"/>
      <c r="AC162" s="260">
        <f>K162-T162</f>
        <v>0</v>
      </c>
      <c r="AD162" s="41"/>
      <c r="AF162" s="56"/>
      <c r="AG162" s="56"/>
      <c r="AH162" s="56"/>
      <c r="AI162" s="56"/>
      <c r="AJ162" s="56"/>
      <c r="AK162" s="56"/>
      <c r="AL162" s="56"/>
      <c r="AM162" s="41"/>
      <c r="AN162" s="56"/>
      <c r="AO162" s="56"/>
      <c r="AP162" s="56"/>
      <c r="AQ162" s="56"/>
      <c r="AR162" s="41"/>
      <c r="AS162" s="56"/>
      <c r="AT162" s="56"/>
      <c r="AU162" s="56"/>
      <c r="AV162" s="56"/>
      <c r="AW162" s="56"/>
      <c r="AX162" s="56"/>
      <c r="AY162" s="56"/>
      <c r="AZ162" s="56"/>
      <c r="BA162" s="41"/>
      <c r="BB162" s="37"/>
      <c r="BC162" s="55"/>
      <c r="BD162" s="55"/>
      <c r="BE162" s="55"/>
      <c r="BF162" s="55"/>
    </row>
    <row r="163" spans="1:58" s="29" customFormat="1" ht="12.95" customHeight="1">
      <c r="A163" s="65"/>
      <c r="B163" s="66"/>
      <c r="C163" s="453">
        <f>SUM(C6:C161)</f>
        <v>1914.3090555175982</v>
      </c>
      <c r="D163" s="66"/>
      <c r="E163" s="67"/>
      <c r="F163" s="67"/>
      <c r="G163" s="68"/>
      <c r="H163" s="68"/>
      <c r="I163" s="69">
        <v>0.85</v>
      </c>
      <c r="J163" s="91"/>
      <c r="K163" s="93">
        <f>SUM(K6:K161)</f>
        <v>2020.3165700772809</v>
      </c>
      <c r="L163" s="71"/>
      <c r="M163" s="71"/>
      <c r="N163" s="72"/>
      <c r="O163" s="73">
        <f>P163/(Q163-R163-S163)</f>
        <v>268.38568289254289</v>
      </c>
      <c r="P163" s="70">
        <f>SUM(P6:P161)</f>
        <v>10902363.210460877</v>
      </c>
      <c r="Q163" s="353">
        <f>SUM(Q6:Q162)</f>
        <v>44640</v>
      </c>
      <c r="R163" s="70">
        <f t="shared" ref="R163:W163" si="8">SUM(R6:R161)</f>
        <v>1759</v>
      </c>
      <c r="S163" s="70">
        <f t="shared" si="8"/>
        <v>2259</v>
      </c>
      <c r="T163" s="70">
        <f t="shared" si="8"/>
        <v>1914.3090555175982</v>
      </c>
      <c r="U163" s="70">
        <f t="shared" si="8"/>
        <v>1749.1767876053098</v>
      </c>
      <c r="V163" s="378">
        <f t="shared" si="8"/>
        <v>175.12666492707493</v>
      </c>
      <c r="W163" s="464">
        <f t="shared" si="8"/>
        <v>1655.8840000000005</v>
      </c>
      <c r="X163" s="382">
        <f>W163/K163</f>
        <v>0.81961610597326329</v>
      </c>
      <c r="Y163" s="379">
        <f>SUM(Y6:Y161)</f>
        <v>15.26</v>
      </c>
      <c r="Z163" s="464">
        <f>SUM(Z6:Z161)</f>
        <v>39.954000000000008</v>
      </c>
      <c r="AA163" s="70">
        <f>SUM(AA6:AA161)</f>
        <v>38.078787605309785</v>
      </c>
      <c r="AB163" s="70">
        <f>SUM(AB6:AB161)</f>
        <v>-9.8411810147873577</v>
      </c>
      <c r="AC163" s="70">
        <f>SUM(AC6:AC161)</f>
        <v>105.8542985596835</v>
      </c>
      <c r="AD163" s="41">
        <f>SUM(AD6:AD162)</f>
        <v>4018</v>
      </c>
      <c r="AE163" s="74"/>
      <c r="AF163" s="70">
        <f t="shared" ref="AF163:AS163" si="9">SUM(AF6:AF162)</f>
        <v>818</v>
      </c>
      <c r="AG163" s="70">
        <f t="shared" si="9"/>
        <v>395</v>
      </c>
      <c r="AH163" s="70">
        <f t="shared" si="9"/>
        <v>836</v>
      </c>
      <c r="AI163" s="70">
        <f t="shared" si="9"/>
        <v>122</v>
      </c>
      <c r="AJ163" s="70">
        <f t="shared" si="9"/>
        <v>0</v>
      </c>
      <c r="AK163" s="70">
        <f t="shared" si="9"/>
        <v>88</v>
      </c>
      <c r="AL163" s="70">
        <f>SUM(AL6:AL162)</f>
        <v>0</v>
      </c>
      <c r="AM163" s="70">
        <f t="shared" si="9"/>
        <v>2259</v>
      </c>
      <c r="AN163" s="56">
        <f t="shared" si="9"/>
        <v>0</v>
      </c>
      <c r="AO163" s="56">
        <f t="shared" si="9"/>
        <v>0</v>
      </c>
      <c r="AP163" s="56">
        <f t="shared" si="9"/>
        <v>254</v>
      </c>
      <c r="AQ163" s="56">
        <f>SUM(AQ6:AQ162)</f>
        <v>0</v>
      </c>
      <c r="AR163" s="70">
        <f t="shared" si="9"/>
        <v>254</v>
      </c>
      <c r="AS163" s="70">
        <f t="shared" si="9"/>
        <v>0</v>
      </c>
      <c r="AT163" s="70">
        <f t="shared" ref="AT163:BA163" si="10">SUM(AT6:AT162)</f>
        <v>0</v>
      </c>
      <c r="AU163" s="70">
        <f t="shared" si="10"/>
        <v>627</v>
      </c>
      <c r="AV163" s="70">
        <f t="shared" si="10"/>
        <v>0</v>
      </c>
      <c r="AW163" s="70">
        <f>SUM(AW6:AW162)</f>
        <v>878</v>
      </c>
      <c r="AX163" s="70">
        <f>SUM(AX6:AX162)</f>
        <v>0</v>
      </c>
      <c r="AY163" s="70">
        <f>SUM(AY6:AY162)</f>
        <v>0</v>
      </c>
      <c r="AZ163" s="70">
        <f>SUM(AZ6:AZ162)</f>
        <v>0</v>
      </c>
      <c r="BA163" s="70">
        <f t="shared" si="10"/>
        <v>1759</v>
      </c>
      <c r="BB163" s="56">
        <f>SUM(BB6:BB162)</f>
        <v>150</v>
      </c>
      <c r="BC163" s="56">
        <f>SUM(BC6:BC162)</f>
        <v>324</v>
      </c>
      <c r="BD163" s="56">
        <f>SUM(BD6:BD162)</f>
        <v>0</v>
      </c>
      <c r="BE163" s="56">
        <f>SUM(BE6:BE162)</f>
        <v>0</v>
      </c>
      <c r="BF163" s="56">
        <f>SUM(BF6:BF162)</f>
        <v>0</v>
      </c>
    </row>
    <row r="164" spans="1:58" s="29" customFormat="1" ht="12.95" customHeight="1">
      <c r="A164" s="65"/>
      <c r="B164" s="66"/>
      <c r="C164" s="66"/>
      <c r="D164" s="66"/>
      <c r="E164" s="67"/>
      <c r="F164" s="67"/>
      <c r="G164" s="68"/>
      <c r="H164" s="68"/>
      <c r="I164" s="68"/>
      <c r="J164" s="94"/>
      <c r="K164" s="94"/>
      <c r="L164" s="71"/>
      <c r="M164" s="71"/>
      <c r="N164" s="72"/>
      <c r="O164" s="905"/>
      <c r="P164" s="906"/>
      <c r="Q164" s="68">
        <f>31*1440-Q163</f>
        <v>0</v>
      </c>
      <c r="R164" s="75">
        <f>R163/Q163</f>
        <v>3.9404121863799282E-2</v>
      </c>
      <c r="S164" s="75">
        <f>S163/Q163</f>
        <v>5.060483870967742E-2</v>
      </c>
      <c r="T164" s="364"/>
      <c r="U164" s="364"/>
      <c r="V164" s="366">
        <f>V163/K163</f>
        <v>8.6682784035363336E-2</v>
      </c>
      <c r="W164" s="383" t="s">
        <v>175</v>
      </c>
      <c r="X164" s="384">
        <v>0.85</v>
      </c>
      <c r="Y164" s="380">
        <f>Y163/K163</f>
        <v>7.5532717129653979E-3</v>
      </c>
      <c r="Z164" s="76">
        <f>Z163/K163</f>
        <v>1.9776108651364321E-2</v>
      </c>
      <c r="AA164" s="76">
        <f>AA163/K163</f>
        <v>1.8847931145688321E-2</v>
      </c>
      <c r="AB164" s="76">
        <f>AB163/K163</f>
        <v>-4.8711083998142501E-3</v>
      </c>
      <c r="AC164" s="99">
        <f>AC163/K163</f>
        <v>5.2394906881169802E-2</v>
      </c>
      <c r="AD164" s="367"/>
      <c r="AE164" s="43"/>
      <c r="AF164" s="76">
        <f>AF163/$AD$163*$V$164</f>
        <v>1.7647216859364663E-2</v>
      </c>
      <c r="AG164" s="76">
        <f>AG163/$AD$163*$V$164</f>
        <v>8.5215778232873365E-3</v>
      </c>
      <c r="AH164" s="76">
        <f>AH163/$AD$163*$V$164</f>
        <v>1.8035541924729653E-2</v>
      </c>
      <c r="AI164" s="76">
        <f>AI163/$AD$163*$V$164</f>
        <v>2.6319809985849494E-3</v>
      </c>
      <c r="AJ164" s="76">
        <f t="shared" ref="AJ164:AS164" si="11">AJ163/$AD$163*$V$164</f>
        <v>0</v>
      </c>
      <c r="AK164" s="76">
        <f t="shared" si="11"/>
        <v>1.8984780973399637E-3</v>
      </c>
      <c r="AL164" s="76">
        <f>AL163/$AD$163*$V$164</f>
        <v>0</v>
      </c>
      <c r="AM164" s="76">
        <f t="shared" si="11"/>
        <v>4.8734795703306563E-2</v>
      </c>
      <c r="AN164" s="76">
        <f t="shared" si="11"/>
        <v>0</v>
      </c>
      <c r="AO164" s="76">
        <f t="shared" si="11"/>
        <v>0</v>
      </c>
      <c r="AP164" s="76">
        <f t="shared" si="11"/>
        <v>5.4796981445948949E-3</v>
      </c>
      <c r="AQ164" s="76">
        <f>AQ163/$AD$163*$V$164</f>
        <v>0</v>
      </c>
      <c r="AR164" s="76">
        <f t="shared" si="11"/>
        <v>5.4796981445948949E-3</v>
      </c>
      <c r="AS164" s="76">
        <f t="shared" si="11"/>
        <v>0</v>
      </c>
      <c r="AT164" s="76">
        <f t="shared" ref="AT164:BA164" si="12">AT163/$AD$163*$V$164</f>
        <v>0</v>
      </c>
      <c r="AU164" s="76">
        <f t="shared" si="12"/>
        <v>1.352665644354724E-2</v>
      </c>
      <c r="AV164" s="76">
        <f t="shared" si="12"/>
        <v>0</v>
      </c>
      <c r="AW164" s="76">
        <f t="shared" si="12"/>
        <v>1.8941633743914638E-2</v>
      </c>
      <c r="AX164" s="76">
        <f t="shared" si="12"/>
        <v>0</v>
      </c>
      <c r="AY164" s="76">
        <f t="shared" si="12"/>
        <v>0</v>
      </c>
      <c r="AZ164" s="76">
        <f t="shared" si="12"/>
        <v>0</v>
      </c>
      <c r="BA164" s="76">
        <f t="shared" si="12"/>
        <v>3.7947988332056773E-2</v>
      </c>
      <c r="BB164" s="38" t="s">
        <v>174</v>
      </c>
      <c r="BC164" s="38" t="s">
        <v>174</v>
      </c>
      <c r="BD164" s="38" t="s">
        <v>418</v>
      </c>
      <c r="BE164" s="38" t="s">
        <v>418</v>
      </c>
      <c r="BF164" s="38" t="s">
        <v>418</v>
      </c>
    </row>
    <row r="165" spans="1:58" ht="12.95" customHeight="1">
      <c r="A165" s="65"/>
      <c r="B165" s="66"/>
      <c r="C165" s="66"/>
      <c r="D165" s="66"/>
      <c r="E165" s="67"/>
      <c r="F165" s="67"/>
      <c r="G165" s="38"/>
      <c r="H165" s="38"/>
      <c r="I165" s="38"/>
      <c r="J165" s="91"/>
      <c r="K165" s="91"/>
      <c r="L165" s="39"/>
      <c r="M165" s="39"/>
      <c r="N165" s="37"/>
      <c r="O165" s="40"/>
      <c r="P165" s="32"/>
      <c r="Q165" s="38"/>
      <c r="R165" s="98">
        <f>R163-(BA163)</f>
        <v>0</v>
      </c>
      <c r="S165" s="98">
        <f>+S163-AM163</f>
        <v>0</v>
      </c>
      <c r="T165" s="37"/>
      <c r="U165" s="37"/>
      <c r="V165" s="37"/>
      <c r="W165" s="41">
        <f>+W163-'31'!$M$34/1000</f>
        <v>0</v>
      </c>
      <c r="X165" s="381"/>
      <c r="Y165" s="77">
        <f>+Y163-SUM(RBP!AG3:AG4)</f>
        <v>0</v>
      </c>
      <c r="Z165" s="41">
        <f>+Z163-'31'!J56/1000</f>
        <v>0</v>
      </c>
      <c r="AA165" s="37"/>
      <c r="AB165" s="37"/>
      <c r="AC165" s="37"/>
      <c r="AD165" s="37"/>
      <c r="AE165" s="43"/>
      <c r="AF165" s="354"/>
      <c r="AG165" s="354"/>
      <c r="AH165" s="354"/>
      <c r="AI165" s="354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627"/>
      <c r="AW165" s="627"/>
      <c r="AX165" s="86"/>
      <c r="AY165" s="86"/>
      <c r="AZ165" s="86"/>
      <c r="BA165" s="86"/>
      <c r="BB165" s="96">
        <f>BB163/($Q$163/1440)/2</f>
        <v>2.4193548387096775</v>
      </c>
      <c r="BC165" s="96">
        <f>BC163/($Q$163/1440)/2</f>
        <v>5.225806451612903</v>
      </c>
      <c r="BD165" s="96">
        <f>BD163/($Q$163/1440)</f>
        <v>0</v>
      </c>
      <c r="BE165" s="96">
        <f>BE163/($Q$163/1440)</f>
        <v>0</v>
      </c>
      <c r="BF165" s="96">
        <f>BF163/($Q$163/1440)</f>
        <v>0</v>
      </c>
    </row>
    <row r="166" spans="1:58">
      <c r="A166" s="78"/>
      <c r="B166" s="79"/>
      <c r="C166" s="79"/>
      <c r="D166" s="79"/>
      <c r="E166" s="80"/>
      <c r="F166" s="80"/>
      <c r="G166" s="81"/>
      <c r="H166" s="81"/>
      <c r="I166" s="81"/>
      <c r="J166" s="95"/>
      <c r="K166" s="95"/>
      <c r="O166" s="82"/>
      <c r="P166" s="83"/>
      <c r="Q166" s="81"/>
      <c r="R166" s="62"/>
      <c r="S166" s="62"/>
      <c r="U166" s="84"/>
      <c r="V166" s="84"/>
      <c r="W166" s="85" t="s">
        <v>121</v>
      </c>
      <c r="X166" s="97">
        <f>W163/U163</f>
        <v>0.94666474637304632</v>
      </c>
      <c r="Y166" s="97"/>
      <c r="Z166" s="62"/>
      <c r="AD166" s="92"/>
      <c r="AE166" s="87"/>
      <c r="AF166" s="88"/>
      <c r="AG166" s="88"/>
      <c r="AH166" s="88"/>
      <c r="AI166" s="88"/>
      <c r="AJ166" s="88"/>
      <c r="AK166" s="88"/>
      <c r="AL166" s="88"/>
      <c r="AM166" s="88"/>
      <c r="AN166" s="86"/>
      <c r="AO166" s="86"/>
      <c r="AP166" s="86"/>
      <c r="AQ166" s="86"/>
      <c r="AR166" s="86"/>
      <c r="AS166" s="88"/>
      <c r="AT166" s="88"/>
      <c r="AU166" s="88"/>
      <c r="AV166" s="88"/>
      <c r="AW166" s="88"/>
      <c r="AX166" s="88"/>
      <c r="AY166" s="88"/>
      <c r="AZ166" s="88"/>
      <c r="BA166" s="86"/>
      <c r="BB166" s="29"/>
      <c r="BC166" s="86"/>
      <c r="BD166" s="86"/>
      <c r="BE166" s="29"/>
      <c r="BF166" s="86"/>
    </row>
    <row r="167" spans="1:58">
      <c r="A167" s="78"/>
      <c r="B167" s="79"/>
      <c r="C167" s="79"/>
      <c r="D167" s="79"/>
      <c r="E167" s="80"/>
      <c r="F167" s="80"/>
      <c r="G167" s="81"/>
      <c r="H167" s="81"/>
      <c r="I167" s="81"/>
      <c r="J167" s="95"/>
      <c r="K167" s="95"/>
      <c r="O167" s="82"/>
      <c r="P167" s="83"/>
      <c r="Q167" s="81"/>
      <c r="R167" s="62"/>
      <c r="S167" s="62"/>
      <c r="U167" s="84"/>
      <c r="V167" s="84"/>
      <c r="W167" s="85"/>
      <c r="X167" s="86"/>
      <c r="Y167" s="86"/>
      <c r="Z167" s="62"/>
      <c r="AA167" s="102"/>
      <c r="AB167" s="102"/>
      <c r="AD167" s="92"/>
      <c r="AE167" s="87"/>
      <c r="AF167" s="88"/>
      <c r="AG167" s="88"/>
      <c r="AH167" s="88"/>
      <c r="AI167" s="88"/>
      <c r="AJ167" s="88"/>
      <c r="AK167" s="88"/>
      <c r="AL167" s="88"/>
      <c r="AM167" s="88"/>
      <c r="AN167" s="88"/>
      <c r="AO167" s="86"/>
      <c r="AP167" s="86"/>
      <c r="AQ167" s="86"/>
      <c r="AR167" s="88"/>
      <c r="AS167" s="86"/>
      <c r="AT167" s="86"/>
      <c r="AU167" s="86"/>
      <c r="AV167" s="86"/>
      <c r="AW167" s="86"/>
      <c r="AX167" s="86"/>
      <c r="AY167" s="86"/>
      <c r="AZ167" s="86"/>
      <c r="BA167" s="86"/>
      <c r="BB167" s="29"/>
      <c r="BC167" s="86"/>
      <c r="BD167" s="86"/>
      <c r="BE167" s="29"/>
      <c r="BF167" s="86"/>
    </row>
    <row r="168" spans="1:58">
      <c r="A168" s="78"/>
      <c r="B168" s="79"/>
      <c r="C168" s="79"/>
      <c r="D168" s="79"/>
      <c r="E168" s="80"/>
      <c r="F168" s="80"/>
      <c r="G168" s="81"/>
      <c r="H168" s="81"/>
      <c r="I168" s="81"/>
      <c r="J168" s="95"/>
      <c r="K168" s="95"/>
      <c r="O168" s="82"/>
      <c r="P168" s="83"/>
      <c r="Q168" s="81"/>
      <c r="R168" s="365"/>
      <c r="S168" s="62"/>
      <c r="U168" s="84"/>
      <c r="V168" s="84"/>
      <c r="W168" s="85" t="s">
        <v>144</v>
      </c>
      <c r="X168" s="354">
        <f>+W163+Y163</f>
        <v>1671.1440000000005</v>
      </c>
      <c r="Y168" s="86"/>
      <c r="Z168" s="62"/>
      <c r="AD168" s="92"/>
      <c r="AE168" s="87"/>
      <c r="AF168" s="92"/>
      <c r="AG168" s="92"/>
      <c r="AH168" s="92"/>
      <c r="AI168" s="92"/>
      <c r="AJ168" s="86"/>
      <c r="AK168" s="86"/>
      <c r="AL168" s="86"/>
      <c r="AM168" s="88"/>
      <c r="AN168" s="86"/>
      <c r="AO168" s="86"/>
      <c r="AP168" s="86"/>
      <c r="AQ168" s="86"/>
      <c r="AR168" s="88"/>
      <c r="AS168" s="86"/>
      <c r="AT168" s="86"/>
      <c r="AU168" s="86"/>
      <c r="AV168" s="86"/>
      <c r="AW168" s="86"/>
      <c r="AX168" s="86"/>
      <c r="AY168" s="86"/>
      <c r="AZ168" s="86"/>
      <c r="BA168" s="86"/>
      <c r="BB168" s="29"/>
      <c r="BC168" s="86"/>
      <c r="BD168" s="86"/>
      <c r="BE168" s="29"/>
      <c r="BF168" s="86"/>
    </row>
    <row r="169" spans="1:58">
      <c r="A169" s="78"/>
      <c r="C169" s="79" t="s">
        <v>235</v>
      </c>
      <c r="D169" s="79"/>
      <c r="E169" s="80"/>
      <c r="F169" s="80"/>
      <c r="G169" s="81"/>
      <c r="H169" s="81"/>
      <c r="I169" s="81"/>
      <c r="J169" s="95"/>
      <c r="K169" s="95"/>
      <c r="O169" s="82"/>
      <c r="P169" s="83"/>
      <c r="Q169" s="81"/>
      <c r="R169" s="365"/>
      <c r="S169" s="62"/>
      <c r="U169" s="84"/>
      <c r="V169" s="376"/>
      <c r="W169" s="377"/>
      <c r="X169" s="370"/>
      <c r="Y169" s="377"/>
      <c r="Z169" s="370"/>
      <c r="AD169" s="363"/>
      <c r="AE169" s="87"/>
      <c r="AF169" s="363"/>
      <c r="AG169" s="363"/>
      <c r="AH169" s="363"/>
      <c r="AI169" s="363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29"/>
      <c r="BC169" s="86"/>
      <c r="BD169" s="86"/>
      <c r="BE169" s="29"/>
      <c r="BF169" s="86"/>
    </row>
    <row r="170" spans="1:58">
      <c r="A170" s="78"/>
      <c r="B170" s="79"/>
      <c r="C170" s="79" t="s">
        <v>238</v>
      </c>
      <c r="D170" s="79"/>
      <c r="E170" s="80"/>
      <c r="F170" s="80"/>
      <c r="G170" s="81"/>
      <c r="H170" s="81"/>
      <c r="I170" s="81"/>
      <c r="J170" s="95"/>
      <c r="K170" s="95"/>
      <c r="O170" s="82"/>
      <c r="P170" s="83"/>
      <c r="Q170" s="81"/>
      <c r="R170" s="365"/>
      <c r="S170" s="62"/>
      <c r="V170" s="368"/>
      <c r="W170" s="369" t="s">
        <v>233</v>
      </c>
      <c r="X170" s="368"/>
      <c r="Y170" s="368"/>
      <c r="Z170" s="370"/>
      <c r="AE170" s="87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29"/>
      <c r="BE170" s="29"/>
    </row>
    <row r="171" spans="1:58">
      <c r="A171" s="78"/>
      <c r="B171" s="79"/>
      <c r="C171" s="79"/>
      <c r="D171" s="79"/>
      <c r="E171" s="80"/>
      <c r="F171" s="80"/>
      <c r="G171" s="81"/>
      <c r="H171" s="81"/>
      <c r="I171" s="81"/>
      <c r="J171" s="95"/>
      <c r="K171" s="95"/>
      <c r="O171" s="82"/>
      <c r="P171" s="83"/>
      <c r="Q171" s="81"/>
      <c r="R171" s="365"/>
      <c r="S171" s="62"/>
      <c r="V171" s="368"/>
      <c r="W171" s="371" t="s">
        <v>332</v>
      </c>
      <c r="X171" s="375">
        <f>Y164</f>
        <v>7.5532717129653979E-3</v>
      </c>
      <c r="Y171" s="372"/>
      <c r="Z171" s="370"/>
      <c r="AE171" s="87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29"/>
      <c r="BE171" s="29"/>
    </row>
    <row r="172" spans="1:58">
      <c r="R172" s="102"/>
      <c r="V172" s="368"/>
      <c r="W172" s="371" t="s">
        <v>154</v>
      </c>
      <c r="X172" s="374">
        <f>Z164</f>
        <v>1.9776108651364321E-2</v>
      </c>
      <c r="Y172" s="373"/>
      <c r="Z172" s="368"/>
    </row>
    <row r="173" spans="1:58">
      <c r="R173" s="102"/>
      <c r="V173" s="368"/>
      <c r="W173" s="371" t="s">
        <v>155</v>
      </c>
      <c r="X173" s="374">
        <f>AC164</f>
        <v>5.2394906881169802E-2</v>
      </c>
      <c r="Y173" s="374"/>
      <c r="Z173" s="368"/>
    </row>
    <row r="174" spans="1:58">
      <c r="R174" s="102"/>
      <c r="V174" s="368"/>
      <c r="W174" s="371" t="s">
        <v>156</v>
      </c>
      <c r="X174" s="374">
        <f>AA164</f>
        <v>1.8847931145688321E-2</v>
      </c>
      <c r="Y174" s="373"/>
      <c r="Z174" s="368"/>
    </row>
    <row r="175" spans="1:58">
      <c r="V175" s="368"/>
      <c r="W175" s="371" t="s">
        <v>172</v>
      </c>
      <c r="X175" s="374">
        <f>AB164</f>
        <v>-4.8711083998142501E-3</v>
      </c>
      <c r="Y175" s="373" t="s">
        <v>170</v>
      </c>
      <c r="Z175" s="368"/>
    </row>
    <row r="176" spans="1:58">
      <c r="V176" s="368"/>
      <c r="W176" s="371" t="s">
        <v>208</v>
      </c>
      <c r="X176" s="374">
        <f>AF164</f>
        <v>1.7647216859364663E-2</v>
      </c>
      <c r="Y176" s="373"/>
      <c r="Z176" s="368"/>
    </row>
    <row r="177" spans="6:26">
      <c r="V177" s="368"/>
      <c r="W177" s="371" t="s">
        <v>209</v>
      </c>
      <c r="X177" s="374">
        <f>+AG164</f>
        <v>8.5215778232873365E-3</v>
      </c>
      <c r="Y177" s="373"/>
      <c r="Z177" s="368"/>
    </row>
    <row r="178" spans="6:26">
      <c r="V178" s="368"/>
      <c r="W178" s="371" t="s">
        <v>210</v>
      </c>
      <c r="X178" s="374">
        <f>+AH164</f>
        <v>1.8035541924729653E-2</v>
      </c>
      <c r="Y178" s="373"/>
      <c r="Z178" s="368"/>
    </row>
    <row r="179" spans="6:26">
      <c r="V179" s="368"/>
      <c r="W179" s="371" t="s">
        <v>211</v>
      </c>
      <c r="X179" s="374">
        <f>+AI164</f>
        <v>2.6319809985849494E-3</v>
      </c>
      <c r="Y179" s="373"/>
      <c r="Z179" s="368"/>
    </row>
    <row r="180" spans="6:26">
      <c r="V180" s="368"/>
      <c r="W180" s="371" t="s">
        <v>163</v>
      </c>
      <c r="X180" s="374">
        <f>+AJ164</f>
        <v>0</v>
      </c>
      <c r="Y180" s="373"/>
      <c r="Z180" s="368"/>
    </row>
    <row r="181" spans="6:26">
      <c r="V181" s="368"/>
      <c r="W181" s="371" t="s">
        <v>165</v>
      </c>
      <c r="X181" s="374">
        <f>+AK164</f>
        <v>1.8984780973399637E-3</v>
      </c>
      <c r="Y181" s="373"/>
      <c r="Z181" s="368"/>
    </row>
    <row r="182" spans="6:26">
      <c r="V182" s="368"/>
      <c r="W182" s="371" t="s">
        <v>164</v>
      </c>
      <c r="X182" s="374">
        <f>+AL164</f>
        <v>0</v>
      </c>
      <c r="Y182" s="373"/>
      <c r="Z182" s="368"/>
    </row>
    <row r="183" spans="6:26">
      <c r="V183" s="368"/>
      <c r="W183" s="371" t="s">
        <v>157</v>
      </c>
      <c r="X183" s="374">
        <f>+AN164</f>
        <v>0</v>
      </c>
      <c r="Y183" s="373"/>
      <c r="Z183" s="368"/>
    </row>
    <row r="184" spans="6:26">
      <c r="V184" s="368"/>
      <c r="W184" s="371" t="s">
        <v>167</v>
      </c>
      <c r="X184" s="374">
        <f>+AO164</f>
        <v>0</v>
      </c>
      <c r="Y184" s="373"/>
      <c r="Z184" s="368"/>
    </row>
    <row r="185" spans="6:26">
      <c r="V185" s="368"/>
      <c r="W185" s="371" t="s">
        <v>158</v>
      </c>
      <c r="X185" s="374">
        <f>+AP164</f>
        <v>5.4796981445948949E-3</v>
      </c>
      <c r="Y185" s="373"/>
      <c r="Z185" s="368"/>
    </row>
    <row r="186" spans="6:26">
      <c r="F186" s="33"/>
      <c r="J186" s="33"/>
      <c r="K186" s="33"/>
      <c r="L186" s="33"/>
      <c r="M186" s="33"/>
      <c r="Q186" s="33"/>
      <c r="V186" s="368"/>
      <c r="W186" s="371" t="s">
        <v>166</v>
      </c>
      <c r="X186" s="374">
        <f>+AQ164</f>
        <v>0</v>
      </c>
      <c r="Y186" s="373"/>
      <c r="Z186" s="368"/>
    </row>
    <row r="187" spans="6:26">
      <c r="F187" s="33"/>
      <c r="J187" s="33"/>
      <c r="K187" s="33"/>
      <c r="L187" s="33"/>
      <c r="M187" s="33"/>
      <c r="Q187" s="33"/>
      <c r="V187" s="368"/>
      <c r="W187" s="371" t="s">
        <v>169</v>
      </c>
      <c r="X187" s="374">
        <f>+AS164</f>
        <v>0</v>
      </c>
      <c r="Y187" s="373"/>
      <c r="Z187" s="368"/>
    </row>
    <row r="188" spans="6:26">
      <c r="F188" s="33"/>
      <c r="J188" s="33"/>
      <c r="K188" s="33"/>
      <c r="L188" s="33"/>
      <c r="M188" s="33"/>
      <c r="Q188" s="33"/>
      <c r="V188" s="368"/>
      <c r="W188" s="371" t="s">
        <v>333</v>
      </c>
      <c r="X188" s="374">
        <f>+AT164</f>
        <v>0</v>
      </c>
      <c r="Y188" s="373"/>
      <c r="Z188" s="368"/>
    </row>
    <row r="189" spans="6:26">
      <c r="F189" s="33"/>
      <c r="J189" s="33"/>
      <c r="K189" s="33"/>
      <c r="L189" s="33"/>
      <c r="M189" s="33"/>
      <c r="Q189" s="33"/>
      <c r="V189" s="368"/>
      <c r="W189" s="371" t="s">
        <v>250</v>
      </c>
      <c r="X189" s="374">
        <f>+AU164</f>
        <v>1.352665644354724E-2</v>
      </c>
      <c r="Y189" s="373"/>
      <c r="Z189" s="368"/>
    </row>
    <row r="190" spans="6:26">
      <c r="F190" s="33"/>
      <c r="J190" s="33"/>
      <c r="K190" s="33"/>
      <c r="L190" s="33"/>
      <c r="M190" s="33"/>
      <c r="Q190" s="33"/>
      <c r="V190" s="368"/>
      <c r="W190" s="371" t="s">
        <v>339</v>
      </c>
      <c r="X190" s="374">
        <f>AV164</f>
        <v>0</v>
      </c>
      <c r="Y190" s="373"/>
      <c r="Z190" s="368"/>
    </row>
    <row r="191" spans="6:26">
      <c r="F191" s="33"/>
      <c r="J191" s="33"/>
      <c r="K191" s="33"/>
      <c r="L191" s="33"/>
      <c r="M191" s="33"/>
      <c r="Q191" s="33"/>
      <c r="V191" s="368"/>
      <c r="W191" s="371" t="s">
        <v>340</v>
      </c>
      <c r="X191" s="374">
        <f>AW164</f>
        <v>1.8941633743914638E-2</v>
      </c>
      <c r="Y191" s="373"/>
      <c r="Z191" s="368"/>
    </row>
    <row r="192" spans="6:26">
      <c r="F192" s="33"/>
      <c r="J192" s="33"/>
      <c r="K192" s="33"/>
      <c r="L192" s="33"/>
      <c r="M192" s="33"/>
      <c r="Q192" s="33"/>
      <c r="V192" s="368"/>
      <c r="W192" s="368" t="s">
        <v>168</v>
      </c>
      <c r="X192" s="374">
        <f>AX164+AY164</f>
        <v>0</v>
      </c>
      <c r="Y192" s="374"/>
      <c r="Z192" s="368"/>
    </row>
    <row r="193" spans="6:26">
      <c r="F193" s="33"/>
      <c r="J193" s="33"/>
      <c r="K193" s="33"/>
      <c r="L193" s="33"/>
      <c r="M193" s="33"/>
      <c r="Q193" s="33"/>
      <c r="V193" s="368"/>
      <c r="W193" s="368" t="s">
        <v>338</v>
      </c>
      <c r="X193" s="374">
        <f>AZ164</f>
        <v>0</v>
      </c>
      <c r="Y193" s="368"/>
      <c r="Z193" s="368"/>
    </row>
    <row r="194" spans="6:26">
      <c r="F194" s="33"/>
      <c r="J194" s="33"/>
      <c r="K194" s="33"/>
      <c r="L194" s="33"/>
      <c r="M194" s="33"/>
      <c r="Q194" s="33"/>
      <c r="V194" s="368"/>
      <c r="W194" s="368"/>
      <c r="X194" s="531">
        <f>SUM(X171:X193)</f>
        <v>0.18038389402673691</v>
      </c>
      <c r="Y194" s="368"/>
      <c r="Z194" s="368"/>
    </row>
    <row r="195" spans="6:26">
      <c r="F195" s="33"/>
      <c r="J195" s="33"/>
      <c r="K195" s="33"/>
      <c r="L195" s="33"/>
      <c r="M195" s="33"/>
      <c r="Q195" s="33"/>
    </row>
    <row r="196" spans="6:26">
      <c r="F196" s="33"/>
      <c r="J196" s="33"/>
      <c r="K196" s="33"/>
      <c r="L196" s="33"/>
      <c r="M196" s="33"/>
      <c r="Q196" s="33"/>
      <c r="X196" s="102">
        <f>+X194+X163</f>
        <v>1.0000000000000002</v>
      </c>
    </row>
    <row r="197" spans="6:26">
      <c r="F197" s="33"/>
      <c r="J197" s="33"/>
      <c r="K197" s="33"/>
      <c r="L197" s="33"/>
      <c r="M197" s="33"/>
      <c r="Q197" s="33"/>
    </row>
    <row r="198" spans="6:26">
      <c r="F198" s="33"/>
      <c r="J198" s="33"/>
      <c r="K198" s="33"/>
      <c r="L198" s="33"/>
      <c r="M198" s="33"/>
      <c r="Q198" s="33"/>
    </row>
    <row r="199" spans="6:26">
      <c r="F199" s="33"/>
      <c r="J199" s="33"/>
      <c r="K199" s="33"/>
      <c r="L199" s="33"/>
      <c r="M199" s="33"/>
      <c r="Q199" s="33"/>
    </row>
    <row r="200" spans="6:26">
      <c r="F200" s="33"/>
      <c r="J200" s="33"/>
      <c r="K200" s="33"/>
      <c r="L200" s="33"/>
      <c r="M200" s="33"/>
      <c r="Q200" s="33"/>
    </row>
    <row r="201" spans="6:26">
      <c r="F201" s="33"/>
      <c r="J201" s="33"/>
      <c r="K201" s="33"/>
      <c r="L201" s="33"/>
      <c r="M201" s="33"/>
      <c r="Q201" s="33"/>
    </row>
    <row r="202" spans="6:26">
      <c r="F202" s="33"/>
      <c r="J202" s="33"/>
      <c r="K202" s="33"/>
      <c r="L202" s="33"/>
      <c r="M202" s="33"/>
      <c r="Q202" s="33"/>
    </row>
    <row r="203" spans="6:26">
      <c r="F203" s="33"/>
      <c r="J203" s="33"/>
      <c r="K203" s="33"/>
      <c r="L203" s="33"/>
      <c r="M203" s="33"/>
      <c r="Q203" s="33"/>
    </row>
    <row r="204" spans="6:26">
      <c r="F204" s="33"/>
      <c r="J204" s="33"/>
      <c r="K204" s="33"/>
      <c r="L204" s="33"/>
      <c r="M204" s="33"/>
      <c r="Q204" s="33"/>
    </row>
    <row r="205" spans="6:26">
      <c r="F205" s="33"/>
      <c r="J205" s="33"/>
      <c r="K205" s="33"/>
      <c r="L205" s="33"/>
      <c r="M205" s="33"/>
      <c r="Q205" s="33"/>
    </row>
    <row r="206" spans="6:26">
      <c r="F206" s="33"/>
      <c r="J206" s="33"/>
      <c r="K206" s="33"/>
      <c r="L206" s="33"/>
      <c r="M206" s="33"/>
      <c r="Q206" s="33"/>
    </row>
    <row r="207" spans="6:26">
      <c r="F207" s="33"/>
      <c r="J207" s="33"/>
      <c r="K207" s="33"/>
      <c r="L207" s="33"/>
      <c r="M207" s="33"/>
      <c r="Q207" s="33"/>
    </row>
    <row r="208" spans="6:26">
      <c r="F208" s="33"/>
      <c r="J208" s="33"/>
      <c r="K208" s="33"/>
      <c r="L208" s="33"/>
      <c r="M208" s="33"/>
      <c r="Q208" s="33"/>
    </row>
    <row r="209" spans="6:17">
      <c r="F209" s="33"/>
      <c r="J209" s="33"/>
      <c r="K209" s="33"/>
      <c r="L209" s="33"/>
      <c r="M209" s="33"/>
      <c r="Q209" s="33"/>
    </row>
    <row r="210" spans="6:17">
      <c r="F210" s="33"/>
      <c r="J210" s="33"/>
      <c r="K210" s="33"/>
      <c r="L210" s="33"/>
      <c r="M210" s="33"/>
      <c r="Q210" s="33"/>
    </row>
    <row r="211" spans="6:17">
      <c r="F211" s="33"/>
      <c r="J211" s="33"/>
      <c r="K211" s="33"/>
      <c r="L211" s="33"/>
      <c r="M211" s="33"/>
      <c r="Q211" s="33"/>
    </row>
    <row r="212" spans="6:17">
      <c r="F212" s="33"/>
      <c r="J212" s="33"/>
      <c r="K212" s="33"/>
      <c r="L212" s="33"/>
      <c r="M212" s="33"/>
      <c r="Q212" s="33"/>
    </row>
    <row r="213" spans="6:17">
      <c r="F213" s="33"/>
      <c r="J213" s="33"/>
      <c r="K213" s="33"/>
      <c r="L213" s="33"/>
      <c r="M213" s="33"/>
      <c r="Q213" s="33"/>
    </row>
    <row r="214" spans="6:17">
      <c r="F214" s="33"/>
      <c r="J214" s="33"/>
      <c r="K214" s="33"/>
      <c r="L214" s="33"/>
      <c r="M214" s="33"/>
      <c r="Q214" s="33"/>
    </row>
    <row r="215" spans="6:17">
      <c r="F215" s="33"/>
      <c r="J215" s="33"/>
      <c r="K215" s="33"/>
      <c r="L215" s="33"/>
      <c r="M215" s="33"/>
      <c r="Q215" s="33"/>
    </row>
    <row r="216" spans="6:17">
      <c r="F216" s="33"/>
      <c r="J216" s="33"/>
      <c r="K216" s="33"/>
      <c r="L216" s="33"/>
      <c r="M216" s="33"/>
      <c r="Q216" s="33"/>
    </row>
    <row r="217" spans="6:17">
      <c r="F217" s="33"/>
      <c r="J217" s="33"/>
      <c r="K217" s="33"/>
      <c r="L217" s="33"/>
      <c r="M217" s="33"/>
      <c r="Q217" s="33"/>
    </row>
    <row r="218" spans="6:17">
      <c r="F218" s="33"/>
      <c r="J218" s="33"/>
      <c r="K218" s="33"/>
      <c r="L218" s="33"/>
      <c r="M218" s="33"/>
      <c r="Q218" s="33"/>
    </row>
    <row r="219" spans="6:17">
      <c r="F219" s="33"/>
      <c r="J219" s="33"/>
      <c r="K219" s="33"/>
      <c r="L219" s="33"/>
      <c r="M219" s="33"/>
      <c r="Q219" s="33"/>
    </row>
    <row r="220" spans="6:17">
      <c r="F220" s="33"/>
      <c r="J220" s="33"/>
      <c r="K220" s="33"/>
      <c r="L220" s="33"/>
      <c r="M220" s="33"/>
      <c r="Q220" s="33"/>
    </row>
    <row r="221" spans="6:17">
      <c r="F221" s="33"/>
      <c r="J221" s="33"/>
      <c r="K221" s="33"/>
      <c r="L221" s="33"/>
      <c r="M221" s="33"/>
      <c r="Q221" s="33"/>
    </row>
    <row r="222" spans="6:17">
      <c r="F222" s="33"/>
      <c r="J222" s="33"/>
      <c r="K222" s="33"/>
      <c r="L222" s="33"/>
      <c r="M222" s="33"/>
      <c r="Q222" s="33"/>
    </row>
    <row r="223" spans="6:17">
      <c r="F223" s="33"/>
      <c r="J223" s="33"/>
      <c r="K223" s="33"/>
      <c r="L223" s="33"/>
      <c r="M223" s="33"/>
      <c r="Q223" s="33"/>
    </row>
    <row r="224" spans="6:17">
      <c r="F224" s="33"/>
      <c r="J224" s="33"/>
      <c r="K224" s="33"/>
      <c r="L224" s="33"/>
      <c r="M224" s="33"/>
      <c r="Q224" s="33"/>
    </row>
    <row r="225" spans="6:17">
      <c r="F225" s="33"/>
      <c r="J225" s="33"/>
      <c r="K225" s="33"/>
      <c r="L225" s="33"/>
      <c r="M225" s="33"/>
      <c r="Q225" s="33"/>
    </row>
    <row r="226" spans="6:17">
      <c r="F226" s="33"/>
      <c r="J226" s="33"/>
      <c r="K226" s="33"/>
      <c r="L226" s="33"/>
      <c r="M226" s="33"/>
      <c r="Q226" s="33"/>
    </row>
    <row r="227" spans="6:17">
      <c r="F227" s="33"/>
      <c r="J227" s="33"/>
      <c r="K227" s="33"/>
      <c r="L227" s="33"/>
      <c r="M227" s="33"/>
      <c r="Q227" s="33"/>
    </row>
    <row r="228" spans="6:17">
      <c r="F228" s="33"/>
      <c r="J228" s="33"/>
      <c r="K228" s="33"/>
      <c r="L228" s="33"/>
      <c r="M228" s="33"/>
      <c r="Q228" s="33"/>
    </row>
    <row r="229" spans="6:17">
      <c r="F229" s="33"/>
      <c r="J229" s="33"/>
      <c r="K229" s="33"/>
      <c r="L229" s="33"/>
      <c r="M229" s="33"/>
      <c r="Q229" s="33"/>
    </row>
    <row r="230" spans="6:17">
      <c r="F230" s="33"/>
      <c r="J230" s="33"/>
      <c r="K230" s="33"/>
      <c r="L230" s="33"/>
      <c r="M230" s="33"/>
      <c r="Q230" s="33"/>
    </row>
    <row r="231" spans="6:17">
      <c r="F231" s="33"/>
      <c r="J231" s="33"/>
      <c r="K231" s="33"/>
      <c r="L231" s="33"/>
      <c r="M231" s="33"/>
      <c r="Q231" s="33"/>
    </row>
    <row r="232" spans="6:17">
      <c r="F232" s="33"/>
      <c r="J232" s="33"/>
      <c r="K232" s="33"/>
      <c r="L232" s="33"/>
      <c r="M232" s="33"/>
      <c r="Q232" s="33"/>
    </row>
    <row r="233" spans="6:17">
      <c r="F233" s="33"/>
      <c r="J233" s="33"/>
      <c r="K233" s="33"/>
      <c r="L233" s="33"/>
      <c r="M233" s="33"/>
      <c r="Q233" s="33"/>
    </row>
    <row r="234" spans="6:17">
      <c r="F234" s="33"/>
      <c r="J234" s="33"/>
      <c r="K234" s="33"/>
      <c r="L234" s="33"/>
      <c r="M234" s="33"/>
      <c r="Q234" s="33"/>
    </row>
    <row r="235" spans="6:17">
      <c r="F235" s="33"/>
      <c r="J235" s="33"/>
      <c r="K235" s="33"/>
      <c r="L235" s="33"/>
      <c r="M235" s="33"/>
      <c r="Q235" s="33"/>
    </row>
    <row r="236" spans="6:17">
      <c r="F236" s="33"/>
      <c r="J236" s="33"/>
      <c r="K236" s="33"/>
      <c r="L236" s="33"/>
      <c r="M236" s="33"/>
      <c r="Q236" s="33"/>
    </row>
    <row r="237" spans="6:17">
      <c r="F237" s="33"/>
      <c r="J237" s="33"/>
      <c r="K237" s="33"/>
      <c r="L237" s="33"/>
      <c r="M237" s="33"/>
      <c r="Q237" s="33"/>
    </row>
    <row r="238" spans="6:17">
      <c r="F238" s="33"/>
      <c r="J238" s="33"/>
      <c r="K238" s="33"/>
      <c r="L238" s="33"/>
      <c r="M238" s="33"/>
      <c r="Q238" s="33"/>
    </row>
    <row r="239" spans="6:17">
      <c r="F239" s="33"/>
      <c r="J239" s="33"/>
      <c r="K239" s="33"/>
      <c r="L239" s="33"/>
      <c r="M239" s="33"/>
      <c r="Q239" s="33"/>
    </row>
    <row r="240" spans="6:17">
      <c r="F240" s="33"/>
      <c r="J240" s="33"/>
      <c r="K240" s="33"/>
      <c r="L240" s="33"/>
      <c r="M240" s="33"/>
      <c r="Q240" s="33"/>
    </row>
    <row r="241" spans="6:17">
      <c r="F241" s="33"/>
      <c r="J241" s="33"/>
      <c r="K241" s="33"/>
      <c r="L241" s="33"/>
      <c r="M241" s="33"/>
      <c r="Q241" s="33"/>
    </row>
    <row r="242" spans="6:17">
      <c r="F242" s="33"/>
      <c r="J242" s="33"/>
      <c r="K242" s="33"/>
      <c r="L242" s="33"/>
      <c r="M242" s="33"/>
      <c r="Q242" s="33"/>
    </row>
    <row r="244" spans="6:17">
      <c r="F244" s="33"/>
      <c r="J244" s="33"/>
      <c r="K244" s="33"/>
      <c r="L244" s="33"/>
      <c r="M244" s="33"/>
      <c r="Q244" s="33"/>
    </row>
  </sheetData>
  <mergeCells count="50">
    <mergeCell ref="BD3:BD5"/>
    <mergeCell ref="BE3:BE5"/>
    <mergeCell ref="BF3:BF5"/>
    <mergeCell ref="F3:F5"/>
    <mergeCell ref="Y3:Y5"/>
    <mergeCell ref="AA3:AA5"/>
    <mergeCell ref="AB3:AB5"/>
    <mergeCell ref="L3:N4"/>
    <mergeCell ref="O3:O5"/>
    <mergeCell ref="Q3:Q5"/>
    <mergeCell ref="R3:R5"/>
    <mergeCell ref="AM3:AM5"/>
    <mergeCell ref="BA3:BA5"/>
    <mergeCell ref="AF4:AH4"/>
    <mergeCell ref="AI4:AI5"/>
    <mergeCell ref="G3:K4"/>
    <mergeCell ref="C3:C5"/>
    <mergeCell ref="A3:A5"/>
    <mergeCell ref="B3:B5"/>
    <mergeCell ref="D3:D5"/>
    <mergeCell ref="E3:E5"/>
    <mergeCell ref="O164:P164"/>
    <mergeCell ref="AC3:AC5"/>
    <mergeCell ref="AE3:AE5"/>
    <mergeCell ref="AD3:AD5"/>
    <mergeCell ref="AF3:AL3"/>
    <mergeCell ref="AJ4:AJ5"/>
    <mergeCell ref="V3:V5"/>
    <mergeCell ref="AK4:AK5"/>
    <mergeCell ref="AL4:AL5"/>
    <mergeCell ref="U3:U5"/>
    <mergeCell ref="W3:W5"/>
    <mergeCell ref="X3:X5"/>
    <mergeCell ref="Z3:Z5"/>
    <mergeCell ref="S3:S5"/>
    <mergeCell ref="T3:T5"/>
    <mergeCell ref="P3:P5"/>
    <mergeCell ref="BB3:BB5"/>
    <mergeCell ref="BC3:BC5"/>
    <mergeCell ref="AN4:AN5"/>
    <mergeCell ref="AO4:AO5"/>
    <mergeCell ref="AP4:AP5"/>
    <mergeCell ref="AR4:AR5"/>
    <mergeCell ref="AN3:AR3"/>
    <mergeCell ref="AS3:AS5"/>
    <mergeCell ref="AQ4:AQ5"/>
    <mergeCell ref="AT3:AU4"/>
    <mergeCell ref="AV3:AW3"/>
    <mergeCell ref="AX3:AY3"/>
    <mergeCell ref="AZ3:AZ5"/>
  </mergeCells>
  <phoneticPr fontId="31" type="noConversion"/>
  <conditionalFormatting sqref="B62:C62 B98:C98 C131 C164 B135:C135 B139:C145 B160:B164 C160:C162">
    <cfRule type="cellIs" dxfId="33449" priority="23745" stopIfTrue="1" operator="equal">
      <formula>"Napkin Hs"</formula>
    </cfRule>
  </conditionalFormatting>
  <conditionalFormatting sqref="B62:C62 B98:C98 C131 C164 B135:C135 B139:C145 C160:C162 B160:B164">
    <cfRule type="cellIs" dxfId="33448" priority="23744" stopIfTrue="1" operator="equal">
      <formula>"Towel"</formula>
    </cfRule>
  </conditionalFormatting>
  <conditionalFormatting sqref="B37:C37">
    <cfRule type="cellIs" dxfId="33447" priority="23605" stopIfTrue="1" operator="equal">
      <formula>"Towel"</formula>
    </cfRule>
    <cfRule type="cellIs" dxfId="33446" priority="23606" stopIfTrue="1" operator="equal">
      <formula>"Napkin Hs"</formula>
    </cfRule>
  </conditionalFormatting>
  <conditionalFormatting sqref="B45:C45">
    <cfRule type="cellIs" dxfId="33445" priority="23569" stopIfTrue="1" operator="equal">
      <formula>"Towel"</formula>
    </cfRule>
    <cfRule type="cellIs" dxfId="33444" priority="23570" stopIfTrue="1" operator="equal">
      <formula>"Napkin Hs"</formula>
    </cfRule>
  </conditionalFormatting>
  <conditionalFormatting sqref="B46:C46">
    <cfRule type="cellIs" dxfId="33443" priority="23575" stopIfTrue="1" operator="equal">
      <formula>"Towel"</formula>
    </cfRule>
    <cfRule type="cellIs" dxfId="33442" priority="23576" stopIfTrue="1" operator="equal">
      <formula>"Napkin Hs"</formula>
    </cfRule>
  </conditionalFormatting>
  <conditionalFormatting sqref="B51:C51">
    <cfRule type="cellIs" dxfId="33441" priority="23563" stopIfTrue="1" operator="equal">
      <formula>"Towel"</formula>
    </cfRule>
    <cfRule type="cellIs" dxfId="33440" priority="23564" stopIfTrue="1" operator="equal">
      <formula>"Napkin Hs"</formula>
    </cfRule>
  </conditionalFormatting>
  <conditionalFormatting sqref="B61:C61">
    <cfRule type="cellIs" dxfId="33439" priority="23527" stopIfTrue="1" operator="equal">
      <formula>"Towel"</formula>
    </cfRule>
    <cfRule type="cellIs" dxfId="33438" priority="23528" stopIfTrue="1" operator="equal">
      <formula>"Napkin Hs"</formula>
    </cfRule>
  </conditionalFormatting>
  <conditionalFormatting sqref="B66:C66">
    <cfRule type="cellIs" dxfId="33437" priority="23501" stopIfTrue="1" operator="equal">
      <formula>"Towel"</formula>
    </cfRule>
    <cfRule type="cellIs" dxfId="33436" priority="23502" stopIfTrue="1" operator="equal">
      <formula>"Napkin Hs"</formula>
    </cfRule>
  </conditionalFormatting>
  <conditionalFormatting sqref="B75:C75">
    <cfRule type="cellIs" dxfId="33435" priority="23477" stopIfTrue="1" operator="equal">
      <formula>"Towel"</formula>
    </cfRule>
    <cfRule type="cellIs" dxfId="33434" priority="23478" stopIfTrue="1" operator="equal">
      <formula>"Napkin Hs"</formula>
    </cfRule>
  </conditionalFormatting>
  <conditionalFormatting sqref="C114:C115">
    <cfRule type="cellIs" dxfId="33433" priority="23281" stopIfTrue="1" operator="equal">
      <formula>"Towel"</formula>
    </cfRule>
    <cfRule type="cellIs" dxfId="33432" priority="23282" stopIfTrue="1" operator="equal">
      <formula>"Napkin Hs"</formula>
    </cfRule>
  </conditionalFormatting>
  <conditionalFormatting sqref="B83:C83">
    <cfRule type="cellIs" dxfId="33431" priority="23441" stopIfTrue="1" operator="equal">
      <formula>"Towel"</formula>
    </cfRule>
    <cfRule type="cellIs" dxfId="33430" priority="23442" stopIfTrue="1" operator="equal">
      <formula>"Napkin Hs"</formula>
    </cfRule>
  </conditionalFormatting>
  <conditionalFormatting sqref="B84:C84">
    <cfRule type="cellIs" dxfId="33429" priority="23433" stopIfTrue="1" operator="equal">
      <formula>"Towel"</formula>
    </cfRule>
    <cfRule type="cellIs" dxfId="33428" priority="23434" stopIfTrue="1" operator="equal">
      <formula>"Napkin Hs"</formula>
    </cfRule>
  </conditionalFormatting>
  <conditionalFormatting sqref="B93:C93">
    <cfRule type="cellIs" dxfId="33427" priority="23395" stopIfTrue="1" operator="equal">
      <formula>"Towel"</formula>
    </cfRule>
    <cfRule type="cellIs" dxfId="33426" priority="23396" stopIfTrue="1" operator="equal">
      <formula>"Napkin Hs"</formula>
    </cfRule>
  </conditionalFormatting>
  <conditionalFormatting sqref="B97:C97">
    <cfRule type="cellIs" dxfId="33425" priority="23363" stopIfTrue="1" operator="equal">
      <formula>"Towel"</formula>
    </cfRule>
    <cfRule type="cellIs" dxfId="33424" priority="23364" stopIfTrue="1" operator="equal">
      <formula>"Napkin Hs"</formula>
    </cfRule>
  </conditionalFormatting>
  <conditionalFormatting sqref="B101:C101">
    <cfRule type="cellIs" dxfId="33423" priority="23353" stopIfTrue="1" operator="equal">
      <formula>"Towel"</formula>
    </cfRule>
    <cfRule type="cellIs" dxfId="33422" priority="23354" stopIfTrue="1" operator="equal">
      <formula>"Napkin Hs"</formula>
    </cfRule>
  </conditionalFormatting>
  <conditionalFormatting sqref="B102:C102">
    <cfRule type="cellIs" dxfId="33421" priority="23345" stopIfTrue="1" operator="equal">
      <formula>"Towel"</formula>
    </cfRule>
    <cfRule type="cellIs" dxfId="33420" priority="23346" stopIfTrue="1" operator="equal">
      <formula>"Napkin Hs"</formula>
    </cfRule>
  </conditionalFormatting>
  <conditionalFormatting sqref="B103:C103">
    <cfRule type="cellIs" dxfId="33419" priority="23337" stopIfTrue="1" operator="equal">
      <formula>"Towel"</formula>
    </cfRule>
    <cfRule type="cellIs" dxfId="33418" priority="23338" stopIfTrue="1" operator="equal">
      <formula>"Napkin Hs"</formula>
    </cfRule>
  </conditionalFormatting>
  <conditionalFormatting sqref="B114:C114">
    <cfRule type="cellIs" dxfId="33417" priority="23289" stopIfTrue="1" operator="equal">
      <formula>"Towel"</formula>
    </cfRule>
    <cfRule type="cellIs" dxfId="33416" priority="23290" stopIfTrue="1" operator="equal">
      <formula>"Napkin Hs"</formula>
    </cfRule>
  </conditionalFormatting>
  <conditionalFormatting sqref="B115:C115">
    <cfRule type="cellIs" dxfId="33415" priority="23283" stopIfTrue="1" operator="equal">
      <formula>"Towel"</formula>
    </cfRule>
    <cfRule type="cellIs" dxfId="33414" priority="23284" stopIfTrue="1" operator="equal">
      <formula>"Napkin Hs"</formula>
    </cfRule>
  </conditionalFormatting>
  <conditionalFormatting sqref="C37">
    <cfRule type="cellIs" dxfId="33413" priority="23063" stopIfTrue="1" operator="equal">
      <formula>"Towel"</formula>
    </cfRule>
    <cfRule type="cellIs" dxfId="33412" priority="23064" stopIfTrue="1" operator="equal">
      <formula>"Napkin Hs"</formula>
    </cfRule>
  </conditionalFormatting>
  <conditionalFormatting sqref="C62 C98 C131 C135 C139:C145 C160:C161">
    <cfRule type="cellIs" dxfId="33411" priority="23732" stopIfTrue="1" operator="equal">
      <formula>"Napkin Hs"</formula>
    </cfRule>
  </conditionalFormatting>
  <conditionalFormatting sqref="C62 C98 C131 C135 C139:C145 C160:C161">
    <cfRule type="cellIs" dxfId="33410" priority="23731" stopIfTrue="1" operator="equal">
      <formula>"Towel"</formula>
    </cfRule>
  </conditionalFormatting>
  <conditionalFormatting sqref="C37">
    <cfRule type="cellIs" dxfId="33409" priority="23603" stopIfTrue="1" operator="equal">
      <formula>"Towel"</formula>
    </cfRule>
    <cfRule type="cellIs" dxfId="33408" priority="23604" stopIfTrue="1" operator="equal">
      <formula>"Napkin Hs"</formula>
    </cfRule>
  </conditionalFormatting>
  <conditionalFormatting sqref="C37">
    <cfRule type="cellIs" dxfId="33407" priority="23597" stopIfTrue="1" operator="equal">
      <formula>"Towel"</formula>
    </cfRule>
    <cfRule type="cellIs" dxfId="33406" priority="23598" stopIfTrue="1" operator="equal">
      <formula>"Napkin Hs"</formula>
    </cfRule>
  </conditionalFormatting>
  <conditionalFormatting sqref="C45">
    <cfRule type="cellIs" dxfId="33405" priority="23565" stopIfTrue="1" operator="equal">
      <formula>"Towel"</formula>
    </cfRule>
    <cfRule type="cellIs" dxfId="33404" priority="23566" stopIfTrue="1" operator="equal">
      <formula>"Napkin Hs"</formula>
    </cfRule>
  </conditionalFormatting>
  <conditionalFormatting sqref="C45:C46">
    <cfRule type="cellIs" dxfId="33403" priority="23567" stopIfTrue="1" operator="equal">
      <formula>"Towel"</formula>
    </cfRule>
    <cfRule type="cellIs" dxfId="33402" priority="23568" stopIfTrue="1" operator="equal">
      <formula>"Napkin Hs"</formula>
    </cfRule>
  </conditionalFormatting>
  <conditionalFormatting sqref="C46">
    <cfRule type="cellIs" dxfId="33401" priority="23573" stopIfTrue="1" operator="equal">
      <formula>"Towel"</formula>
    </cfRule>
    <cfRule type="cellIs" dxfId="33400" priority="23574" stopIfTrue="1" operator="equal">
      <formula>"Napkin Hs"</formula>
    </cfRule>
  </conditionalFormatting>
  <conditionalFormatting sqref="C51">
    <cfRule type="cellIs" dxfId="33399" priority="23555" stopIfTrue="1" operator="equal">
      <formula>"Towel"</formula>
    </cfRule>
    <cfRule type="cellIs" dxfId="33398" priority="23556" stopIfTrue="1" operator="equal">
      <formula>"Napkin Hs"</formula>
    </cfRule>
  </conditionalFormatting>
  <conditionalFormatting sqref="C51">
    <cfRule type="cellIs" dxfId="33397" priority="23561" stopIfTrue="1" operator="equal">
      <formula>"Towel"</formula>
    </cfRule>
    <cfRule type="cellIs" dxfId="33396" priority="23562" stopIfTrue="1" operator="equal">
      <formula>"Napkin Hs"</formula>
    </cfRule>
  </conditionalFormatting>
  <conditionalFormatting sqref="C101:C102">
    <cfRule type="cellIs" dxfId="33395" priority="23347" stopIfTrue="1" operator="equal">
      <formula>"Towel"</formula>
    </cfRule>
    <cfRule type="cellIs" dxfId="33394" priority="23348" stopIfTrue="1" operator="equal">
      <formula>"Napkin Hs"</formula>
    </cfRule>
  </conditionalFormatting>
  <conditionalFormatting sqref="C61">
    <cfRule type="cellIs" dxfId="33393" priority="23519" stopIfTrue="1" operator="equal">
      <formula>"Towel"</formula>
    </cfRule>
    <cfRule type="cellIs" dxfId="33392" priority="23520" stopIfTrue="1" operator="equal">
      <formula>"Napkin Hs"</formula>
    </cfRule>
  </conditionalFormatting>
  <conditionalFormatting sqref="C61:C63">
    <cfRule type="cellIs" dxfId="33391" priority="23525" stopIfTrue="1" operator="equal">
      <formula>"Towel"</formula>
    </cfRule>
    <cfRule type="cellIs" dxfId="33390" priority="23526" stopIfTrue="1" operator="equal">
      <formula>"Napkin Hs"</formula>
    </cfRule>
  </conditionalFormatting>
  <conditionalFormatting sqref="C66">
    <cfRule type="cellIs" dxfId="33389" priority="23503" stopIfTrue="1" operator="equal">
      <formula>"Towel"</formula>
    </cfRule>
    <cfRule type="cellIs" dxfId="33388" priority="23504" stopIfTrue="1" operator="equal">
      <formula>"Napkin Hs"</formula>
    </cfRule>
  </conditionalFormatting>
  <conditionalFormatting sqref="C66">
    <cfRule type="cellIs" dxfId="33387" priority="23495" stopIfTrue="1" operator="equal">
      <formula>"Towel"</formula>
    </cfRule>
    <cfRule type="cellIs" dxfId="33386" priority="23496" stopIfTrue="1" operator="equal">
      <formula>"Napkin Hs"</formula>
    </cfRule>
  </conditionalFormatting>
  <conditionalFormatting sqref="C75">
    <cfRule type="cellIs" dxfId="33385" priority="23469" stopIfTrue="1" operator="equal">
      <formula>"Towel"</formula>
    </cfRule>
    <cfRule type="cellIs" dxfId="33384" priority="23470" stopIfTrue="1" operator="equal">
      <formula>"Napkin Hs"</formula>
    </cfRule>
  </conditionalFormatting>
  <conditionalFormatting sqref="C75">
    <cfRule type="cellIs" dxfId="33383" priority="23475" stopIfTrue="1" operator="equal">
      <formula>"Towel"</formula>
    </cfRule>
    <cfRule type="cellIs" dxfId="33382" priority="23476" stopIfTrue="1" operator="equal">
      <formula>"Napkin Hs"</formula>
    </cfRule>
  </conditionalFormatting>
  <conditionalFormatting sqref="C83">
    <cfRule type="cellIs" dxfId="33381" priority="23439" stopIfTrue="1" operator="equal">
      <formula>"Towel"</formula>
    </cfRule>
    <cfRule type="cellIs" dxfId="33380" priority="23440" stopIfTrue="1" operator="equal">
      <formula>"Napkin Hs"</formula>
    </cfRule>
  </conditionalFormatting>
  <conditionalFormatting sqref="C83:C84">
    <cfRule type="cellIs" dxfId="33379" priority="23435" stopIfTrue="1" operator="equal">
      <formula>"Towel"</formula>
    </cfRule>
    <cfRule type="cellIs" dxfId="33378" priority="23436" stopIfTrue="1" operator="equal">
      <formula>"Napkin Hs"</formula>
    </cfRule>
  </conditionalFormatting>
  <conditionalFormatting sqref="C84">
    <cfRule type="cellIs" dxfId="33377" priority="23427" stopIfTrue="1" operator="equal">
      <formula>"Towel"</formula>
    </cfRule>
    <cfRule type="cellIs" dxfId="33376" priority="23428" stopIfTrue="1" operator="equal">
      <formula>"Napkin Hs"</formula>
    </cfRule>
  </conditionalFormatting>
  <conditionalFormatting sqref="C93">
    <cfRule type="cellIs" dxfId="33375" priority="23383" stopIfTrue="1" operator="equal">
      <formula>"Towel"</formula>
    </cfRule>
    <cfRule type="cellIs" dxfId="33374" priority="23384" stopIfTrue="1" operator="equal">
      <formula>"Napkin Hs"</formula>
    </cfRule>
  </conditionalFormatting>
  <conditionalFormatting sqref="C93">
    <cfRule type="cellIs" dxfId="33373" priority="23393" stopIfTrue="1" operator="equal">
      <formula>"Towel"</formula>
    </cfRule>
    <cfRule type="cellIs" dxfId="33372" priority="23394" stopIfTrue="1" operator="equal">
      <formula>"Napkin Hs"</formula>
    </cfRule>
  </conditionalFormatting>
  <conditionalFormatting sqref="C97:C98">
    <cfRule type="cellIs" dxfId="33371" priority="23365" stopIfTrue="1" operator="equal">
      <formula>"Towel"</formula>
    </cfRule>
    <cfRule type="cellIs" dxfId="33370" priority="23366" stopIfTrue="1" operator="equal">
      <formula>"Napkin Hs"</formula>
    </cfRule>
  </conditionalFormatting>
  <conditionalFormatting sqref="C97">
    <cfRule type="cellIs" dxfId="33369" priority="23361" stopIfTrue="1" operator="equal">
      <formula>"Towel"</formula>
    </cfRule>
    <cfRule type="cellIs" dxfId="33368" priority="23362" stopIfTrue="1" operator="equal">
      <formula>"Napkin Hs"</formula>
    </cfRule>
  </conditionalFormatting>
  <conditionalFormatting sqref="C101">
    <cfRule type="cellIs" dxfId="33367" priority="23351" stopIfTrue="1" operator="equal">
      <formula>"Towel"</formula>
    </cfRule>
    <cfRule type="cellIs" dxfId="33366" priority="23352" stopIfTrue="1" operator="equal">
      <formula>"Napkin Hs"</formula>
    </cfRule>
  </conditionalFormatting>
  <conditionalFormatting sqref="C102:C103">
    <cfRule type="cellIs" dxfId="33365" priority="23339" stopIfTrue="1" operator="equal">
      <formula>"Towel"</formula>
    </cfRule>
    <cfRule type="cellIs" dxfId="33364" priority="23340" stopIfTrue="1" operator="equal">
      <formula>"Napkin Hs"</formula>
    </cfRule>
  </conditionalFormatting>
  <conditionalFormatting sqref="C103">
    <cfRule type="cellIs" dxfId="33363" priority="23335" stopIfTrue="1" operator="equal">
      <formula>"Towel"</formula>
    </cfRule>
    <cfRule type="cellIs" dxfId="33362" priority="23336" stopIfTrue="1" operator="equal">
      <formula>"Napkin Hs"</formula>
    </cfRule>
  </conditionalFormatting>
  <conditionalFormatting sqref="C114">
    <cfRule type="cellIs" dxfId="33361" priority="23287" stopIfTrue="1" operator="equal">
      <formula>"Towel"</formula>
    </cfRule>
    <cfRule type="cellIs" dxfId="33360" priority="23288" stopIfTrue="1" operator="equal">
      <formula>"Napkin Hs"</formula>
    </cfRule>
  </conditionalFormatting>
  <conditionalFormatting sqref="C115">
    <cfRule type="cellIs" dxfId="33359" priority="23277" stopIfTrue="1" operator="equal">
      <formula>"Towel"</formula>
    </cfRule>
    <cfRule type="cellIs" dxfId="33358" priority="23278" stopIfTrue="1" operator="equal">
      <formula>"Napkin Hs"</formula>
    </cfRule>
  </conditionalFormatting>
  <conditionalFormatting sqref="B37:C37">
    <cfRule type="cellIs" dxfId="33357" priority="23065" stopIfTrue="1" operator="equal">
      <formula>"Towel"</formula>
    </cfRule>
    <cfRule type="cellIs" dxfId="33356" priority="23066" stopIfTrue="1" operator="equal">
      <formula>"Napkin Hs"</formula>
    </cfRule>
  </conditionalFormatting>
  <conditionalFormatting sqref="C131 C135 C139:C145 C160:C161">
    <cfRule type="cellIs" dxfId="33355" priority="23229" stopIfTrue="1" operator="equal">
      <formula>"Towel"</formula>
    </cfRule>
    <cfRule type="cellIs" dxfId="33354" priority="23230" stopIfTrue="1" operator="equal">
      <formula>"Napkin Hs"</formula>
    </cfRule>
  </conditionalFormatting>
  <conditionalFormatting sqref="B16:C16">
    <cfRule type="cellIs" dxfId="33353" priority="23162" stopIfTrue="1" operator="equal">
      <formula>"Napkin Hs"</formula>
    </cfRule>
  </conditionalFormatting>
  <conditionalFormatting sqref="B16:C16">
    <cfRule type="cellIs" dxfId="33352" priority="23161" stopIfTrue="1" operator="equal">
      <formula>"Towel"</formula>
    </cfRule>
  </conditionalFormatting>
  <conditionalFormatting sqref="C16">
    <cfRule type="cellIs" dxfId="33351" priority="23160" stopIfTrue="1" operator="equal">
      <formula>"Napkin Hs"</formula>
    </cfRule>
  </conditionalFormatting>
  <conditionalFormatting sqref="C16">
    <cfRule type="cellIs" dxfId="33350" priority="23155" stopIfTrue="1" operator="equal">
      <formula>"Towel"</formula>
    </cfRule>
    <cfRule type="cellIs" dxfId="33349" priority="23156" stopIfTrue="1" operator="equal">
      <formula>"Napkin Hs"</formula>
    </cfRule>
  </conditionalFormatting>
  <conditionalFormatting sqref="C16">
    <cfRule type="cellIs" dxfId="33348" priority="23159" stopIfTrue="1" operator="equal">
      <formula>"Towel"</formula>
    </cfRule>
  </conditionalFormatting>
  <conditionalFormatting sqref="C37">
    <cfRule type="cellIs" dxfId="33347" priority="23061" stopIfTrue="1" operator="equal">
      <formula>"Towel"</formula>
    </cfRule>
    <cfRule type="cellIs" dxfId="33346" priority="23062" stopIfTrue="1" operator="equal">
      <formula>"Napkin Hs"</formula>
    </cfRule>
  </conditionalFormatting>
  <conditionalFormatting sqref="B37:C37">
    <cfRule type="cellIs" dxfId="33345" priority="23042" stopIfTrue="1" operator="equal">
      <formula>"Napkin Hs"</formula>
    </cfRule>
  </conditionalFormatting>
  <conditionalFormatting sqref="B37:C37">
    <cfRule type="cellIs" dxfId="33344" priority="23041" stopIfTrue="1" operator="equal">
      <formula>"Towel"</formula>
    </cfRule>
  </conditionalFormatting>
  <conditionalFormatting sqref="C37">
    <cfRule type="cellIs" dxfId="33343" priority="23040" stopIfTrue="1" operator="equal">
      <formula>"Napkin Hs"</formula>
    </cfRule>
  </conditionalFormatting>
  <conditionalFormatting sqref="C37">
    <cfRule type="cellIs" dxfId="33342" priority="23037" stopIfTrue="1" operator="equal">
      <formula>"Towel"</formula>
    </cfRule>
    <cfRule type="cellIs" dxfId="33341" priority="23038" stopIfTrue="1" operator="equal">
      <formula>"Napkin Hs"</formula>
    </cfRule>
  </conditionalFormatting>
  <conditionalFormatting sqref="C37">
    <cfRule type="cellIs" dxfId="33340" priority="23039" stopIfTrue="1" operator="equal">
      <formula>"Towel"</formula>
    </cfRule>
  </conditionalFormatting>
  <conditionalFormatting sqref="B45:C45">
    <cfRule type="cellIs" dxfId="33339" priority="22939" stopIfTrue="1" operator="equal">
      <formula>"Towel"</formula>
    </cfRule>
    <cfRule type="cellIs" dxfId="33338" priority="22940" stopIfTrue="1" operator="equal">
      <formula>"Napkin Hs"</formula>
    </cfRule>
  </conditionalFormatting>
  <conditionalFormatting sqref="B46:C46">
    <cfRule type="cellIs" dxfId="33337" priority="22947" stopIfTrue="1" operator="equal">
      <formula>"Towel"</formula>
    </cfRule>
    <cfRule type="cellIs" dxfId="33336" priority="22948" stopIfTrue="1" operator="equal">
      <formula>"Napkin Hs"</formula>
    </cfRule>
  </conditionalFormatting>
  <conditionalFormatting sqref="C45:C46">
    <cfRule type="cellIs" dxfId="33335" priority="22937" stopIfTrue="1" operator="equal">
      <formula>"Towel"</formula>
    </cfRule>
    <cfRule type="cellIs" dxfId="33334" priority="22938" stopIfTrue="1" operator="equal">
      <formula>"Napkin Hs"</formula>
    </cfRule>
  </conditionalFormatting>
  <conditionalFormatting sqref="C45">
    <cfRule type="cellIs" dxfId="33333" priority="22935" stopIfTrue="1" operator="equal">
      <formula>"Towel"</formula>
    </cfRule>
    <cfRule type="cellIs" dxfId="33332" priority="22936" stopIfTrue="1" operator="equal">
      <formula>"Napkin Hs"</formula>
    </cfRule>
  </conditionalFormatting>
  <conditionalFormatting sqref="C46">
    <cfRule type="cellIs" dxfId="33331" priority="22945" stopIfTrue="1" operator="equal">
      <formula>"Towel"</formula>
    </cfRule>
    <cfRule type="cellIs" dxfId="33330" priority="22946" stopIfTrue="1" operator="equal">
      <formula>"Napkin Hs"</formula>
    </cfRule>
  </conditionalFormatting>
  <conditionalFormatting sqref="B45:C45">
    <cfRule type="cellIs" dxfId="33329" priority="22909" stopIfTrue="1" operator="equal">
      <formula>"Towel"</formula>
    </cfRule>
    <cfRule type="cellIs" dxfId="33328" priority="22910" stopIfTrue="1" operator="equal">
      <formula>"Napkin Hs"</formula>
    </cfRule>
  </conditionalFormatting>
  <conditionalFormatting sqref="B46:C46">
    <cfRule type="cellIs" dxfId="33327" priority="22905" stopIfTrue="1" operator="equal">
      <formula>"Towel"</formula>
    </cfRule>
    <cfRule type="cellIs" dxfId="33326" priority="22906" stopIfTrue="1" operator="equal">
      <formula>"Napkin Hs"</formula>
    </cfRule>
  </conditionalFormatting>
  <conditionalFormatting sqref="C45">
    <cfRule type="cellIs" dxfId="33325" priority="22907" stopIfTrue="1" operator="equal">
      <formula>"Towel"</formula>
    </cfRule>
    <cfRule type="cellIs" dxfId="33324" priority="22908" stopIfTrue="1" operator="equal">
      <formula>"Napkin Hs"</formula>
    </cfRule>
  </conditionalFormatting>
  <conditionalFormatting sqref="C45:C46">
    <cfRule type="cellIs" dxfId="33323" priority="22903" stopIfTrue="1" operator="equal">
      <formula>"Towel"</formula>
    </cfRule>
    <cfRule type="cellIs" dxfId="33322" priority="22904" stopIfTrue="1" operator="equal">
      <formula>"Napkin Hs"</formula>
    </cfRule>
  </conditionalFormatting>
  <conditionalFormatting sqref="C46">
    <cfRule type="cellIs" dxfId="33321" priority="22901" stopIfTrue="1" operator="equal">
      <formula>"Towel"</formula>
    </cfRule>
    <cfRule type="cellIs" dxfId="33320" priority="22902" stopIfTrue="1" operator="equal">
      <formula>"Napkin Hs"</formula>
    </cfRule>
  </conditionalFormatting>
  <conditionalFormatting sqref="B46:C46">
    <cfRule type="cellIs" dxfId="33319" priority="22894" stopIfTrue="1" operator="equal">
      <formula>"Napkin Hs"</formula>
    </cfRule>
  </conditionalFormatting>
  <conditionalFormatting sqref="B46:C46">
    <cfRule type="cellIs" dxfId="33318" priority="22893" stopIfTrue="1" operator="equal">
      <formula>"Towel"</formula>
    </cfRule>
  </conditionalFormatting>
  <conditionalFormatting sqref="B45:C45">
    <cfRule type="cellIs" dxfId="33317" priority="22881" stopIfTrue="1" operator="equal">
      <formula>"Towel"</formula>
    </cfRule>
    <cfRule type="cellIs" dxfId="33316" priority="22882" stopIfTrue="1" operator="equal">
      <formula>"Napkin Hs"</formula>
    </cfRule>
  </conditionalFormatting>
  <conditionalFormatting sqref="C46">
    <cfRule type="cellIs" dxfId="33315" priority="22892" stopIfTrue="1" operator="equal">
      <formula>"Napkin Hs"</formula>
    </cfRule>
  </conditionalFormatting>
  <conditionalFormatting sqref="C46">
    <cfRule type="cellIs" dxfId="33314" priority="22891" stopIfTrue="1" operator="equal">
      <formula>"Towel"</formula>
    </cfRule>
  </conditionalFormatting>
  <conditionalFormatting sqref="C45:C46">
    <cfRule type="cellIs" dxfId="33313" priority="22879" stopIfTrue="1" operator="equal">
      <formula>"Towel"</formula>
    </cfRule>
    <cfRule type="cellIs" dxfId="33312" priority="22880" stopIfTrue="1" operator="equal">
      <formula>"Napkin Hs"</formula>
    </cfRule>
  </conditionalFormatting>
  <conditionalFormatting sqref="C45">
    <cfRule type="cellIs" dxfId="33311" priority="22877" stopIfTrue="1" operator="equal">
      <formula>"Towel"</formula>
    </cfRule>
    <cfRule type="cellIs" dxfId="33310" priority="22878" stopIfTrue="1" operator="equal">
      <formula>"Napkin Hs"</formula>
    </cfRule>
  </conditionalFormatting>
  <conditionalFormatting sqref="C46">
    <cfRule type="cellIs" dxfId="33309" priority="22869" stopIfTrue="1" operator="equal">
      <formula>"Towel"</formula>
    </cfRule>
    <cfRule type="cellIs" dxfId="33308" priority="22870" stopIfTrue="1" operator="equal">
      <formula>"Napkin Hs"</formula>
    </cfRule>
  </conditionalFormatting>
  <conditionalFormatting sqref="B45:C45">
    <cfRule type="cellIs" dxfId="33307" priority="22862" stopIfTrue="1" operator="equal">
      <formula>"Napkin Hs"</formula>
    </cfRule>
  </conditionalFormatting>
  <conditionalFormatting sqref="B45:C45">
    <cfRule type="cellIs" dxfId="33306" priority="22861" stopIfTrue="1" operator="equal">
      <formula>"Towel"</formula>
    </cfRule>
  </conditionalFormatting>
  <conditionalFormatting sqref="C45">
    <cfRule type="cellIs" dxfId="33305" priority="22860" stopIfTrue="1" operator="equal">
      <formula>"Napkin Hs"</formula>
    </cfRule>
  </conditionalFormatting>
  <conditionalFormatting sqref="C45">
    <cfRule type="cellIs" dxfId="33304" priority="22857" stopIfTrue="1" operator="equal">
      <formula>"Towel"</formula>
    </cfRule>
    <cfRule type="cellIs" dxfId="33303" priority="22858" stopIfTrue="1" operator="equal">
      <formula>"Napkin Hs"</formula>
    </cfRule>
  </conditionalFormatting>
  <conditionalFormatting sqref="C45">
    <cfRule type="cellIs" dxfId="33302" priority="22859" stopIfTrue="1" operator="equal">
      <formula>"Towel"</formula>
    </cfRule>
  </conditionalFormatting>
  <conditionalFormatting sqref="B44:C44">
    <cfRule type="cellIs" dxfId="33301" priority="22802" stopIfTrue="1" operator="equal">
      <formula>"Napkin Hs"</formula>
    </cfRule>
  </conditionalFormatting>
  <conditionalFormatting sqref="B44:C44">
    <cfRule type="cellIs" dxfId="33300" priority="22801" stopIfTrue="1" operator="equal">
      <formula>"Towel"</formula>
    </cfRule>
  </conditionalFormatting>
  <conditionalFormatting sqref="C44">
    <cfRule type="cellIs" dxfId="33299" priority="22800" stopIfTrue="1" operator="equal">
      <formula>"Napkin Hs"</formula>
    </cfRule>
  </conditionalFormatting>
  <conditionalFormatting sqref="C44">
    <cfRule type="cellIs" dxfId="33298" priority="22799" stopIfTrue="1" operator="equal">
      <formula>"Towel"</formula>
    </cfRule>
  </conditionalFormatting>
  <conditionalFormatting sqref="C44">
    <cfRule type="cellIs" dxfId="33297" priority="22797" stopIfTrue="1" operator="equal">
      <formula>"Towel"</formula>
    </cfRule>
    <cfRule type="cellIs" dxfId="33296" priority="22798" stopIfTrue="1" operator="equal">
      <formula>"Napkin Hs"</formula>
    </cfRule>
  </conditionalFormatting>
  <conditionalFormatting sqref="B44:C44">
    <cfRule type="cellIs" dxfId="33295" priority="22795" stopIfTrue="1" operator="equal">
      <formula>"Towel"</formula>
    </cfRule>
    <cfRule type="cellIs" dxfId="33294" priority="22796" stopIfTrue="1" operator="equal">
      <formula>"Napkin Hs"</formula>
    </cfRule>
  </conditionalFormatting>
  <conditionalFormatting sqref="C44">
    <cfRule type="cellIs" dxfId="33293" priority="22793" stopIfTrue="1" operator="equal">
      <formula>"Towel"</formula>
    </cfRule>
    <cfRule type="cellIs" dxfId="33292" priority="22794" stopIfTrue="1" operator="equal">
      <formula>"Napkin Hs"</formula>
    </cfRule>
  </conditionalFormatting>
  <conditionalFormatting sqref="C44">
    <cfRule type="cellIs" dxfId="33291" priority="22791" stopIfTrue="1" operator="equal">
      <formula>"Towel"</formula>
    </cfRule>
    <cfRule type="cellIs" dxfId="33290" priority="22792" stopIfTrue="1" operator="equal">
      <formula>"Napkin Hs"</formula>
    </cfRule>
  </conditionalFormatting>
  <conditionalFormatting sqref="B44:C44">
    <cfRule type="cellIs" dxfId="33289" priority="22789" stopIfTrue="1" operator="equal">
      <formula>"Towel"</formula>
    </cfRule>
    <cfRule type="cellIs" dxfId="33288" priority="22790" stopIfTrue="1" operator="equal">
      <formula>"Napkin Hs"</formula>
    </cfRule>
  </conditionalFormatting>
  <conditionalFormatting sqref="C44">
    <cfRule type="cellIs" dxfId="33287" priority="22787" stopIfTrue="1" operator="equal">
      <formula>"Towel"</formula>
    </cfRule>
    <cfRule type="cellIs" dxfId="33286" priority="22788" stopIfTrue="1" operator="equal">
      <formula>"Napkin Hs"</formula>
    </cfRule>
  </conditionalFormatting>
  <conditionalFormatting sqref="C44">
    <cfRule type="cellIs" dxfId="33285" priority="22785" stopIfTrue="1" operator="equal">
      <formula>"Towel"</formula>
    </cfRule>
    <cfRule type="cellIs" dxfId="33284" priority="22786" stopIfTrue="1" operator="equal">
      <formula>"Napkin Hs"</formula>
    </cfRule>
  </conditionalFormatting>
  <conditionalFormatting sqref="B44:C44">
    <cfRule type="cellIs" dxfId="33283" priority="22783" stopIfTrue="1" operator="equal">
      <formula>"Towel"</formula>
    </cfRule>
    <cfRule type="cellIs" dxfId="33282" priority="22784" stopIfTrue="1" operator="equal">
      <formula>"Napkin Hs"</formula>
    </cfRule>
  </conditionalFormatting>
  <conditionalFormatting sqref="C44">
    <cfRule type="cellIs" dxfId="33281" priority="22781" stopIfTrue="1" operator="equal">
      <formula>"Towel"</formula>
    </cfRule>
    <cfRule type="cellIs" dxfId="33280" priority="22782" stopIfTrue="1" operator="equal">
      <formula>"Napkin Hs"</formula>
    </cfRule>
  </conditionalFormatting>
  <conditionalFormatting sqref="C44">
    <cfRule type="cellIs" dxfId="33279" priority="22779" stopIfTrue="1" operator="equal">
      <formula>"Towel"</formula>
    </cfRule>
    <cfRule type="cellIs" dxfId="33278" priority="22780" stopIfTrue="1" operator="equal">
      <formula>"Napkin Hs"</formula>
    </cfRule>
  </conditionalFormatting>
  <conditionalFormatting sqref="B44:C44">
    <cfRule type="cellIs" dxfId="33277" priority="22777" stopIfTrue="1" operator="equal">
      <formula>"Towel"</formula>
    </cfRule>
    <cfRule type="cellIs" dxfId="33276" priority="22778" stopIfTrue="1" operator="equal">
      <formula>"Napkin Hs"</formula>
    </cfRule>
  </conditionalFormatting>
  <conditionalFormatting sqref="C44">
    <cfRule type="cellIs" dxfId="33275" priority="22775" stopIfTrue="1" operator="equal">
      <formula>"Towel"</formula>
    </cfRule>
    <cfRule type="cellIs" dxfId="33274" priority="22776" stopIfTrue="1" operator="equal">
      <formula>"Napkin Hs"</formula>
    </cfRule>
  </conditionalFormatting>
  <conditionalFormatting sqref="C44">
    <cfRule type="cellIs" dxfId="33273" priority="22773" stopIfTrue="1" operator="equal">
      <formula>"Towel"</formula>
    </cfRule>
    <cfRule type="cellIs" dxfId="33272" priority="22774" stopIfTrue="1" operator="equal">
      <formula>"Napkin Hs"</formula>
    </cfRule>
  </conditionalFormatting>
  <conditionalFormatting sqref="B44:C44">
    <cfRule type="cellIs" dxfId="33271" priority="22771" stopIfTrue="1" operator="equal">
      <formula>"Towel"</formula>
    </cfRule>
    <cfRule type="cellIs" dxfId="33270" priority="22772" stopIfTrue="1" operator="equal">
      <formula>"Napkin Hs"</formula>
    </cfRule>
  </conditionalFormatting>
  <conditionalFormatting sqref="C44">
    <cfRule type="cellIs" dxfId="33269" priority="22769" stopIfTrue="1" operator="equal">
      <formula>"Towel"</formula>
    </cfRule>
    <cfRule type="cellIs" dxfId="33268" priority="22770" stopIfTrue="1" operator="equal">
      <formula>"Napkin Hs"</formula>
    </cfRule>
  </conditionalFormatting>
  <conditionalFormatting sqref="C44">
    <cfRule type="cellIs" dxfId="33267" priority="22767" stopIfTrue="1" operator="equal">
      <formula>"Towel"</formula>
    </cfRule>
    <cfRule type="cellIs" dxfId="33266" priority="22768" stopIfTrue="1" operator="equal">
      <formula>"Napkin Hs"</formula>
    </cfRule>
  </conditionalFormatting>
  <conditionalFormatting sqref="B44:C44">
    <cfRule type="cellIs" dxfId="33265" priority="22766" stopIfTrue="1" operator="equal">
      <formula>"Napkin Hs"</formula>
    </cfRule>
  </conditionalFormatting>
  <conditionalFormatting sqref="B44:C44">
    <cfRule type="cellIs" dxfId="33264" priority="22765" stopIfTrue="1" operator="equal">
      <formula>"Towel"</formula>
    </cfRule>
  </conditionalFormatting>
  <conditionalFormatting sqref="C44">
    <cfRule type="cellIs" dxfId="33263" priority="22764" stopIfTrue="1" operator="equal">
      <formula>"Napkin Hs"</formula>
    </cfRule>
  </conditionalFormatting>
  <conditionalFormatting sqref="C44">
    <cfRule type="cellIs" dxfId="33262" priority="22761" stopIfTrue="1" operator="equal">
      <formula>"Towel"</formula>
    </cfRule>
    <cfRule type="cellIs" dxfId="33261" priority="22762" stopIfTrue="1" operator="equal">
      <formula>"Napkin Hs"</formula>
    </cfRule>
  </conditionalFormatting>
  <conditionalFormatting sqref="C44">
    <cfRule type="cellIs" dxfId="33260" priority="22763" stopIfTrue="1" operator="equal">
      <formula>"Towel"</formula>
    </cfRule>
  </conditionalFormatting>
  <conditionalFormatting sqref="B51:C51">
    <cfRule type="cellIs" dxfId="33259" priority="22759" stopIfTrue="1" operator="equal">
      <formula>"Towel"</formula>
    </cfRule>
    <cfRule type="cellIs" dxfId="33258" priority="22760" stopIfTrue="1" operator="equal">
      <formula>"Napkin Hs"</formula>
    </cfRule>
  </conditionalFormatting>
  <conditionalFormatting sqref="C51">
    <cfRule type="cellIs" dxfId="33257" priority="22753" stopIfTrue="1" operator="equal">
      <formula>"Towel"</formula>
    </cfRule>
    <cfRule type="cellIs" dxfId="33256" priority="22754" stopIfTrue="1" operator="equal">
      <formula>"Napkin Hs"</formula>
    </cfRule>
  </conditionalFormatting>
  <conditionalFormatting sqref="C51">
    <cfRule type="cellIs" dxfId="33255" priority="22757" stopIfTrue="1" operator="equal">
      <formula>"Towel"</formula>
    </cfRule>
    <cfRule type="cellIs" dxfId="33254" priority="22758" stopIfTrue="1" operator="equal">
      <formula>"Napkin Hs"</formula>
    </cfRule>
  </conditionalFormatting>
  <conditionalFormatting sqref="B51:C51">
    <cfRule type="cellIs" dxfId="33253" priority="22749" stopIfTrue="1" operator="equal">
      <formula>"Towel"</formula>
    </cfRule>
    <cfRule type="cellIs" dxfId="33252" priority="22750" stopIfTrue="1" operator="equal">
      <formula>"Napkin Hs"</formula>
    </cfRule>
  </conditionalFormatting>
  <conditionalFormatting sqref="C51">
    <cfRule type="cellIs" dxfId="33251" priority="22743" stopIfTrue="1" operator="equal">
      <formula>"Towel"</formula>
    </cfRule>
    <cfRule type="cellIs" dxfId="33250" priority="22744" stopIfTrue="1" operator="equal">
      <formula>"Napkin Hs"</formula>
    </cfRule>
  </conditionalFormatting>
  <conditionalFormatting sqref="C51">
    <cfRule type="cellIs" dxfId="33249" priority="22747" stopIfTrue="1" operator="equal">
      <formula>"Towel"</formula>
    </cfRule>
    <cfRule type="cellIs" dxfId="33248" priority="22748" stopIfTrue="1" operator="equal">
      <formula>"Napkin Hs"</formula>
    </cfRule>
  </conditionalFormatting>
  <conditionalFormatting sqref="B51:C51">
    <cfRule type="cellIs" dxfId="33247" priority="22735" stopIfTrue="1" operator="equal">
      <formula>"Towel"</formula>
    </cfRule>
    <cfRule type="cellIs" dxfId="33246" priority="22736" stopIfTrue="1" operator="equal">
      <formula>"Napkin Hs"</formula>
    </cfRule>
  </conditionalFormatting>
  <conditionalFormatting sqref="C51">
    <cfRule type="cellIs" dxfId="33245" priority="22733" stopIfTrue="1" operator="equal">
      <formula>"Towel"</formula>
    </cfRule>
    <cfRule type="cellIs" dxfId="33244" priority="22734" stopIfTrue="1" operator="equal">
      <formula>"Napkin Hs"</formula>
    </cfRule>
  </conditionalFormatting>
  <conditionalFormatting sqref="C51">
    <cfRule type="cellIs" dxfId="33243" priority="22731" stopIfTrue="1" operator="equal">
      <formula>"Towel"</formula>
    </cfRule>
    <cfRule type="cellIs" dxfId="33242" priority="22732" stopIfTrue="1" operator="equal">
      <formula>"Napkin Hs"</formula>
    </cfRule>
  </conditionalFormatting>
  <conditionalFormatting sqref="B51:C51">
    <cfRule type="cellIs" dxfId="33241" priority="22730" stopIfTrue="1" operator="equal">
      <formula>"Napkin Hs"</formula>
    </cfRule>
  </conditionalFormatting>
  <conditionalFormatting sqref="B51:C51">
    <cfRule type="cellIs" dxfId="33240" priority="22729" stopIfTrue="1" operator="equal">
      <formula>"Towel"</formula>
    </cfRule>
  </conditionalFormatting>
  <conditionalFormatting sqref="C51">
    <cfRule type="cellIs" dxfId="33239" priority="22728" stopIfTrue="1" operator="equal">
      <formula>"Napkin Hs"</formula>
    </cfRule>
  </conditionalFormatting>
  <conditionalFormatting sqref="C51">
    <cfRule type="cellIs" dxfId="33238" priority="22727" stopIfTrue="1" operator="equal">
      <formula>"Towel"</formula>
    </cfRule>
  </conditionalFormatting>
  <conditionalFormatting sqref="C51">
    <cfRule type="cellIs" dxfId="33237" priority="22723" stopIfTrue="1" operator="equal">
      <formula>"Towel"</formula>
    </cfRule>
    <cfRule type="cellIs" dxfId="33236" priority="22724" stopIfTrue="1" operator="equal">
      <formula>"Napkin Hs"</formula>
    </cfRule>
  </conditionalFormatting>
  <conditionalFormatting sqref="C51">
    <cfRule type="cellIs" dxfId="33235" priority="22713" stopIfTrue="1" operator="equal">
      <formula>"Towel"</formula>
    </cfRule>
    <cfRule type="cellIs" dxfId="33234" priority="22714" stopIfTrue="1" operator="equal">
      <formula>"Napkin Hs"</formula>
    </cfRule>
  </conditionalFormatting>
  <conditionalFormatting sqref="C64">
    <cfRule type="cellIs" dxfId="33233" priority="22197" stopIfTrue="1" operator="equal">
      <formula>"Towel"</formula>
    </cfRule>
    <cfRule type="cellIs" dxfId="33232" priority="22198" stopIfTrue="1" operator="equal">
      <formula>"Napkin Hs"</formula>
    </cfRule>
  </conditionalFormatting>
  <conditionalFormatting sqref="B64:C64">
    <cfRule type="cellIs" dxfId="33231" priority="22195" stopIfTrue="1" operator="equal">
      <formula>"Towel"</formula>
    </cfRule>
    <cfRule type="cellIs" dxfId="33230" priority="22196" stopIfTrue="1" operator="equal">
      <formula>"Napkin Hs"</formula>
    </cfRule>
  </conditionalFormatting>
  <conditionalFormatting sqref="C64">
    <cfRule type="cellIs" dxfId="33229" priority="22193" stopIfTrue="1" operator="equal">
      <formula>"Towel"</formula>
    </cfRule>
    <cfRule type="cellIs" dxfId="33228" priority="22194" stopIfTrue="1" operator="equal">
      <formula>"Napkin Hs"</formula>
    </cfRule>
  </conditionalFormatting>
  <conditionalFormatting sqref="C64">
    <cfRule type="cellIs" dxfId="33227" priority="22185" stopIfTrue="1" operator="equal">
      <formula>"Towel"</formula>
    </cfRule>
    <cfRule type="cellIs" dxfId="33226" priority="22186" stopIfTrue="1" operator="equal">
      <formula>"Napkin Hs"</formula>
    </cfRule>
  </conditionalFormatting>
  <conditionalFormatting sqref="B64:C64">
    <cfRule type="cellIs" dxfId="33225" priority="22261" stopIfTrue="1" operator="equal">
      <formula>"Towel"</formula>
    </cfRule>
    <cfRule type="cellIs" dxfId="33224" priority="22262" stopIfTrue="1" operator="equal">
      <formula>"Napkin Hs"</formula>
    </cfRule>
  </conditionalFormatting>
  <conditionalFormatting sqref="B65:C65">
    <cfRule type="cellIs" dxfId="33223" priority="22265" stopIfTrue="1" operator="equal">
      <formula>"Towel"</formula>
    </cfRule>
    <cfRule type="cellIs" dxfId="33222" priority="22266" stopIfTrue="1" operator="equal">
      <formula>"Napkin Hs"</formula>
    </cfRule>
  </conditionalFormatting>
  <conditionalFormatting sqref="C64">
    <cfRule type="cellIs" dxfId="33221" priority="22257" stopIfTrue="1" operator="equal">
      <formula>"Towel"</formula>
    </cfRule>
    <cfRule type="cellIs" dxfId="33220" priority="22258" stopIfTrue="1" operator="equal">
      <formula>"Napkin Hs"</formula>
    </cfRule>
  </conditionalFormatting>
  <conditionalFormatting sqref="C64:C65">
    <cfRule type="cellIs" dxfId="33219" priority="22259" stopIfTrue="1" operator="equal">
      <formula>"Towel"</formula>
    </cfRule>
    <cfRule type="cellIs" dxfId="33218" priority="22260" stopIfTrue="1" operator="equal">
      <formula>"Napkin Hs"</formula>
    </cfRule>
  </conditionalFormatting>
  <conditionalFormatting sqref="C65">
    <cfRule type="cellIs" dxfId="33217" priority="22263" stopIfTrue="1" operator="equal">
      <formula>"Towel"</formula>
    </cfRule>
    <cfRule type="cellIs" dxfId="33216" priority="22264" stopIfTrue="1" operator="equal">
      <formula>"Napkin Hs"</formula>
    </cfRule>
  </conditionalFormatting>
  <conditionalFormatting sqref="B65:C65">
    <cfRule type="cellIs" dxfId="33215" priority="22255" stopIfTrue="1" operator="equal">
      <formula>"Towel"</formula>
    </cfRule>
    <cfRule type="cellIs" dxfId="33214" priority="22256" stopIfTrue="1" operator="equal">
      <formula>"Napkin Hs"</formula>
    </cfRule>
  </conditionalFormatting>
  <conditionalFormatting sqref="C65">
    <cfRule type="cellIs" dxfId="33213" priority="22251" stopIfTrue="1" operator="equal">
      <formula>"Towel"</formula>
    </cfRule>
    <cfRule type="cellIs" dxfId="33212" priority="22252" stopIfTrue="1" operator="equal">
      <formula>"Napkin Hs"</formula>
    </cfRule>
  </conditionalFormatting>
  <conditionalFormatting sqref="C65">
    <cfRule type="cellIs" dxfId="33211" priority="22253" stopIfTrue="1" operator="equal">
      <formula>"Towel"</formula>
    </cfRule>
    <cfRule type="cellIs" dxfId="33210" priority="22254" stopIfTrue="1" operator="equal">
      <formula>"Napkin Hs"</formula>
    </cfRule>
  </conditionalFormatting>
  <conditionalFormatting sqref="B65:C65">
    <cfRule type="cellIs" dxfId="33209" priority="22249" stopIfTrue="1" operator="equal">
      <formula>"Towel"</formula>
    </cfRule>
    <cfRule type="cellIs" dxfId="33208" priority="22250" stopIfTrue="1" operator="equal">
      <formula>"Napkin Hs"</formula>
    </cfRule>
  </conditionalFormatting>
  <conditionalFormatting sqref="C65">
    <cfRule type="cellIs" dxfId="33207" priority="22247" stopIfTrue="1" operator="equal">
      <formula>"Towel"</formula>
    </cfRule>
    <cfRule type="cellIs" dxfId="33206" priority="22248" stopIfTrue="1" operator="equal">
      <formula>"Napkin Hs"</formula>
    </cfRule>
  </conditionalFormatting>
  <conditionalFormatting sqref="C65">
    <cfRule type="cellIs" dxfId="33205" priority="22245" stopIfTrue="1" operator="equal">
      <formula>"Towel"</formula>
    </cfRule>
    <cfRule type="cellIs" dxfId="33204" priority="22246" stopIfTrue="1" operator="equal">
      <formula>"Napkin Hs"</formula>
    </cfRule>
  </conditionalFormatting>
  <conditionalFormatting sqref="B65:C65">
    <cfRule type="cellIs" dxfId="33203" priority="22243" stopIfTrue="1" operator="equal">
      <formula>"Towel"</formula>
    </cfRule>
    <cfRule type="cellIs" dxfId="33202" priority="22244" stopIfTrue="1" operator="equal">
      <formula>"Napkin Hs"</formula>
    </cfRule>
  </conditionalFormatting>
  <conditionalFormatting sqref="C65">
    <cfRule type="cellIs" dxfId="33201" priority="22241" stopIfTrue="1" operator="equal">
      <formula>"Towel"</formula>
    </cfRule>
    <cfRule type="cellIs" dxfId="33200" priority="22242" stopIfTrue="1" operator="equal">
      <formula>"Napkin Hs"</formula>
    </cfRule>
  </conditionalFormatting>
  <conditionalFormatting sqref="C65">
    <cfRule type="cellIs" dxfId="33199" priority="22239" stopIfTrue="1" operator="equal">
      <formula>"Towel"</formula>
    </cfRule>
    <cfRule type="cellIs" dxfId="33198" priority="22240" stopIfTrue="1" operator="equal">
      <formula>"Napkin Hs"</formula>
    </cfRule>
  </conditionalFormatting>
  <conditionalFormatting sqref="B65:C65">
    <cfRule type="cellIs" dxfId="33197" priority="22237" stopIfTrue="1" operator="equal">
      <formula>"Towel"</formula>
    </cfRule>
    <cfRule type="cellIs" dxfId="33196" priority="22238" stopIfTrue="1" operator="equal">
      <formula>"Napkin Hs"</formula>
    </cfRule>
  </conditionalFormatting>
  <conditionalFormatting sqref="C65">
    <cfRule type="cellIs" dxfId="33195" priority="22235" stopIfTrue="1" operator="equal">
      <formula>"Towel"</formula>
    </cfRule>
    <cfRule type="cellIs" dxfId="33194" priority="22236" stopIfTrue="1" operator="equal">
      <formula>"Napkin Hs"</formula>
    </cfRule>
  </conditionalFormatting>
  <conditionalFormatting sqref="C65">
    <cfRule type="cellIs" dxfId="33193" priority="22233" stopIfTrue="1" operator="equal">
      <formula>"Towel"</formula>
    </cfRule>
    <cfRule type="cellIs" dxfId="33192" priority="22234" stopIfTrue="1" operator="equal">
      <formula>"Napkin Hs"</formula>
    </cfRule>
  </conditionalFormatting>
  <conditionalFormatting sqref="B65:C65">
    <cfRule type="cellIs" dxfId="33191" priority="22232" stopIfTrue="1" operator="equal">
      <formula>"Napkin Hs"</formula>
    </cfRule>
  </conditionalFormatting>
  <conditionalFormatting sqref="B65:C65">
    <cfRule type="cellIs" dxfId="33190" priority="22231" stopIfTrue="1" operator="equal">
      <formula>"Towel"</formula>
    </cfRule>
  </conditionalFormatting>
  <conditionalFormatting sqref="C65">
    <cfRule type="cellIs" dxfId="33189" priority="22230" stopIfTrue="1" operator="equal">
      <formula>"Napkin Hs"</formula>
    </cfRule>
  </conditionalFormatting>
  <conditionalFormatting sqref="C65">
    <cfRule type="cellIs" dxfId="33188" priority="22227" stopIfTrue="1" operator="equal">
      <formula>"Towel"</formula>
    </cfRule>
    <cfRule type="cellIs" dxfId="33187" priority="22228" stopIfTrue="1" operator="equal">
      <formula>"Napkin Hs"</formula>
    </cfRule>
  </conditionalFormatting>
  <conditionalFormatting sqref="C65">
    <cfRule type="cellIs" dxfId="33186" priority="22229" stopIfTrue="1" operator="equal">
      <formula>"Towel"</formula>
    </cfRule>
  </conditionalFormatting>
  <conditionalFormatting sqref="B64:C64">
    <cfRule type="cellIs" dxfId="33185" priority="22226" stopIfTrue="1" operator="equal">
      <formula>"Napkin Hs"</formula>
    </cfRule>
  </conditionalFormatting>
  <conditionalFormatting sqref="B64:C64">
    <cfRule type="cellIs" dxfId="33184" priority="22225" stopIfTrue="1" operator="equal">
      <formula>"Towel"</formula>
    </cfRule>
  </conditionalFormatting>
  <conditionalFormatting sqref="C64">
    <cfRule type="cellIs" dxfId="33183" priority="22224" stopIfTrue="1" operator="equal">
      <formula>"Napkin Hs"</formula>
    </cfRule>
  </conditionalFormatting>
  <conditionalFormatting sqref="C64">
    <cfRule type="cellIs" dxfId="33182" priority="22223" stopIfTrue="1" operator="equal">
      <formula>"Towel"</formula>
    </cfRule>
  </conditionalFormatting>
  <conditionalFormatting sqref="C64">
    <cfRule type="cellIs" dxfId="33181" priority="22221" stopIfTrue="1" operator="equal">
      <formula>"Towel"</formula>
    </cfRule>
    <cfRule type="cellIs" dxfId="33180" priority="22222" stopIfTrue="1" operator="equal">
      <formula>"Napkin Hs"</formula>
    </cfRule>
  </conditionalFormatting>
  <conditionalFormatting sqref="B64:C64">
    <cfRule type="cellIs" dxfId="33179" priority="22219" stopIfTrue="1" operator="equal">
      <formula>"Towel"</formula>
    </cfRule>
    <cfRule type="cellIs" dxfId="33178" priority="22220" stopIfTrue="1" operator="equal">
      <formula>"Napkin Hs"</formula>
    </cfRule>
  </conditionalFormatting>
  <conditionalFormatting sqref="C64">
    <cfRule type="cellIs" dxfId="33177" priority="22217" stopIfTrue="1" operator="equal">
      <formula>"Towel"</formula>
    </cfRule>
    <cfRule type="cellIs" dxfId="33176" priority="22218" stopIfTrue="1" operator="equal">
      <formula>"Napkin Hs"</formula>
    </cfRule>
  </conditionalFormatting>
  <conditionalFormatting sqref="C64">
    <cfRule type="cellIs" dxfId="33175" priority="22215" stopIfTrue="1" operator="equal">
      <formula>"Towel"</formula>
    </cfRule>
    <cfRule type="cellIs" dxfId="33174" priority="22216" stopIfTrue="1" operator="equal">
      <formula>"Napkin Hs"</formula>
    </cfRule>
  </conditionalFormatting>
  <conditionalFormatting sqref="B64:C64">
    <cfRule type="cellIs" dxfId="33173" priority="22213" stopIfTrue="1" operator="equal">
      <formula>"Towel"</formula>
    </cfRule>
    <cfRule type="cellIs" dxfId="33172" priority="22214" stopIfTrue="1" operator="equal">
      <formula>"Napkin Hs"</formula>
    </cfRule>
  </conditionalFormatting>
  <conditionalFormatting sqref="C64">
    <cfRule type="cellIs" dxfId="33171" priority="22211" stopIfTrue="1" operator="equal">
      <formula>"Towel"</formula>
    </cfRule>
    <cfRule type="cellIs" dxfId="33170" priority="22212" stopIfTrue="1" operator="equal">
      <formula>"Napkin Hs"</formula>
    </cfRule>
  </conditionalFormatting>
  <conditionalFormatting sqref="C64">
    <cfRule type="cellIs" dxfId="33169" priority="22209" stopIfTrue="1" operator="equal">
      <formula>"Towel"</formula>
    </cfRule>
    <cfRule type="cellIs" dxfId="33168" priority="22210" stopIfTrue="1" operator="equal">
      <formula>"Napkin Hs"</formula>
    </cfRule>
  </conditionalFormatting>
  <conditionalFormatting sqref="B64:C64">
    <cfRule type="cellIs" dxfId="33167" priority="22207" stopIfTrue="1" operator="equal">
      <formula>"Towel"</formula>
    </cfRule>
    <cfRule type="cellIs" dxfId="33166" priority="22208" stopIfTrue="1" operator="equal">
      <formula>"Napkin Hs"</formula>
    </cfRule>
  </conditionalFormatting>
  <conditionalFormatting sqref="C64">
    <cfRule type="cellIs" dxfId="33165" priority="22205" stopIfTrue="1" operator="equal">
      <formula>"Towel"</formula>
    </cfRule>
    <cfRule type="cellIs" dxfId="33164" priority="22206" stopIfTrue="1" operator="equal">
      <formula>"Napkin Hs"</formula>
    </cfRule>
  </conditionalFormatting>
  <conditionalFormatting sqref="C64">
    <cfRule type="cellIs" dxfId="33163" priority="22203" stopIfTrue="1" operator="equal">
      <formula>"Towel"</formula>
    </cfRule>
    <cfRule type="cellIs" dxfId="33162" priority="22204" stopIfTrue="1" operator="equal">
      <formula>"Napkin Hs"</formula>
    </cfRule>
  </conditionalFormatting>
  <conditionalFormatting sqref="B64:C64">
    <cfRule type="cellIs" dxfId="33161" priority="22201" stopIfTrue="1" operator="equal">
      <formula>"Towel"</formula>
    </cfRule>
    <cfRule type="cellIs" dxfId="33160" priority="22202" stopIfTrue="1" operator="equal">
      <formula>"Napkin Hs"</formula>
    </cfRule>
  </conditionalFormatting>
  <conditionalFormatting sqref="C64">
    <cfRule type="cellIs" dxfId="33159" priority="22199" stopIfTrue="1" operator="equal">
      <formula>"Towel"</formula>
    </cfRule>
    <cfRule type="cellIs" dxfId="33158" priority="22200" stopIfTrue="1" operator="equal">
      <formula>"Napkin Hs"</formula>
    </cfRule>
  </conditionalFormatting>
  <conditionalFormatting sqref="C64">
    <cfRule type="cellIs" dxfId="33157" priority="22191" stopIfTrue="1" operator="equal">
      <formula>"Towel"</formula>
    </cfRule>
    <cfRule type="cellIs" dxfId="33156" priority="22192" stopIfTrue="1" operator="equal">
      <formula>"Napkin Hs"</formula>
    </cfRule>
  </conditionalFormatting>
  <conditionalFormatting sqref="B64:C64">
    <cfRule type="cellIs" dxfId="33155" priority="22190" stopIfTrue="1" operator="equal">
      <formula>"Napkin Hs"</formula>
    </cfRule>
  </conditionalFormatting>
  <conditionalFormatting sqref="B64:C64">
    <cfRule type="cellIs" dxfId="33154" priority="22189" stopIfTrue="1" operator="equal">
      <formula>"Towel"</formula>
    </cfRule>
  </conditionalFormatting>
  <conditionalFormatting sqref="C64">
    <cfRule type="cellIs" dxfId="33153" priority="22188" stopIfTrue="1" operator="equal">
      <formula>"Napkin Hs"</formula>
    </cfRule>
  </conditionalFormatting>
  <conditionalFormatting sqref="C64">
    <cfRule type="cellIs" dxfId="33152" priority="22187" stopIfTrue="1" operator="equal">
      <formula>"Towel"</formula>
    </cfRule>
  </conditionalFormatting>
  <conditionalFormatting sqref="B63:C63">
    <cfRule type="cellIs" dxfId="33151" priority="22183" stopIfTrue="1" operator="equal">
      <formula>"Towel"</formula>
    </cfRule>
    <cfRule type="cellIs" dxfId="33150" priority="22184" stopIfTrue="1" operator="equal">
      <formula>"Napkin Hs"</formula>
    </cfRule>
  </conditionalFormatting>
  <conditionalFormatting sqref="C63">
    <cfRule type="cellIs" dxfId="33149" priority="22179" stopIfTrue="1" operator="equal">
      <formula>"Towel"</formula>
    </cfRule>
    <cfRule type="cellIs" dxfId="33148" priority="22180" stopIfTrue="1" operator="equal">
      <formula>"Napkin Hs"</formula>
    </cfRule>
  </conditionalFormatting>
  <conditionalFormatting sqref="C63">
    <cfRule type="cellIs" dxfId="33147" priority="22181" stopIfTrue="1" operator="equal">
      <formula>"Towel"</formula>
    </cfRule>
    <cfRule type="cellIs" dxfId="33146" priority="22182" stopIfTrue="1" operator="equal">
      <formula>"Napkin Hs"</formula>
    </cfRule>
  </conditionalFormatting>
  <conditionalFormatting sqref="B63:C63">
    <cfRule type="cellIs" dxfId="33145" priority="22178" stopIfTrue="1" operator="equal">
      <formula>"Napkin Hs"</formula>
    </cfRule>
  </conditionalFormatting>
  <conditionalFormatting sqref="B63:C63">
    <cfRule type="cellIs" dxfId="33144" priority="22177" stopIfTrue="1" operator="equal">
      <formula>"Towel"</formula>
    </cfRule>
  </conditionalFormatting>
  <conditionalFormatting sqref="C63">
    <cfRule type="cellIs" dxfId="33143" priority="22176" stopIfTrue="1" operator="equal">
      <formula>"Napkin Hs"</formula>
    </cfRule>
  </conditionalFormatting>
  <conditionalFormatting sqref="C63">
    <cfRule type="cellIs" dxfId="33142" priority="22175" stopIfTrue="1" operator="equal">
      <formula>"Towel"</formula>
    </cfRule>
  </conditionalFormatting>
  <conditionalFormatting sqref="C63">
    <cfRule type="cellIs" dxfId="33141" priority="22173" stopIfTrue="1" operator="equal">
      <formula>"Towel"</formula>
    </cfRule>
    <cfRule type="cellIs" dxfId="33140" priority="22174" stopIfTrue="1" operator="equal">
      <formula>"Napkin Hs"</formula>
    </cfRule>
  </conditionalFormatting>
  <conditionalFormatting sqref="B63:C63">
    <cfRule type="cellIs" dxfId="33139" priority="22171" stopIfTrue="1" operator="equal">
      <formula>"Towel"</formula>
    </cfRule>
    <cfRule type="cellIs" dxfId="33138" priority="22172" stopIfTrue="1" operator="equal">
      <formula>"Napkin Hs"</formula>
    </cfRule>
  </conditionalFormatting>
  <conditionalFormatting sqref="C63">
    <cfRule type="cellIs" dxfId="33137" priority="22169" stopIfTrue="1" operator="equal">
      <formula>"Towel"</formula>
    </cfRule>
    <cfRule type="cellIs" dxfId="33136" priority="22170" stopIfTrue="1" operator="equal">
      <formula>"Napkin Hs"</formula>
    </cfRule>
  </conditionalFormatting>
  <conditionalFormatting sqref="C63">
    <cfRule type="cellIs" dxfId="33135" priority="22167" stopIfTrue="1" operator="equal">
      <formula>"Towel"</formula>
    </cfRule>
    <cfRule type="cellIs" dxfId="33134" priority="22168" stopIfTrue="1" operator="equal">
      <formula>"Napkin Hs"</formula>
    </cfRule>
  </conditionalFormatting>
  <conditionalFormatting sqref="B63:C63">
    <cfRule type="cellIs" dxfId="33133" priority="22165" stopIfTrue="1" operator="equal">
      <formula>"Towel"</formula>
    </cfRule>
    <cfRule type="cellIs" dxfId="33132" priority="22166" stopIfTrue="1" operator="equal">
      <formula>"Napkin Hs"</formula>
    </cfRule>
  </conditionalFormatting>
  <conditionalFormatting sqref="C63">
    <cfRule type="cellIs" dxfId="33131" priority="22163" stopIfTrue="1" operator="equal">
      <formula>"Towel"</formula>
    </cfRule>
    <cfRule type="cellIs" dxfId="33130" priority="22164" stopIfTrue="1" operator="equal">
      <formula>"Napkin Hs"</formula>
    </cfRule>
  </conditionalFormatting>
  <conditionalFormatting sqref="C63">
    <cfRule type="cellIs" dxfId="33129" priority="22161" stopIfTrue="1" operator="equal">
      <formula>"Towel"</formula>
    </cfRule>
    <cfRule type="cellIs" dxfId="33128" priority="22162" stopIfTrue="1" operator="equal">
      <formula>"Napkin Hs"</formula>
    </cfRule>
  </conditionalFormatting>
  <conditionalFormatting sqref="B63:C63">
    <cfRule type="cellIs" dxfId="33127" priority="22159" stopIfTrue="1" operator="equal">
      <formula>"Towel"</formula>
    </cfRule>
    <cfRule type="cellIs" dxfId="33126" priority="22160" stopIfTrue="1" operator="equal">
      <formula>"Napkin Hs"</formula>
    </cfRule>
  </conditionalFormatting>
  <conditionalFormatting sqref="C63">
    <cfRule type="cellIs" dxfId="33125" priority="22157" stopIfTrue="1" operator="equal">
      <formula>"Towel"</formula>
    </cfRule>
    <cfRule type="cellIs" dxfId="33124" priority="22158" stopIfTrue="1" operator="equal">
      <formula>"Napkin Hs"</formula>
    </cfRule>
  </conditionalFormatting>
  <conditionalFormatting sqref="C63">
    <cfRule type="cellIs" dxfId="33123" priority="22155" stopIfTrue="1" operator="equal">
      <formula>"Towel"</formula>
    </cfRule>
    <cfRule type="cellIs" dxfId="33122" priority="22156" stopIfTrue="1" operator="equal">
      <formula>"Napkin Hs"</formula>
    </cfRule>
  </conditionalFormatting>
  <conditionalFormatting sqref="B63:C63">
    <cfRule type="cellIs" dxfId="33121" priority="22153" stopIfTrue="1" operator="equal">
      <formula>"Towel"</formula>
    </cfRule>
    <cfRule type="cellIs" dxfId="33120" priority="22154" stopIfTrue="1" operator="equal">
      <formula>"Napkin Hs"</formula>
    </cfRule>
  </conditionalFormatting>
  <conditionalFormatting sqref="C63">
    <cfRule type="cellIs" dxfId="33119" priority="22151" stopIfTrue="1" operator="equal">
      <formula>"Towel"</formula>
    </cfRule>
    <cfRule type="cellIs" dxfId="33118" priority="22152" stopIfTrue="1" operator="equal">
      <formula>"Napkin Hs"</formula>
    </cfRule>
  </conditionalFormatting>
  <conditionalFormatting sqref="C63">
    <cfRule type="cellIs" dxfId="33117" priority="22149" stopIfTrue="1" operator="equal">
      <formula>"Towel"</formula>
    </cfRule>
    <cfRule type="cellIs" dxfId="33116" priority="22150" stopIfTrue="1" operator="equal">
      <formula>"Napkin Hs"</formula>
    </cfRule>
  </conditionalFormatting>
  <conditionalFormatting sqref="B63:C63">
    <cfRule type="cellIs" dxfId="33115" priority="22147" stopIfTrue="1" operator="equal">
      <formula>"Towel"</formula>
    </cfRule>
    <cfRule type="cellIs" dxfId="33114" priority="22148" stopIfTrue="1" operator="equal">
      <formula>"Napkin Hs"</formula>
    </cfRule>
  </conditionalFormatting>
  <conditionalFormatting sqref="C63">
    <cfRule type="cellIs" dxfId="33113" priority="22145" stopIfTrue="1" operator="equal">
      <formula>"Towel"</formula>
    </cfRule>
    <cfRule type="cellIs" dxfId="33112" priority="22146" stopIfTrue="1" operator="equal">
      <formula>"Napkin Hs"</formula>
    </cfRule>
  </conditionalFormatting>
  <conditionalFormatting sqref="C63">
    <cfRule type="cellIs" dxfId="33111" priority="22143" stopIfTrue="1" operator="equal">
      <formula>"Towel"</formula>
    </cfRule>
    <cfRule type="cellIs" dxfId="33110" priority="22144" stopIfTrue="1" operator="equal">
      <formula>"Napkin Hs"</formula>
    </cfRule>
  </conditionalFormatting>
  <conditionalFormatting sqref="B63:C63">
    <cfRule type="cellIs" dxfId="33109" priority="22142" stopIfTrue="1" operator="equal">
      <formula>"Napkin Hs"</formula>
    </cfRule>
  </conditionalFormatting>
  <conditionalFormatting sqref="B63:C63">
    <cfRule type="cellIs" dxfId="33108" priority="22141" stopIfTrue="1" operator="equal">
      <formula>"Towel"</formula>
    </cfRule>
  </conditionalFormatting>
  <conditionalFormatting sqref="C63">
    <cfRule type="cellIs" dxfId="33107" priority="22140" stopIfTrue="1" operator="equal">
      <formula>"Napkin Hs"</formula>
    </cfRule>
  </conditionalFormatting>
  <conditionalFormatting sqref="C63">
    <cfRule type="cellIs" dxfId="33106" priority="22137" stopIfTrue="1" operator="equal">
      <formula>"Towel"</formula>
    </cfRule>
    <cfRule type="cellIs" dxfId="33105" priority="22138" stopIfTrue="1" operator="equal">
      <formula>"Napkin Hs"</formula>
    </cfRule>
  </conditionalFormatting>
  <conditionalFormatting sqref="C63">
    <cfRule type="cellIs" dxfId="33104" priority="22139" stopIfTrue="1" operator="equal">
      <formula>"Towel"</formula>
    </cfRule>
  </conditionalFormatting>
  <conditionalFormatting sqref="C68">
    <cfRule type="cellIs" dxfId="33103" priority="22067" stopIfTrue="1" operator="equal">
      <formula>"Towel"</formula>
    </cfRule>
    <cfRule type="cellIs" dxfId="33102" priority="22068" stopIfTrue="1" operator="equal">
      <formula>"Napkin Hs"</formula>
    </cfRule>
  </conditionalFormatting>
  <conditionalFormatting sqref="B68:C68">
    <cfRule type="cellIs" dxfId="33101" priority="22065" stopIfTrue="1" operator="equal">
      <formula>"Towel"</formula>
    </cfRule>
    <cfRule type="cellIs" dxfId="33100" priority="22066" stopIfTrue="1" operator="equal">
      <formula>"Napkin Hs"</formula>
    </cfRule>
  </conditionalFormatting>
  <conditionalFormatting sqref="C68">
    <cfRule type="cellIs" dxfId="33099" priority="22063" stopIfTrue="1" operator="equal">
      <formula>"Towel"</formula>
    </cfRule>
    <cfRule type="cellIs" dxfId="33098" priority="22064" stopIfTrue="1" operator="equal">
      <formula>"Napkin Hs"</formula>
    </cfRule>
  </conditionalFormatting>
  <conditionalFormatting sqref="C68">
    <cfRule type="cellIs" dxfId="33097" priority="22055" stopIfTrue="1" operator="equal">
      <formula>"Towel"</formula>
    </cfRule>
    <cfRule type="cellIs" dxfId="33096" priority="22056" stopIfTrue="1" operator="equal">
      <formula>"Napkin Hs"</formula>
    </cfRule>
  </conditionalFormatting>
  <conditionalFormatting sqref="B68:C68">
    <cfRule type="cellIs" dxfId="33095" priority="22131" stopIfTrue="1" operator="equal">
      <formula>"Towel"</formula>
    </cfRule>
    <cfRule type="cellIs" dxfId="33094" priority="22132" stopIfTrue="1" operator="equal">
      <formula>"Napkin Hs"</formula>
    </cfRule>
  </conditionalFormatting>
  <conditionalFormatting sqref="C68">
    <cfRule type="cellIs" dxfId="33093" priority="22127" stopIfTrue="1" operator="equal">
      <formula>"Towel"</formula>
    </cfRule>
    <cfRule type="cellIs" dxfId="33092" priority="22128" stopIfTrue="1" operator="equal">
      <formula>"Napkin Hs"</formula>
    </cfRule>
  </conditionalFormatting>
  <conditionalFormatting sqref="C68">
    <cfRule type="cellIs" dxfId="33091" priority="22129" stopIfTrue="1" operator="equal">
      <formula>"Towel"</formula>
    </cfRule>
    <cfRule type="cellIs" dxfId="33090" priority="22130" stopIfTrue="1" operator="equal">
      <formula>"Napkin Hs"</formula>
    </cfRule>
  </conditionalFormatting>
  <conditionalFormatting sqref="B68:C68">
    <cfRule type="cellIs" dxfId="33089" priority="22096" stopIfTrue="1" operator="equal">
      <formula>"Napkin Hs"</formula>
    </cfRule>
  </conditionalFormatting>
  <conditionalFormatting sqref="B68:C68">
    <cfRule type="cellIs" dxfId="33088" priority="22095" stopIfTrue="1" operator="equal">
      <formula>"Towel"</formula>
    </cfRule>
  </conditionalFormatting>
  <conditionalFormatting sqref="C68">
    <cfRule type="cellIs" dxfId="33087" priority="22094" stopIfTrue="1" operator="equal">
      <formula>"Napkin Hs"</formula>
    </cfRule>
  </conditionalFormatting>
  <conditionalFormatting sqref="C68">
    <cfRule type="cellIs" dxfId="33086" priority="22093" stopIfTrue="1" operator="equal">
      <formula>"Towel"</formula>
    </cfRule>
  </conditionalFormatting>
  <conditionalFormatting sqref="C68">
    <cfRule type="cellIs" dxfId="33085" priority="22091" stopIfTrue="1" operator="equal">
      <formula>"Towel"</formula>
    </cfRule>
    <cfRule type="cellIs" dxfId="33084" priority="22092" stopIfTrue="1" operator="equal">
      <formula>"Napkin Hs"</formula>
    </cfRule>
  </conditionalFormatting>
  <conditionalFormatting sqref="B68:C68">
    <cfRule type="cellIs" dxfId="33083" priority="22089" stopIfTrue="1" operator="equal">
      <formula>"Towel"</formula>
    </cfRule>
    <cfRule type="cellIs" dxfId="33082" priority="22090" stopIfTrue="1" operator="equal">
      <formula>"Napkin Hs"</formula>
    </cfRule>
  </conditionalFormatting>
  <conditionalFormatting sqref="C68">
    <cfRule type="cellIs" dxfId="33081" priority="22087" stopIfTrue="1" operator="equal">
      <formula>"Towel"</formula>
    </cfRule>
    <cfRule type="cellIs" dxfId="33080" priority="22088" stopIfTrue="1" operator="equal">
      <formula>"Napkin Hs"</formula>
    </cfRule>
  </conditionalFormatting>
  <conditionalFormatting sqref="C68">
    <cfRule type="cellIs" dxfId="33079" priority="22085" stopIfTrue="1" operator="equal">
      <formula>"Towel"</formula>
    </cfRule>
    <cfRule type="cellIs" dxfId="33078" priority="22086" stopIfTrue="1" operator="equal">
      <formula>"Napkin Hs"</formula>
    </cfRule>
  </conditionalFormatting>
  <conditionalFormatting sqref="B68:C68">
    <cfRule type="cellIs" dxfId="33077" priority="22083" stopIfTrue="1" operator="equal">
      <formula>"Towel"</formula>
    </cfRule>
    <cfRule type="cellIs" dxfId="33076" priority="22084" stopIfTrue="1" operator="equal">
      <formula>"Napkin Hs"</formula>
    </cfRule>
  </conditionalFormatting>
  <conditionalFormatting sqref="C68">
    <cfRule type="cellIs" dxfId="33075" priority="22081" stopIfTrue="1" operator="equal">
      <formula>"Towel"</formula>
    </cfRule>
    <cfRule type="cellIs" dxfId="33074" priority="22082" stopIfTrue="1" operator="equal">
      <formula>"Napkin Hs"</formula>
    </cfRule>
  </conditionalFormatting>
  <conditionalFormatting sqref="C68">
    <cfRule type="cellIs" dxfId="33073" priority="22079" stopIfTrue="1" operator="equal">
      <formula>"Towel"</formula>
    </cfRule>
    <cfRule type="cellIs" dxfId="33072" priority="22080" stopIfTrue="1" operator="equal">
      <formula>"Napkin Hs"</formula>
    </cfRule>
  </conditionalFormatting>
  <conditionalFormatting sqref="B68:C68">
    <cfRule type="cellIs" dxfId="33071" priority="22077" stopIfTrue="1" operator="equal">
      <formula>"Towel"</formula>
    </cfRule>
    <cfRule type="cellIs" dxfId="33070" priority="22078" stopIfTrue="1" operator="equal">
      <formula>"Napkin Hs"</formula>
    </cfRule>
  </conditionalFormatting>
  <conditionalFormatting sqref="C68">
    <cfRule type="cellIs" dxfId="33069" priority="22075" stopIfTrue="1" operator="equal">
      <formula>"Towel"</formula>
    </cfRule>
    <cfRule type="cellIs" dxfId="33068" priority="22076" stopIfTrue="1" operator="equal">
      <formula>"Napkin Hs"</formula>
    </cfRule>
  </conditionalFormatting>
  <conditionalFormatting sqref="C68">
    <cfRule type="cellIs" dxfId="33067" priority="22073" stopIfTrue="1" operator="equal">
      <formula>"Towel"</formula>
    </cfRule>
    <cfRule type="cellIs" dxfId="33066" priority="22074" stopIfTrue="1" operator="equal">
      <formula>"Napkin Hs"</formula>
    </cfRule>
  </conditionalFormatting>
  <conditionalFormatting sqref="B68:C68">
    <cfRule type="cellIs" dxfId="33065" priority="22071" stopIfTrue="1" operator="equal">
      <formula>"Towel"</formula>
    </cfRule>
    <cfRule type="cellIs" dxfId="33064" priority="22072" stopIfTrue="1" operator="equal">
      <formula>"Napkin Hs"</formula>
    </cfRule>
  </conditionalFormatting>
  <conditionalFormatting sqref="C68">
    <cfRule type="cellIs" dxfId="33063" priority="22069" stopIfTrue="1" operator="equal">
      <formula>"Towel"</formula>
    </cfRule>
    <cfRule type="cellIs" dxfId="33062" priority="22070" stopIfTrue="1" operator="equal">
      <formula>"Napkin Hs"</formula>
    </cfRule>
  </conditionalFormatting>
  <conditionalFormatting sqref="C68">
    <cfRule type="cellIs" dxfId="33061" priority="22061" stopIfTrue="1" operator="equal">
      <formula>"Towel"</formula>
    </cfRule>
    <cfRule type="cellIs" dxfId="33060" priority="22062" stopIfTrue="1" operator="equal">
      <formula>"Napkin Hs"</formula>
    </cfRule>
  </conditionalFormatting>
  <conditionalFormatting sqref="B68:C68">
    <cfRule type="cellIs" dxfId="33059" priority="22060" stopIfTrue="1" operator="equal">
      <formula>"Napkin Hs"</formula>
    </cfRule>
  </conditionalFormatting>
  <conditionalFormatting sqref="B68:C68">
    <cfRule type="cellIs" dxfId="33058" priority="22059" stopIfTrue="1" operator="equal">
      <formula>"Towel"</formula>
    </cfRule>
  </conditionalFormatting>
  <conditionalFormatting sqref="C68">
    <cfRule type="cellIs" dxfId="33057" priority="22058" stopIfTrue="1" operator="equal">
      <formula>"Napkin Hs"</formula>
    </cfRule>
  </conditionalFormatting>
  <conditionalFormatting sqref="C68">
    <cfRule type="cellIs" dxfId="33056" priority="22057" stopIfTrue="1" operator="equal">
      <formula>"Towel"</formula>
    </cfRule>
  </conditionalFormatting>
  <conditionalFormatting sqref="B67:C67">
    <cfRule type="cellIs" dxfId="33055" priority="22053" stopIfTrue="1" operator="equal">
      <formula>"Towel"</formula>
    </cfRule>
    <cfRule type="cellIs" dxfId="33054" priority="22054" stopIfTrue="1" operator="equal">
      <formula>"Napkin Hs"</formula>
    </cfRule>
  </conditionalFormatting>
  <conditionalFormatting sqref="C67">
    <cfRule type="cellIs" dxfId="33053" priority="22049" stopIfTrue="1" operator="equal">
      <formula>"Towel"</formula>
    </cfRule>
    <cfRule type="cellIs" dxfId="33052" priority="22050" stopIfTrue="1" operator="equal">
      <formula>"Napkin Hs"</formula>
    </cfRule>
  </conditionalFormatting>
  <conditionalFormatting sqref="C67">
    <cfRule type="cellIs" dxfId="33051" priority="22051" stopIfTrue="1" operator="equal">
      <formula>"Towel"</formula>
    </cfRule>
    <cfRule type="cellIs" dxfId="33050" priority="22052" stopIfTrue="1" operator="equal">
      <formula>"Napkin Hs"</formula>
    </cfRule>
  </conditionalFormatting>
  <conditionalFormatting sqref="B67:C67">
    <cfRule type="cellIs" dxfId="33049" priority="22048" stopIfTrue="1" operator="equal">
      <formula>"Napkin Hs"</formula>
    </cfRule>
  </conditionalFormatting>
  <conditionalFormatting sqref="B67:C67">
    <cfRule type="cellIs" dxfId="33048" priority="22047" stopIfTrue="1" operator="equal">
      <formula>"Towel"</formula>
    </cfRule>
  </conditionalFormatting>
  <conditionalFormatting sqref="C67">
    <cfRule type="cellIs" dxfId="33047" priority="22046" stopIfTrue="1" operator="equal">
      <formula>"Napkin Hs"</formula>
    </cfRule>
  </conditionalFormatting>
  <conditionalFormatting sqref="C67">
    <cfRule type="cellIs" dxfId="33046" priority="22045" stopIfTrue="1" operator="equal">
      <formula>"Towel"</formula>
    </cfRule>
  </conditionalFormatting>
  <conditionalFormatting sqref="C67">
    <cfRule type="cellIs" dxfId="33045" priority="22043" stopIfTrue="1" operator="equal">
      <formula>"Towel"</formula>
    </cfRule>
    <cfRule type="cellIs" dxfId="33044" priority="22044" stopIfTrue="1" operator="equal">
      <formula>"Napkin Hs"</formula>
    </cfRule>
  </conditionalFormatting>
  <conditionalFormatting sqref="B67:C67">
    <cfRule type="cellIs" dxfId="33043" priority="22041" stopIfTrue="1" operator="equal">
      <formula>"Towel"</formula>
    </cfRule>
    <cfRule type="cellIs" dxfId="33042" priority="22042" stopIfTrue="1" operator="equal">
      <formula>"Napkin Hs"</formula>
    </cfRule>
  </conditionalFormatting>
  <conditionalFormatting sqref="C67">
    <cfRule type="cellIs" dxfId="33041" priority="22039" stopIfTrue="1" operator="equal">
      <formula>"Towel"</formula>
    </cfRule>
    <cfRule type="cellIs" dxfId="33040" priority="22040" stopIfTrue="1" operator="equal">
      <formula>"Napkin Hs"</formula>
    </cfRule>
  </conditionalFormatting>
  <conditionalFormatting sqref="C67">
    <cfRule type="cellIs" dxfId="33039" priority="22037" stopIfTrue="1" operator="equal">
      <formula>"Towel"</formula>
    </cfRule>
    <cfRule type="cellIs" dxfId="33038" priority="22038" stopIfTrue="1" operator="equal">
      <formula>"Napkin Hs"</formula>
    </cfRule>
  </conditionalFormatting>
  <conditionalFormatting sqref="B67:C67">
    <cfRule type="cellIs" dxfId="33037" priority="22035" stopIfTrue="1" operator="equal">
      <formula>"Towel"</formula>
    </cfRule>
    <cfRule type="cellIs" dxfId="33036" priority="22036" stopIfTrue="1" operator="equal">
      <formula>"Napkin Hs"</formula>
    </cfRule>
  </conditionalFormatting>
  <conditionalFormatting sqref="C67">
    <cfRule type="cellIs" dxfId="33035" priority="22033" stopIfTrue="1" operator="equal">
      <formula>"Towel"</formula>
    </cfRule>
    <cfRule type="cellIs" dxfId="33034" priority="22034" stopIfTrue="1" operator="equal">
      <formula>"Napkin Hs"</formula>
    </cfRule>
  </conditionalFormatting>
  <conditionalFormatting sqref="C67">
    <cfRule type="cellIs" dxfId="33033" priority="22031" stopIfTrue="1" operator="equal">
      <formula>"Towel"</formula>
    </cfRule>
    <cfRule type="cellIs" dxfId="33032" priority="22032" stopIfTrue="1" operator="equal">
      <formula>"Napkin Hs"</formula>
    </cfRule>
  </conditionalFormatting>
  <conditionalFormatting sqref="B67:C67">
    <cfRule type="cellIs" dxfId="33031" priority="22029" stopIfTrue="1" operator="equal">
      <formula>"Towel"</formula>
    </cfRule>
    <cfRule type="cellIs" dxfId="33030" priority="22030" stopIfTrue="1" operator="equal">
      <formula>"Napkin Hs"</formula>
    </cfRule>
  </conditionalFormatting>
  <conditionalFormatting sqref="C67">
    <cfRule type="cellIs" dxfId="33029" priority="22027" stopIfTrue="1" operator="equal">
      <formula>"Towel"</formula>
    </cfRule>
    <cfRule type="cellIs" dxfId="33028" priority="22028" stopIfTrue="1" operator="equal">
      <formula>"Napkin Hs"</formula>
    </cfRule>
  </conditionalFormatting>
  <conditionalFormatting sqref="C67">
    <cfRule type="cellIs" dxfId="33027" priority="22025" stopIfTrue="1" operator="equal">
      <formula>"Towel"</formula>
    </cfRule>
    <cfRule type="cellIs" dxfId="33026" priority="22026" stopIfTrue="1" operator="equal">
      <formula>"Napkin Hs"</formula>
    </cfRule>
  </conditionalFormatting>
  <conditionalFormatting sqref="B67:C67">
    <cfRule type="cellIs" dxfId="33025" priority="22023" stopIfTrue="1" operator="equal">
      <formula>"Towel"</formula>
    </cfRule>
    <cfRule type="cellIs" dxfId="33024" priority="22024" stopIfTrue="1" operator="equal">
      <formula>"Napkin Hs"</formula>
    </cfRule>
  </conditionalFormatting>
  <conditionalFormatting sqref="C67">
    <cfRule type="cellIs" dxfId="33023" priority="22021" stopIfTrue="1" operator="equal">
      <formula>"Towel"</formula>
    </cfRule>
    <cfRule type="cellIs" dxfId="33022" priority="22022" stopIfTrue="1" operator="equal">
      <formula>"Napkin Hs"</formula>
    </cfRule>
  </conditionalFormatting>
  <conditionalFormatting sqref="C67">
    <cfRule type="cellIs" dxfId="33021" priority="22019" stopIfTrue="1" operator="equal">
      <formula>"Towel"</formula>
    </cfRule>
    <cfRule type="cellIs" dxfId="33020" priority="22020" stopIfTrue="1" operator="equal">
      <formula>"Napkin Hs"</formula>
    </cfRule>
  </conditionalFormatting>
  <conditionalFormatting sqref="B67:C67">
    <cfRule type="cellIs" dxfId="33019" priority="22017" stopIfTrue="1" operator="equal">
      <formula>"Towel"</formula>
    </cfRule>
    <cfRule type="cellIs" dxfId="33018" priority="22018" stopIfTrue="1" operator="equal">
      <formula>"Napkin Hs"</formula>
    </cfRule>
  </conditionalFormatting>
  <conditionalFormatting sqref="C67">
    <cfRule type="cellIs" dxfId="33017" priority="22015" stopIfTrue="1" operator="equal">
      <formula>"Towel"</formula>
    </cfRule>
    <cfRule type="cellIs" dxfId="33016" priority="22016" stopIfTrue="1" operator="equal">
      <formula>"Napkin Hs"</formula>
    </cfRule>
  </conditionalFormatting>
  <conditionalFormatting sqref="C67">
    <cfRule type="cellIs" dxfId="33015" priority="22013" stopIfTrue="1" operator="equal">
      <formula>"Towel"</formula>
    </cfRule>
    <cfRule type="cellIs" dxfId="33014" priority="22014" stopIfTrue="1" operator="equal">
      <formula>"Napkin Hs"</formula>
    </cfRule>
  </conditionalFormatting>
  <conditionalFormatting sqref="B67:C67">
    <cfRule type="cellIs" dxfId="33013" priority="22012" stopIfTrue="1" operator="equal">
      <formula>"Napkin Hs"</formula>
    </cfRule>
  </conditionalFormatting>
  <conditionalFormatting sqref="B67:C67">
    <cfRule type="cellIs" dxfId="33012" priority="22011" stopIfTrue="1" operator="equal">
      <formula>"Towel"</formula>
    </cfRule>
  </conditionalFormatting>
  <conditionalFormatting sqref="C67">
    <cfRule type="cellIs" dxfId="33011" priority="22010" stopIfTrue="1" operator="equal">
      <formula>"Napkin Hs"</formula>
    </cfRule>
  </conditionalFormatting>
  <conditionalFormatting sqref="C67">
    <cfRule type="cellIs" dxfId="33010" priority="22007" stopIfTrue="1" operator="equal">
      <formula>"Towel"</formula>
    </cfRule>
    <cfRule type="cellIs" dxfId="33009" priority="22008" stopIfTrue="1" operator="equal">
      <formula>"Napkin Hs"</formula>
    </cfRule>
  </conditionalFormatting>
  <conditionalFormatting sqref="C67">
    <cfRule type="cellIs" dxfId="33008" priority="22009" stopIfTrue="1" operator="equal">
      <formula>"Towel"</formula>
    </cfRule>
  </conditionalFormatting>
  <conditionalFormatting sqref="C73">
    <cfRule type="cellIs" dxfId="33007" priority="21937" stopIfTrue="1" operator="equal">
      <formula>"Towel"</formula>
    </cfRule>
    <cfRule type="cellIs" dxfId="33006" priority="21938" stopIfTrue="1" operator="equal">
      <formula>"Napkin Hs"</formula>
    </cfRule>
  </conditionalFormatting>
  <conditionalFormatting sqref="B73:C73">
    <cfRule type="cellIs" dxfId="33005" priority="21935" stopIfTrue="1" operator="equal">
      <formula>"Towel"</formula>
    </cfRule>
    <cfRule type="cellIs" dxfId="33004" priority="21936" stopIfTrue="1" operator="equal">
      <formula>"Napkin Hs"</formula>
    </cfRule>
  </conditionalFormatting>
  <conditionalFormatting sqref="C73">
    <cfRule type="cellIs" dxfId="33003" priority="21933" stopIfTrue="1" operator="equal">
      <formula>"Towel"</formula>
    </cfRule>
    <cfRule type="cellIs" dxfId="33002" priority="21934" stopIfTrue="1" operator="equal">
      <formula>"Napkin Hs"</formula>
    </cfRule>
  </conditionalFormatting>
  <conditionalFormatting sqref="C73">
    <cfRule type="cellIs" dxfId="33001" priority="21925" stopIfTrue="1" operator="equal">
      <formula>"Towel"</formula>
    </cfRule>
    <cfRule type="cellIs" dxfId="33000" priority="21926" stopIfTrue="1" operator="equal">
      <formula>"Napkin Hs"</formula>
    </cfRule>
  </conditionalFormatting>
  <conditionalFormatting sqref="B73:C73">
    <cfRule type="cellIs" dxfId="32999" priority="22001" stopIfTrue="1" operator="equal">
      <formula>"Towel"</formula>
    </cfRule>
    <cfRule type="cellIs" dxfId="32998" priority="22002" stopIfTrue="1" operator="equal">
      <formula>"Napkin Hs"</formula>
    </cfRule>
  </conditionalFormatting>
  <conditionalFormatting sqref="B74:C74">
    <cfRule type="cellIs" dxfId="32997" priority="22005" stopIfTrue="1" operator="equal">
      <formula>"Towel"</formula>
    </cfRule>
    <cfRule type="cellIs" dxfId="32996" priority="22006" stopIfTrue="1" operator="equal">
      <formula>"Napkin Hs"</formula>
    </cfRule>
  </conditionalFormatting>
  <conditionalFormatting sqref="C73">
    <cfRule type="cellIs" dxfId="32995" priority="21997" stopIfTrue="1" operator="equal">
      <formula>"Towel"</formula>
    </cfRule>
    <cfRule type="cellIs" dxfId="32994" priority="21998" stopIfTrue="1" operator="equal">
      <formula>"Napkin Hs"</formula>
    </cfRule>
  </conditionalFormatting>
  <conditionalFormatting sqref="C73:C74">
    <cfRule type="cellIs" dxfId="32993" priority="21999" stopIfTrue="1" operator="equal">
      <formula>"Towel"</formula>
    </cfRule>
    <cfRule type="cellIs" dxfId="32992" priority="22000" stopIfTrue="1" operator="equal">
      <formula>"Napkin Hs"</formula>
    </cfRule>
  </conditionalFormatting>
  <conditionalFormatting sqref="C74">
    <cfRule type="cellIs" dxfId="32991" priority="22003" stopIfTrue="1" operator="equal">
      <formula>"Towel"</formula>
    </cfRule>
    <cfRule type="cellIs" dxfId="32990" priority="22004" stopIfTrue="1" operator="equal">
      <formula>"Napkin Hs"</formula>
    </cfRule>
  </conditionalFormatting>
  <conditionalFormatting sqref="B74:C74">
    <cfRule type="cellIs" dxfId="32989" priority="21995" stopIfTrue="1" operator="equal">
      <formula>"Towel"</formula>
    </cfRule>
    <cfRule type="cellIs" dxfId="32988" priority="21996" stopIfTrue="1" operator="equal">
      <formula>"Napkin Hs"</formula>
    </cfRule>
  </conditionalFormatting>
  <conditionalFormatting sqref="C74">
    <cfRule type="cellIs" dxfId="32987" priority="21991" stopIfTrue="1" operator="equal">
      <formula>"Towel"</formula>
    </cfRule>
    <cfRule type="cellIs" dxfId="32986" priority="21992" stopIfTrue="1" operator="equal">
      <formula>"Napkin Hs"</formula>
    </cfRule>
  </conditionalFormatting>
  <conditionalFormatting sqref="C74">
    <cfRule type="cellIs" dxfId="32985" priority="21993" stopIfTrue="1" operator="equal">
      <formula>"Towel"</formula>
    </cfRule>
    <cfRule type="cellIs" dxfId="32984" priority="21994" stopIfTrue="1" operator="equal">
      <formula>"Napkin Hs"</formula>
    </cfRule>
  </conditionalFormatting>
  <conditionalFormatting sqref="B74:C74">
    <cfRule type="cellIs" dxfId="32983" priority="21989" stopIfTrue="1" operator="equal">
      <formula>"Towel"</formula>
    </cfRule>
    <cfRule type="cellIs" dxfId="32982" priority="21990" stopIfTrue="1" operator="equal">
      <formula>"Napkin Hs"</formula>
    </cfRule>
  </conditionalFormatting>
  <conditionalFormatting sqref="C74">
    <cfRule type="cellIs" dxfId="32981" priority="21987" stopIfTrue="1" operator="equal">
      <formula>"Towel"</formula>
    </cfRule>
    <cfRule type="cellIs" dxfId="32980" priority="21988" stopIfTrue="1" operator="equal">
      <formula>"Napkin Hs"</formula>
    </cfRule>
  </conditionalFormatting>
  <conditionalFormatting sqref="C74">
    <cfRule type="cellIs" dxfId="32979" priority="21985" stopIfTrue="1" operator="equal">
      <formula>"Towel"</formula>
    </cfRule>
    <cfRule type="cellIs" dxfId="32978" priority="21986" stopIfTrue="1" operator="equal">
      <formula>"Napkin Hs"</formula>
    </cfRule>
  </conditionalFormatting>
  <conditionalFormatting sqref="B74:C74">
    <cfRule type="cellIs" dxfId="32977" priority="21983" stopIfTrue="1" operator="equal">
      <formula>"Towel"</formula>
    </cfRule>
    <cfRule type="cellIs" dxfId="32976" priority="21984" stopIfTrue="1" operator="equal">
      <formula>"Napkin Hs"</formula>
    </cfRule>
  </conditionalFormatting>
  <conditionalFormatting sqref="C74">
    <cfRule type="cellIs" dxfId="32975" priority="21981" stopIfTrue="1" operator="equal">
      <formula>"Towel"</formula>
    </cfRule>
    <cfRule type="cellIs" dxfId="32974" priority="21982" stopIfTrue="1" operator="equal">
      <formula>"Napkin Hs"</formula>
    </cfRule>
  </conditionalFormatting>
  <conditionalFormatting sqref="C74">
    <cfRule type="cellIs" dxfId="32973" priority="21979" stopIfTrue="1" operator="equal">
      <formula>"Towel"</formula>
    </cfRule>
    <cfRule type="cellIs" dxfId="32972" priority="21980" stopIfTrue="1" operator="equal">
      <formula>"Napkin Hs"</formula>
    </cfRule>
  </conditionalFormatting>
  <conditionalFormatting sqref="B74:C74">
    <cfRule type="cellIs" dxfId="32971" priority="21977" stopIfTrue="1" operator="equal">
      <formula>"Towel"</formula>
    </cfRule>
    <cfRule type="cellIs" dxfId="32970" priority="21978" stopIfTrue="1" operator="equal">
      <formula>"Napkin Hs"</formula>
    </cfRule>
  </conditionalFormatting>
  <conditionalFormatting sqref="C74">
    <cfRule type="cellIs" dxfId="32969" priority="21975" stopIfTrue="1" operator="equal">
      <formula>"Towel"</formula>
    </cfRule>
    <cfRule type="cellIs" dxfId="32968" priority="21976" stopIfTrue="1" operator="equal">
      <formula>"Napkin Hs"</formula>
    </cfRule>
  </conditionalFormatting>
  <conditionalFormatting sqref="C74">
    <cfRule type="cellIs" dxfId="32967" priority="21973" stopIfTrue="1" operator="equal">
      <formula>"Towel"</formula>
    </cfRule>
    <cfRule type="cellIs" dxfId="32966" priority="21974" stopIfTrue="1" operator="equal">
      <formula>"Napkin Hs"</formula>
    </cfRule>
  </conditionalFormatting>
  <conditionalFormatting sqref="B74:C74">
    <cfRule type="cellIs" dxfId="32965" priority="21972" stopIfTrue="1" operator="equal">
      <formula>"Napkin Hs"</formula>
    </cfRule>
  </conditionalFormatting>
  <conditionalFormatting sqref="B74:C74">
    <cfRule type="cellIs" dxfId="32964" priority="21971" stopIfTrue="1" operator="equal">
      <formula>"Towel"</formula>
    </cfRule>
  </conditionalFormatting>
  <conditionalFormatting sqref="C74">
    <cfRule type="cellIs" dxfId="32963" priority="21970" stopIfTrue="1" operator="equal">
      <formula>"Napkin Hs"</formula>
    </cfRule>
  </conditionalFormatting>
  <conditionalFormatting sqref="C74">
    <cfRule type="cellIs" dxfId="32962" priority="21967" stopIfTrue="1" operator="equal">
      <formula>"Towel"</formula>
    </cfRule>
    <cfRule type="cellIs" dxfId="32961" priority="21968" stopIfTrue="1" operator="equal">
      <formula>"Napkin Hs"</formula>
    </cfRule>
  </conditionalFormatting>
  <conditionalFormatting sqref="C74">
    <cfRule type="cellIs" dxfId="32960" priority="21969" stopIfTrue="1" operator="equal">
      <formula>"Towel"</formula>
    </cfRule>
  </conditionalFormatting>
  <conditionalFormatting sqref="B73:C73">
    <cfRule type="cellIs" dxfId="32959" priority="21966" stopIfTrue="1" operator="equal">
      <formula>"Napkin Hs"</formula>
    </cfRule>
  </conditionalFormatting>
  <conditionalFormatting sqref="B73:C73">
    <cfRule type="cellIs" dxfId="32958" priority="21965" stopIfTrue="1" operator="equal">
      <formula>"Towel"</formula>
    </cfRule>
  </conditionalFormatting>
  <conditionalFormatting sqref="C73">
    <cfRule type="cellIs" dxfId="32957" priority="21964" stopIfTrue="1" operator="equal">
      <formula>"Napkin Hs"</formula>
    </cfRule>
  </conditionalFormatting>
  <conditionalFormatting sqref="C73">
    <cfRule type="cellIs" dxfId="32956" priority="21963" stopIfTrue="1" operator="equal">
      <formula>"Towel"</formula>
    </cfRule>
  </conditionalFormatting>
  <conditionalFormatting sqref="C73">
    <cfRule type="cellIs" dxfId="32955" priority="21961" stopIfTrue="1" operator="equal">
      <formula>"Towel"</formula>
    </cfRule>
    <cfRule type="cellIs" dxfId="32954" priority="21962" stopIfTrue="1" operator="equal">
      <formula>"Napkin Hs"</formula>
    </cfRule>
  </conditionalFormatting>
  <conditionalFormatting sqref="B73:C73">
    <cfRule type="cellIs" dxfId="32953" priority="21959" stopIfTrue="1" operator="equal">
      <formula>"Towel"</formula>
    </cfRule>
    <cfRule type="cellIs" dxfId="32952" priority="21960" stopIfTrue="1" operator="equal">
      <formula>"Napkin Hs"</formula>
    </cfRule>
  </conditionalFormatting>
  <conditionalFormatting sqref="C73">
    <cfRule type="cellIs" dxfId="32951" priority="21957" stopIfTrue="1" operator="equal">
      <formula>"Towel"</formula>
    </cfRule>
    <cfRule type="cellIs" dxfId="32950" priority="21958" stopIfTrue="1" operator="equal">
      <formula>"Napkin Hs"</formula>
    </cfRule>
  </conditionalFormatting>
  <conditionalFormatting sqref="C73">
    <cfRule type="cellIs" dxfId="32949" priority="21955" stopIfTrue="1" operator="equal">
      <formula>"Towel"</formula>
    </cfRule>
    <cfRule type="cellIs" dxfId="32948" priority="21956" stopIfTrue="1" operator="equal">
      <formula>"Napkin Hs"</formula>
    </cfRule>
  </conditionalFormatting>
  <conditionalFormatting sqref="B73:C73">
    <cfRule type="cellIs" dxfId="32947" priority="21953" stopIfTrue="1" operator="equal">
      <formula>"Towel"</formula>
    </cfRule>
    <cfRule type="cellIs" dxfId="32946" priority="21954" stopIfTrue="1" operator="equal">
      <formula>"Napkin Hs"</formula>
    </cfRule>
  </conditionalFormatting>
  <conditionalFormatting sqref="C73">
    <cfRule type="cellIs" dxfId="32945" priority="21951" stopIfTrue="1" operator="equal">
      <formula>"Towel"</formula>
    </cfRule>
    <cfRule type="cellIs" dxfId="32944" priority="21952" stopIfTrue="1" operator="equal">
      <formula>"Napkin Hs"</formula>
    </cfRule>
  </conditionalFormatting>
  <conditionalFormatting sqref="C73">
    <cfRule type="cellIs" dxfId="32943" priority="21949" stopIfTrue="1" operator="equal">
      <formula>"Towel"</formula>
    </cfRule>
    <cfRule type="cellIs" dxfId="32942" priority="21950" stopIfTrue="1" operator="equal">
      <formula>"Napkin Hs"</formula>
    </cfRule>
  </conditionalFormatting>
  <conditionalFormatting sqref="B73:C73">
    <cfRule type="cellIs" dxfId="32941" priority="21947" stopIfTrue="1" operator="equal">
      <formula>"Towel"</formula>
    </cfRule>
    <cfRule type="cellIs" dxfId="32940" priority="21948" stopIfTrue="1" operator="equal">
      <formula>"Napkin Hs"</formula>
    </cfRule>
  </conditionalFormatting>
  <conditionalFormatting sqref="C73">
    <cfRule type="cellIs" dxfId="32939" priority="21945" stopIfTrue="1" operator="equal">
      <formula>"Towel"</formula>
    </cfRule>
    <cfRule type="cellIs" dxfId="32938" priority="21946" stopIfTrue="1" operator="equal">
      <formula>"Napkin Hs"</formula>
    </cfRule>
  </conditionalFormatting>
  <conditionalFormatting sqref="C73">
    <cfRule type="cellIs" dxfId="32937" priority="21943" stopIfTrue="1" operator="equal">
      <formula>"Towel"</formula>
    </cfRule>
    <cfRule type="cellIs" dxfId="32936" priority="21944" stopIfTrue="1" operator="equal">
      <formula>"Napkin Hs"</formula>
    </cfRule>
  </conditionalFormatting>
  <conditionalFormatting sqref="B73:C73">
    <cfRule type="cellIs" dxfId="32935" priority="21941" stopIfTrue="1" operator="equal">
      <formula>"Towel"</formula>
    </cfRule>
    <cfRule type="cellIs" dxfId="32934" priority="21942" stopIfTrue="1" operator="equal">
      <formula>"Napkin Hs"</formula>
    </cfRule>
  </conditionalFormatting>
  <conditionalFormatting sqref="C73">
    <cfRule type="cellIs" dxfId="32933" priority="21939" stopIfTrue="1" operator="equal">
      <formula>"Towel"</formula>
    </cfRule>
    <cfRule type="cellIs" dxfId="32932" priority="21940" stopIfTrue="1" operator="equal">
      <formula>"Napkin Hs"</formula>
    </cfRule>
  </conditionalFormatting>
  <conditionalFormatting sqref="C73">
    <cfRule type="cellIs" dxfId="32931" priority="21931" stopIfTrue="1" operator="equal">
      <formula>"Towel"</formula>
    </cfRule>
    <cfRule type="cellIs" dxfId="32930" priority="21932" stopIfTrue="1" operator="equal">
      <formula>"Napkin Hs"</formula>
    </cfRule>
  </conditionalFormatting>
  <conditionalFormatting sqref="B73:C73">
    <cfRule type="cellIs" dxfId="32929" priority="21930" stopIfTrue="1" operator="equal">
      <formula>"Napkin Hs"</formula>
    </cfRule>
  </conditionalFormatting>
  <conditionalFormatting sqref="B73:C73">
    <cfRule type="cellIs" dxfId="32928" priority="21929" stopIfTrue="1" operator="equal">
      <formula>"Towel"</formula>
    </cfRule>
  </conditionalFormatting>
  <conditionalFormatting sqref="C73">
    <cfRule type="cellIs" dxfId="32927" priority="21928" stopIfTrue="1" operator="equal">
      <formula>"Napkin Hs"</formula>
    </cfRule>
  </conditionalFormatting>
  <conditionalFormatting sqref="C73">
    <cfRule type="cellIs" dxfId="32926" priority="21927" stopIfTrue="1" operator="equal">
      <formula>"Towel"</formula>
    </cfRule>
  </conditionalFormatting>
  <conditionalFormatting sqref="C76">
    <cfRule type="cellIs" dxfId="32925" priority="21759" stopIfTrue="1" operator="equal">
      <formula>"Towel"</formula>
    </cfRule>
    <cfRule type="cellIs" dxfId="32924" priority="21760" stopIfTrue="1" operator="equal">
      <formula>"Napkin Hs"</formula>
    </cfRule>
  </conditionalFormatting>
  <conditionalFormatting sqref="B76:C76">
    <cfRule type="cellIs" dxfId="32923" priority="21757" stopIfTrue="1" operator="equal">
      <formula>"Towel"</formula>
    </cfRule>
    <cfRule type="cellIs" dxfId="32922" priority="21758" stopIfTrue="1" operator="equal">
      <formula>"Napkin Hs"</formula>
    </cfRule>
  </conditionalFormatting>
  <conditionalFormatting sqref="C76">
    <cfRule type="cellIs" dxfId="32921" priority="21755" stopIfTrue="1" operator="equal">
      <formula>"Towel"</formula>
    </cfRule>
    <cfRule type="cellIs" dxfId="32920" priority="21756" stopIfTrue="1" operator="equal">
      <formula>"Napkin Hs"</formula>
    </cfRule>
  </conditionalFormatting>
  <conditionalFormatting sqref="C76">
    <cfRule type="cellIs" dxfId="32919" priority="21747" stopIfTrue="1" operator="equal">
      <formula>"Towel"</formula>
    </cfRule>
    <cfRule type="cellIs" dxfId="32918" priority="21748" stopIfTrue="1" operator="equal">
      <formula>"Napkin Hs"</formula>
    </cfRule>
  </conditionalFormatting>
  <conditionalFormatting sqref="B78:C78">
    <cfRule type="cellIs" dxfId="32917" priority="21875" stopIfTrue="1" operator="equal">
      <formula>"Towel"</formula>
    </cfRule>
    <cfRule type="cellIs" dxfId="32916" priority="21876" stopIfTrue="1" operator="equal">
      <formula>"Napkin Hs"</formula>
    </cfRule>
  </conditionalFormatting>
  <conditionalFormatting sqref="C78">
    <cfRule type="cellIs" dxfId="32915" priority="21869" stopIfTrue="1" operator="equal">
      <formula>"Towel"</formula>
    </cfRule>
    <cfRule type="cellIs" dxfId="32914" priority="21870" stopIfTrue="1" operator="equal">
      <formula>"Napkin Hs"</formula>
    </cfRule>
  </conditionalFormatting>
  <conditionalFormatting sqref="C78">
    <cfRule type="cellIs" dxfId="32913" priority="21873" stopIfTrue="1" operator="equal">
      <formula>"Towel"</formula>
    </cfRule>
    <cfRule type="cellIs" dxfId="32912" priority="21874" stopIfTrue="1" operator="equal">
      <formula>"Napkin Hs"</formula>
    </cfRule>
  </conditionalFormatting>
  <conditionalFormatting sqref="B78:C78">
    <cfRule type="cellIs" dxfId="32911" priority="21865" stopIfTrue="1" operator="equal">
      <formula>"Towel"</formula>
    </cfRule>
    <cfRule type="cellIs" dxfId="32910" priority="21866" stopIfTrue="1" operator="equal">
      <formula>"Napkin Hs"</formula>
    </cfRule>
  </conditionalFormatting>
  <conditionalFormatting sqref="C78">
    <cfRule type="cellIs" dxfId="32909" priority="21861" stopIfTrue="1" operator="equal">
      <formula>"Towel"</formula>
    </cfRule>
    <cfRule type="cellIs" dxfId="32908" priority="21862" stopIfTrue="1" operator="equal">
      <formula>"Napkin Hs"</formula>
    </cfRule>
  </conditionalFormatting>
  <conditionalFormatting sqref="C78">
    <cfRule type="cellIs" dxfId="32907" priority="21863" stopIfTrue="1" operator="equal">
      <formula>"Towel"</formula>
    </cfRule>
    <cfRule type="cellIs" dxfId="32906" priority="21864" stopIfTrue="1" operator="equal">
      <formula>"Napkin Hs"</formula>
    </cfRule>
  </conditionalFormatting>
  <conditionalFormatting sqref="B78:C78">
    <cfRule type="cellIs" dxfId="32905" priority="21859" stopIfTrue="1" operator="equal">
      <formula>"Towel"</formula>
    </cfRule>
    <cfRule type="cellIs" dxfId="32904" priority="21860" stopIfTrue="1" operator="equal">
      <formula>"Napkin Hs"</formula>
    </cfRule>
  </conditionalFormatting>
  <conditionalFormatting sqref="C78">
    <cfRule type="cellIs" dxfId="32903" priority="21857" stopIfTrue="1" operator="equal">
      <formula>"Towel"</formula>
    </cfRule>
    <cfRule type="cellIs" dxfId="32902" priority="21858" stopIfTrue="1" operator="equal">
      <formula>"Napkin Hs"</formula>
    </cfRule>
  </conditionalFormatting>
  <conditionalFormatting sqref="C78">
    <cfRule type="cellIs" dxfId="32901" priority="21855" stopIfTrue="1" operator="equal">
      <formula>"Towel"</formula>
    </cfRule>
    <cfRule type="cellIs" dxfId="32900" priority="21856" stopIfTrue="1" operator="equal">
      <formula>"Napkin Hs"</formula>
    </cfRule>
  </conditionalFormatting>
  <conditionalFormatting sqref="B78:C78">
    <cfRule type="cellIs" dxfId="32899" priority="21853" stopIfTrue="1" operator="equal">
      <formula>"Towel"</formula>
    </cfRule>
    <cfRule type="cellIs" dxfId="32898" priority="21854" stopIfTrue="1" operator="equal">
      <formula>"Napkin Hs"</formula>
    </cfRule>
  </conditionalFormatting>
  <conditionalFormatting sqref="C78">
    <cfRule type="cellIs" dxfId="32897" priority="21851" stopIfTrue="1" operator="equal">
      <formula>"Towel"</formula>
    </cfRule>
    <cfRule type="cellIs" dxfId="32896" priority="21852" stopIfTrue="1" operator="equal">
      <formula>"Napkin Hs"</formula>
    </cfRule>
  </conditionalFormatting>
  <conditionalFormatting sqref="C78">
    <cfRule type="cellIs" dxfId="32895" priority="21849" stopIfTrue="1" operator="equal">
      <formula>"Towel"</formula>
    </cfRule>
    <cfRule type="cellIs" dxfId="32894" priority="21850" stopIfTrue="1" operator="equal">
      <formula>"Napkin Hs"</formula>
    </cfRule>
  </conditionalFormatting>
  <conditionalFormatting sqref="B78:C78">
    <cfRule type="cellIs" dxfId="32893" priority="21847" stopIfTrue="1" operator="equal">
      <formula>"Towel"</formula>
    </cfRule>
    <cfRule type="cellIs" dxfId="32892" priority="21848" stopIfTrue="1" operator="equal">
      <formula>"Napkin Hs"</formula>
    </cfRule>
  </conditionalFormatting>
  <conditionalFormatting sqref="C78">
    <cfRule type="cellIs" dxfId="32891" priority="21845" stopIfTrue="1" operator="equal">
      <formula>"Towel"</formula>
    </cfRule>
    <cfRule type="cellIs" dxfId="32890" priority="21846" stopIfTrue="1" operator="equal">
      <formula>"Napkin Hs"</formula>
    </cfRule>
  </conditionalFormatting>
  <conditionalFormatting sqref="C78">
    <cfRule type="cellIs" dxfId="32889" priority="21843" stopIfTrue="1" operator="equal">
      <formula>"Towel"</formula>
    </cfRule>
    <cfRule type="cellIs" dxfId="32888" priority="21844" stopIfTrue="1" operator="equal">
      <formula>"Napkin Hs"</formula>
    </cfRule>
  </conditionalFormatting>
  <conditionalFormatting sqref="B78:C78">
    <cfRule type="cellIs" dxfId="32887" priority="21842" stopIfTrue="1" operator="equal">
      <formula>"Napkin Hs"</formula>
    </cfRule>
  </conditionalFormatting>
  <conditionalFormatting sqref="B78:C78">
    <cfRule type="cellIs" dxfId="32886" priority="21841" stopIfTrue="1" operator="equal">
      <formula>"Towel"</formula>
    </cfRule>
  </conditionalFormatting>
  <conditionalFormatting sqref="C78">
    <cfRule type="cellIs" dxfId="32885" priority="21840" stopIfTrue="1" operator="equal">
      <formula>"Napkin Hs"</formula>
    </cfRule>
  </conditionalFormatting>
  <conditionalFormatting sqref="C78">
    <cfRule type="cellIs" dxfId="32884" priority="21837" stopIfTrue="1" operator="equal">
      <formula>"Towel"</formula>
    </cfRule>
    <cfRule type="cellIs" dxfId="32883" priority="21838" stopIfTrue="1" operator="equal">
      <formula>"Napkin Hs"</formula>
    </cfRule>
  </conditionalFormatting>
  <conditionalFormatting sqref="C78">
    <cfRule type="cellIs" dxfId="32882" priority="21839" stopIfTrue="1" operator="equal">
      <formula>"Towel"</formula>
    </cfRule>
  </conditionalFormatting>
  <conditionalFormatting sqref="B76:C76">
    <cfRule type="cellIs" dxfId="32881" priority="21788" stopIfTrue="1" operator="equal">
      <formula>"Napkin Hs"</formula>
    </cfRule>
  </conditionalFormatting>
  <conditionalFormatting sqref="B76:C76">
    <cfRule type="cellIs" dxfId="32880" priority="21787" stopIfTrue="1" operator="equal">
      <formula>"Towel"</formula>
    </cfRule>
  </conditionalFormatting>
  <conditionalFormatting sqref="C76">
    <cfRule type="cellIs" dxfId="32879" priority="21786" stopIfTrue="1" operator="equal">
      <formula>"Napkin Hs"</formula>
    </cfRule>
  </conditionalFormatting>
  <conditionalFormatting sqref="C76">
    <cfRule type="cellIs" dxfId="32878" priority="21785" stopIfTrue="1" operator="equal">
      <formula>"Towel"</formula>
    </cfRule>
  </conditionalFormatting>
  <conditionalFormatting sqref="C76">
    <cfRule type="cellIs" dxfId="32877" priority="21783" stopIfTrue="1" operator="equal">
      <formula>"Towel"</formula>
    </cfRule>
    <cfRule type="cellIs" dxfId="32876" priority="21784" stopIfTrue="1" operator="equal">
      <formula>"Napkin Hs"</formula>
    </cfRule>
  </conditionalFormatting>
  <conditionalFormatting sqref="B76:C76">
    <cfRule type="cellIs" dxfId="32875" priority="21781" stopIfTrue="1" operator="equal">
      <formula>"Towel"</formula>
    </cfRule>
    <cfRule type="cellIs" dxfId="32874" priority="21782" stopIfTrue="1" operator="equal">
      <formula>"Napkin Hs"</formula>
    </cfRule>
  </conditionalFormatting>
  <conditionalFormatting sqref="C76">
    <cfRule type="cellIs" dxfId="32873" priority="21779" stopIfTrue="1" operator="equal">
      <formula>"Towel"</formula>
    </cfRule>
    <cfRule type="cellIs" dxfId="32872" priority="21780" stopIfTrue="1" operator="equal">
      <formula>"Napkin Hs"</formula>
    </cfRule>
  </conditionalFormatting>
  <conditionalFormatting sqref="C76">
    <cfRule type="cellIs" dxfId="32871" priority="21777" stopIfTrue="1" operator="equal">
      <formula>"Towel"</formula>
    </cfRule>
    <cfRule type="cellIs" dxfId="32870" priority="21778" stopIfTrue="1" operator="equal">
      <formula>"Napkin Hs"</formula>
    </cfRule>
  </conditionalFormatting>
  <conditionalFormatting sqref="B76:C76">
    <cfRule type="cellIs" dxfId="32869" priority="21775" stopIfTrue="1" operator="equal">
      <formula>"Towel"</formula>
    </cfRule>
    <cfRule type="cellIs" dxfId="32868" priority="21776" stopIfTrue="1" operator="equal">
      <formula>"Napkin Hs"</formula>
    </cfRule>
  </conditionalFormatting>
  <conditionalFormatting sqref="C76">
    <cfRule type="cellIs" dxfId="32867" priority="21773" stopIfTrue="1" operator="equal">
      <formula>"Towel"</formula>
    </cfRule>
    <cfRule type="cellIs" dxfId="32866" priority="21774" stopIfTrue="1" operator="equal">
      <formula>"Napkin Hs"</formula>
    </cfRule>
  </conditionalFormatting>
  <conditionalFormatting sqref="C76">
    <cfRule type="cellIs" dxfId="32865" priority="21771" stopIfTrue="1" operator="equal">
      <formula>"Towel"</formula>
    </cfRule>
    <cfRule type="cellIs" dxfId="32864" priority="21772" stopIfTrue="1" operator="equal">
      <formula>"Napkin Hs"</formula>
    </cfRule>
  </conditionalFormatting>
  <conditionalFormatting sqref="B76:C76">
    <cfRule type="cellIs" dxfId="32863" priority="21769" stopIfTrue="1" operator="equal">
      <formula>"Towel"</formula>
    </cfRule>
    <cfRule type="cellIs" dxfId="32862" priority="21770" stopIfTrue="1" operator="equal">
      <formula>"Napkin Hs"</formula>
    </cfRule>
  </conditionalFormatting>
  <conditionalFormatting sqref="C76">
    <cfRule type="cellIs" dxfId="32861" priority="21767" stopIfTrue="1" operator="equal">
      <formula>"Towel"</formula>
    </cfRule>
    <cfRule type="cellIs" dxfId="32860" priority="21768" stopIfTrue="1" operator="equal">
      <formula>"Napkin Hs"</formula>
    </cfRule>
  </conditionalFormatting>
  <conditionalFormatting sqref="C76">
    <cfRule type="cellIs" dxfId="32859" priority="21765" stopIfTrue="1" operator="equal">
      <formula>"Towel"</formula>
    </cfRule>
    <cfRule type="cellIs" dxfId="32858" priority="21766" stopIfTrue="1" operator="equal">
      <formula>"Napkin Hs"</formula>
    </cfRule>
  </conditionalFormatting>
  <conditionalFormatting sqref="B76:C76">
    <cfRule type="cellIs" dxfId="32857" priority="21763" stopIfTrue="1" operator="equal">
      <formula>"Towel"</formula>
    </cfRule>
    <cfRule type="cellIs" dxfId="32856" priority="21764" stopIfTrue="1" operator="equal">
      <formula>"Napkin Hs"</formula>
    </cfRule>
  </conditionalFormatting>
  <conditionalFormatting sqref="C76">
    <cfRule type="cellIs" dxfId="32855" priority="21761" stopIfTrue="1" operator="equal">
      <formula>"Towel"</formula>
    </cfRule>
    <cfRule type="cellIs" dxfId="32854" priority="21762" stopIfTrue="1" operator="equal">
      <formula>"Napkin Hs"</formula>
    </cfRule>
  </conditionalFormatting>
  <conditionalFormatting sqref="C76">
    <cfRule type="cellIs" dxfId="32853" priority="21753" stopIfTrue="1" operator="equal">
      <formula>"Towel"</formula>
    </cfRule>
    <cfRule type="cellIs" dxfId="32852" priority="21754" stopIfTrue="1" operator="equal">
      <formula>"Napkin Hs"</formula>
    </cfRule>
  </conditionalFormatting>
  <conditionalFormatting sqref="B76:C76">
    <cfRule type="cellIs" dxfId="32851" priority="21752" stopIfTrue="1" operator="equal">
      <formula>"Napkin Hs"</formula>
    </cfRule>
  </conditionalFormatting>
  <conditionalFormatting sqref="B76:C76">
    <cfRule type="cellIs" dxfId="32850" priority="21751" stopIfTrue="1" operator="equal">
      <formula>"Towel"</formula>
    </cfRule>
  </conditionalFormatting>
  <conditionalFormatting sqref="C76">
    <cfRule type="cellIs" dxfId="32849" priority="21750" stopIfTrue="1" operator="equal">
      <formula>"Napkin Hs"</formula>
    </cfRule>
  </conditionalFormatting>
  <conditionalFormatting sqref="C76">
    <cfRule type="cellIs" dxfId="32848" priority="21749" stopIfTrue="1" operator="equal">
      <formula>"Towel"</formula>
    </cfRule>
  </conditionalFormatting>
  <conditionalFormatting sqref="B76:C76">
    <cfRule type="cellIs" dxfId="32847" priority="21793" stopIfTrue="1" operator="equal">
      <formula>"Towel"</formula>
    </cfRule>
    <cfRule type="cellIs" dxfId="32846" priority="21794" stopIfTrue="1" operator="equal">
      <formula>"Napkin Hs"</formula>
    </cfRule>
  </conditionalFormatting>
  <conditionalFormatting sqref="C76">
    <cfRule type="cellIs" dxfId="32845" priority="21789" stopIfTrue="1" operator="equal">
      <formula>"Towel"</formula>
    </cfRule>
    <cfRule type="cellIs" dxfId="32844" priority="21790" stopIfTrue="1" operator="equal">
      <formula>"Napkin Hs"</formula>
    </cfRule>
  </conditionalFormatting>
  <conditionalFormatting sqref="C76">
    <cfRule type="cellIs" dxfId="32843" priority="21791" stopIfTrue="1" operator="equal">
      <formula>"Towel"</formula>
    </cfRule>
    <cfRule type="cellIs" dxfId="32842" priority="21792" stopIfTrue="1" operator="equal">
      <formula>"Napkin Hs"</formula>
    </cfRule>
  </conditionalFormatting>
  <conditionalFormatting sqref="B77:C77">
    <cfRule type="cellIs" dxfId="32841" priority="21745" stopIfTrue="1" operator="equal">
      <formula>"Towel"</formula>
    </cfRule>
    <cfRule type="cellIs" dxfId="32840" priority="21746" stopIfTrue="1" operator="equal">
      <formula>"Napkin Hs"</formula>
    </cfRule>
  </conditionalFormatting>
  <conditionalFormatting sqref="C77">
    <cfRule type="cellIs" dxfId="32839" priority="21741" stopIfTrue="1" operator="equal">
      <formula>"Towel"</formula>
    </cfRule>
    <cfRule type="cellIs" dxfId="32838" priority="21742" stopIfTrue="1" operator="equal">
      <formula>"Napkin Hs"</formula>
    </cfRule>
  </conditionalFormatting>
  <conditionalFormatting sqref="C77">
    <cfRule type="cellIs" dxfId="32837" priority="21743" stopIfTrue="1" operator="equal">
      <formula>"Towel"</formula>
    </cfRule>
    <cfRule type="cellIs" dxfId="32836" priority="21744" stopIfTrue="1" operator="equal">
      <formula>"Napkin Hs"</formula>
    </cfRule>
  </conditionalFormatting>
  <conditionalFormatting sqref="B77:C77">
    <cfRule type="cellIs" dxfId="32835" priority="21740" stopIfTrue="1" operator="equal">
      <formula>"Napkin Hs"</formula>
    </cfRule>
  </conditionalFormatting>
  <conditionalFormatting sqref="B77:C77">
    <cfRule type="cellIs" dxfId="32834" priority="21739" stopIfTrue="1" operator="equal">
      <formula>"Towel"</formula>
    </cfRule>
  </conditionalFormatting>
  <conditionalFormatting sqref="C77">
    <cfRule type="cellIs" dxfId="32833" priority="21738" stopIfTrue="1" operator="equal">
      <formula>"Napkin Hs"</formula>
    </cfRule>
  </conditionalFormatting>
  <conditionalFormatting sqref="C77">
    <cfRule type="cellIs" dxfId="32832" priority="21737" stopIfTrue="1" operator="equal">
      <formula>"Towel"</formula>
    </cfRule>
  </conditionalFormatting>
  <conditionalFormatting sqref="C77">
    <cfRule type="cellIs" dxfId="32831" priority="21735" stopIfTrue="1" operator="equal">
      <formula>"Towel"</formula>
    </cfRule>
    <cfRule type="cellIs" dxfId="32830" priority="21736" stopIfTrue="1" operator="equal">
      <formula>"Napkin Hs"</formula>
    </cfRule>
  </conditionalFormatting>
  <conditionalFormatting sqref="B77:C77">
    <cfRule type="cellIs" dxfId="32829" priority="21733" stopIfTrue="1" operator="equal">
      <formula>"Towel"</formula>
    </cfRule>
    <cfRule type="cellIs" dxfId="32828" priority="21734" stopIfTrue="1" operator="equal">
      <formula>"Napkin Hs"</formula>
    </cfRule>
  </conditionalFormatting>
  <conditionalFormatting sqref="C77">
    <cfRule type="cellIs" dxfId="32827" priority="21731" stopIfTrue="1" operator="equal">
      <formula>"Towel"</formula>
    </cfRule>
    <cfRule type="cellIs" dxfId="32826" priority="21732" stopIfTrue="1" operator="equal">
      <formula>"Napkin Hs"</formula>
    </cfRule>
  </conditionalFormatting>
  <conditionalFormatting sqref="C77">
    <cfRule type="cellIs" dxfId="32825" priority="21729" stopIfTrue="1" operator="equal">
      <formula>"Towel"</formula>
    </cfRule>
    <cfRule type="cellIs" dxfId="32824" priority="21730" stopIfTrue="1" operator="equal">
      <formula>"Napkin Hs"</formula>
    </cfRule>
  </conditionalFormatting>
  <conditionalFormatting sqref="B77:C77">
    <cfRule type="cellIs" dxfId="32823" priority="21727" stopIfTrue="1" operator="equal">
      <formula>"Towel"</formula>
    </cfRule>
    <cfRule type="cellIs" dxfId="32822" priority="21728" stopIfTrue="1" operator="equal">
      <formula>"Napkin Hs"</formula>
    </cfRule>
  </conditionalFormatting>
  <conditionalFormatting sqref="C77">
    <cfRule type="cellIs" dxfId="32821" priority="21725" stopIfTrue="1" operator="equal">
      <formula>"Towel"</formula>
    </cfRule>
    <cfRule type="cellIs" dxfId="32820" priority="21726" stopIfTrue="1" operator="equal">
      <formula>"Napkin Hs"</formula>
    </cfRule>
  </conditionalFormatting>
  <conditionalFormatting sqref="C77">
    <cfRule type="cellIs" dxfId="32819" priority="21723" stopIfTrue="1" operator="equal">
      <formula>"Towel"</formula>
    </cfRule>
    <cfRule type="cellIs" dxfId="32818" priority="21724" stopIfTrue="1" operator="equal">
      <formula>"Napkin Hs"</formula>
    </cfRule>
  </conditionalFormatting>
  <conditionalFormatting sqref="B77:C77">
    <cfRule type="cellIs" dxfId="32817" priority="21721" stopIfTrue="1" operator="equal">
      <formula>"Towel"</formula>
    </cfRule>
    <cfRule type="cellIs" dxfId="32816" priority="21722" stopIfTrue="1" operator="equal">
      <formula>"Napkin Hs"</formula>
    </cfRule>
  </conditionalFormatting>
  <conditionalFormatting sqref="C77">
    <cfRule type="cellIs" dxfId="32815" priority="21719" stopIfTrue="1" operator="equal">
      <formula>"Towel"</formula>
    </cfRule>
    <cfRule type="cellIs" dxfId="32814" priority="21720" stopIfTrue="1" operator="equal">
      <formula>"Napkin Hs"</formula>
    </cfRule>
  </conditionalFormatting>
  <conditionalFormatting sqref="C77">
    <cfRule type="cellIs" dxfId="32813" priority="21717" stopIfTrue="1" operator="equal">
      <formula>"Towel"</formula>
    </cfRule>
    <cfRule type="cellIs" dxfId="32812" priority="21718" stopIfTrue="1" operator="equal">
      <formula>"Napkin Hs"</formula>
    </cfRule>
  </conditionalFormatting>
  <conditionalFormatting sqref="B77:C77">
    <cfRule type="cellIs" dxfId="32811" priority="21715" stopIfTrue="1" operator="equal">
      <formula>"Towel"</formula>
    </cfRule>
    <cfRule type="cellIs" dxfId="32810" priority="21716" stopIfTrue="1" operator="equal">
      <formula>"Napkin Hs"</formula>
    </cfRule>
  </conditionalFormatting>
  <conditionalFormatting sqref="C77">
    <cfRule type="cellIs" dxfId="32809" priority="21713" stopIfTrue="1" operator="equal">
      <formula>"Towel"</formula>
    </cfRule>
    <cfRule type="cellIs" dxfId="32808" priority="21714" stopIfTrue="1" operator="equal">
      <formula>"Napkin Hs"</formula>
    </cfRule>
  </conditionalFormatting>
  <conditionalFormatting sqref="C77">
    <cfRule type="cellIs" dxfId="32807" priority="21711" stopIfTrue="1" operator="equal">
      <formula>"Towel"</formula>
    </cfRule>
    <cfRule type="cellIs" dxfId="32806" priority="21712" stopIfTrue="1" operator="equal">
      <formula>"Napkin Hs"</formula>
    </cfRule>
  </conditionalFormatting>
  <conditionalFormatting sqref="B77:C77">
    <cfRule type="cellIs" dxfId="32805" priority="21709" stopIfTrue="1" operator="equal">
      <formula>"Towel"</formula>
    </cfRule>
    <cfRule type="cellIs" dxfId="32804" priority="21710" stopIfTrue="1" operator="equal">
      <formula>"Napkin Hs"</formula>
    </cfRule>
  </conditionalFormatting>
  <conditionalFormatting sqref="C77">
    <cfRule type="cellIs" dxfId="32803" priority="21707" stopIfTrue="1" operator="equal">
      <formula>"Towel"</formula>
    </cfRule>
    <cfRule type="cellIs" dxfId="32802" priority="21708" stopIfTrue="1" operator="equal">
      <formula>"Napkin Hs"</formula>
    </cfRule>
  </conditionalFormatting>
  <conditionalFormatting sqref="C77">
    <cfRule type="cellIs" dxfId="32801" priority="21705" stopIfTrue="1" operator="equal">
      <formula>"Towel"</formula>
    </cfRule>
    <cfRule type="cellIs" dxfId="32800" priority="21706" stopIfTrue="1" operator="equal">
      <formula>"Napkin Hs"</formula>
    </cfRule>
  </conditionalFormatting>
  <conditionalFormatting sqref="B77:C77">
    <cfRule type="cellIs" dxfId="32799" priority="21704" stopIfTrue="1" operator="equal">
      <formula>"Napkin Hs"</formula>
    </cfRule>
  </conditionalFormatting>
  <conditionalFormatting sqref="B77:C77">
    <cfRule type="cellIs" dxfId="32798" priority="21703" stopIfTrue="1" operator="equal">
      <formula>"Towel"</formula>
    </cfRule>
  </conditionalFormatting>
  <conditionalFormatting sqref="C77">
    <cfRule type="cellIs" dxfId="32797" priority="21702" stopIfTrue="1" operator="equal">
      <formula>"Napkin Hs"</formula>
    </cfRule>
  </conditionalFormatting>
  <conditionalFormatting sqref="C77">
    <cfRule type="cellIs" dxfId="32796" priority="21699" stopIfTrue="1" operator="equal">
      <formula>"Towel"</formula>
    </cfRule>
    <cfRule type="cellIs" dxfId="32795" priority="21700" stopIfTrue="1" operator="equal">
      <formula>"Napkin Hs"</formula>
    </cfRule>
  </conditionalFormatting>
  <conditionalFormatting sqref="C77">
    <cfRule type="cellIs" dxfId="32794" priority="21701" stopIfTrue="1" operator="equal">
      <formula>"Towel"</formula>
    </cfRule>
  </conditionalFormatting>
  <conditionalFormatting sqref="B82:C82">
    <cfRule type="cellIs" dxfId="32793" priority="21697" stopIfTrue="1" operator="equal">
      <formula>"Towel"</formula>
    </cfRule>
    <cfRule type="cellIs" dxfId="32792" priority="21698" stopIfTrue="1" operator="equal">
      <formula>"Napkin Hs"</formula>
    </cfRule>
  </conditionalFormatting>
  <conditionalFormatting sqref="C82">
    <cfRule type="cellIs" dxfId="32791" priority="21693" stopIfTrue="1" operator="equal">
      <formula>"Towel"</formula>
    </cfRule>
    <cfRule type="cellIs" dxfId="32790" priority="21694" stopIfTrue="1" operator="equal">
      <formula>"Napkin Hs"</formula>
    </cfRule>
  </conditionalFormatting>
  <conditionalFormatting sqref="C82">
    <cfRule type="cellIs" dxfId="32789" priority="21695" stopIfTrue="1" operator="equal">
      <formula>"Towel"</formula>
    </cfRule>
    <cfRule type="cellIs" dxfId="32788" priority="21696" stopIfTrue="1" operator="equal">
      <formula>"Napkin Hs"</formula>
    </cfRule>
  </conditionalFormatting>
  <conditionalFormatting sqref="B82:C82">
    <cfRule type="cellIs" dxfId="32787" priority="21691" stopIfTrue="1" operator="equal">
      <formula>"Towel"</formula>
    </cfRule>
    <cfRule type="cellIs" dxfId="32786" priority="21692" stopIfTrue="1" operator="equal">
      <formula>"Napkin Hs"</formula>
    </cfRule>
  </conditionalFormatting>
  <conditionalFormatting sqref="C82">
    <cfRule type="cellIs" dxfId="32785" priority="21687" stopIfTrue="1" operator="equal">
      <formula>"Towel"</formula>
    </cfRule>
    <cfRule type="cellIs" dxfId="32784" priority="21688" stopIfTrue="1" operator="equal">
      <formula>"Napkin Hs"</formula>
    </cfRule>
  </conditionalFormatting>
  <conditionalFormatting sqref="C82">
    <cfRule type="cellIs" dxfId="32783" priority="21689" stopIfTrue="1" operator="equal">
      <formula>"Towel"</formula>
    </cfRule>
    <cfRule type="cellIs" dxfId="32782" priority="21690" stopIfTrue="1" operator="equal">
      <formula>"Napkin Hs"</formula>
    </cfRule>
  </conditionalFormatting>
  <conditionalFormatting sqref="B82:C82">
    <cfRule type="cellIs" dxfId="32781" priority="21685" stopIfTrue="1" operator="equal">
      <formula>"Towel"</formula>
    </cfRule>
    <cfRule type="cellIs" dxfId="32780" priority="21686" stopIfTrue="1" operator="equal">
      <formula>"Napkin Hs"</formula>
    </cfRule>
  </conditionalFormatting>
  <conditionalFormatting sqref="C82">
    <cfRule type="cellIs" dxfId="32779" priority="21683" stopIfTrue="1" operator="equal">
      <formula>"Towel"</formula>
    </cfRule>
    <cfRule type="cellIs" dxfId="32778" priority="21684" stopIfTrue="1" operator="equal">
      <formula>"Napkin Hs"</formula>
    </cfRule>
  </conditionalFormatting>
  <conditionalFormatting sqref="C82">
    <cfRule type="cellIs" dxfId="32777" priority="21681" stopIfTrue="1" operator="equal">
      <formula>"Towel"</formula>
    </cfRule>
    <cfRule type="cellIs" dxfId="32776" priority="21682" stopIfTrue="1" operator="equal">
      <formula>"Napkin Hs"</formula>
    </cfRule>
  </conditionalFormatting>
  <conditionalFormatting sqref="B82:C82">
    <cfRule type="cellIs" dxfId="32775" priority="21679" stopIfTrue="1" operator="equal">
      <formula>"Towel"</formula>
    </cfRule>
    <cfRule type="cellIs" dxfId="32774" priority="21680" stopIfTrue="1" operator="equal">
      <formula>"Napkin Hs"</formula>
    </cfRule>
  </conditionalFormatting>
  <conditionalFormatting sqref="C82">
    <cfRule type="cellIs" dxfId="32773" priority="21677" stopIfTrue="1" operator="equal">
      <formula>"Towel"</formula>
    </cfRule>
    <cfRule type="cellIs" dxfId="32772" priority="21678" stopIfTrue="1" operator="equal">
      <formula>"Napkin Hs"</formula>
    </cfRule>
  </conditionalFormatting>
  <conditionalFormatting sqref="C82">
    <cfRule type="cellIs" dxfId="32771" priority="21675" stopIfTrue="1" operator="equal">
      <formula>"Towel"</formula>
    </cfRule>
    <cfRule type="cellIs" dxfId="32770" priority="21676" stopIfTrue="1" operator="equal">
      <formula>"Napkin Hs"</formula>
    </cfRule>
  </conditionalFormatting>
  <conditionalFormatting sqref="B82:C82">
    <cfRule type="cellIs" dxfId="32769" priority="21673" stopIfTrue="1" operator="equal">
      <formula>"Towel"</formula>
    </cfRule>
    <cfRule type="cellIs" dxfId="32768" priority="21674" stopIfTrue="1" operator="equal">
      <formula>"Napkin Hs"</formula>
    </cfRule>
  </conditionalFormatting>
  <conditionalFormatting sqref="C82">
    <cfRule type="cellIs" dxfId="32767" priority="21671" stopIfTrue="1" operator="equal">
      <formula>"Towel"</formula>
    </cfRule>
    <cfRule type="cellIs" dxfId="32766" priority="21672" stopIfTrue="1" operator="equal">
      <formula>"Napkin Hs"</formula>
    </cfRule>
  </conditionalFormatting>
  <conditionalFormatting sqref="C82">
    <cfRule type="cellIs" dxfId="32765" priority="21669" stopIfTrue="1" operator="equal">
      <formula>"Towel"</formula>
    </cfRule>
    <cfRule type="cellIs" dxfId="32764" priority="21670" stopIfTrue="1" operator="equal">
      <formula>"Napkin Hs"</formula>
    </cfRule>
  </conditionalFormatting>
  <conditionalFormatting sqref="B82:C82">
    <cfRule type="cellIs" dxfId="32763" priority="21668" stopIfTrue="1" operator="equal">
      <formula>"Napkin Hs"</formula>
    </cfRule>
  </conditionalFormatting>
  <conditionalFormatting sqref="B82:C82">
    <cfRule type="cellIs" dxfId="32762" priority="21667" stopIfTrue="1" operator="equal">
      <formula>"Towel"</formula>
    </cfRule>
  </conditionalFormatting>
  <conditionalFormatting sqref="C82">
    <cfRule type="cellIs" dxfId="32761" priority="21666" stopIfTrue="1" operator="equal">
      <formula>"Napkin Hs"</formula>
    </cfRule>
  </conditionalFormatting>
  <conditionalFormatting sqref="C82">
    <cfRule type="cellIs" dxfId="32760" priority="21663" stopIfTrue="1" operator="equal">
      <formula>"Towel"</formula>
    </cfRule>
    <cfRule type="cellIs" dxfId="32759" priority="21664" stopIfTrue="1" operator="equal">
      <formula>"Napkin Hs"</formula>
    </cfRule>
  </conditionalFormatting>
  <conditionalFormatting sqref="C82">
    <cfRule type="cellIs" dxfId="32758" priority="21665" stopIfTrue="1" operator="equal">
      <formula>"Towel"</formula>
    </cfRule>
  </conditionalFormatting>
  <conditionalFormatting sqref="B81:C81">
    <cfRule type="cellIs" dxfId="32757" priority="21613" stopIfTrue="1" operator="equal">
      <formula>"Towel"</formula>
    </cfRule>
    <cfRule type="cellIs" dxfId="32756" priority="21614" stopIfTrue="1" operator="equal">
      <formula>"Napkin Hs"</formula>
    </cfRule>
  </conditionalFormatting>
  <conditionalFormatting sqref="C81">
    <cfRule type="cellIs" dxfId="32755" priority="21609" stopIfTrue="1" operator="equal">
      <formula>"Towel"</formula>
    </cfRule>
    <cfRule type="cellIs" dxfId="32754" priority="21610" stopIfTrue="1" operator="equal">
      <formula>"Napkin Hs"</formula>
    </cfRule>
  </conditionalFormatting>
  <conditionalFormatting sqref="C81">
    <cfRule type="cellIs" dxfId="32753" priority="21611" stopIfTrue="1" operator="equal">
      <formula>"Towel"</formula>
    </cfRule>
    <cfRule type="cellIs" dxfId="32752" priority="21612" stopIfTrue="1" operator="equal">
      <formula>"Napkin Hs"</formula>
    </cfRule>
  </conditionalFormatting>
  <conditionalFormatting sqref="B81:C81">
    <cfRule type="cellIs" dxfId="32751" priority="21608" stopIfTrue="1" operator="equal">
      <formula>"Napkin Hs"</formula>
    </cfRule>
  </conditionalFormatting>
  <conditionalFormatting sqref="B81:C81">
    <cfRule type="cellIs" dxfId="32750" priority="21607" stopIfTrue="1" operator="equal">
      <formula>"Towel"</formula>
    </cfRule>
  </conditionalFormatting>
  <conditionalFormatting sqref="C81">
    <cfRule type="cellIs" dxfId="32749" priority="21606" stopIfTrue="1" operator="equal">
      <formula>"Napkin Hs"</formula>
    </cfRule>
  </conditionalFormatting>
  <conditionalFormatting sqref="C81">
    <cfRule type="cellIs" dxfId="32748" priority="21605" stopIfTrue="1" operator="equal">
      <formula>"Towel"</formula>
    </cfRule>
  </conditionalFormatting>
  <conditionalFormatting sqref="C81">
    <cfRule type="cellIs" dxfId="32747" priority="21603" stopIfTrue="1" operator="equal">
      <formula>"Towel"</formula>
    </cfRule>
    <cfRule type="cellIs" dxfId="32746" priority="21604" stopIfTrue="1" operator="equal">
      <formula>"Napkin Hs"</formula>
    </cfRule>
  </conditionalFormatting>
  <conditionalFormatting sqref="B81:C81">
    <cfRule type="cellIs" dxfId="32745" priority="21601" stopIfTrue="1" operator="equal">
      <formula>"Towel"</formula>
    </cfRule>
    <cfRule type="cellIs" dxfId="32744" priority="21602" stopIfTrue="1" operator="equal">
      <formula>"Napkin Hs"</formula>
    </cfRule>
  </conditionalFormatting>
  <conditionalFormatting sqref="C81">
    <cfRule type="cellIs" dxfId="32743" priority="21599" stopIfTrue="1" operator="equal">
      <formula>"Towel"</formula>
    </cfRule>
    <cfRule type="cellIs" dxfId="32742" priority="21600" stopIfTrue="1" operator="equal">
      <formula>"Napkin Hs"</formula>
    </cfRule>
  </conditionalFormatting>
  <conditionalFormatting sqref="C81">
    <cfRule type="cellIs" dxfId="32741" priority="21597" stopIfTrue="1" operator="equal">
      <formula>"Towel"</formula>
    </cfRule>
    <cfRule type="cellIs" dxfId="32740" priority="21598" stopIfTrue="1" operator="equal">
      <formula>"Napkin Hs"</formula>
    </cfRule>
  </conditionalFormatting>
  <conditionalFormatting sqref="B81:C81">
    <cfRule type="cellIs" dxfId="32739" priority="21595" stopIfTrue="1" operator="equal">
      <formula>"Towel"</formula>
    </cfRule>
    <cfRule type="cellIs" dxfId="32738" priority="21596" stopIfTrue="1" operator="equal">
      <formula>"Napkin Hs"</formula>
    </cfRule>
  </conditionalFormatting>
  <conditionalFormatting sqref="C81">
    <cfRule type="cellIs" dxfId="32737" priority="21593" stopIfTrue="1" operator="equal">
      <formula>"Towel"</formula>
    </cfRule>
    <cfRule type="cellIs" dxfId="32736" priority="21594" stopIfTrue="1" operator="equal">
      <formula>"Napkin Hs"</formula>
    </cfRule>
  </conditionalFormatting>
  <conditionalFormatting sqref="C81">
    <cfRule type="cellIs" dxfId="32735" priority="21591" stopIfTrue="1" operator="equal">
      <formula>"Towel"</formula>
    </cfRule>
    <cfRule type="cellIs" dxfId="32734" priority="21592" stopIfTrue="1" operator="equal">
      <formula>"Napkin Hs"</formula>
    </cfRule>
  </conditionalFormatting>
  <conditionalFormatting sqref="B81:C81">
    <cfRule type="cellIs" dxfId="32733" priority="21589" stopIfTrue="1" operator="equal">
      <formula>"Towel"</formula>
    </cfRule>
    <cfRule type="cellIs" dxfId="32732" priority="21590" stopIfTrue="1" operator="equal">
      <formula>"Napkin Hs"</formula>
    </cfRule>
  </conditionalFormatting>
  <conditionalFormatting sqref="C81">
    <cfRule type="cellIs" dxfId="32731" priority="21587" stopIfTrue="1" operator="equal">
      <formula>"Towel"</formula>
    </cfRule>
    <cfRule type="cellIs" dxfId="32730" priority="21588" stopIfTrue="1" operator="equal">
      <formula>"Napkin Hs"</formula>
    </cfRule>
  </conditionalFormatting>
  <conditionalFormatting sqref="C81">
    <cfRule type="cellIs" dxfId="32729" priority="21585" stopIfTrue="1" operator="equal">
      <formula>"Towel"</formula>
    </cfRule>
    <cfRule type="cellIs" dxfId="32728" priority="21586" stopIfTrue="1" operator="equal">
      <formula>"Napkin Hs"</formula>
    </cfRule>
  </conditionalFormatting>
  <conditionalFormatting sqref="B81:C81">
    <cfRule type="cellIs" dxfId="32727" priority="21583" stopIfTrue="1" operator="equal">
      <formula>"Towel"</formula>
    </cfRule>
    <cfRule type="cellIs" dxfId="32726" priority="21584" stopIfTrue="1" operator="equal">
      <formula>"Napkin Hs"</formula>
    </cfRule>
  </conditionalFormatting>
  <conditionalFormatting sqref="C81">
    <cfRule type="cellIs" dxfId="32725" priority="21581" stopIfTrue="1" operator="equal">
      <formula>"Towel"</formula>
    </cfRule>
    <cfRule type="cellIs" dxfId="32724" priority="21582" stopIfTrue="1" operator="equal">
      <formula>"Napkin Hs"</formula>
    </cfRule>
  </conditionalFormatting>
  <conditionalFormatting sqref="C81">
    <cfRule type="cellIs" dxfId="32723" priority="21579" stopIfTrue="1" operator="equal">
      <formula>"Towel"</formula>
    </cfRule>
    <cfRule type="cellIs" dxfId="32722" priority="21580" stopIfTrue="1" operator="equal">
      <formula>"Napkin Hs"</formula>
    </cfRule>
  </conditionalFormatting>
  <conditionalFormatting sqref="B81:C81">
    <cfRule type="cellIs" dxfId="32721" priority="21577" stopIfTrue="1" operator="equal">
      <formula>"Towel"</formula>
    </cfRule>
    <cfRule type="cellIs" dxfId="32720" priority="21578" stopIfTrue="1" operator="equal">
      <formula>"Napkin Hs"</formula>
    </cfRule>
  </conditionalFormatting>
  <conditionalFormatting sqref="C81">
    <cfRule type="cellIs" dxfId="32719" priority="21575" stopIfTrue="1" operator="equal">
      <formula>"Towel"</formula>
    </cfRule>
    <cfRule type="cellIs" dxfId="32718" priority="21576" stopIfTrue="1" operator="equal">
      <formula>"Napkin Hs"</formula>
    </cfRule>
  </conditionalFormatting>
  <conditionalFormatting sqref="C81">
    <cfRule type="cellIs" dxfId="32717" priority="21573" stopIfTrue="1" operator="equal">
      <formula>"Towel"</formula>
    </cfRule>
    <cfRule type="cellIs" dxfId="32716" priority="21574" stopIfTrue="1" operator="equal">
      <formula>"Napkin Hs"</formula>
    </cfRule>
  </conditionalFormatting>
  <conditionalFormatting sqref="B81:C81">
    <cfRule type="cellIs" dxfId="32715" priority="21572" stopIfTrue="1" operator="equal">
      <formula>"Napkin Hs"</formula>
    </cfRule>
  </conditionalFormatting>
  <conditionalFormatting sqref="B81:C81">
    <cfRule type="cellIs" dxfId="32714" priority="21571" stopIfTrue="1" operator="equal">
      <formula>"Towel"</formula>
    </cfRule>
  </conditionalFormatting>
  <conditionalFormatting sqref="C81">
    <cfRule type="cellIs" dxfId="32713" priority="21570" stopIfTrue="1" operator="equal">
      <formula>"Napkin Hs"</formula>
    </cfRule>
  </conditionalFormatting>
  <conditionalFormatting sqref="C81">
    <cfRule type="cellIs" dxfId="32712" priority="21567" stopIfTrue="1" operator="equal">
      <formula>"Towel"</formula>
    </cfRule>
    <cfRule type="cellIs" dxfId="32711" priority="21568" stopIfTrue="1" operator="equal">
      <formula>"Napkin Hs"</formula>
    </cfRule>
  </conditionalFormatting>
  <conditionalFormatting sqref="C81">
    <cfRule type="cellIs" dxfId="32710" priority="21569" stopIfTrue="1" operator="equal">
      <formula>"Towel"</formula>
    </cfRule>
  </conditionalFormatting>
  <conditionalFormatting sqref="B80:C80">
    <cfRule type="cellIs" dxfId="32709" priority="21565" stopIfTrue="1" operator="equal">
      <formula>"Towel"</formula>
    </cfRule>
    <cfRule type="cellIs" dxfId="32708" priority="21566" stopIfTrue="1" operator="equal">
      <formula>"Napkin Hs"</formula>
    </cfRule>
  </conditionalFormatting>
  <conditionalFormatting sqref="C80">
    <cfRule type="cellIs" dxfId="32707" priority="21561" stopIfTrue="1" operator="equal">
      <formula>"Towel"</formula>
    </cfRule>
    <cfRule type="cellIs" dxfId="32706" priority="21562" stopIfTrue="1" operator="equal">
      <formula>"Napkin Hs"</formula>
    </cfRule>
  </conditionalFormatting>
  <conditionalFormatting sqref="C80">
    <cfRule type="cellIs" dxfId="32705" priority="21563" stopIfTrue="1" operator="equal">
      <formula>"Towel"</formula>
    </cfRule>
    <cfRule type="cellIs" dxfId="32704" priority="21564" stopIfTrue="1" operator="equal">
      <formula>"Napkin Hs"</formula>
    </cfRule>
  </conditionalFormatting>
  <conditionalFormatting sqref="B80:C80">
    <cfRule type="cellIs" dxfId="32703" priority="21560" stopIfTrue="1" operator="equal">
      <formula>"Napkin Hs"</formula>
    </cfRule>
  </conditionalFormatting>
  <conditionalFormatting sqref="B80:C80">
    <cfRule type="cellIs" dxfId="32702" priority="21559" stopIfTrue="1" operator="equal">
      <formula>"Towel"</formula>
    </cfRule>
  </conditionalFormatting>
  <conditionalFormatting sqref="C80">
    <cfRule type="cellIs" dxfId="32701" priority="21558" stopIfTrue="1" operator="equal">
      <formula>"Napkin Hs"</formula>
    </cfRule>
  </conditionalFormatting>
  <conditionalFormatting sqref="C80">
    <cfRule type="cellIs" dxfId="32700" priority="21557" stopIfTrue="1" operator="equal">
      <formula>"Towel"</formula>
    </cfRule>
  </conditionalFormatting>
  <conditionalFormatting sqref="C80">
    <cfRule type="cellIs" dxfId="32699" priority="21555" stopIfTrue="1" operator="equal">
      <formula>"Towel"</formula>
    </cfRule>
    <cfRule type="cellIs" dxfId="32698" priority="21556" stopIfTrue="1" operator="equal">
      <formula>"Napkin Hs"</formula>
    </cfRule>
  </conditionalFormatting>
  <conditionalFormatting sqref="B80:C80">
    <cfRule type="cellIs" dxfId="32697" priority="21553" stopIfTrue="1" operator="equal">
      <formula>"Towel"</formula>
    </cfRule>
    <cfRule type="cellIs" dxfId="32696" priority="21554" stopIfTrue="1" operator="equal">
      <formula>"Napkin Hs"</formula>
    </cfRule>
  </conditionalFormatting>
  <conditionalFormatting sqref="C80">
    <cfRule type="cellIs" dxfId="32695" priority="21551" stopIfTrue="1" operator="equal">
      <formula>"Towel"</formula>
    </cfRule>
    <cfRule type="cellIs" dxfId="32694" priority="21552" stopIfTrue="1" operator="equal">
      <formula>"Napkin Hs"</formula>
    </cfRule>
  </conditionalFormatting>
  <conditionalFormatting sqref="C80">
    <cfRule type="cellIs" dxfId="32693" priority="21549" stopIfTrue="1" operator="equal">
      <formula>"Towel"</formula>
    </cfRule>
    <cfRule type="cellIs" dxfId="32692" priority="21550" stopIfTrue="1" operator="equal">
      <formula>"Napkin Hs"</formula>
    </cfRule>
  </conditionalFormatting>
  <conditionalFormatting sqref="B80:C80">
    <cfRule type="cellIs" dxfId="32691" priority="21547" stopIfTrue="1" operator="equal">
      <formula>"Towel"</formula>
    </cfRule>
    <cfRule type="cellIs" dxfId="32690" priority="21548" stopIfTrue="1" operator="equal">
      <formula>"Napkin Hs"</formula>
    </cfRule>
  </conditionalFormatting>
  <conditionalFormatting sqref="C80">
    <cfRule type="cellIs" dxfId="32689" priority="21545" stopIfTrue="1" operator="equal">
      <formula>"Towel"</formula>
    </cfRule>
    <cfRule type="cellIs" dxfId="32688" priority="21546" stopIfTrue="1" operator="equal">
      <formula>"Napkin Hs"</formula>
    </cfRule>
  </conditionalFormatting>
  <conditionalFormatting sqref="C80">
    <cfRule type="cellIs" dxfId="32687" priority="21543" stopIfTrue="1" operator="equal">
      <formula>"Towel"</formula>
    </cfRule>
    <cfRule type="cellIs" dxfId="32686" priority="21544" stopIfTrue="1" operator="equal">
      <formula>"Napkin Hs"</formula>
    </cfRule>
  </conditionalFormatting>
  <conditionalFormatting sqref="B80:C80">
    <cfRule type="cellIs" dxfId="32685" priority="21541" stopIfTrue="1" operator="equal">
      <formula>"Towel"</formula>
    </cfRule>
    <cfRule type="cellIs" dxfId="32684" priority="21542" stopIfTrue="1" operator="equal">
      <formula>"Napkin Hs"</formula>
    </cfRule>
  </conditionalFormatting>
  <conditionalFormatting sqref="C80">
    <cfRule type="cellIs" dxfId="32683" priority="21539" stopIfTrue="1" operator="equal">
      <formula>"Towel"</formula>
    </cfRule>
    <cfRule type="cellIs" dxfId="32682" priority="21540" stopIfTrue="1" operator="equal">
      <formula>"Napkin Hs"</formula>
    </cfRule>
  </conditionalFormatting>
  <conditionalFormatting sqref="C80">
    <cfRule type="cellIs" dxfId="32681" priority="21537" stopIfTrue="1" operator="equal">
      <formula>"Towel"</formula>
    </cfRule>
    <cfRule type="cellIs" dxfId="32680" priority="21538" stopIfTrue="1" operator="equal">
      <formula>"Napkin Hs"</formula>
    </cfRule>
  </conditionalFormatting>
  <conditionalFormatting sqref="B80:C80">
    <cfRule type="cellIs" dxfId="32679" priority="21535" stopIfTrue="1" operator="equal">
      <formula>"Towel"</formula>
    </cfRule>
    <cfRule type="cellIs" dxfId="32678" priority="21536" stopIfTrue="1" operator="equal">
      <formula>"Napkin Hs"</formula>
    </cfRule>
  </conditionalFormatting>
  <conditionalFormatting sqref="C80">
    <cfRule type="cellIs" dxfId="32677" priority="21533" stopIfTrue="1" operator="equal">
      <formula>"Towel"</formula>
    </cfRule>
    <cfRule type="cellIs" dxfId="32676" priority="21534" stopIfTrue="1" operator="equal">
      <formula>"Napkin Hs"</formula>
    </cfRule>
  </conditionalFormatting>
  <conditionalFormatting sqref="C80">
    <cfRule type="cellIs" dxfId="32675" priority="21531" stopIfTrue="1" operator="equal">
      <formula>"Towel"</formula>
    </cfRule>
    <cfRule type="cellIs" dxfId="32674" priority="21532" stopIfTrue="1" operator="equal">
      <formula>"Napkin Hs"</formula>
    </cfRule>
  </conditionalFormatting>
  <conditionalFormatting sqref="B80:C80">
    <cfRule type="cellIs" dxfId="32673" priority="21529" stopIfTrue="1" operator="equal">
      <formula>"Towel"</formula>
    </cfRule>
    <cfRule type="cellIs" dxfId="32672" priority="21530" stopIfTrue="1" operator="equal">
      <formula>"Napkin Hs"</formula>
    </cfRule>
  </conditionalFormatting>
  <conditionalFormatting sqref="C80">
    <cfRule type="cellIs" dxfId="32671" priority="21527" stopIfTrue="1" operator="equal">
      <formula>"Towel"</formula>
    </cfRule>
    <cfRule type="cellIs" dxfId="32670" priority="21528" stopIfTrue="1" operator="equal">
      <formula>"Napkin Hs"</formula>
    </cfRule>
  </conditionalFormatting>
  <conditionalFormatting sqref="C80">
    <cfRule type="cellIs" dxfId="32669" priority="21525" stopIfTrue="1" operator="equal">
      <formula>"Towel"</formula>
    </cfRule>
    <cfRule type="cellIs" dxfId="32668" priority="21526" stopIfTrue="1" operator="equal">
      <formula>"Napkin Hs"</formula>
    </cfRule>
  </conditionalFormatting>
  <conditionalFormatting sqref="B80:C80">
    <cfRule type="cellIs" dxfId="32667" priority="21524" stopIfTrue="1" operator="equal">
      <formula>"Napkin Hs"</formula>
    </cfRule>
  </conditionalFormatting>
  <conditionalFormatting sqref="B80:C80">
    <cfRule type="cellIs" dxfId="32666" priority="21523" stopIfTrue="1" operator="equal">
      <formula>"Towel"</formula>
    </cfRule>
  </conditionalFormatting>
  <conditionalFormatting sqref="C80">
    <cfRule type="cellIs" dxfId="32665" priority="21522" stopIfTrue="1" operator="equal">
      <formula>"Napkin Hs"</formula>
    </cfRule>
  </conditionalFormatting>
  <conditionalFormatting sqref="C80">
    <cfRule type="cellIs" dxfId="32664" priority="21519" stopIfTrue="1" operator="equal">
      <formula>"Towel"</formula>
    </cfRule>
    <cfRule type="cellIs" dxfId="32663" priority="21520" stopIfTrue="1" operator="equal">
      <formula>"Napkin Hs"</formula>
    </cfRule>
  </conditionalFormatting>
  <conditionalFormatting sqref="C80">
    <cfRule type="cellIs" dxfId="32662" priority="21521" stopIfTrue="1" operator="equal">
      <formula>"Towel"</formula>
    </cfRule>
  </conditionalFormatting>
  <conditionalFormatting sqref="B92:C92">
    <cfRule type="cellIs" dxfId="32661" priority="21379" stopIfTrue="1" operator="equal">
      <formula>"Towel"</formula>
    </cfRule>
    <cfRule type="cellIs" dxfId="32660" priority="21380" stopIfTrue="1" operator="equal">
      <formula>"Napkin Hs"</formula>
    </cfRule>
  </conditionalFormatting>
  <conditionalFormatting sqref="C92">
    <cfRule type="cellIs" dxfId="32659" priority="21377" stopIfTrue="1" operator="equal">
      <formula>"Towel"</formula>
    </cfRule>
    <cfRule type="cellIs" dxfId="32658" priority="21378" stopIfTrue="1" operator="equal">
      <formula>"Napkin Hs"</formula>
    </cfRule>
  </conditionalFormatting>
  <conditionalFormatting sqref="C92">
    <cfRule type="cellIs" dxfId="32657" priority="21375" stopIfTrue="1" operator="equal">
      <formula>"Towel"</formula>
    </cfRule>
    <cfRule type="cellIs" dxfId="32656" priority="21376" stopIfTrue="1" operator="equal">
      <formula>"Napkin Hs"</formula>
    </cfRule>
  </conditionalFormatting>
  <conditionalFormatting sqref="B95:C95">
    <cfRule type="cellIs" dxfId="32655" priority="21109" stopIfTrue="1" operator="equal">
      <formula>"Towel"</formula>
    </cfRule>
    <cfRule type="cellIs" dxfId="32654" priority="21110" stopIfTrue="1" operator="equal">
      <formula>"Napkin Hs"</formula>
    </cfRule>
  </conditionalFormatting>
  <conditionalFormatting sqref="C95">
    <cfRule type="cellIs" dxfId="32653" priority="21105" stopIfTrue="1" operator="equal">
      <formula>"Towel"</formula>
    </cfRule>
    <cfRule type="cellIs" dxfId="32652" priority="21106" stopIfTrue="1" operator="equal">
      <formula>"Napkin Hs"</formula>
    </cfRule>
  </conditionalFormatting>
  <conditionalFormatting sqref="C95">
    <cfRule type="cellIs" dxfId="32651" priority="21107" stopIfTrue="1" operator="equal">
      <formula>"Towel"</formula>
    </cfRule>
    <cfRule type="cellIs" dxfId="32650" priority="21108" stopIfTrue="1" operator="equal">
      <formula>"Napkin Hs"</formula>
    </cfRule>
  </conditionalFormatting>
  <conditionalFormatting sqref="B95:C95">
    <cfRule type="cellIs" dxfId="32649" priority="21104" stopIfTrue="1" operator="equal">
      <formula>"Napkin Hs"</formula>
    </cfRule>
  </conditionalFormatting>
  <conditionalFormatting sqref="B95:C95">
    <cfRule type="cellIs" dxfId="32648" priority="21103" stopIfTrue="1" operator="equal">
      <formula>"Towel"</formula>
    </cfRule>
  </conditionalFormatting>
  <conditionalFormatting sqref="C95">
    <cfRule type="cellIs" dxfId="32647" priority="21102" stopIfTrue="1" operator="equal">
      <formula>"Napkin Hs"</formula>
    </cfRule>
  </conditionalFormatting>
  <conditionalFormatting sqref="C95">
    <cfRule type="cellIs" dxfId="32646" priority="21101" stopIfTrue="1" operator="equal">
      <formula>"Towel"</formula>
    </cfRule>
  </conditionalFormatting>
  <conditionalFormatting sqref="C95">
    <cfRule type="cellIs" dxfId="32645" priority="21099" stopIfTrue="1" operator="equal">
      <formula>"Towel"</formula>
    </cfRule>
    <cfRule type="cellIs" dxfId="32644" priority="21100" stopIfTrue="1" operator="equal">
      <formula>"Napkin Hs"</formula>
    </cfRule>
  </conditionalFormatting>
  <conditionalFormatting sqref="B95:C95">
    <cfRule type="cellIs" dxfId="32643" priority="21097" stopIfTrue="1" operator="equal">
      <formula>"Towel"</formula>
    </cfRule>
    <cfRule type="cellIs" dxfId="32642" priority="21098" stopIfTrue="1" operator="equal">
      <formula>"Napkin Hs"</formula>
    </cfRule>
  </conditionalFormatting>
  <conditionalFormatting sqref="C95">
    <cfRule type="cellIs" dxfId="32641" priority="21095" stopIfTrue="1" operator="equal">
      <formula>"Towel"</formula>
    </cfRule>
    <cfRule type="cellIs" dxfId="32640" priority="21096" stopIfTrue="1" operator="equal">
      <formula>"Napkin Hs"</formula>
    </cfRule>
  </conditionalFormatting>
  <conditionalFormatting sqref="C95">
    <cfRule type="cellIs" dxfId="32639" priority="21093" stopIfTrue="1" operator="equal">
      <formula>"Towel"</formula>
    </cfRule>
    <cfRule type="cellIs" dxfId="32638" priority="21094" stopIfTrue="1" operator="equal">
      <formula>"Napkin Hs"</formula>
    </cfRule>
  </conditionalFormatting>
  <conditionalFormatting sqref="B95:C95">
    <cfRule type="cellIs" dxfId="32637" priority="21091" stopIfTrue="1" operator="equal">
      <formula>"Towel"</formula>
    </cfRule>
    <cfRule type="cellIs" dxfId="32636" priority="21092" stopIfTrue="1" operator="equal">
      <formula>"Napkin Hs"</formula>
    </cfRule>
  </conditionalFormatting>
  <conditionalFormatting sqref="C95">
    <cfRule type="cellIs" dxfId="32635" priority="21089" stopIfTrue="1" operator="equal">
      <formula>"Towel"</formula>
    </cfRule>
    <cfRule type="cellIs" dxfId="32634" priority="21090" stopIfTrue="1" operator="equal">
      <formula>"Napkin Hs"</formula>
    </cfRule>
  </conditionalFormatting>
  <conditionalFormatting sqref="C95">
    <cfRule type="cellIs" dxfId="32633" priority="21087" stopIfTrue="1" operator="equal">
      <formula>"Towel"</formula>
    </cfRule>
    <cfRule type="cellIs" dxfId="32632" priority="21088" stopIfTrue="1" operator="equal">
      <formula>"Napkin Hs"</formula>
    </cfRule>
  </conditionalFormatting>
  <conditionalFormatting sqref="B95:C95">
    <cfRule type="cellIs" dxfId="32631" priority="21085" stopIfTrue="1" operator="equal">
      <formula>"Towel"</formula>
    </cfRule>
    <cfRule type="cellIs" dxfId="32630" priority="21086" stopIfTrue="1" operator="equal">
      <formula>"Napkin Hs"</formula>
    </cfRule>
  </conditionalFormatting>
  <conditionalFormatting sqref="C95">
    <cfRule type="cellIs" dxfId="32629" priority="21083" stopIfTrue="1" operator="equal">
      <formula>"Towel"</formula>
    </cfRule>
    <cfRule type="cellIs" dxfId="32628" priority="21084" stopIfTrue="1" operator="equal">
      <formula>"Napkin Hs"</formula>
    </cfRule>
  </conditionalFormatting>
  <conditionalFormatting sqref="C95">
    <cfRule type="cellIs" dxfId="32627" priority="21081" stopIfTrue="1" operator="equal">
      <formula>"Towel"</formula>
    </cfRule>
    <cfRule type="cellIs" dxfId="32626" priority="21082" stopIfTrue="1" operator="equal">
      <formula>"Napkin Hs"</formula>
    </cfRule>
  </conditionalFormatting>
  <conditionalFormatting sqref="B95:C95">
    <cfRule type="cellIs" dxfId="32625" priority="21079" stopIfTrue="1" operator="equal">
      <formula>"Towel"</formula>
    </cfRule>
    <cfRule type="cellIs" dxfId="32624" priority="21080" stopIfTrue="1" operator="equal">
      <formula>"Napkin Hs"</formula>
    </cfRule>
  </conditionalFormatting>
  <conditionalFormatting sqref="C95">
    <cfRule type="cellIs" dxfId="32623" priority="21077" stopIfTrue="1" operator="equal">
      <formula>"Towel"</formula>
    </cfRule>
    <cfRule type="cellIs" dxfId="32622" priority="21078" stopIfTrue="1" operator="equal">
      <formula>"Napkin Hs"</formula>
    </cfRule>
  </conditionalFormatting>
  <conditionalFormatting sqref="C95">
    <cfRule type="cellIs" dxfId="32621" priority="21075" stopIfTrue="1" operator="equal">
      <formula>"Towel"</formula>
    </cfRule>
    <cfRule type="cellIs" dxfId="32620" priority="21076" stopIfTrue="1" operator="equal">
      <formula>"Napkin Hs"</formula>
    </cfRule>
  </conditionalFormatting>
  <conditionalFormatting sqref="B95:C95">
    <cfRule type="cellIs" dxfId="32619" priority="21073" stopIfTrue="1" operator="equal">
      <formula>"Towel"</formula>
    </cfRule>
    <cfRule type="cellIs" dxfId="32618" priority="21074" stopIfTrue="1" operator="equal">
      <formula>"Napkin Hs"</formula>
    </cfRule>
  </conditionalFormatting>
  <conditionalFormatting sqref="C95">
    <cfRule type="cellIs" dxfId="32617" priority="21071" stopIfTrue="1" operator="equal">
      <formula>"Towel"</formula>
    </cfRule>
    <cfRule type="cellIs" dxfId="32616" priority="21072" stopIfTrue="1" operator="equal">
      <formula>"Napkin Hs"</formula>
    </cfRule>
  </conditionalFormatting>
  <conditionalFormatting sqref="C95">
    <cfRule type="cellIs" dxfId="32615" priority="21069" stopIfTrue="1" operator="equal">
      <formula>"Towel"</formula>
    </cfRule>
    <cfRule type="cellIs" dxfId="32614" priority="21070" stopIfTrue="1" operator="equal">
      <formula>"Napkin Hs"</formula>
    </cfRule>
  </conditionalFormatting>
  <conditionalFormatting sqref="B95:C95">
    <cfRule type="cellIs" dxfId="32613" priority="21068" stopIfTrue="1" operator="equal">
      <formula>"Napkin Hs"</formula>
    </cfRule>
  </conditionalFormatting>
  <conditionalFormatting sqref="B95:C95">
    <cfRule type="cellIs" dxfId="32612" priority="21067" stopIfTrue="1" operator="equal">
      <formula>"Towel"</formula>
    </cfRule>
  </conditionalFormatting>
  <conditionalFormatting sqref="C95">
    <cfRule type="cellIs" dxfId="32611" priority="21066" stopIfTrue="1" operator="equal">
      <formula>"Napkin Hs"</formula>
    </cfRule>
  </conditionalFormatting>
  <conditionalFormatting sqref="C95">
    <cfRule type="cellIs" dxfId="32610" priority="21063" stopIfTrue="1" operator="equal">
      <formula>"Towel"</formula>
    </cfRule>
    <cfRule type="cellIs" dxfId="32609" priority="21064" stopIfTrue="1" operator="equal">
      <formula>"Napkin Hs"</formula>
    </cfRule>
  </conditionalFormatting>
  <conditionalFormatting sqref="C95">
    <cfRule type="cellIs" dxfId="32608" priority="21065" stopIfTrue="1" operator="equal">
      <formula>"Towel"</formula>
    </cfRule>
  </conditionalFormatting>
  <conditionalFormatting sqref="B94:C94">
    <cfRule type="cellIs" dxfId="32607" priority="21061" stopIfTrue="1" operator="equal">
      <formula>"Towel"</formula>
    </cfRule>
    <cfRule type="cellIs" dxfId="32606" priority="21062" stopIfTrue="1" operator="equal">
      <formula>"Napkin Hs"</formula>
    </cfRule>
  </conditionalFormatting>
  <conditionalFormatting sqref="C94">
    <cfRule type="cellIs" dxfId="32605" priority="21057" stopIfTrue="1" operator="equal">
      <formula>"Towel"</formula>
    </cfRule>
    <cfRule type="cellIs" dxfId="32604" priority="21058" stopIfTrue="1" operator="equal">
      <formula>"Napkin Hs"</formula>
    </cfRule>
  </conditionalFormatting>
  <conditionalFormatting sqref="C94">
    <cfRule type="cellIs" dxfId="32603" priority="21059" stopIfTrue="1" operator="equal">
      <formula>"Towel"</formula>
    </cfRule>
    <cfRule type="cellIs" dxfId="32602" priority="21060" stopIfTrue="1" operator="equal">
      <formula>"Napkin Hs"</formula>
    </cfRule>
  </conditionalFormatting>
  <conditionalFormatting sqref="B94:C94">
    <cfRule type="cellIs" dxfId="32601" priority="21056" stopIfTrue="1" operator="equal">
      <formula>"Napkin Hs"</formula>
    </cfRule>
  </conditionalFormatting>
  <conditionalFormatting sqref="B94:C94">
    <cfRule type="cellIs" dxfId="32600" priority="21055" stopIfTrue="1" operator="equal">
      <formula>"Towel"</formula>
    </cfRule>
  </conditionalFormatting>
  <conditionalFormatting sqref="C94">
    <cfRule type="cellIs" dxfId="32599" priority="21054" stopIfTrue="1" operator="equal">
      <formula>"Napkin Hs"</formula>
    </cfRule>
  </conditionalFormatting>
  <conditionalFormatting sqref="C94">
    <cfRule type="cellIs" dxfId="32598" priority="21053" stopIfTrue="1" operator="equal">
      <formula>"Towel"</formula>
    </cfRule>
  </conditionalFormatting>
  <conditionalFormatting sqref="C94">
    <cfRule type="cellIs" dxfId="32597" priority="21051" stopIfTrue="1" operator="equal">
      <formula>"Towel"</formula>
    </cfRule>
    <cfRule type="cellIs" dxfId="32596" priority="21052" stopIfTrue="1" operator="equal">
      <formula>"Napkin Hs"</formula>
    </cfRule>
  </conditionalFormatting>
  <conditionalFormatting sqref="B94:C94">
    <cfRule type="cellIs" dxfId="32595" priority="21049" stopIfTrue="1" operator="equal">
      <formula>"Towel"</formula>
    </cfRule>
    <cfRule type="cellIs" dxfId="32594" priority="21050" stopIfTrue="1" operator="equal">
      <formula>"Napkin Hs"</formula>
    </cfRule>
  </conditionalFormatting>
  <conditionalFormatting sqref="C94">
    <cfRule type="cellIs" dxfId="32593" priority="21047" stopIfTrue="1" operator="equal">
      <formula>"Towel"</formula>
    </cfRule>
    <cfRule type="cellIs" dxfId="32592" priority="21048" stopIfTrue="1" operator="equal">
      <formula>"Napkin Hs"</formula>
    </cfRule>
  </conditionalFormatting>
  <conditionalFormatting sqref="C94">
    <cfRule type="cellIs" dxfId="32591" priority="21045" stopIfTrue="1" operator="equal">
      <formula>"Towel"</formula>
    </cfRule>
    <cfRule type="cellIs" dxfId="32590" priority="21046" stopIfTrue="1" operator="equal">
      <formula>"Napkin Hs"</formula>
    </cfRule>
  </conditionalFormatting>
  <conditionalFormatting sqref="B94:C94">
    <cfRule type="cellIs" dxfId="32589" priority="21043" stopIfTrue="1" operator="equal">
      <formula>"Towel"</formula>
    </cfRule>
    <cfRule type="cellIs" dxfId="32588" priority="21044" stopIfTrue="1" operator="equal">
      <formula>"Napkin Hs"</formula>
    </cfRule>
  </conditionalFormatting>
  <conditionalFormatting sqref="C94">
    <cfRule type="cellIs" dxfId="32587" priority="21041" stopIfTrue="1" operator="equal">
      <formula>"Towel"</formula>
    </cfRule>
    <cfRule type="cellIs" dxfId="32586" priority="21042" stopIfTrue="1" operator="equal">
      <formula>"Napkin Hs"</formula>
    </cfRule>
  </conditionalFormatting>
  <conditionalFormatting sqref="C94">
    <cfRule type="cellIs" dxfId="32585" priority="21039" stopIfTrue="1" operator="equal">
      <formula>"Towel"</formula>
    </cfRule>
    <cfRule type="cellIs" dxfId="32584" priority="21040" stopIfTrue="1" operator="equal">
      <formula>"Napkin Hs"</formula>
    </cfRule>
  </conditionalFormatting>
  <conditionalFormatting sqref="B94:C94">
    <cfRule type="cellIs" dxfId="32583" priority="21037" stopIfTrue="1" operator="equal">
      <formula>"Towel"</formula>
    </cfRule>
    <cfRule type="cellIs" dxfId="32582" priority="21038" stopIfTrue="1" operator="equal">
      <formula>"Napkin Hs"</formula>
    </cfRule>
  </conditionalFormatting>
  <conditionalFormatting sqref="C94">
    <cfRule type="cellIs" dxfId="32581" priority="21035" stopIfTrue="1" operator="equal">
      <formula>"Towel"</formula>
    </cfRule>
    <cfRule type="cellIs" dxfId="32580" priority="21036" stopIfTrue="1" operator="equal">
      <formula>"Napkin Hs"</formula>
    </cfRule>
  </conditionalFormatting>
  <conditionalFormatting sqref="C94">
    <cfRule type="cellIs" dxfId="32579" priority="21033" stopIfTrue="1" operator="equal">
      <formula>"Towel"</formula>
    </cfRule>
    <cfRule type="cellIs" dxfId="32578" priority="21034" stopIfTrue="1" operator="equal">
      <formula>"Napkin Hs"</formula>
    </cfRule>
  </conditionalFormatting>
  <conditionalFormatting sqref="B94:C94">
    <cfRule type="cellIs" dxfId="32577" priority="21031" stopIfTrue="1" operator="equal">
      <formula>"Towel"</formula>
    </cfRule>
    <cfRule type="cellIs" dxfId="32576" priority="21032" stopIfTrue="1" operator="equal">
      <formula>"Napkin Hs"</formula>
    </cfRule>
  </conditionalFormatting>
  <conditionalFormatting sqref="C94">
    <cfRule type="cellIs" dxfId="32575" priority="21029" stopIfTrue="1" operator="equal">
      <formula>"Towel"</formula>
    </cfRule>
    <cfRule type="cellIs" dxfId="32574" priority="21030" stopIfTrue="1" operator="equal">
      <formula>"Napkin Hs"</formula>
    </cfRule>
  </conditionalFormatting>
  <conditionalFormatting sqref="C94">
    <cfRule type="cellIs" dxfId="32573" priority="21027" stopIfTrue="1" operator="equal">
      <formula>"Towel"</formula>
    </cfRule>
    <cfRule type="cellIs" dxfId="32572" priority="21028" stopIfTrue="1" operator="equal">
      <formula>"Napkin Hs"</formula>
    </cfRule>
  </conditionalFormatting>
  <conditionalFormatting sqref="B94:C94">
    <cfRule type="cellIs" dxfId="32571" priority="21025" stopIfTrue="1" operator="equal">
      <formula>"Towel"</formula>
    </cfRule>
    <cfRule type="cellIs" dxfId="32570" priority="21026" stopIfTrue="1" operator="equal">
      <formula>"Napkin Hs"</formula>
    </cfRule>
  </conditionalFormatting>
  <conditionalFormatting sqref="C94">
    <cfRule type="cellIs" dxfId="32569" priority="21023" stopIfTrue="1" operator="equal">
      <formula>"Towel"</formula>
    </cfRule>
    <cfRule type="cellIs" dxfId="32568" priority="21024" stopIfTrue="1" operator="equal">
      <formula>"Napkin Hs"</formula>
    </cfRule>
  </conditionalFormatting>
  <conditionalFormatting sqref="C94">
    <cfRule type="cellIs" dxfId="32567" priority="21021" stopIfTrue="1" operator="equal">
      <formula>"Towel"</formula>
    </cfRule>
    <cfRule type="cellIs" dxfId="32566" priority="21022" stopIfTrue="1" operator="equal">
      <formula>"Napkin Hs"</formula>
    </cfRule>
  </conditionalFormatting>
  <conditionalFormatting sqref="B94:C94">
    <cfRule type="cellIs" dxfId="32565" priority="21020" stopIfTrue="1" operator="equal">
      <formula>"Napkin Hs"</formula>
    </cfRule>
  </conditionalFormatting>
  <conditionalFormatting sqref="B94:C94">
    <cfRule type="cellIs" dxfId="32564" priority="21019" stopIfTrue="1" operator="equal">
      <formula>"Towel"</formula>
    </cfRule>
  </conditionalFormatting>
  <conditionalFormatting sqref="C94">
    <cfRule type="cellIs" dxfId="32563" priority="21018" stopIfTrue="1" operator="equal">
      <formula>"Napkin Hs"</formula>
    </cfRule>
  </conditionalFormatting>
  <conditionalFormatting sqref="C94">
    <cfRule type="cellIs" dxfId="32562" priority="21015" stopIfTrue="1" operator="equal">
      <formula>"Towel"</formula>
    </cfRule>
    <cfRule type="cellIs" dxfId="32561" priority="21016" stopIfTrue="1" operator="equal">
      <formula>"Napkin Hs"</formula>
    </cfRule>
  </conditionalFormatting>
  <conditionalFormatting sqref="C94">
    <cfRule type="cellIs" dxfId="32560" priority="21017" stopIfTrue="1" operator="equal">
      <formula>"Towel"</formula>
    </cfRule>
  </conditionalFormatting>
  <conditionalFormatting sqref="B102:C103">
    <cfRule type="cellIs" dxfId="32559" priority="21014" stopIfTrue="1" operator="equal">
      <formula>"Napkin Hs"</formula>
    </cfRule>
  </conditionalFormatting>
  <conditionalFormatting sqref="B102:C103">
    <cfRule type="cellIs" dxfId="32558" priority="21013" stopIfTrue="1" operator="equal">
      <formula>"Towel"</formula>
    </cfRule>
  </conditionalFormatting>
  <conditionalFormatting sqref="B101:C101">
    <cfRule type="cellIs" dxfId="32557" priority="21007" stopIfTrue="1" operator="equal">
      <formula>"Towel"</formula>
    </cfRule>
    <cfRule type="cellIs" dxfId="32556" priority="21008" stopIfTrue="1" operator="equal">
      <formula>"Napkin Hs"</formula>
    </cfRule>
  </conditionalFormatting>
  <conditionalFormatting sqref="C102:C103">
    <cfRule type="cellIs" dxfId="32555" priority="21012" stopIfTrue="1" operator="equal">
      <formula>"Napkin Hs"</formula>
    </cfRule>
  </conditionalFormatting>
  <conditionalFormatting sqref="C102:C103">
    <cfRule type="cellIs" dxfId="32554" priority="21011" stopIfTrue="1" operator="equal">
      <formula>"Towel"</formula>
    </cfRule>
  </conditionalFormatting>
  <conditionalFormatting sqref="C101:C103">
    <cfRule type="cellIs" dxfId="32553" priority="21009" stopIfTrue="1" operator="equal">
      <formula>"Towel"</formula>
    </cfRule>
    <cfRule type="cellIs" dxfId="32552" priority="21010" stopIfTrue="1" operator="equal">
      <formula>"Napkin Hs"</formula>
    </cfRule>
  </conditionalFormatting>
  <conditionalFormatting sqref="C101">
    <cfRule type="cellIs" dxfId="32551" priority="21005" stopIfTrue="1" operator="equal">
      <formula>"Towel"</formula>
    </cfRule>
    <cfRule type="cellIs" dxfId="32550" priority="21006" stopIfTrue="1" operator="equal">
      <formula>"Napkin Hs"</formula>
    </cfRule>
  </conditionalFormatting>
  <conditionalFormatting sqref="B98:C98">
    <cfRule type="cellIs" dxfId="32549" priority="20909" stopIfTrue="1" operator="equal">
      <formula>"Towel"</formula>
    </cfRule>
    <cfRule type="cellIs" dxfId="32548" priority="20910" stopIfTrue="1" operator="equal">
      <formula>"Napkin Hs"</formula>
    </cfRule>
  </conditionalFormatting>
  <conditionalFormatting sqref="C98">
    <cfRule type="cellIs" dxfId="32547" priority="20905" stopIfTrue="1" operator="equal">
      <formula>"Towel"</formula>
    </cfRule>
    <cfRule type="cellIs" dxfId="32546" priority="20906" stopIfTrue="1" operator="equal">
      <formula>"Napkin Hs"</formula>
    </cfRule>
  </conditionalFormatting>
  <conditionalFormatting sqref="C98">
    <cfRule type="cellIs" dxfId="32545" priority="20907" stopIfTrue="1" operator="equal">
      <formula>"Towel"</formula>
    </cfRule>
    <cfRule type="cellIs" dxfId="32544" priority="20908" stopIfTrue="1" operator="equal">
      <formula>"Napkin Hs"</formula>
    </cfRule>
  </conditionalFormatting>
  <conditionalFormatting sqref="B98:C98">
    <cfRule type="cellIs" dxfId="32543" priority="20904" stopIfTrue="1" operator="equal">
      <formula>"Napkin Hs"</formula>
    </cfRule>
  </conditionalFormatting>
  <conditionalFormatting sqref="B98:C98">
    <cfRule type="cellIs" dxfId="32542" priority="20903" stopIfTrue="1" operator="equal">
      <formula>"Towel"</formula>
    </cfRule>
  </conditionalFormatting>
  <conditionalFormatting sqref="C98">
    <cfRule type="cellIs" dxfId="32541" priority="20902" stopIfTrue="1" operator="equal">
      <formula>"Napkin Hs"</formula>
    </cfRule>
  </conditionalFormatting>
  <conditionalFormatting sqref="C98">
    <cfRule type="cellIs" dxfId="32540" priority="20901" stopIfTrue="1" operator="equal">
      <formula>"Towel"</formula>
    </cfRule>
  </conditionalFormatting>
  <conditionalFormatting sqref="C98">
    <cfRule type="cellIs" dxfId="32539" priority="20899" stopIfTrue="1" operator="equal">
      <formula>"Towel"</formula>
    </cfRule>
    <cfRule type="cellIs" dxfId="32538" priority="20900" stopIfTrue="1" operator="equal">
      <formula>"Napkin Hs"</formula>
    </cfRule>
  </conditionalFormatting>
  <conditionalFormatting sqref="B98:C98">
    <cfRule type="cellIs" dxfId="32537" priority="20897" stopIfTrue="1" operator="equal">
      <formula>"Towel"</formula>
    </cfRule>
    <cfRule type="cellIs" dxfId="32536" priority="20898" stopIfTrue="1" operator="equal">
      <formula>"Napkin Hs"</formula>
    </cfRule>
  </conditionalFormatting>
  <conditionalFormatting sqref="C98">
    <cfRule type="cellIs" dxfId="32535" priority="20895" stopIfTrue="1" operator="equal">
      <formula>"Towel"</formula>
    </cfRule>
    <cfRule type="cellIs" dxfId="32534" priority="20896" stopIfTrue="1" operator="equal">
      <formula>"Napkin Hs"</formula>
    </cfRule>
  </conditionalFormatting>
  <conditionalFormatting sqref="C98">
    <cfRule type="cellIs" dxfId="32533" priority="20893" stopIfTrue="1" operator="equal">
      <formula>"Towel"</formula>
    </cfRule>
    <cfRule type="cellIs" dxfId="32532" priority="20894" stopIfTrue="1" operator="equal">
      <formula>"Napkin Hs"</formula>
    </cfRule>
  </conditionalFormatting>
  <conditionalFormatting sqref="B98:C98">
    <cfRule type="cellIs" dxfId="32531" priority="20891" stopIfTrue="1" operator="equal">
      <formula>"Towel"</formula>
    </cfRule>
    <cfRule type="cellIs" dxfId="32530" priority="20892" stopIfTrue="1" operator="equal">
      <formula>"Napkin Hs"</formula>
    </cfRule>
  </conditionalFormatting>
  <conditionalFormatting sqref="C98">
    <cfRule type="cellIs" dxfId="32529" priority="20889" stopIfTrue="1" operator="equal">
      <formula>"Towel"</formula>
    </cfRule>
    <cfRule type="cellIs" dxfId="32528" priority="20890" stopIfTrue="1" operator="equal">
      <formula>"Napkin Hs"</formula>
    </cfRule>
  </conditionalFormatting>
  <conditionalFormatting sqref="C98">
    <cfRule type="cellIs" dxfId="32527" priority="20887" stopIfTrue="1" operator="equal">
      <formula>"Towel"</formula>
    </cfRule>
    <cfRule type="cellIs" dxfId="32526" priority="20888" stopIfTrue="1" operator="equal">
      <formula>"Napkin Hs"</formula>
    </cfRule>
  </conditionalFormatting>
  <conditionalFormatting sqref="B98:C98">
    <cfRule type="cellIs" dxfId="32525" priority="20885" stopIfTrue="1" operator="equal">
      <formula>"Towel"</formula>
    </cfRule>
    <cfRule type="cellIs" dxfId="32524" priority="20886" stopIfTrue="1" operator="equal">
      <formula>"Napkin Hs"</formula>
    </cfRule>
  </conditionalFormatting>
  <conditionalFormatting sqref="C98">
    <cfRule type="cellIs" dxfId="32523" priority="20883" stopIfTrue="1" operator="equal">
      <formula>"Towel"</formula>
    </cfRule>
    <cfRule type="cellIs" dxfId="32522" priority="20884" stopIfTrue="1" operator="equal">
      <formula>"Napkin Hs"</formula>
    </cfRule>
  </conditionalFormatting>
  <conditionalFormatting sqref="C98">
    <cfRule type="cellIs" dxfId="32521" priority="20881" stopIfTrue="1" operator="equal">
      <formula>"Towel"</formula>
    </cfRule>
    <cfRule type="cellIs" dxfId="32520" priority="20882" stopIfTrue="1" operator="equal">
      <formula>"Napkin Hs"</formula>
    </cfRule>
  </conditionalFormatting>
  <conditionalFormatting sqref="B98:C98">
    <cfRule type="cellIs" dxfId="32519" priority="20879" stopIfTrue="1" operator="equal">
      <formula>"Towel"</formula>
    </cfRule>
    <cfRule type="cellIs" dxfId="32518" priority="20880" stopIfTrue="1" operator="equal">
      <formula>"Napkin Hs"</formula>
    </cfRule>
  </conditionalFormatting>
  <conditionalFormatting sqref="C98">
    <cfRule type="cellIs" dxfId="32517" priority="20877" stopIfTrue="1" operator="equal">
      <formula>"Towel"</formula>
    </cfRule>
    <cfRule type="cellIs" dxfId="32516" priority="20878" stopIfTrue="1" operator="equal">
      <formula>"Napkin Hs"</formula>
    </cfRule>
  </conditionalFormatting>
  <conditionalFormatting sqref="C98">
    <cfRule type="cellIs" dxfId="32515" priority="20875" stopIfTrue="1" operator="equal">
      <formula>"Towel"</formula>
    </cfRule>
    <cfRule type="cellIs" dxfId="32514" priority="20876" stopIfTrue="1" operator="equal">
      <formula>"Napkin Hs"</formula>
    </cfRule>
  </conditionalFormatting>
  <conditionalFormatting sqref="B98:C98">
    <cfRule type="cellIs" dxfId="32513" priority="20873" stopIfTrue="1" operator="equal">
      <formula>"Towel"</formula>
    </cfRule>
    <cfRule type="cellIs" dxfId="32512" priority="20874" stopIfTrue="1" operator="equal">
      <formula>"Napkin Hs"</formula>
    </cfRule>
  </conditionalFormatting>
  <conditionalFormatting sqref="C98">
    <cfRule type="cellIs" dxfId="32511" priority="20871" stopIfTrue="1" operator="equal">
      <formula>"Towel"</formula>
    </cfRule>
    <cfRule type="cellIs" dxfId="32510" priority="20872" stopIfTrue="1" operator="equal">
      <formula>"Napkin Hs"</formula>
    </cfRule>
  </conditionalFormatting>
  <conditionalFormatting sqref="C98">
    <cfRule type="cellIs" dxfId="32509" priority="20869" stopIfTrue="1" operator="equal">
      <formula>"Towel"</formula>
    </cfRule>
    <cfRule type="cellIs" dxfId="32508" priority="20870" stopIfTrue="1" operator="equal">
      <formula>"Napkin Hs"</formula>
    </cfRule>
  </conditionalFormatting>
  <conditionalFormatting sqref="B98:C98">
    <cfRule type="cellIs" dxfId="32507" priority="20868" stopIfTrue="1" operator="equal">
      <formula>"Napkin Hs"</formula>
    </cfRule>
  </conditionalFormatting>
  <conditionalFormatting sqref="B98:C98">
    <cfRule type="cellIs" dxfId="32506" priority="20867" stopIfTrue="1" operator="equal">
      <formula>"Towel"</formula>
    </cfRule>
  </conditionalFormatting>
  <conditionalFormatting sqref="C98">
    <cfRule type="cellIs" dxfId="32505" priority="20866" stopIfTrue="1" operator="equal">
      <formula>"Napkin Hs"</formula>
    </cfRule>
  </conditionalFormatting>
  <conditionalFormatting sqref="C98">
    <cfRule type="cellIs" dxfId="32504" priority="20863" stopIfTrue="1" operator="equal">
      <formula>"Towel"</formula>
    </cfRule>
    <cfRule type="cellIs" dxfId="32503" priority="20864" stopIfTrue="1" operator="equal">
      <formula>"Napkin Hs"</formula>
    </cfRule>
  </conditionalFormatting>
  <conditionalFormatting sqref="C98">
    <cfRule type="cellIs" dxfId="32502" priority="20865" stopIfTrue="1" operator="equal">
      <formula>"Towel"</formula>
    </cfRule>
  </conditionalFormatting>
  <conditionalFormatting sqref="B99:C100">
    <cfRule type="cellIs" dxfId="32501" priority="20862" stopIfTrue="1" operator="equal">
      <formula>"Napkin Hs"</formula>
    </cfRule>
  </conditionalFormatting>
  <conditionalFormatting sqref="B99:C100">
    <cfRule type="cellIs" dxfId="32500" priority="20861" stopIfTrue="1" operator="equal">
      <formula>"Towel"</formula>
    </cfRule>
  </conditionalFormatting>
  <conditionalFormatting sqref="C99:C100">
    <cfRule type="cellIs" dxfId="32499" priority="20860" stopIfTrue="1" operator="equal">
      <formula>"Napkin Hs"</formula>
    </cfRule>
  </conditionalFormatting>
  <conditionalFormatting sqref="C99:C100">
    <cfRule type="cellIs" dxfId="32498" priority="20859" stopIfTrue="1" operator="equal">
      <formula>"Towel"</formula>
    </cfRule>
  </conditionalFormatting>
  <conditionalFormatting sqref="C99:C100">
    <cfRule type="cellIs" dxfId="32497" priority="20857" stopIfTrue="1" operator="equal">
      <formula>"Towel"</formula>
    </cfRule>
    <cfRule type="cellIs" dxfId="32496" priority="20858" stopIfTrue="1" operator="equal">
      <formula>"Napkin Hs"</formula>
    </cfRule>
  </conditionalFormatting>
  <conditionalFormatting sqref="B99:C100">
    <cfRule type="cellIs" dxfId="32495" priority="20855" stopIfTrue="1" operator="equal">
      <formula>"Towel"</formula>
    </cfRule>
    <cfRule type="cellIs" dxfId="32494" priority="20856" stopIfTrue="1" operator="equal">
      <formula>"Napkin Hs"</formula>
    </cfRule>
  </conditionalFormatting>
  <conditionalFormatting sqref="C99:C100">
    <cfRule type="cellIs" dxfId="32493" priority="20851" stopIfTrue="1" operator="equal">
      <formula>"Towel"</formula>
    </cfRule>
    <cfRule type="cellIs" dxfId="32492" priority="20852" stopIfTrue="1" operator="equal">
      <formula>"Napkin Hs"</formula>
    </cfRule>
  </conditionalFormatting>
  <conditionalFormatting sqref="C99:C100">
    <cfRule type="cellIs" dxfId="32491" priority="20853" stopIfTrue="1" operator="equal">
      <formula>"Towel"</formula>
    </cfRule>
    <cfRule type="cellIs" dxfId="32490" priority="20854" stopIfTrue="1" operator="equal">
      <formula>"Napkin Hs"</formula>
    </cfRule>
  </conditionalFormatting>
  <conditionalFormatting sqref="B99:C100">
    <cfRule type="cellIs" dxfId="32489" priority="20850" stopIfTrue="1" operator="equal">
      <formula>"Napkin Hs"</formula>
    </cfRule>
  </conditionalFormatting>
  <conditionalFormatting sqref="B99:C100">
    <cfRule type="cellIs" dxfId="32488" priority="20849" stopIfTrue="1" operator="equal">
      <formula>"Towel"</formula>
    </cfRule>
  </conditionalFormatting>
  <conditionalFormatting sqref="C99:C100">
    <cfRule type="cellIs" dxfId="32487" priority="20848" stopIfTrue="1" operator="equal">
      <formula>"Napkin Hs"</formula>
    </cfRule>
  </conditionalFormatting>
  <conditionalFormatting sqref="C99:C100">
    <cfRule type="cellIs" dxfId="32486" priority="20847" stopIfTrue="1" operator="equal">
      <formula>"Towel"</formula>
    </cfRule>
  </conditionalFormatting>
  <conditionalFormatting sqref="C99:C100">
    <cfRule type="cellIs" dxfId="32485" priority="20845" stopIfTrue="1" operator="equal">
      <formula>"Towel"</formula>
    </cfRule>
    <cfRule type="cellIs" dxfId="32484" priority="20846" stopIfTrue="1" operator="equal">
      <formula>"Napkin Hs"</formula>
    </cfRule>
  </conditionalFormatting>
  <conditionalFormatting sqref="B99:C100">
    <cfRule type="cellIs" dxfId="32483" priority="20843" stopIfTrue="1" operator="equal">
      <formula>"Towel"</formula>
    </cfRule>
    <cfRule type="cellIs" dxfId="32482" priority="20844" stopIfTrue="1" operator="equal">
      <formula>"Napkin Hs"</formula>
    </cfRule>
  </conditionalFormatting>
  <conditionalFormatting sqref="C99:C100">
    <cfRule type="cellIs" dxfId="32481" priority="20841" stopIfTrue="1" operator="equal">
      <formula>"Towel"</formula>
    </cfRule>
    <cfRule type="cellIs" dxfId="32480" priority="20842" stopIfTrue="1" operator="equal">
      <formula>"Napkin Hs"</formula>
    </cfRule>
  </conditionalFormatting>
  <conditionalFormatting sqref="C99:C100">
    <cfRule type="cellIs" dxfId="32479" priority="20839" stopIfTrue="1" operator="equal">
      <formula>"Towel"</formula>
    </cfRule>
    <cfRule type="cellIs" dxfId="32478" priority="20840" stopIfTrue="1" operator="equal">
      <formula>"Napkin Hs"</formula>
    </cfRule>
  </conditionalFormatting>
  <conditionalFormatting sqref="B99:C100">
    <cfRule type="cellIs" dxfId="32477" priority="20837" stopIfTrue="1" operator="equal">
      <formula>"Towel"</formula>
    </cfRule>
    <cfRule type="cellIs" dxfId="32476" priority="20838" stopIfTrue="1" operator="equal">
      <formula>"Napkin Hs"</formula>
    </cfRule>
  </conditionalFormatting>
  <conditionalFormatting sqref="C99:C100">
    <cfRule type="cellIs" dxfId="32475" priority="20835" stopIfTrue="1" operator="equal">
      <formula>"Towel"</formula>
    </cfRule>
    <cfRule type="cellIs" dxfId="32474" priority="20836" stopIfTrue="1" operator="equal">
      <formula>"Napkin Hs"</formula>
    </cfRule>
  </conditionalFormatting>
  <conditionalFormatting sqref="C99:C100">
    <cfRule type="cellIs" dxfId="32473" priority="20833" stopIfTrue="1" operator="equal">
      <formula>"Towel"</formula>
    </cfRule>
    <cfRule type="cellIs" dxfId="32472" priority="20834" stopIfTrue="1" operator="equal">
      <formula>"Napkin Hs"</formula>
    </cfRule>
  </conditionalFormatting>
  <conditionalFormatting sqref="B99:C100">
    <cfRule type="cellIs" dxfId="32471" priority="20831" stopIfTrue="1" operator="equal">
      <formula>"Towel"</formula>
    </cfRule>
    <cfRule type="cellIs" dxfId="32470" priority="20832" stopIfTrue="1" operator="equal">
      <formula>"Napkin Hs"</formula>
    </cfRule>
  </conditionalFormatting>
  <conditionalFormatting sqref="C99:C100">
    <cfRule type="cellIs" dxfId="32469" priority="20829" stopIfTrue="1" operator="equal">
      <formula>"Towel"</formula>
    </cfRule>
    <cfRule type="cellIs" dxfId="32468" priority="20830" stopIfTrue="1" operator="equal">
      <formula>"Napkin Hs"</formula>
    </cfRule>
  </conditionalFormatting>
  <conditionalFormatting sqref="C99:C100">
    <cfRule type="cellIs" dxfId="32467" priority="20827" stopIfTrue="1" operator="equal">
      <formula>"Towel"</formula>
    </cfRule>
    <cfRule type="cellIs" dxfId="32466" priority="20828" stopIfTrue="1" operator="equal">
      <formula>"Napkin Hs"</formula>
    </cfRule>
  </conditionalFormatting>
  <conditionalFormatting sqref="B99:C100">
    <cfRule type="cellIs" dxfId="32465" priority="20825" stopIfTrue="1" operator="equal">
      <formula>"Towel"</formula>
    </cfRule>
    <cfRule type="cellIs" dxfId="32464" priority="20826" stopIfTrue="1" operator="equal">
      <formula>"Napkin Hs"</formula>
    </cfRule>
  </conditionalFormatting>
  <conditionalFormatting sqref="C99:C100">
    <cfRule type="cellIs" dxfId="32463" priority="20823" stopIfTrue="1" operator="equal">
      <formula>"Towel"</formula>
    </cfRule>
    <cfRule type="cellIs" dxfId="32462" priority="20824" stopIfTrue="1" operator="equal">
      <formula>"Napkin Hs"</formula>
    </cfRule>
  </conditionalFormatting>
  <conditionalFormatting sqref="C99:C100">
    <cfRule type="cellIs" dxfId="32461" priority="20821" stopIfTrue="1" operator="equal">
      <formula>"Towel"</formula>
    </cfRule>
    <cfRule type="cellIs" dxfId="32460" priority="20822" stopIfTrue="1" operator="equal">
      <formula>"Napkin Hs"</formula>
    </cfRule>
  </conditionalFormatting>
  <conditionalFormatting sqref="B99:C100">
    <cfRule type="cellIs" dxfId="32459" priority="20819" stopIfTrue="1" operator="equal">
      <formula>"Towel"</formula>
    </cfRule>
    <cfRule type="cellIs" dxfId="32458" priority="20820" stopIfTrue="1" operator="equal">
      <formula>"Napkin Hs"</formula>
    </cfRule>
  </conditionalFormatting>
  <conditionalFormatting sqref="C99:C100">
    <cfRule type="cellIs" dxfId="32457" priority="20817" stopIfTrue="1" operator="equal">
      <formula>"Towel"</formula>
    </cfRule>
    <cfRule type="cellIs" dxfId="32456" priority="20818" stopIfTrue="1" operator="equal">
      <formula>"Napkin Hs"</formula>
    </cfRule>
  </conditionalFormatting>
  <conditionalFormatting sqref="C99:C100">
    <cfRule type="cellIs" dxfId="32455" priority="20815" stopIfTrue="1" operator="equal">
      <formula>"Towel"</formula>
    </cfRule>
    <cfRule type="cellIs" dxfId="32454" priority="20816" stopIfTrue="1" operator="equal">
      <formula>"Napkin Hs"</formula>
    </cfRule>
  </conditionalFormatting>
  <conditionalFormatting sqref="B99:C100">
    <cfRule type="cellIs" dxfId="32453" priority="20814" stopIfTrue="1" operator="equal">
      <formula>"Napkin Hs"</formula>
    </cfRule>
  </conditionalFormatting>
  <conditionalFormatting sqref="B99:C100">
    <cfRule type="cellIs" dxfId="32452" priority="20813" stopIfTrue="1" operator="equal">
      <formula>"Towel"</formula>
    </cfRule>
  </conditionalFormatting>
  <conditionalFormatting sqref="C99:C100">
    <cfRule type="cellIs" dxfId="32451" priority="20812" stopIfTrue="1" operator="equal">
      <formula>"Napkin Hs"</formula>
    </cfRule>
  </conditionalFormatting>
  <conditionalFormatting sqref="C99:C100">
    <cfRule type="cellIs" dxfId="32450" priority="20809" stopIfTrue="1" operator="equal">
      <formula>"Towel"</formula>
    </cfRule>
    <cfRule type="cellIs" dxfId="32449" priority="20810" stopIfTrue="1" operator="equal">
      <formula>"Napkin Hs"</formula>
    </cfRule>
  </conditionalFormatting>
  <conditionalFormatting sqref="C99:C100">
    <cfRule type="cellIs" dxfId="32448" priority="20811" stopIfTrue="1" operator="equal">
      <formula>"Towel"</formula>
    </cfRule>
  </conditionalFormatting>
  <conditionalFormatting sqref="B108:C108">
    <cfRule type="cellIs" dxfId="32447" priority="20700" stopIfTrue="1" operator="equal">
      <formula>"Napkin Hs"</formula>
    </cfRule>
  </conditionalFormatting>
  <conditionalFormatting sqref="B108:C108">
    <cfRule type="cellIs" dxfId="32446" priority="20699" stopIfTrue="1" operator="equal">
      <formula>"Towel"</formula>
    </cfRule>
  </conditionalFormatting>
  <conditionalFormatting sqref="C108">
    <cfRule type="cellIs" dxfId="32445" priority="20698" stopIfTrue="1" operator="equal">
      <formula>"Napkin Hs"</formula>
    </cfRule>
  </conditionalFormatting>
  <conditionalFormatting sqref="C108">
    <cfRule type="cellIs" dxfId="32444" priority="20697" stopIfTrue="1" operator="equal">
      <formula>"Towel"</formula>
    </cfRule>
  </conditionalFormatting>
  <conditionalFormatting sqref="C108">
    <cfRule type="cellIs" dxfId="32443" priority="20695" stopIfTrue="1" operator="equal">
      <formula>"Towel"</formula>
    </cfRule>
    <cfRule type="cellIs" dxfId="32442" priority="20696" stopIfTrue="1" operator="equal">
      <formula>"Napkin Hs"</formula>
    </cfRule>
  </conditionalFormatting>
  <conditionalFormatting sqref="B108:C108">
    <cfRule type="cellIs" dxfId="32441" priority="20693" stopIfTrue="1" operator="equal">
      <formula>"Towel"</formula>
    </cfRule>
    <cfRule type="cellIs" dxfId="32440" priority="20694" stopIfTrue="1" operator="equal">
      <formula>"Napkin Hs"</formula>
    </cfRule>
  </conditionalFormatting>
  <conditionalFormatting sqref="C108">
    <cfRule type="cellIs" dxfId="32439" priority="20689" stopIfTrue="1" operator="equal">
      <formula>"Towel"</formula>
    </cfRule>
    <cfRule type="cellIs" dxfId="32438" priority="20690" stopIfTrue="1" operator="equal">
      <formula>"Napkin Hs"</formula>
    </cfRule>
  </conditionalFormatting>
  <conditionalFormatting sqref="C108">
    <cfRule type="cellIs" dxfId="32437" priority="20691" stopIfTrue="1" operator="equal">
      <formula>"Towel"</formula>
    </cfRule>
    <cfRule type="cellIs" dxfId="32436" priority="20692" stopIfTrue="1" operator="equal">
      <formula>"Napkin Hs"</formula>
    </cfRule>
  </conditionalFormatting>
  <conditionalFormatting sqref="B108:C108">
    <cfRule type="cellIs" dxfId="32435" priority="20688" stopIfTrue="1" operator="equal">
      <formula>"Napkin Hs"</formula>
    </cfRule>
  </conditionalFormatting>
  <conditionalFormatting sqref="B108:C108">
    <cfRule type="cellIs" dxfId="32434" priority="20687" stopIfTrue="1" operator="equal">
      <formula>"Towel"</formula>
    </cfRule>
  </conditionalFormatting>
  <conditionalFormatting sqref="C108">
    <cfRule type="cellIs" dxfId="32433" priority="20686" stopIfTrue="1" operator="equal">
      <formula>"Napkin Hs"</formula>
    </cfRule>
  </conditionalFormatting>
  <conditionalFormatting sqref="C108">
    <cfRule type="cellIs" dxfId="32432" priority="20685" stopIfTrue="1" operator="equal">
      <formula>"Towel"</formula>
    </cfRule>
  </conditionalFormatting>
  <conditionalFormatting sqref="C108">
    <cfRule type="cellIs" dxfId="32431" priority="20683" stopIfTrue="1" operator="equal">
      <formula>"Towel"</formula>
    </cfRule>
    <cfRule type="cellIs" dxfId="32430" priority="20684" stopIfTrue="1" operator="equal">
      <formula>"Napkin Hs"</formula>
    </cfRule>
  </conditionalFormatting>
  <conditionalFormatting sqref="B108:C108">
    <cfRule type="cellIs" dxfId="32429" priority="20681" stopIfTrue="1" operator="equal">
      <formula>"Towel"</formula>
    </cfRule>
    <cfRule type="cellIs" dxfId="32428" priority="20682" stopIfTrue="1" operator="equal">
      <formula>"Napkin Hs"</formula>
    </cfRule>
  </conditionalFormatting>
  <conditionalFormatting sqref="C108">
    <cfRule type="cellIs" dxfId="32427" priority="20679" stopIfTrue="1" operator="equal">
      <formula>"Towel"</formula>
    </cfRule>
    <cfRule type="cellIs" dxfId="32426" priority="20680" stopIfTrue="1" operator="equal">
      <formula>"Napkin Hs"</formula>
    </cfRule>
  </conditionalFormatting>
  <conditionalFormatting sqref="C108">
    <cfRule type="cellIs" dxfId="32425" priority="20677" stopIfTrue="1" operator="equal">
      <formula>"Towel"</formula>
    </cfRule>
    <cfRule type="cellIs" dxfId="32424" priority="20678" stopIfTrue="1" operator="equal">
      <formula>"Napkin Hs"</formula>
    </cfRule>
  </conditionalFormatting>
  <conditionalFormatting sqref="B108:C108">
    <cfRule type="cellIs" dxfId="32423" priority="20675" stopIfTrue="1" operator="equal">
      <formula>"Towel"</formula>
    </cfRule>
    <cfRule type="cellIs" dxfId="32422" priority="20676" stopIfTrue="1" operator="equal">
      <formula>"Napkin Hs"</formula>
    </cfRule>
  </conditionalFormatting>
  <conditionalFormatting sqref="C108">
    <cfRule type="cellIs" dxfId="32421" priority="20673" stopIfTrue="1" operator="equal">
      <formula>"Towel"</formula>
    </cfRule>
    <cfRule type="cellIs" dxfId="32420" priority="20674" stopIfTrue="1" operator="equal">
      <formula>"Napkin Hs"</formula>
    </cfRule>
  </conditionalFormatting>
  <conditionalFormatting sqref="C108">
    <cfRule type="cellIs" dxfId="32419" priority="20671" stopIfTrue="1" operator="equal">
      <formula>"Towel"</formula>
    </cfRule>
    <cfRule type="cellIs" dxfId="32418" priority="20672" stopIfTrue="1" operator="equal">
      <formula>"Napkin Hs"</formula>
    </cfRule>
  </conditionalFormatting>
  <conditionalFormatting sqref="B108:C108">
    <cfRule type="cellIs" dxfId="32417" priority="20669" stopIfTrue="1" operator="equal">
      <formula>"Towel"</formula>
    </cfRule>
    <cfRule type="cellIs" dxfId="32416" priority="20670" stopIfTrue="1" operator="equal">
      <formula>"Napkin Hs"</formula>
    </cfRule>
  </conditionalFormatting>
  <conditionalFormatting sqref="C108">
    <cfRule type="cellIs" dxfId="32415" priority="20667" stopIfTrue="1" operator="equal">
      <formula>"Towel"</formula>
    </cfRule>
    <cfRule type="cellIs" dxfId="32414" priority="20668" stopIfTrue="1" operator="equal">
      <formula>"Napkin Hs"</formula>
    </cfRule>
  </conditionalFormatting>
  <conditionalFormatting sqref="C108">
    <cfRule type="cellIs" dxfId="32413" priority="20665" stopIfTrue="1" operator="equal">
      <formula>"Towel"</formula>
    </cfRule>
    <cfRule type="cellIs" dxfId="32412" priority="20666" stopIfTrue="1" operator="equal">
      <formula>"Napkin Hs"</formula>
    </cfRule>
  </conditionalFormatting>
  <conditionalFormatting sqref="B108:C108">
    <cfRule type="cellIs" dxfId="32411" priority="20663" stopIfTrue="1" operator="equal">
      <formula>"Towel"</formula>
    </cfRule>
    <cfRule type="cellIs" dxfId="32410" priority="20664" stopIfTrue="1" operator="equal">
      <formula>"Napkin Hs"</formula>
    </cfRule>
  </conditionalFormatting>
  <conditionalFormatting sqref="C108">
    <cfRule type="cellIs" dxfId="32409" priority="20661" stopIfTrue="1" operator="equal">
      <formula>"Towel"</formula>
    </cfRule>
    <cfRule type="cellIs" dxfId="32408" priority="20662" stopIfTrue="1" operator="equal">
      <formula>"Napkin Hs"</formula>
    </cfRule>
  </conditionalFormatting>
  <conditionalFormatting sqref="C108">
    <cfRule type="cellIs" dxfId="32407" priority="20659" stopIfTrue="1" operator="equal">
      <formula>"Towel"</formula>
    </cfRule>
    <cfRule type="cellIs" dxfId="32406" priority="20660" stopIfTrue="1" operator="equal">
      <formula>"Napkin Hs"</formula>
    </cfRule>
  </conditionalFormatting>
  <conditionalFormatting sqref="B108:C108">
    <cfRule type="cellIs" dxfId="32405" priority="20657" stopIfTrue="1" operator="equal">
      <formula>"Towel"</formula>
    </cfRule>
    <cfRule type="cellIs" dxfId="32404" priority="20658" stopIfTrue="1" operator="equal">
      <formula>"Napkin Hs"</formula>
    </cfRule>
  </conditionalFormatting>
  <conditionalFormatting sqref="C108">
    <cfRule type="cellIs" dxfId="32403" priority="20655" stopIfTrue="1" operator="equal">
      <formula>"Towel"</formula>
    </cfRule>
    <cfRule type="cellIs" dxfId="32402" priority="20656" stopIfTrue="1" operator="equal">
      <formula>"Napkin Hs"</formula>
    </cfRule>
  </conditionalFormatting>
  <conditionalFormatting sqref="C108">
    <cfRule type="cellIs" dxfId="32401" priority="20653" stopIfTrue="1" operator="equal">
      <formula>"Towel"</formula>
    </cfRule>
    <cfRule type="cellIs" dxfId="32400" priority="20654" stopIfTrue="1" operator="equal">
      <formula>"Napkin Hs"</formula>
    </cfRule>
  </conditionalFormatting>
  <conditionalFormatting sqref="B108:C108">
    <cfRule type="cellIs" dxfId="32399" priority="20652" stopIfTrue="1" operator="equal">
      <formula>"Napkin Hs"</formula>
    </cfRule>
  </conditionalFormatting>
  <conditionalFormatting sqref="B108:C108">
    <cfRule type="cellIs" dxfId="32398" priority="20651" stopIfTrue="1" operator="equal">
      <formula>"Towel"</formula>
    </cfRule>
  </conditionalFormatting>
  <conditionalFormatting sqref="C108">
    <cfRule type="cellIs" dxfId="32397" priority="20650" stopIfTrue="1" operator="equal">
      <formula>"Napkin Hs"</formula>
    </cfRule>
  </conditionalFormatting>
  <conditionalFormatting sqref="C108">
    <cfRule type="cellIs" dxfId="32396" priority="20647" stopIfTrue="1" operator="equal">
      <formula>"Towel"</formula>
    </cfRule>
    <cfRule type="cellIs" dxfId="32395" priority="20648" stopIfTrue="1" operator="equal">
      <formula>"Napkin Hs"</formula>
    </cfRule>
  </conditionalFormatting>
  <conditionalFormatting sqref="C108">
    <cfRule type="cellIs" dxfId="32394" priority="20649" stopIfTrue="1" operator="equal">
      <formula>"Towel"</formula>
    </cfRule>
  </conditionalFormatting>
  <conditionalFormatting sqref="B115:C115">
    <cfRule type="cellIs" dxfId="32393" priority="20587" stopIfTrue="1" operator="equal">
      <formula>"Towel"</formula>
    </cfRule>
    <cfRule type="cellIs" dxfId="32392" priority="20588" stopIfTrue="1" operator="equal">
      <formula>"Napkin Hs"</formula>
    </cfRule>
  </conditionalFormatting>
  <conditionalFormatting sqref="C122">
    <cfRule type="cellIs" dxfId="32391" priority="20279" stopIfTrue="1" operator="equal">
      <formula>"Towel"</formula>
    </cfRule>
    <cfRule type="cellIs" dxfId="32390" priority="20280" stopIfTrue="1" operator="equal">
      <formula>"Napkin Hs"</formula>
    </cfRule>
  </conditionalFormatting>
  <conditionalFormatting sqref="C115">
    <cfRule type="cellIs" dxfId="32389" priority="20585" stopIfTrue="1" operator="equal">
      <formula>"Towel"</formula>
    </cfRule>
    <cfRule type="cellIs" dxfId="32388" priority="20586" stopIfTrue="1" operator="equal">
      <formula>"Napkin Hs"</formula>
    </cfRule>
  </conditionalFormatting>
  <conditionalFormatting sqref="C115">
    <cfRule type="cellIs" dxfId="32387" priority="20583" stopIfTrue="1" operator="equal">
      <formula>"Towel"</formula>
    </cfRule>
    <cfRule type="cellIs" dxfId="32386" priority="20584" stopIfTrue="1" operator="equal">
      <formula>"Napkin Hs"</formula>
    </cfRule>
  </conditionalFormatting>
  <conditionalFormatting sqref="C122">
    <cfRule type="cellIs" dxfId="32385" priority="20277" stopIfTrue="1" operator="equal">
      <formula>"Towel"</formula>
    </cfRule>
    <cfRule type="cellIs" dxfId="32384" priority="20278" stopIfTrue="1" operator="equal">
      <formula>"Napkin Hs"</formula>
    </cfRule>
  </conditionalFormatting>
  <conditionalFormatting sqref="B114:C114">
    <cfRule type="cellIs" dxfId="32383" priority="20528" stopIfTrue="1" operator="equal">
      <formula>"Napkin Hs"</formula>
    </cfRule>
  </conditionalFormatting>
  <conditionalFormatting sqref="B114:C114">
    <cfRule type="cellIs" dxfId="32382" priority="20527" stopIfTrue="1" operator="equal">
      <formula>"Towel"</formula>
    </cfRule>
  </conditionalFormatting>
  <conditionalFormatting sqref="C114">
    <cfRule type="cellIs" dxfId="32381" priority="20526" stopIfTrue="1" operator="equal">
      <formula>"Napkin Hs"</formula>
    </cfRule>
  </conditionalFormatting>
  <conditionalFormatting sqref="C114">
    <cfRule type="cellIs" dxfId="32380" priority="20525" stopIfTrue="1" operator="equal">
      <formula>"Towel"</formula>
    </cfRule>
  </conditionalFormatting>
  <conditionalFormatting sqref="C114">
    <cfRule type="cellIs" dxfId="32379" priority="20523" stopIfTrue="1" operator="equal">
      <formula>"Towel"</formula>
    </cfRule>
    <cfRule type="cellIs" dxfId="32378" priority="20524" stopIfTrue="1" operator="equal">
      <formula>"Napkin Hs"</formula>
    </cfRule>
  </conditionalFormatting>
  <conditionalFormatting sqref="B114:C114">
    <cfRule type="cellIs" dxfId="32377" priority="20521" stopIfTrue="1" operator="equal">
      <formula>"Towel"</formula>
    </cfRule>
    <cfRule type="cellIs" dxfId="32376" priority="20522" stopIfTrue="1" operator="equal">
      <formula>"Napkin Hs"</formula>
    </cfRule>
  </conditionalFormatting>
  <conditionalFormatting sqref="C114">
    <cfRule type="cellIs" dxfId="32375" priority="20517" stopIfTrue="1" operator="equal">
      <formula>"Towel"</formula>
    </cfRule>
    <cfRule type="cellIs" dxfId="32374" priority="20518" stopIfTrue="1" operator="equal">
      <formula>"Napkin Hs"</formula>
    </cfRule>
  </conditionalFormatting>
  <conditionalFormatting sqref="C114">
    <cfRule type="cellIs" dxfId="32373" priority="20519" stopIfTrue="1" operator="equal">
      <formula>"Towel"</formula>
    </cfRule>
    <cfRule type="cellIs" dxfId="32372" priority="20520" stopIfTrue="1" operator="equal">
      <formula>"Napkin Hs"</formula>
    </cfRule>
  </conditionalFormatting>
  <conditionalFormatting sqref="B114:C114">
    <cfRule type="cellIs" dxfId="32371" priority="20516" stopIfTrue="1" operator="equal">
      <formula>"Napkin Hs"</formula>
    </cfRule>
  </conditionalFormatting>
  <conditionalFormatting sqref="B114:C114">
    <cfRule type="cellIs" dxfId="32370" priority="20515" stopIfTrue="1" operator="equal">
      <formula>"Towel"</formula>
    </cfRule>
  </conditionalFormatting>
  <conditionalFormatting sqref="C114">
    <cfRule type="cellIs" dxfId="32369" priority="20514" stopIfTrue="1" operator="equal">
      <formula>"Napkin Hs"</formula>
    </cfRule>
  </conditionalFormatting>
  <conditionalFormatting sqref="C114">
    <cfRule type="cellIs" dxfId="32368" priority="20513" stopIfTrue="1" operator="equal">
      <formula>"Towel"</formula>
    </cfRule>
  </conditionalFormatting>
  <conditionalFormatting sqref="C114">
    <cfRule type="cellIs" dxfId="32367" priority="20511" stopIfTrue="1" operator="equal">
      <formula>"Towel"</formula>
    </cfRule>
    <cfRule type="cellIs" dxfId="32366" priority="20512" stopIfTrue="1" operator="equal">
      <formula>"Napkin Hs"</formula>
    </cfRule>
  </conditionalFormatting>
  <conditionalFormatting sqref="B114:C114">
    <cfRule type="cellIs" dxfId="32365" priority="20509" stopIfTrue="1" operator="equal">
      <formula>"Towel"</formula>
    </cfRule>
    <cfRule type="cellIs" dxfId="32364" priority="20510" stopIfTrue="1" operator="equal">
      <formula>"Napkin Hs"</formula>
    </cfRule>
  </conditionalFormatting>
  <conditionalFormatting sqref="C114">
    <cfRule type="cellIs" dxfId="32363" priority="20507" stopIfTrue="1" operator="equal">
      <formula>"Towel"</formula>
    </cfRule>
    <cfRule type="cellIs" dxfId="32362" priority="20508" stopIfTrue="1" operator="equal">
      <formula>"Napkin Hs"</formula>
    </cfRule>
  </conditionalFormatting>
  <conditionalFormatting sqref="C114">
    <cfRule type="cellIs" dxfId="32361" priority="20505" stopIfTrue="1" operator="equal">
      <formula>"Towel"</formula>
    </cfRule>
    <cfRule type="cellIs" dxfId="32360" priority="20506" stopIfTrue="1" operator="equal">
      <formula>"Napkin Hs"</formula>
    </cfRule>
  </conditionalFormatting>
  <conditionalFormatting sqref="B114:C114">
    <cfRule type="cellIs" dxfId="32359" priority="20503" stopIfTrue="1" operator="equal">
      <formula>"Towel"</formula>
    </cfRule>
    <cfRule type="cellIs" dxfId="32358" priority="20504" stopIfTrue="1" operator="equal">
      <formula>"Napkin Hs"</formula>
    </cfRule>
  </conditionalFormatting>
  <conditionalFormatting sqref="C114">
    <cfRule type="cellIs" dxfId="32357" priority="20501" stopIfTrue="1" operator="equal">
      <formula>"Towel"</formula>
    </cfRule>
    <cfRule type="cellIs" dxfId="32356" priority="20502" stopIfTrue="1" operator="equal">
      <formula>"Napkin Hs"</formula>
    </cfRule>
  </conditionalFormatting>
  <conditionalFormatting sqref="C114">
    <cfRule type="cellIs" dxfId="32355" priority="20499" stopIfTrue="1" operator="equal">
      <formula>"Towel"</formula>
    </cfRule>
    <cfRule type="cellIs" dxfId="32354" priority="20500" stopIfTrue="1" operator="equal">
      <formula>"Napkin Hs"</formula>
    </cfRule>
  </conditionalFormatting>
  <conditionalFormatting sqref="B114:C114">
    <cfRule type="cellIs" dxfId="32353" priority="20497" stopIfTrue="1" operator="equal">
      <formula>"Towel"</formula>
    </cfRule>
    <cfRule type="cellIs" dxfId="32352" priority="20498" stopIfTrue="1" operator="equal">
      <formula>"Napkin Hs"</formula>
    </cfRule>
  </conditionalFormatting>
  <conditionalFormatting sqref="C114">
    <cfRule type="cellIs" dxfId="32351" priority="20495" stopIfTrue="1" operator="equal">
      <formula>"Towel"</formula>
    </cfRule>
    <cfRule type="cellIs" dxfId="32350" priority="20496" stopIfTrue="1" operator="equal">
      <formula>"Napkin Hs"</formula>
    </cfRule>
  </conditionalFormatting>
  <conditionalFormatting sqref="C114">
    <cfRule type="cellIs" dxfId="32349" priority="20493" stopIfTrue="1" operator="equal">
      <formula>"Towel"</formula>
    </cfRule>
    <cfRule type="cellIs" dxfId="32348" priority="20494" stopIfTrue="1" operator="equal">
      <formula>"Napkin Hs"</formula>
    </cfRule>
  </conditionalFormatting>
  <conditionalFormatting sqref="B114:C114">
    <cfRule type="cellIs" dxfId="32347" priority="20491" stopIfTrue="1" operator="equal">
      <formula>"Towel"</formula>
    </cfRule>
    <cfRule type="cellIs" dxfId="32346" priority="20492" stopIfTrue="1" operator="equal">
      <formula>"Napkin Hs"</formula>
    </cfRule>
  </conditionalFormatting>
  <conditionalFormatting sqref="C114">
    <cfRule type="cellIs" dxfId="32345" priority="20489" stopIfTrue="1" operator="equal">
      <formula>"Towel"</formula>
    </cfRule>
    <cfRule type="cellIs" dxfId="32344" priority="20490" stopIfTrue="1" operator="equal">
      <formula>"Napkin Hs"</formula>
    </cfRule>
  </conditionalFormatting>
  <conditionalFormatting sqref="C114">
    <cfRule type="cellIs" dxfId="32343" priority="20487" stopIfTrue="1" operator="equal">
      <formula>"Towel"</formula>
    </cfRule>
    <cfRule type="cellIs" dxfId="32342" priority="20488" stopIfTrue="1" operator="equal">
      <formula>"Napkin Hs"</formula>
    </cfRule>
  </conditionalFormatting>
  <conditionalFormatting sqref="B114:C114">
    <cfRule type="cellIs" dxfId="32341" priority="20485" stopIfTrue="1" operator="equal">
      <formula>"Towel"</formula>
    </cfRule>
    <cfRule type="cellIs" dxfId="32340" priority="20486" stopIfTrue="1" operator="equal">
      <formula>"Napkin Hs"</formula>
    </cfRule>
  </conditionalFormatting>
  <conditionalFormatting sqref="C114">
    <cfRule type="cellIs" dxfId="32339" priority="20483" stopIfTrue="1" operator="equal">
      <formula>"Towel"</formula>
    </cfRule>
    <cfRule type="cellIs" dxfId="32338" priority="20484" stopIfTrue="1" operator="equal">
      <formula>"Napkin Hs"</formula>
    </cfRule>
  </conditionalFormatting>
  <conditionalFormatting sqref="C114">
    <cfRule type="cellIs" dxfId="32337" priority="20481" stopIfTrue="1" operator="equal">
      <formula>"Towel"</formula>
    </cfRule>
    <cfRule type="cellIs" dxfId="32336" priority="20482" stopIfTrue="1" operator="equal">
      <formula>"Napkin Hs"</formula>
    </cfRule>
  </conditionalFormatting>
  <conditionalFormatting sqref="B114:C114">
    <cfRule type="cellIs" dxfId="32335" priority="20480" stopIfTrue="1" operator="equal">
      <formula>"Napkin Hs"</formula>
    </cfRule>
  </conditionalFormatting>
  <conditionalFormatting sqref="B114:C114">
    <cfRule type="cellIs" dxfId="32334" priority="20479" stopIfTrue="1" operator="equal">
      <formula>"Towel"</formula>
    </cfRule>
  </conditionalFormatting>
  <conditionalFormatting sqref="C114">
    <cfRule type="cellIs" dxfId="32333" priority="20478" stopIfTrue="1" operator="equal">
      <formula>"Napkin Hs"</formula>
    </cfRule>
  </conditionalFormatting>
  <conditionalFormatting sqref="C114">
    <cfRule type="cellIs" dxfId="32332" priority="20475" stopIfTrue="1" operator="equal">
      <formula>"Towel"</formula>
    </cfRule>
    <cfRule type="cellIs" dxfId="32331" priority="20476" stopIfTrue="1" operator="equal">
      <formula>"Napkin Hs"</formula>
    </cfRule>
  </conditionalFormatting>
  <conditionalFormatting sqref="C114">
    <cfRule type="cellIs" dxfId="32330" priority="20477" stopIfTrue="1" operator="equal">
      <formula>"Towel"</formula>
    </cfRule>
  </conditionalFormatting>
  <conditionalFormatting sqref="B116:C116">
    <cfRule type="cellIs" dxfId="32329" priority="20348" stopIfTrue="1" operator="equal">
      <formula>"Napkin Hs"</formula>
    </cfRule>
  </conditionalFormatting>
  <conditionalFormatting sqref="B116:C116">
    <cfRule type="cellIs" dxfId="32328" priority="20347" stopIfTrue="1" operator="equal">
      <formula>"Towel"</formula>
    </cfRule>
  </conditionalFormatting>
  <conditionalFormatting sqref="C116">
    <cfRule type="cellIs" dxfId="32327" priority="20346" stopIfTrue="1" operator="equal">
      <formula>"Napkin Hs"</formula>
    </cfRule>
  </conditionalFormatting>
  <conditionalFormatting sqref="C116">
    <cfRule type="cellIs" dxfId="32326" priority="20345" stopIfTrue="1" operator="equal">
      <formula>"Towel"</formula>
    </cfRule>
  </conditionalFormatting>
  <conditionalFormatting sqref="C116">
    <cfRule type="cellIs" dxfId="32325" priority="20343" stopIfTrue="1" operator="equal">
      <formula>"Towel"</formula>
    </cfRule>
    <cfRule type="cellIs" dxfId="32324" priority="20344" stopIfTrue="1" operator="equal">
      <formula>"Napkin Hs"</formula>
    </cfRule>
  </conditionalFormatting>
  <conditionalFormatting sqref="B116:C116">
    <cfRule type="cellIs" dxfId="32323" priority="20342" stopIfTrue="1" operator="equal">
      <formula>"Napkin Hs"</formula>
    </cfRule>
  </conditionalFormatting>
  <conditionalFormatting sqref="B116:C116">
    <cfRule type="cellIs" dxfId="32322" priority="20341" stopIfTrue="1" operator="equal">
      <formula>"Towel"</formula>
    </cfRule>
  </conditionalFormatting>
  <conditionalFormatting sqref="C116">
    <cfRule type="cellIs" dxfId="32321" priority="20340" stopIfTrue="1" operator="equal">
      <formula>"Napkin Hs"</formula>
    </cfRule>
  </conditionalFormatting>
  <conditionalFormatting sqref="C116">
    <cfRule type="cellIs" dxfId="32320" priority="20339" stopIfTrue="1" operator="equal">
      <formula>"Towel"</formula>
    </cfRule>
  </conditionalFormatting>
  <conditionalFormatting sqref="C116">
    <cfRule type="cellIs" dxfId="32319" priority="20337" stopIfTrue="1" operator="equal">
      <formula>"Towel"</formula>
    </cfRule>
    <cfRule type="cellIs" dxfId="32318" priority="20338" stopIfTrue="1" operator="equal">
      <formula>"Napkin Hs"</formula>
    </cfRule>
  </conditionalFormatting>
  <conditionalFormatting sqref="B116:C116">
    <cfRule type="cellIs" dxfId="32317" priority="20335" stopIfTrue="1" operator="equal">
      <formula>"Towel"</formula>
    </cfRule>
    <cfRule type="cellIs" dxfId="32316" priority="20336" stopIfTrue="1" operator="equal">
      <formula>"Napkin Hs"</formula>
    </cfRule>
  </conditionalFormatting>
  <conditionalFormatting sqref="C116">
    <cfRule type="cellIs" dxfId="32315" priority="20331" stopIfTrue="1" operator="equal">
      <formula>"Towel"</formula>
    </cfRule>
    <cfRule type="cellIs" dxfId="32314" priority="20332" stopIfTrue="1" operator="equal">
      <formula>"Napkin Hs"</formula>
    </cfRule>
  </conditionalFormatting>
  <conditionalFormatting sqref="C116">
    <cfRule type="cellIs" dxfId="32313" priority="20333" stopIfTrue="1" operator="equal">
      <formula>"Towel"</formula>
    </cfRule>
    <cfRule type="cellIs" dxfId="32312" priority="20334" stopIfTrue="1" operator="equal">
      <formula>"Napkin Hs"</formula>
    </cfRule>
  </conditionalFormatting>
  <conditionalFormatting sqref="B116:C116">
    <cfRule type="cellIs" dxfId="32311" priority="20330" stopIfTrue="1" operator="equal">
      <formula>"Napkin Hs"</formula>
    </cfRule>
  </conditionalFormatting>
  <conditionalFormatting sqref="B116:C116">
    <cfRule type="cellIs" dxfId="32310" priority="20329" stopIfTrue="1" operator="equal">
      <formula>"Towel"</formula>
    </cfRule>
  </conditionalFormatting>
  <conditionalFormatting sqref="C116">
    <cfRule type="cellIs" dxfId="32309" priority="20328" stopIfTrue="1" operator="equal">
      <formula>"Napkin Hs"</formula>
    </cfRule>
  </conditionalFormatting>
  <conditionalFormatting sqref="C116">
    <cfRule type="cellIs" dxfId="32308" priority="20327" stopIfTrue="1" operator="equal">
      <formula>"Towel"</formula>
    </cfRule>
  </conditionalFormatting>
  <conditionalFormatting sqref="C116">
    <cfRule type="cellIs" dxfId="32307" priority="20325" stopIfTrue="1" operator="equal">
      <formula>"Towel"</formula>
    </cfRule>
    <cfRule type="cellIs" dxfId="32306" priority="20326" stopIfTrue="1" operator="equal">
      <formula>"Napkin Hs"</formula>
    </cfRule>
  </conditionalFormatting>
  <conditionalFormatting sqref="B116:C116">
    <cfRule type="cellIs" dxfId="32305" priority="20323" stopIfTrue="1" operator="equal">
      <formula>"Towel"</formula>
    </cfRule>
    <cfRule type="cellIs" dxfId="32304" priority="20324" stopIfTrue="1" operator="equal">
      <formula>"Napkin Hs"</formula>
    </cfRule>
  </conditionalFormatting>
  <conditionalFormatting sqref="C116">
    <cfRule type="cellIs" dxfId="32303" priority="20321" stopIfTrue="1" operator="equal">
      <formula>"Towel"</formula>
    </cfRule>
    <cfRule type="cellIs" dxfId="32302" priority="20322" stopIfTrue="1" operator="equal">
      <formula>"Napkin Hs"</formula>
    </cfRule>
  </conditionalFormatting>
  <conditionalFormatting sqref="C116">
    <cfRule type="cellIs" dxfId="32301" priority="20319" stopIfTrue="1" operator="equal">
      <formula>"Towel"</formula>
    </cfRule>
    <cfRule type="cellIs" dxfId="32300" priority="20320" stopIfTrue="1" operator="equal">
      <formula>"Napkin Hs"</formula>
    </cfRule>
  </conditionalFormatting>
  <conditionalFormatting sqref="B116:C116">
    <cfRule type="cellIs" dxfId="32299" priority="20317" stopIfTrue="1" operator="equal">
      <formula>"Towel"</formula>
    </cfRule>
    <cfRule type="cellIs" dxfId="32298" priority="20318" stopIfTrue="1" operator="equal">
      <formula>"Napkin Hs"</formula>
    </cfRule>
  </conditionalFormatting>
  <conditionalFormatting sqref="C116">
    <cfRule type="cellIs" dxfId="32297" priority="20315" stopIfTrue="1" operator="equal">
      <formula>"Towel"</formula>
    </cfRule>
    <cfRule type="cellIs" dxfId="32296" priority="20316" stopIfTrue="1" operator="equal">
      <formula>"Napkin Hs"</formula>
    </cfRule>
  </conditionalFormatting>
  <conditionalFormatting sqref="C116">
    <cfRule type="cellIs" dxfId="32295" priority="20313" stopIfTrue="1" operator="equal">
      <formula>"Towel"</formula>
    </cfRule>
    <cfRule type="cellIs" dxfId="32294" priority="20314" stopIfTrue="1" operator="equal">
      <formula>"Napkin Hs"</formula>
    </cfRule>
  </conditionalFormatting>
  <conditionalFormatting sqref="B116:C116">
    <cfRule type="cellIs" dxfId="32293" priority="20311" stopIfTrue="1" operator="equal">
      <formula>"Towel"</formula>
    </cfRule>
    <cfRule type="cellIs" dxfId="32292" priority="20312" stopIfTrue="1" operator="equal">
      <formula>"Napkin Hs"</formula>
    </cfRule>
  </conditionalFormatting>
  <conditionalFormatting sqref="C116">
    <cfRule type="cellIs" dxfId="32291" priority="20309" stopIfTrue="1" operator="equal">
      <formula>"Towel"</formula>
    </cfRule>
    <cfRule type="cellIs" dxfId="32290" priority="20310" stopIfTrue="1" operator="equal">
      <formula>"Napkin Hs"</formula>
    </cfRule>
  </conditionalFormatting>
  <conditionalFormatting sqref="C116">
    <cfRule type="cellIs" dxfId="32289" priority="20307" stopIfTrue="1" operator="equal">
      <formula>"Towel"</formula>
    </cfRule>
    <cfRule type="cellIs" dxfId="32288" priority="20308" stopIfTrue="1" operator="equal">
      <formula>"Napkin Hs"</formula>
    </cfRule>
  </conditionalFormatting>
  <conditionalFormatting sqref="B116:C116">
    <cfRule type="cellIs" dxfId="32287" priority="20305" stopIfTrue="1" operator="equal">
      <formula>"Towel"</formula>
    </cfRule>
    <cfRule type="cellIs" dxfId="32286" priority="20306" stopIfTrue="1" operator="equal">
      <formula>"Napkin Hs"</formula>
    </cfRule>
  </conditionalFormatting>
  <conditionalFormatting sqref="C116">
    <cfRule type="cellIs" dxfId="32285" priority="20303" stopIfTrue="1" operator="equal">
      <formula>"Towel"</formula>
    </cfRule>
    <cfRule type="cellIs" dxfId="32284" priority="20304" stopIfTrue="1" operator="equal">
      <formula>"Napkin Hs"</formula>
    </cfRule>
  </conditionalFormatting>
  <conditionalFormatting sqref="C116">
    <cfRule type="cellIs" dxfId="32283" priority="20301" stopIfTrue="1" operator="equal">
      <formula>"Towel"</formula>
    </cfRule>
    <cfRule type="cellIs" dxfId="32282" priority="20302" stopIfTrue="1" operator="equal">
      <formula>"Napkin Hs"</formula>
    </cfRule>
  </conditionalFormatting>
  <conditionalFormatting sqref="B116:C116">
    <cfRule type="cellIs" dxfId="32281" priority="20299" stopIfTrue="1" operator="equal">
      <formula>"Towel"</formula>
    </cfRule>
    <cfRule type="cellIs" dxfId="32280" priority="20300" stopIfTrue="1" operator="equal">
      <formula>"Napkin Hs"</formula>
    </cfRule>
  </conditionalFormatting>
  <conditionalFormatting sqref="C116">
    <cfRule type="cellIs" dxfId="32279" priority="20297" stopIfTrue="1" operator="equal">
      <formula>"Towel"</formula>
    </cfRule>
    <cfRule type="cellIs" dxfId="32278" priority="20298" stopIfTrue="1" operator="equal">
      <formula>"Napkin Hs"</formula>
    </cfRule>
  </conditionalFormatting>
  <conditionalFormatting sqref="C116">
    <cfRule type="cellIs" dxfId="32277" priority="20295" stopIfTrue="1" operator="equal">
      <formula>"Towel"</formula>
    </cfRule>
    <cfRule type="cellIs" dxfId="32276" priority="20296" stopIfTrue="1" operator="equal">
      <formula>"Napkin Hs"</formula>
    </cfRule>
  </conditionalFormatting>
  <conditionalFormatting sqref="B116:C116">
    <cfRule type="cellIs" dxfId="32275" priority="20294" stopIfTrue="1" operator="equal">
      <formula>"Napkin Hs"</formula>
    </cfRule>
  </conditionalFormatting>
  <conditionalFormatting sqref="B116:C116">
    <cfRule type="cellIs" dxfId="32274" priority="20293" stopIfTrue="1" operator="equal">
      <formula>"Towel"</formula>
    </cfRule>
  </conditionalFormatting>
  <conditionalFormatting sqref="C116">
    <cfRule type="cellIs" dxfId="32273" priority="20292" stopIfTrue="1" operator="equal">
      <formula>"Napkin Hs"</formula>
    </cfRule>
  </conditionalFormatting>
  <conditionalFormatting sqref="C116">
    <cfRule type="cellIs" dxfId="32272" priority="20289" stopIfTrue="1" operator="equal">
      <formula>"Towel"</formula>
    </cfRule>
    <cfRule type="cellIs" dxfId="32271" priority="20290" stopIfTrue="1" operator="equal">
      <formula>"Napkin Hs"</formula>
    </cfRule>
  </conditionalFormatting>
  <conditionalFormatting sqref="C116">
    <cfRule type="cellIs" dxfId="32270" priority="20291" stopIfTrue="1" operator="equal">
      <formula>"Towel"</formula>
    </cfRule>
  </conditionalFormatting>
  <conditionalFormatting sqref="B122:C122">
    <cfRule type="cellIs" dxfId="32269" priority="20228" stopIfTrue="1" operator="equal">
      <formula>"Napkin Hs"</formula>
    </cfRule>
  </conditionalFormatting>
  <conditionalFormatting sqref="B122:C122">
    <cfRule type="cellIs" dxfId="32268" priority="20227" stopIfTrue="1" operator="equal">
      <formula>"Towel"</formula>
    </cfRule>
  </conditionalFormatting>
  <conditionalFormatting sqref="B122:C122">
    <cfRule type="cellIs" dxfId="32267" priority="20281" stopIfTrue="1" operator="equal">
      <formula>"Towel"</formula>
    </cfRule>
    <cfRule type="cellIs" dxfId="32266" priority="20282" stopIfTrue="1" operator="equal">
      <formula>"Napkin Hs"</formula>
    </cfRule>
  </conditionalFormatting>
  <conditionalFormatting sqref="C122">
    <cfRule type="cellIs" dxfId="32265" priority="20226" stopIfTrue="1" operator="equal">
      <formula>"Napkin Hs"</formula>
    </cfRule>
  </conditionalFormatting>
  <conditionalFormatting sqref="C122">
    <cfRule type="cellIs" dxfId="32264" priority="20225" stopIfTrue="1" operator="equal">
      <formula>"Towel"</formula>
    </cfRule>
  </conditionalFormatting>
  <conditionalFormatting sqref="C122">
    <cfRule type="cellIs" dxfId="32263" priority="20223" stopIfTrue="1" operator="equal">
      <formula>"Towel"</formula>
    </cfRule>
    <cfRule type="cellIs" dxfId="32262" priority="20224" stopIfTrue="1" operator="equal">
      <formula>"Napkin Hs"</formula>
    </cfRule>
  </conditionalFormatting>
  <conditionalFormatting sqref="B122:C122">
    <cfRule type="cellIs" dxfId="32261" priority="20276" stopIfTrue="1" operator="equal">
      <formula>"Napkin Hs"</formula>
    </cfRule>
  </conditionalFormatting>
  <conditionalFormatting sqref="B122:C122">
    <cfRule type="cellIs" dxfId="32260" priority="20275" stopIfTrue="1" operator="equal">
      <formula>"Towel"</formula>
    </cfRule>
  </conditionalFormatting>
  <conditionalFormatting sqref="C122">
    <cfRule type="cellIs" dxfId="32259" priority="20274" stopIfTrue="1" operator="equal">
      <formula>"Napkin Hs"</formula>
    </cfRule>
  </conditionalFormatting>
  <conditionalFormatting sqref="C122">
    <cfRule type="cellIs" dxfId="32258" priority="20273" stopIfTrue="1" operator="equal">
      <formula>"Towel"</formula>
    </cfRule>
  </conditionalFormatting>
  <conditionalFormatting sqref="C122">
    <cfRule type="cellIs" dxfId="32257" priority="20271" stopIfTrue="1" operator="equal">
      <formula>"Towel"</formula>
    </cfRule>
    <cfRule type="cellIs" dxfId="32256" priority="20272" stopIfTrue="1" operator="equal">
      <formula>"Napkin Hs"</formula>
    </cfRule>
  </conditionalFormatting>
  <conditionalFormatting sqref="B122:C122">
    <cfRule type="cellIs" dxfId="32255" priority="20269" stopIfTrue="1" operator="equal">
      <formula>"Towel"</formula>
    </cfRule>
    <cfRule type="cellIs" dxfId="32254" priority="20270" stopIfTrue="1" operator="equal">
      <formula>"Napkin Hs"</formula>
    </cfRule>
  </conditionalFormatting>
  <conditionalFormatting sqref="C122">
    <cfRule type="cellIs" dxfId="32253" priority="20265" stopIfTrue="1" operator="equal">
      <formula>"Towel"</formula>
    </cfRule>
    <cfRule type="cellIs" dxfId="32252" priority="20266" stopIfTrue="1" operator="equal">
      <formula>"Napkin Hs"</formula>
    </cfRule>
  </conditionalFormatting>
  <conditionalFormatting sqref="C122">
    <cfRule type="cellIs" dxfId="32251" priority="20267" stopIfTrue="1" operator="equal">
      <formula>"Towel"</formula>
    </cfRule>
    <cfRule type="cellIs" dxfId="32250" priority="20268" stopIfTrue="1" operator="equal">
      <formula>"Napkin Hs"</formula>
    </cfRule>
  </conditionalFormatting>
  <conditionalFormatting sqref="B122:C122">
    <cfRule type="cellIs" dxfId="32249" priority="20264" stopIfTrue="1" operator="equal">
      <formula>"Napkin Hs"</formula>
    </cfRule>
  </conditionalFormatting>
  <conditionalFormatting sqref="B122:C122">
    <cfRule type="cellIs" dxfId="32248" priority="20263" stopIfTrue="1" operator="equal">
      <formula>"Towel"</formula>
    </cfRule>
  </conditionalFormatting>
  <conditionalFormatting sqref="C122">
    <cfRule type="cellIs" dxfId="32247" priority="20262" stopIfTrue="1" operator="equal">
      <formula>"Napkin Hs"</formula>
    </cfRule>
  </conditionalFormatting>
  <conditionalFormatting sqref="C122">
    <cfRule type="cellIs" dxfId="32246" priority="20261" stopIfTrue="1" operator="equal">
      <formula>"Towel"</formula>
    </cfRule>
  </conditionalFormatting>
  <conditionalFormatting sqref="C122">
    <cfRule type="cellIs" dxfId="32245" priority="20259" stopIfTrue="1" operator="equal">
      <formula>"Towel"</formula>
    </cfRule>
    <cfRule type="cellIs" dxfId="32244" priority="20260" stopIfTrue="1" operator="equal">
      <formula>"Napkin Hs"</formula>
    </cfRule>
  </conditionalFormatting>
  <conditionalFormatting sqref="B122:C122">
    <cfRule type="cellIs" dxfId="32243" priority="20257" stopIfTrue="1" operator="equal">
      <formula>"Towel"</formula>
    </cfRule>
    <cfRule type="cellIs" dxfId="32242" priority="20258" stopIfTrue="1" operator="equal">
      <formula>"Napkin Hs"</formula>
    </cfRule>
  </conditionalFormatting>
  <conditionalFormatting sqref="C122">
    <cfRule type="cellIs" dxfId="32241" priority="20255" stopIfTrue="1" operator="equal">
      <formula>"Towel"</formula>
    </cfRule>
    <cfRule type="cellIs" dxfId="32240" priority="20256" stopIfTrue="1" operator="equal">
      <formula>"Napkin Hs"</formula>
    </cfRule>
  </conditionalFormatting>
  <conditionalFormatting sqref="C122">
    <cfRule type="cellIs" dxfId="32239" priority="20253" stopIfTrue="1" operator="equal">
      <formula>"Towel"</formula>
    </cfRule>
    <cfRule type="cellIs" dxfId="32238" priority="20254" stopIfTrue="1" operator="equal">
      <formula>"Napkin Hs"</formula>
    </cfRule>
  </conditionalFormatting>
  <conditionalFormatting sqref="B122:C122">
    <cfRule type="cellIs" dxfId="32237" priority="20251" stopIfTrue="1" operator="equal">
      <formula>"Towel"</formula>
    </cfRule>
    <cfRule type="cellIs" dxfId="32236" priority="20252" stopIfTrue="1" operator="equal">
      <formula>"Napkin Hs"</formula>
    </cfRule>
  </conditionalFormatting>
  <conditionalFormatting sqref="C122">
    <cfRule type="cellIs" dxfId="32235" priority="20249" stopIfTrue="1" operator="equal">
      <formula>"Towel"</formula>
    </cfRule>
    <cfRule type="cellIs" dxfId="32234" priority="20250" stopIfTrue="1" operator="equal">
      <formula>"Napkin Hs"</formula>
    </cfRule>
  </conditionalFormatting>
  <conditionalFormatting sqref="C122">
    <cfRule type="cellIs" dxfId="32233" priority="20247" stopIfTrue="1" operator="equal">
      <formula>"Towel"</formula>
    </cfRule>
    <cfRule type="cellIs" dxfId="32232" priority="20248" stopIfTrue="1" operator="equal">
      <formula>"Napkin Hs"</formula>
    </cfRule>
  </conditionalFormatting>
  <conditionalFormatting sqref="B122:C122">
    <cfRule type="cellIs" dxfId="32231" priority="20245" stopIfTrue="1" operator="equal">
      <formula>"Towel"</formula>
    </cfRule>
    <cfRule type="cellIs" dxfId="32230" priority="20246" stopIfTrue="1" operator="equal">
      <formula>"Napkin Hs"</formula>
    </cfRule>
  </conditionalFormatting>
  <conditionalFormatting sqref="C122">
    <cfRule type="cellIs" dxfId="32229" priority="20243" stopIfTrue="1" operator="equal">
      <formula>"Towel"</formula>
    </cfRule>
    <cfRule type="cellIs" dxfId="32228" priority="20244" stopIfTrue="1" operator="equal">
      <formula>"Napkin Hs"</formula>
    </cfRule>
  </conditionalFormatting>
  <conditionalFormatting sqref="C122">
    <cfRule type="cellIs" dxfId="32227" priority="20241" stopIfTrue="1" operator="equal">
      <formula>"Towel"</formula>
    </cfRule>
    <cfRule type="cellIs" dxfId="32226" priority="20242" stopIfTrue="1" operator="equal">
      <formula>"Napkin Hs"</formula>
    </cfRule>
  </conditionalFormatting>
  <conditionalFormatting sqref="B122:C122">
    <cfRule type="cellIs" dxfId="32225" priority="20239" stopIfTrue="1" operator="equal">
      <formula>"Towel"</formula>
    </cfRule>
    <cfRule type="cellIs" dxfId="32224" priority="20240" stopIfTrue="1" operator="equal">
      <formula>"Napkin Hs"</formula>
    </cfRule>
  </conditionalFormatting>
  <conditionalFormatting sqref="C122">
    <cfRule type="cellIs" dxfId="32223" priority="20237" stopIfTrue="1" operator="equal">
      <formula>"Towel"</formula>
    </cfRule>
    <cfRule type="cellIs" dxfId="32222" priority="20238" stopIfTrue="1" operator="equal">
      <formula>"Napkin Hs"</formula>
    </cfRule>
  </conditionalFormatting>
  <conditionalFormatting sqref="C122">
    <cfRule type="cellIs" dxfId="32221" priority="20235" stopIfTrue="1" operator="equal">
      <formula>"Towel"</formula>
    </cfRule>
    <cfRule type="cellIs" dxfId="32220" priority="20236" stopIfTrue="1" operator="equal">
      <formula>"Napkin Hs"</formula>
    </cfRule>
  </conditionalFormatting>
  <conditionalFormatting sqref="B122:C122">
    <cfRule type="cellIs" dxfId="32219" priority="20233" stopIfTrue="1" operator="equal">
      <formula>"Towel"</formula>
    </cfRule>
    <cfRule type="cellIs" dxfId="32218" priority="20234" stopIfTrue="1" operator="equal">
      <formula>"Napkin Hs"</formula>
    </cfRule>
  </conditionalFormatting>
  <conditionalFormatting sqref="C122">
    <cfRule type="cellIs" dxfId="32217" priority="20231" stopIfTrue="1" operator="equal">
      <formula>"Towel"</formula>
    </cfRule>
    <cfRule type="cellIs" dxfId="32216" priority="20232" stopIfTrue="1" operator="equal">
      <formula>"Napkin Hs"</formula>
    </cfRule>
  </conditionalFormatting>
  <conditionalFormatting sqref="C122">
    <cfRule type="cellIs" dxfId="32215" priority="20229" stopIfTrue="1" operator="equal">
      <formula>"Towel"</formula>
    </cfRule>
    <cfRule type="cellIs" dxfId="32214" priority="20230" stopIfTrue="1" operator="equal">
      <formula>"Napkin Hs"</formula>
    </cfRule>
  </conditionalFormatting>
  <conditionalFormatting sqref="B121:C121">
    <cfRule type="cellIs" dxfId="32213" priority="20162" stopIfTrue="1" operator="equal">
      <formula>"Napkin Hs"</formula>
    </cfRule>
  </conditionalFormatting>
  <conditionalFormatting sqref="B121:C121">
    <cfRule type="cellIs" dxfId="32212" priority="20161" stopIfTrue="1" operator="equal">
      <formula>"Towel"</formula>
    </cfRule>
  </conditionalFormatting>
  <conditionalFormatting sqref="C121">
    <cfRule type="cellIs" dxfId="32211" priority="20160" stopIfTrue="1" operator="equal">
      <formula>"Napkin Hs"</formula>
    </cfRule>
  </conditionalFormatting>
  <conditionalFormatting sqref="C121">
    <cfRule type="cellIs" dxfId="32210" priority="20159" stopIfTrue="1" operator="equal">
      <formula>"Towel"</formula>
    </cfRule>
  </conditionalFormatting>
  <conditionalFormatting sqref="C121">
    <cfRule type="cellIs" dxfId="32209" priority="20157" stopIfTrue="1" operator="equal">
      <formula>"Towel"</formula>
    </cfRule>
    <cfRule type="cellIs" dxfId="32208" priority="20158" stopIfTrue="1" operator="equal">
      <formula>"Napkin Hs"</formula>
    </cfRule>
  </conditionalFormatting>
  <conditionalFormatting sqref="B121:C121">
    <cfRule type="cellIs" dxfId="32207" priority="20156" stopIfTrue="1" operator="equal">
      <formula>"Napkin Hs"</formula>
    </cfRule>
  </conditionalFormatting>
  <conditionalFormatting sqref="B121:C121">
    <cfRule type="cellIs" dxfId="32206" priority="20155" stopIfTrue="1" operator="equal">
      <formula>"Towel"</formula>
    </cfRule>
  </conditionalFormatting>
  <conditionalFormatting sqref="C121">
    <cfRule type="cellIs" dxfId="32205" priority="20154" stopIfTrue="1" operator="equal">
      <formula>"Napkin Hs"</formula>
    </cfRule>
  </conditionalFormatting>
  <conditionalFormatting sqref="C121">
    <cfRule type="cellIs" dxfId="32204" priority="20153" stopIfTrue="1" operator="equal">
      <formula>"Towel"</formula>
    </cfRule>
  </conditionalFormatting>
  <conditionalFormatting sqref="C121">
    <cfRule type="cellIs" dxfId="32203" priority="20151" stopIfTrue="1" operator="equal">
      <formula>"Towel"</formula>
    </cfRule>
    <cfRule type="cellIs" dxfId="32202" priority="20152" stopIfTrue="1" operator="equal">
      <formula>"Napkin Hs"</formula>
    </cfRule>
  </conditionalFormatting>
  <conditionalFormatting sqref="B121:C121">
    <cfRule type="cellIs" dxfId="32201" priority="20149" stopIfTrue="1" operator="equal">
      <formula>"Towel"</formula>
    </cfRule>
    <cfRule type="cellIs" dxfId="32200" priority="20150" stopIfTrue="1" operator="equal">
      <formula>"Napkin Hs"</formula>
    </cfRule>
  </conditionalFormatting>
  <conditionalFormatting sqref="C121">
    <cfRule type="cellIs" dxfId="32199" priority="20145" stopIfTrue="1" operator="equal">
      <formula>"Towel"</formula>
    </cfRule>
    <cfRule type="cellIs" dxfId="32198" priority="20146" stopIfTrue="1" operator="equal">
      <formula>"Napkin Hs"</formula>
    </cfRule>
  </conditionalFormatting>
  <conditionalFormatting sqref="C121">
    <cfRule type="cellIs" dxfId="32197" priority="20147" stopIfTrue="1" operator="equal">
      <formula>"Towel"</formula>
    </cfRule>
    <cfRule type="cellIs" dxfId="32196" priority="20148" stopIfTrue="1" operator="equal">
      <formula>"Napkin Hs"</formula>
    </cfRule>
  </conditionalFormatting>
  <conditionalFormatting sqref="B121:C121">
    <cfRule type="cellIs" dxfId="32195" priority="20144" stopIfTrue="1" operator="equal">
      <formula>"Napkin Hs"</formula>
    </cfRule>
  </conditionalFormatting>
  <conditionalFormatting sqref="B121:C121">
    <cfRule type="cellIs" dxfId="32194" priority="20143" stopIfTrue="1" operator="equal">
      <formula>"Towel"</formula>
    </cfRule>
  </conditionalFormatting>
  <conditionalFormatting sqref="C121">
    <cfRule type="cellIs" dxfId="32193" priority="20142" stopIfTrue="1" operator="equal">
      <formula>"Napkin Hs"</formula>
    </cfRule>
  </conditionalFormatting>
  <conditionalFormatting sqref="C121">
    <cfRule type="cellIs" dxfId="32192" priority="20141" stopIfTrue="1" operator="equal">
      <formula>"Towel"</formula>
    </cfRule>
  </conditionalFormatting>
  <conditionalFormatting sqref="C121">
    <cfRule type="cellIs" dxfId="32191" priority="20139" stopIfTrue="1" operator="equal">
      <formula>"Towel"</formula>
    </cfRule>
    <cfRule type="cellIs" dxfId="32190" priority="20140" stopIfTrue="1" operator="equal">
      <formula>"Napkin Hs"</formula>
    </cfRule>
  </conditionalFormatting>
  <conditionalFormatting sqref="B121:C121">
    <cfRule type="cellIs" dxfId="32189" priority="20137" stopIfTrue="1" operator="equal">
      <formula>"Towel"</formula>
    </cfRule>
    <cfRule type="cellIs" dxfId="32188" priority="20138" stopIfTrue="1" operator="equal">
      <formula>"Napkin Hs"</formula>
    </cfRule>
  </conditionalFormatting>
  <conditionalFormatting sqref="C121">
    <cfRule type="cellIs" dxfId="32187" priority="20135" stopIfTrue="1" operator="equal">
      <formula>"Towel"</formula>
    </cfRule>
    <cfRule type="cellIs" dxfId="32186" priority="20136" stopIfTrue="1" operator="equal">
      <formula>"Napkin Hs"</formula>
    </cfRule>
  </conditionalFormatting>
  <conditionalFormatting sqref="C121">
    <cfRule type="cellIs" dxfId="32185" priority="20133" stopIfTrue="1" operator="equal">
      <formula>"Towel"</formula>
    </cfRule>
    <cfRule type="cellIs" dxfId="32184" priority="20134" stopIfTrue="1" operator="equal">
      <formula>"Napkin Hs"</formula>
    </cfRule>
  </conditionalFormatting>
  <conditionalFormatting sqref="B121:C121">
    <cfRule type="cellIs" dxfId="32183" priority="20131" stopIfTrue="1" operator="equal">
      <formula>"Towel"</formula>
    </cfRule>
    <cfRule type="cellIs" dxfId="32182" priority="20132" stopIfTrue="1" operator="equal">
      <formula>"Napkin Hs"</formula>
    </cfRule>
  </conditionalFormatting>
  <conditionalFormatting sqref="C121">
    <cfRule type="cellIs" dxfId="32181" priority="20129" stopIfTrue="1" operator="equal">
      <formula>"Towel"</formula>
    </cfRule>
    <cfRule type="cellIs" dxfId="32180" priority="20130" stopIfTrue="1" operator="equal">
      <formula>"Napkin Hs"</formula>
    </cfRule>
  </conditionalFormatting>
  <conditionalFormatting sqref="C121">
    <cfRule type="cellIs" dxfId="32179" priority="20127" stopIfTrue="1" operator="equal">
      <formula>"Towel"</formula>
    </cfRule>
    <cfRule type="cellIs" dxfId="32178" priority="20128" stopIfTrue="1" operator="equal">
      <formula>"Napkin Hs"</formula>
    </cfRule>
  </conditionalFormatting>
  <conditionalFormatting sqref="B121:C121">
    <cfRule type="cellIs" dxfId="32177" priority="20125" stopIfTrue="1" operator="equal">
      <formula>"Towel"</formula>
    </cfRule>
    <cfRule type="cellIs" dxfId="32176" priority="20126" stopIfTrue="1" operator="equal">
      <formula>"Napkin Hs"</formula>
    </cfRule>
  </conditionalFormatting>
  <conditionalFormatting sqref="C121">
    <cfRule type="cellIs" dxfId="32175" priority="20123" stopIfTrue="1" operator="equal">
      <formula>"Towel"</formula>
    </cfRule>
    <cfRule type="cellIs" dxfId="32174" priority="20124" stopIfTrue="1" operator="equal">
      <formula>"Napkin Hs"</formula>
    </cfRule>
  </conditionalFormatting>
  <conditionalFormatting sqref="C121">
    <cfRule type="cellIs" dxfId="32173" priority="20121" stopIfTrue="1" operator="equal">
      <formula>"Towel"</formula>
    </cfRule>
    <cfRule type="cellIs" dxfId="32172" priority="20122" stopIfTrue="1" operator="equal">
      <formula>"Napkin Hs"</formula>
    </cfRule>
  </conditionalFormatting>
  <conditionalFormatting sqref="B121:C121">
    <cfRule type="cellIs" dxfId="32171" priority="20119" stopIfTrue="1" operator="equal">
      <formula>"Towel"</formula>
    </cfRule>
    <cfRule type="cellIs" dxfId="32170" priority="20120" stopIfTrue="1" operator="equal">
      <formula>"Napkin Hs"</formula>
    </cfRule>
  </conditionalFormatting>
  <conditionalFormatting sqref="C121">
    <cfRule type="cellIs" dxfId="32169" priority="20117" stopIfTrue="1" operator="equal">
      <formula>"Towel"</formula>
    </cfRule>
    <cfRule type="cellIs" dxfId="32168" priority="20118" stopIfTrue="1" operator="equal">
      <formula>"Napkin Hs"</formula>
    </cfRule>
  </conditionalFormatting>
  <conditionalFormatting sqref="C121">
    <cfRule type="cellIs" dxfId="32167" priority="20115" stopIfTrue="1" operator="equal">
      <formula>"Towel"</formula>
    </cfRule>
    <cfRule type="cellIs" dxfId="32166" priority="20116" stopIfTrue="1" operator="equal">
      <formula>"Napkin Hs"</formula>
    </cfRule>
  </conditionalFormatting>
  <conditionalFormatting sqref="B121:C121">
    <cfRule type="cellIs" dxfId="32165" priority="20113" stopIfTrue="1" operator="equal">
      <formula>"Towel"</formula>
    </cfRule>
    <cfRule type="cellIs" dxfId="32164" priority="20114" stopIfTrue="1" operator="equal">
      <formula>"Napkin Hs"</formula>
    </cfRule>
  </conditionalFormatting>
  <conditionalFormatting sqref="C121">
    <cfRule type="cellIs" dxfId="32163" priority="20111" stopIfTrue="1" operator="equal">
      <formula>"Towel"</formula>
    </cfRule>
    <cfRule type="cellIs" dxfId="32162" priority="20112" stopIfTrue="1" operator="equal">
      <formula>"Napkin Hs"</formula>
    </cfRule>
  </conditionalFormatting>
  <conditionalFormatting sqref="C121">
    <cfRule type="cellIs" dxfId="32161" priority="20109" stopIfTrue="1" operator="equal">
      <formula>"Towel"</formula>
    </cfRule>
    <cfRule type="cellIs" dxfId="32160" priority="20110" stopIfTrue="1" operator="equal">
      <formula>"Napkin Hs"</formula>
    </cfRule>
  </conditionalFormatting>
  <conditionalFormatting sqref="B121:C121">
    <cfRule type="cellIs" dxfId="32159" priority="20108" stopIfTrue="1" operator="equal">
      <formula>"Napkin Hs"</formula>
    </cfRule>
  </conditionalFormatting>
  <conditionalFormatting sqref="B121:C121">
    <cfRule type="cellIs" dxfId="32158" priority="20107" stopIfTrue="1" operator="equal">
      <formula>"Towel"</formula>
    </cfRule>
  </conditionalFormatting>
  <conditionalFormatting sqref="C121">
    <cfRule type="cellIs" dxfId="32157" priority="20106" stopIfTrue="1" operator="equal">
      <formula>"Napkin Hs"</formula>
    </cfRule>
  </conditionalFormatting>
  <conditionalFormatting sqref="C121">
    <cfRule type="cellIs" dxfId="32156" priority="20103" stopIfTrue="1" operator="equal">
      <formula>"Towel"</formula>
    </cfRule>
    <cfRule type="cellIs" dxfId="32155" priority="20104" stopIfTrue="1" operator="equal">
      <formula>"Napkin Hs"</formula>
    </cfRule>
  </conditionalFormatting>
  <conditionalFormatting sqref="C121">
    <cfRule type="cellIs" dxfId="32154" priority="20105" stopIfTrue="1" operator="equal">
      <formula>"Towel"</formula>
    </cfRule>
  </conditionalFormatting>
  <conditionalFormatting sqref="B126:C126">
    <cfRule type="cellIs" dxfId="32153" priority="19922" stopIfTrue="1" operator="equal">
      <formula>"Napkin Hs"</formula>
    </cfRule>
  </conditionalFormatting>
  <conditionalFormatting sqref="B126:C126">
    <cfRule type="cellIs" dxfId="32152" priority="19921" stopIfTrue="1" operator="equal">
      <formula>"Towel"</formula>
    </cfRule>
  </conditionalFormatting>
  <conditionalFormatting sqref="C126">
    <cfRule type="cellIs" dxfId="32151" priority="19920" stopIfTrue="1" operator="equal">
      <formula>"Napkin Hs"</formula>
    </cfRule>
  </conditionalFormatting>
  <conditionalFormatting sqref="C126">
    <cfRule type="cellIs" dxfId="32150" priority="19917" stopIfTrue="1" operator="equal">
      <formula>"Towel"</formula>
    </cfRule>
    <cfRule type="cellIs" dxfId="32149" priority="19918" stopIfTrue="1" operator="equal">
      <formula>"Napkin Hs"</formula>
    </cfRule>
  </conditionalFormatting>
  <conditionalFormatting sqref="C126">
    <cfRule type="cellIs" dxfId="32148" priority="19919" stopIfTrue="1" operator="equal">
      <formula>"Towel"</formula>
    </cfRule>
  </conditionalFormatting>
  <conditionalFormatting sqref="B126:C126">
    <cfRule type="cellIs" dxfId="32147" priority="19916" stopIfTrue="1" operator="equal">
      <formula>"Napkin Hs"</formula>
    </cfRule>
  </conditionalFormatting>
  <conditionalFormatting sqref="B126:C126">
    <cfRule type="cellIs" dxfId="32146" priority="19915" stopIfTrue="1" operator="equal">
      <formula>"Towel"</formula>
    </cfRule>
  </conditionalFormatting>
  <conditionalFormatting sqref="C126">
    <cfRule type="cellIs" dxfId="32145" priority="19914" stopIfTrue="1" operator="equal">
      <formula>"Napkin Hs"</formula>
    </cfRule>
  </conditionalFormatting>
  <conditionalFormatting sqref="C126">
    <cfRule type="cellIs" dxfId="32144" priority="19913" stopIfTrue="1" operator="equal">
      <formula>"Towel"</formula>
    </cfRule>
  </conditionalFormatting>
  <conditionalFormatting sqref="C126">
    <cfRule type="cellIs" dxfId="32143" priority="19911" stopIfTrue="1" operator="equal">
      <formula>"Towel"</formula>
    </cfRule>
    <cfRule type="cellIs" dxfId="32142" priority="19912" stopIfTrue="1" operator="equal">
      <formula>"Napkin Hs"</formula>
    </cfRule>
  </conditionalFormatting>
  <conditionalFormatting sqref="B126:C126">
    <cfRule type="cellIs" dxfId="32141" priority="19909" stopIfTrue="1" operator="equal">
      <formula>"Towel"</formula>
    </cfRule>
    <cfRule type="cellIs" dxfId="32140" priority="19910" stopIfTrue="1" operator="equal">
      <formula>"Napkin Hs"</formula>
    </cfRule>
  </conditionalFormatting>
  <conditionalFormatting sqref="C126">
    <cfRule type="cellIs" dxfId="32139" priority="19905" stopIfTrue="1" operator="equal">
      <formula>"Towel"</formula>
    </cfRule>
    <cfRule type="cellIs" dxfId="32138" priority="19906" stopIfTrue="1" operator="equal">
      <formula>"Napkin Hs"</formula>
    </cfRule>
  </conditionalFormatting>
  <conditionalFormatting sqref="C126">
    <cfRule type="cellIs" dxfId="32137" priority="19907" stopIfTrue="1" operator="equal">
      <formula>"Towel"</formula>
    </cfRule>
    <cfRule type="cellIs" dxfId="32136" priority="19908" stopIfTrue="1" operator="equal">
      <formula>"Napkin Hs"</formula>
    </cfRule>
  </conditionalFormatting>
  <conditionalFormatting sqref="B126:C126">
    <cfRule type="cellIs" dxfId="32135" priority="19904" stopIfTrue="1" operator="equal">
      <formula>"Napkin Hs"</formula>
    </cfRule>
  </conditionalFormatting>
  <conditionalFormatting sqref="B126:C126">
    <cfRule type="cellIs" dxfId="32134" priority="19903" stopIfTrue="1" operator="equal">
      <formula>"Towel"</formula>
    </cfRule>
  </conditionalFormatting>
  <conditionalFormatting sqref="C126">
    <cfRule type="cellIs" dxfId="32133" priority="19902" stopIfTrue="1" operator="equal">
      <formula>"Napkin Hs"</formula>
    </cfRule>
  </conditionalFormatting>
  <conditionalFormatting sqref="C126">
    <cfRule type="cellIs" dxfId="32132" priority="19901" stopIfTrue="1" operator="equal">
      <formula>"Towel"</formula>
    </cfRule>
  </conditionalFormatting>
  <conditionalFormatting sqref="C126">
    <cfRule type="cellIs" dxfId="32131" priority="19899" stopIfTrue="1" operator="equal">
      <formula>"Towel"</formula>
    </cfRule>
    <cfRule type="cellIs" dxfId="32130" priority="19900" stopIfTrue="1" operator="equal">
      <formula>"Napkin Hs"</formula>
    </cfRule>
  </conditionalFormatting>
  <conditionalFormatting sqref="B126:C126">
    <cfRule type="cellIs" dxfId="32129" priority="19897" stopIfTrue="1" operator="equal">
      <formula>"Towel"</formula>
    </cfRule>
    <cfRule type="cellIs" dxfId="32128" priority="19898" stopIfTrue="1" operator="equal">
      <formula>"Napkin Hs"</formula>
    </cfRule>
  </conditionalFormatting>
  <conditionalFormatting sqref="C126">
    <cfRule type="cellIs" dxfId="32127" priority="19895" stopIfTrue="1" operator="equal">
      <formula>"Towel"</formula>
    </cfRule>
    <cfRule type="cellIs" dxfId="32126" priority="19896" stopIfTrue="1" operator="equal">
      <formula>"Napkin Hs"</formula>
    </cfRule>
  </conditionalFormatting>
  <conditionalFormatting sqref="C126">
    <cfRule type="cellIs" dxfId="32125" priority="19893" stopIfTrue="1" operator="equal">
      <formula>"Towel"</formula>
    </cfRule>
    <cfRule type="cellIs" dxfId="32124" priority="19894" stopIfTrue="1" operator="equal">
      <formula>"Napkin Hs"</formula>
    </cfRule>
  </conditionalFormatting>
  <conditionalFormatting sqref="B126:C126">
    <cfRule type="cellIs" dxfId="32123" priority="19891" stopIfTrue="1" operator="equal">
      <formula>"Towel"</formula>
    </cfRule>
    <cfRule type="cellIs" dxfId="32122" priority="19892" stopIfTrue="1" operator="equal">
      <formula>"Napkin Hs"</formula>
    </cfRule>
  </conditionalFormatting>
  <conditionalFormatting sqref="C126">
    <cfRule type="cellIs" dxfId="32121" priority="19889" stopIfTrue="1" operator="equal">
      <formula>"Towel"</formula>
    </cfRule>
    <cfRule type="cellIs" dxfId="32120" priority="19890" stopIfTrue="1" operator="equal">
      <formula>"Napkin Hs"</formula>
    </cfRule>
  </conditionalFormatting>
  <conditionalFormatting sqref="C126">
    <cfRule type="cellIs" dxfId="32119" priority="19887" stopIfTrue="1" operator="equal">
      <formula>"Towel"</formula>
    </cfRule>
    <cfRule type="cellIs" dxfId="32118" priority="19888" stopIfTrue="1" operator="equal">
      <formula>"Napkin Hs"</formula>
    </cfRule>
  </conditionalFormatting>
  <conditionalFormatting sqref="B126:C126">
    <cfRule type="cellIs" dxfId="32117" priority="19885" stopIfTrue="1" operator="equal">
      <formula>"Towel"</formula>
    </cfRule>
    <cfRule type="cellIs" dxfId="32116" priority="19886" stopIfTrue="1" operator="equal">
      <formula>"Napkin Hs"</formula>
    </cfRule>
  </conditionalFormatting>
  <conditionalFormatting sqref="C126">
    <cfRule type="cellIs" dxfId="32115" priority="19883" stopIfTrue="1" operator="equal">
      <formula>"Towel"</formula>
    </cfRule>
    <cfRule type="cellIs" dxfId="32114" priority="19884" stopIfTrue="1" operator="equal">
      <formula>"Napkin Hs"</formula>
    </cfRule>
  </conditionalFormatting>
  <conditionalFormatting sqref="C126">
    <cfRule type="cellIs" dxfId="32113" priority="19881" stopIfTrue="1" operator="equal">
      <formula>"Towel"</formula>
    </cfRule>
    <cfRule type="cellIs" dxfId="32112" priority="19882" stopIfTrue="1" operator="equal">
      <formula>"Napkin Hs"</formula>
    </cfRule>
  </conditionalFormatting>
  <conditionalFormatting sqref="B126:C126">
    <cfRule type="cellIs" dxfId="32111" priority="19879" stopIfTrue="1" operator="equal">
      <formula>"Towel"</formula>
    </cfRule>
    <cfRule type="cellIs" dxfId="32110" priority="19880" stopIfTrue="1" operator="equal">
      <formula>"Napkin Hs"</formula>
    </cfRule>
  </conditionalFormatting>
  <conditionalFormatting sqref="C126">
    <cfRule type="cellIs" dxfId="32109" priority="19877" stopIfTrue="1" operator="equal">
      <formula>"Towel"</formula>
    </cfRule>
    <cfRule type="cellIs" dxfId="32108" priority="19878" stopIfTrue="1" operator="equal">
      <formula>"Napkin Hs"</formula>
    </cfRule>
  </conditionalFormatting>
  <conditionalFormatting sqref="C126">
    <cfRule type="cellIs" dxfId="32107" priority="19875" stopIfTrue="1" operator="equal">
      <formula>"Towel"</formula>
    </cfRule>
    <cfRule type="cellIs" dxfId="32106" priority="19876" stopIfTrue="1" operator="equal">
      <formula>"Napkin Hs"</formula>
    </cfRule>
  </conditionalFormatting>
  <conditionalFormatting sqref="B126:C126">
    <cfRule type="cellIs" dxfId="32105" priority="19873" stopIfTrue="1" operator="equal">
      <formula>"Towel"</formula>
    </cfRule>
    <cfRule type="cellIs" dxfId="32104" priority="19874" stopIfTrue="1" operator="equal">
      <formula>"Napkin Hs"</formula>
    </cfRule>
  </conditionalFormatting>
  <conditionalFormatting sqref="C126">
    <cfRule type="cellIs" dxfId="32103" priority="19871" stopIfTrue="1" operator="equal">
      <formula>"Towel"</formula>
    </cfRule>
    <cfRule type="cellIs" dxfId="32102" priority="19872" stopIfTrue="1" operator="equal">
      <formula>"Napkin Hs"</formula>
    </cfRule>
  </conditionalFormatting>
  <conditionalFormatting sqref="C126">
    <cfRule type="cellIs" dxfId="32101" priority="19869" stopIfTrue="1" operator="equal">
      <formula>"Towel"</formula>
    </cfRule>
    <cfRule type="cellIs" dxfId="32100" priority="19870" stopIfTrue="1" operator="equal">
      <formula>"Napkin Hs"</formula>
    </cfRule>
  </conditionalFormatting>
  <conditionalFormatting sqref="B126:C126">
    <cfRule type="cellIs" dxfId="32099" priority="19868" stopIfTrue="1" operator="equal">
      <formula>"Napkin Hs"</formula>
    </cfRule>
  </conditionalFormatting>
  <conditionalFormatting sqref="B126:C126">
    <cfRule type="cellIs" dxfId="32098" priority="19867" stopIfTrue="1" operator="equal">
      <formula>"Towel"</formula>
    </cfRule>
  </conditionalFormatting>
  <conditionalFormatting sqref="C126">
    <cfRule type="cellIs" dxfId="32097" priority="19866" stopIfTrue="1" operator="equal">
      <formula>"Napkin Hs"</formula>
    </cfRule>
  </conditionalFormatting>
  <conditionalFormatting sqref="C126">
    <cfRule type="cellIs" dxfId="32096" priority="19863" stopIfTrue="1" operator="equal">
      <formula>"Towel"</formula>
    </cfRule>
    <cfRule type="cellIs" dxfId="32095" priority="19864" stopIfTrue="1" operator="equal">
      <formula>"Napkin Hs"</formula>
    </cfRule>
  </conditionalFormatting>
  <conditionalFormatting sqref="C126">
    <cfRule type="cellIs" dxfId="32094" priority="19865" stopIfTrue="1" operator="equal">
      <formula>"Towel"</formula>
    </cfRule>
  </conditionalFormatting>
  <conditionalFormatting sqref="B127:C127">
    <cfRule type="cellIs" dxfId="32093" priority="19862" stopIfTrue="1" operator="equal">
      <formula>"Napkin Hs"</formula>
    </cfRule>
  </conditionalFormatting>
  <conditionalFormatting sqref="B127:C127">
    <cfRule type="cellIs" dxfId="32092" priority="19861" stopIfTrue="1" operator="equal">
      <formula>"Towel"</formula>
    </cfRule>
  </conditionalFormatting>
  <conditionalFormatting sqref="C127">
    <cfRule type="cellIs" dxfId="32091" priority="19860" stopIfTrue="1" operator="equal">
      <formula>"Napkin Hs"</formula>
    </cfRule>
  </conditionalFormatting>
  <conditionalFormatting sqref="C127">
    <cfRule type="cellIs" dxfId="32090" priority="19857" stopIfTrue="1" operator="equal">
      <formula>"Towel"</formula>
    </cfRule>
    <cfRule type="cellIs" dxfId="32089" priority="19858" stopIfTrue="1" operator="equal">
      <formula>"Napkin Hs"</formula>
    </cfRule>
  </conditionalFormatting>
  <conditionalFormatting sqref="C127">
    <cfRule type="cellIs" dxfId="32088" priority="19859" stopIfTrue="1" operator="equal">
      <formula>"Towel"</formula>
    </cfRule>
  </conditionalFormatting>
  <conditionalFormatting sqref="B132:C132">
    <cfRule type="cellIs" dxfId="32087" priority="19730" stopIfTrue="1" operator="equal">
      <formula>"Napkin Hs"</formula>
    </cfRule>
  </conditionalFormatting>
  <conditionalFormatting sqref="B132:C132">
    <cfRule type="cellIs" dxfId="32086" priority="19729" stopIfTrue="1" operator="equal">
      <formula>"Towel"</formula>
    </cfRule>
  </conditionalFormatting>
  <conditionalFormatting sqref="C132">
    <cfRule type="cellIs" dxfId="32085" priority="19728" stopIfTrue="1" operator="equal">
      <formula>"Napkin Hs"</formula>
    </cfRule>
  </conditionalFormatting>
  <conditionalFormatting sqref="C132">
    <cfRule type="cellIs" dxfId="32084" priority="19725" stopIfTrue="1" operator="equal">
      <formula>"Towel"</formula>
    </cfRule>
    <cfRule type="cellIs" dxfId="32083" priority="19726" stopIfTrue="1" operator="equal">
      <formula>"Napkin Hs"</formula>
    </cfRule>
  </conditionalFormatting>
  <conditionalFormatting sqref="C132">
    <cfRule type="cellIs" dxfId="32082" priority="19727" stopIfTrue="1" operator="equal">
      <formula>"Towel"</formula>
    </cfRule>
  </conditionalFormatting>
  <conditionalFormatting sqref="C134">
    <cfRule type="cellIs" dxfId="32081" priority="19721" stopIfTrue="1" operator="equal">
      <formula>"Towel"</formula>
    </cfRule>
    <cfRule type="cellIs" dxfId="32080" priority="19722" stopIfTrue="1" operator="equal">
      <formula>"Napkin Hs"</formula>
    </cfRule>
  </conditionalFormatting>
  <conditionalFormatting sqref="C134">
    <cfRule type="cellIs" dxfId="32079" priority="19719" stopIfTrue="1" operator="equal">
      <formula>"Towel"</formula>
    </cfRule>
    <cfRule type="cellIs" dxfId="32078" priority="19720" stopIfTrue="1" operator="equal">
      <formula>"Napkin Hs"</formula>
    </cfRule>
  </conditionalFormatting>
  <conditionalFormatting sqref="B134:C134">
    <cfRule type="cellIs" dxfId="32077" priority="19670" stopIfTrue="1" operator="equal">
      <formula>"Napkin Hs"</formula>
    </cfRule>
  </conditionalFormatting>
  <conditionalFormatting sqref="B134:C134">
    <cfRule type="cellIs" dxfId="32076" priority="19669" stopIfTrue="1" operator="equal">
      <formula>"Towel"</formula>
    </cfRule>
  </conditionalFormatting>
  <conditionalFormatting sqref="B134:C134">
    <cfRule type="cellIs" dxfId="32075" priority="19723" stopIfTrue="1" operator="equal">
      <formula>"Towel"</formula>
    </cfRule>
    <cfRule type="cellIs" dxfId="32074" priority="19724" stopIfTrue="1" operator="equal">
      <formula>"Napkin Hs"</formula>
    </cfRule>
  </conditionalFormatting>
  <conditionalFormatting sqref="C134">
    <cfRule type="cellIs" dxfId="32073" priority="19668" stopIfTrue="1" operator="equal">
      <formula>"Napkin Hs"</formula>
    </cfRule>
  </conditionalFormatting>
  <conditionalFormatting sqref="C134">
    <cfRule type="cellIs" dxfId="32072" priority="19667" stopIfTrue="1" operator="equal">
      <formula>"Towel"</formula>
    </cfRule>
  </conditionalFormatting>
  <conditionalFormatting sqref="C134">
    <cfRule type="cellIs" dxfId="32071" priority="19665" stopIfTrue="1" operator="equal">
      <formula>"Towel"</formula>
    </cfRule>
    <cfRule type="cellIs" dxfId="32070" priority="19666" stopIfTrue="1" operator="equal">
      <formula>"Napkin Hs"</formula>
    </cfRule>
  </conditionalFormatting>
  <conditionalFormatting sqref="B134:C134">
    <cfRule type="cellIs" dxfId="32069" priority="19718" stopIfTrue="1" operator="equal">
      <formula>"Napkin Hs"</formula>
    </cfRule>
  </conditionalFormatting>
  <conditionalFormatting sqref="B134:C134">
    <cfRule type="cellIs" dxfId="32068" priority="19717" stopIfTrue="1" operator="equal">
      <formula>"Towel"</formula>
    </cfRule>
  </conditionalFormatting>
  <conditionalFormatting sqref="C134">
    <cfRule type="cellIs" dxfId="32067" priority="19716" stopIfTrue="1" operator="equal">
      <formula>"Napkin Hs"</formula>
    </cfRule>
  </conditionalFormatting>
  <conditionalFormatting sqref="C134">
    <cfRule type="cellIs" dxfId="32066" priority="19715" stopIfTrue="1" operator="equal">
      <formula>"Towel"</formula>
    </cfRule>
  </conditionalFormatting>
  <conditionalFormatting sqref="C134">
    <cfRule type="cellIs" dxfId="32065" priority="19713" stopIfTrue="1" operator="equal">
      <formula>"Towel"</formula>
    </cfRule>
    <cfRule type="cellIs" dxfId="32064" priority="19714" stopIfTrue="1" operator="equal">
      <formula>"Napkin Hs"</formula>
    </cfRule>
  </conditionalFormatting>
  <conditionalFormatting sqref="B134:C134">
    <cfRule type="cellIs" dxfId="32063" priority="19711" stopIfTrue="1" operator="equal">
      <formula>"Towel"</formula>
    </cfRule>
    <cfRule type="cellIs" dxfId="32062" priority="19712" stopIfTrue="1" operator="equal">
      <formula>"Napkin Hs"</formula>
    </cfRule>
  </conditionalFormatting>
  <conditionalFormatting sqref="C134">
    <cfRule type="cellIs" dxfId="32061" priority="19707" stopIfTrue="1" operator="equal">
      <formula>"Towel"</formula>
    </cfRule>
    <cfRule type="cellIs" dxfId="32060" priority="19708" stopIfTrue="1" operator="equal">
      <formula>"Napkin Hs"</formula>
    </cfRule>
  </conditionalFormatting>
  <conditionalFormatting sqref="C134">
    <cfRule type="cellIs" dxfId="32059" priority="19709" stopIfTrue="1" operator="equal">
      <formula>"Towel"</formula>
    </cfRule>
    <cfRule type="cellIs" dxfId="32058" priority="19710" stopIfTrue="1" operator="equal">
      <formula>"Napkin Hs"</formula>
    </cfRule>
  </conditionalFormatting>
  <conditionalFormatting sqref="B134:C134">
    <cfRule type="cellIs" dxfId="32057" priority="19706" stopIfTrue="1" operator="equal">
      <formula>"Napkin Hs"</formula>
    </cfRule>
  </conditionalFormatting>
  <conditionalFormatting sqref="B134:C134">
    <cfRule type="cellIs" dxfId="32056" priority="19705" stopIfTrue="1" operator="equal">
      <formula>"Towel"</formula>
    </cfRule>
  </conditionalFormatting>
  <conditionalFormatting sqref="C134">
    <cfRule type="cellIs" dxfId="32055" priority="19704" stopIfTrue="1" operator="equal">
      <formula>"Napkin Hs"</formula>
    </cfRule>
  </conditionalFormatting>
  <conditionalFormatting sqref="C134">
    <cfRule type="cellIs" dxfId="32054" priority="19703" stopIfTrue="1" operator="equal">
      <formula>"Towel"</formula>
    </cfRule>
  </conditionalFormatting>
  <conditionalFormatting sqref="C134">
    <cfRule type="cellIs" dxfId="32053" priority="19701" stopIfTrue="1" operator="equal">
      <formula>"Towel"</formula>
    </cfRule>
    <cfRule type="cellIs" dxfId="32052" priority="19702" stopIfTrue="1" operator="equal">
      <formula>"Napkin Hs"</formula>
    </cfRule>
  </conditionalFormatting>
  <conditionalFormatting sqref="B134:C134">
    <cfRule type="cellIs" dxfId="32051" priority="19699" stopIfTrue="1" operator="equal">
      <formula>"Towel"</formula>
    </cfRule>
    <cfRule type="cellIs" dxfId="32050" priority="19700" stopIfTrue="1" operator="equal">
      <formula>"Napkin Hs"</formula>
    </cfRule>
  </conditionalFormatting>
  <conditionalFormatting sqref="C134">
    <cfRule type="cellIs" dxfId="32049" priority="19697" stopIfTrue="1" operator="equal">
      <formula>"Towel"</formula>
    </cfRule>
    <cfRule type="cellIs" dxfId="32048" priority="19698" stopIfTrue="1" operator="equal">
      <formula>"Napkin Hs"</formula>
    </cfRule>
  </conditionalFormatting>
  <conditionalFormatting sqref="C134">
    <cfRule type="cellIs" dxfId="32047" priority="19695" stopIfTrue="1" operator="equal">
      <formula>"Towel"</formula>
    </cfRule>
    <cfRule type="cellIs" dxfId="32046" priority="19696" stopIfTrue="1" operator="equal">
      <formula>"Napkin Hs"</formula>
    </cfRule>
  </conditionalFormatting>
  <conditionalFormatting sqref="B134:C134">
    <cfRule type="cellIs" dxfId="32045" priority="19693" stopIfTrue="1" operator="equal">
      <formula>"Towel"</formula>
    </cfRule>
    <cfRule type="cellIs" dxfId="32044" priority="19694" stopIfTrue="1" operator="equal">
      <formula>"Napkin Hs"</formula>
    </cfRule>
  </conditionalFormatting>
  <conditionalFormatting sqref="C134">
    <cfRule type="cellIs" dxfId="32043" priority="19691" stopIfTrue="1" operator="equal">
      <formula>"Towel"</formula>
    </cfRule>
    <cfRule type="cellIs" dxfId="32042" priority="19692" stopIfTrue="1" operator="equal">
      <formula>"Napkin Hs"</formula>
    </cfRule>
  </conditionalFormatting>
  <conditionalFormatting sqref="C134">
    <cfRule type="cellIs" dxfId="32041" priority="19689" stopIfTrue="1" operator="equal">
      <formula>"Towel"</formula>
    </cfRule>
    <cfRule type="cellIs" dxfId="32040" priority="19690" stopIfTrue="1" operator="equal">
      <formula>"Napkin Hs"</formula>
    </cfRule>
  </conditionalFormatting>
  <conditionalFormatting sqref="B134:C134">
    <cfRule type="cellIs" dxfId="32039" priority="19687" stopIfTrue="1" operator="equal">
      <formula>"Towel"</formula>
    </cfRule>
    <cfRule type="cellIs" dxfId="32038" priority="19688" stopIfTrue="1" operator="equal">
      <formula>"Napkin Hs"</formula>
    </cfRule>
  </conditionalFormatting>
  <conditionalFormatting sqref="C134">
    <cfRule type="cellIs" dxfId="32037" priority="19685" stopIfTrue="1" operator="equal">
      <formula>"Towel"</formula>
    </cfRule>
    <cfRule type="cellIs" dxfId="32036" priority="19686" stopIfTrue="1" operator="equal">
      <formula>"Napkin Hs"</formula>
    </cfRule>
  </conditionalFormatting>
  <conditionalFormatting sqref="C134">
    <cfRule type="cellIs" dxfId="32035" priority="19683" stopIfTrue="1" operator="equal">
      <formula>"Towel"</formula>
    </cfRule>
    <cfRule type="cellIs" dxfId="32034" priority="19684" stopIfTrue="1" operator="equal">
      <formula>"Napkin Hs"</formula>
    </cfRule>
  </conditionalFormatting>
  <conditionalFormatting sqref="B134:C134">
    <cfRule type="cellIs" dxfId="32033" priority="19681" stopIfTrue="1" operator="equal">
      <formula>"Towel"</formula>
    </cfRule>
    <cfRule type="cellIs" dxfId="32032" priority="19682" stopIfTrue="1" operator="equal">
      <formula>"Napkin Hs"</formula>
    </cfRule>
  </conditionalFormatting>
  <conditionalFormatting sqref="C134">
    <cfRule type="cellIs" dxfId="32031" priority="19679" stopIfTrue="1" operator="equal">
      <formula>"Towel"</formula>
    </cfRule>
    <cfRule type="cellIs" dxfId="32030" priority="19680" stopIfTrue="1" operator="equal">
      <formula>"Napkin Hs"</formula>
    </cfRule>
  </conditionalFormatting>
  <conditionalFormatting sqref="C134">
    <cfRule type="cellIs" dxfId="32029" priority="19677" stopIfTrue="1" operator="equal">
      <formula>"Towel"</formula>
    </cfRule>
    <cfRule type="cellIs" dxfId="32028" priority="19678" stopIfTrue="1" operator="equal">
      <formula>"Napkin Hs"</formula>
    </cfRule>
  </conditionalFormatting>
  <conditionalFormatting sqref="B134:C134">
    <cfRule type="cellIs" dxfId="32027" priority="19675" stopIfTrue="1" operator="equal">
      <formula>"Towel"</formula>
    </cfRule>
    <cfRule type="cellIs" dxfId="32026" priority="19676" stopIfTrue="1" operator="equal">
      <formula>"Napkin Hs"</formula>
    </cfRule>
  </conditionalFormatting>
  <conditionalFormatting sqref="C134">
    <cfRule type="cellIs" dxfId="32025" priority="19673" stopIfTrue="1" operator="equal">
      <formula>"Towel"</formula>
    </cfRule>
    <cfRule type="cellIs" dxfId="32024" priority="19674" stopIfTrue="1" operator="equal">
      <formula>"Napkin Hs"</formula>
    </cfRule>
  </conditionalFormatting>
  <conditionalFormatting sqref="C134">
    <cfRule type="cellIs" dxfId="32023" priority="19671" stopIfTrue="1" operator="equal">
      <formula>"Towel"</formula>
    </cfRule>
    <cfRule type="cellIs" dxfId="32022" priority="19672" stopIfTrue="1" operator="equal">
      <formula>"Napkin Hs"</formula>
    </cfRule>
  </conditionalFormatting>
  <conditionalFormatting sqref="C138">
    <cfRule type="cellIs" dxfId="32021" priority="19649" stopIfTrue="1" operator="equal">
      <formula>"Towel"</formula>
    </cfRule>
    <cfRule type="cellIs" dxfId="32020" priority="19650" stopIfTrue="1" operator="equal">
      <formula>"Napkin Hs"</formula>
    </cfRule>
  </conditionalFormatting>
  <conditionalFormatting sqref="C138">
    <cfRule type="cellIs" dxfId="32019" priority="19647" stopIfTrue="1" operator="equal">
      <formula>"Towel"</formula>
    </cfRule>
    <cfRule type="cellIs" dxfId="32018" priority="19648" stopIfTrue="1" operator="equal">
      <formula>"Napkin Hs"</formula>
    </cfRule>
  </conditionalFormatting>
  <conditionalFormatting sqref="B138:C138">
    <cfRule type="cellIs" dxfId="32017" priority="19598" stopIfTrue="1" operator="equal">
      <formula>"Napkin Hs"</formula>
    </cfRule>
  </conditionalFormatting>
  <conditionalFormatting sqref="B138:C138">
    <cfRule type="cellIs" dxfId="32016" priority="19597" stopIfTrue="1" operator="equal">
      <formula>"Towel"</formula>
    </cfRule>
  </conditionalFormatting>
  <conditionalFormatting sqref="B138:C138">
    <cfRule type="cellIs" dxfId="32015" priority="19651" stopIfTrue="1" operator="equal">
      <formula>"Towel"</formula>
    </cfRule>
    <cfRule type="cellIs" dxfId="32014" priority="19652" stopIfTrue="1" operator="equal">
      <formula>"Napkin Hs"</formula>
    </cfRule>
  </conditionalFormatting>
  <conditionalFormatting sqref="C138">
    <cfRule type="cellIs" dxfId="32013" priority="19596" stopIfTrue="1" operator="equal">
      <formula>"Napkin Hs"</formula>
    </cfRule>
  </conditionalFormatting>
  <conditionalFormatting sqref="C138">
    <cfRule type="cellIs" dxfId="32012" priority="19595" stopIfTrue="1" operator="equal">
      <formula>"Towel"</formula>
    </cfRule>
  </conditionalFormatting>
  <conditionalFormatting sqref="C138">
    <cfRule type="cellIs" dxfId="32011" priority="19593" stopIfTrue="1" operator="equal">
      <formula>"Towel"</formula>
    </cfRule>
    <cfRule type="cellIs" dxfId="32010" priority="19594" stopIfTrue="1" operator="equal">
      <formula>"Napkin Hs"</formula>
    </cfRule>
  </conditionalFormatting>
  <conditionalFormatting sqref="B138:C138">
    <cfRule type="cellIs" dxfId="32009" priority="19646" stopIfTrue="1" operator="equal">
      <formula>"Napkin Hs"</formula>
    </cfRule>
  </conditionalFormatting>
  <conditionalFormatting sqref="B138:C138">
    <cfRule type="cellIs" dxfId="32008" priority="19645" stopIfTrue="1" operator="equal">
      <formula>"Towel"</formula>
    </cfRule>
  </conditionalFormatting>
  <conditionalFormatting sqref="C138">
    <cfRule type="cellIs" dxfId="32007" priority="19644" stopIfTrue="1" operator="equal">
      <formula>"Napkin Hs"</formula>
    </cfRule>
  </conditionalFormatting>
  <conditionalFormatting sqref="C138">
    <cfRule type="cellIs" dxfId="32006" priority="19643" stopIfTrue="1" operator="equal">
      <formula>"Towel"</formula>
    </cfRule>
  </conditionalFormatting>
  <conditionalFormatting sqref="C138">
    <cfRule type="cellIs" dxfId="32005" priority="19641" stopIfTrue="1" operator="equal">
      <formula>"Towel"</formula>
    </cfRule>
    <cfRule type="cellIs" dxfId="32004" priority="19642" stopIfTrue="1" operator="equal">
      <formula>"Napkin Hs"</formula>
    </cfRule>
  </conditionalFormatting>
  <conditionalFormatting sqref="B138:C138">
    <cfRule type="cellIs" dxfId="32003" priority="19639" stopIfTrue="1" operator="equal">
      <formula>"Towel"</formula>
    </cfRule>
    <cfRule type="cellIs" dxfId="32002" priority="19640" stopIfTrue="1" operator="equal">
      <formula>"Napkin Hs"</formula>
    </cfRule>
  </conditionalFormatting>
  <conditionalFormatting sqref="C138">
    <cfRule type="cellIs" dxfId="32001" priority="19635" stopIfTrue="1" operator="equal">
      <formula>"Towel"</formula>
    </cfRule>
    <cfRule type="cellIs" dxfId="32000" priority="19636" stopIfTrue="1" operator="equal">
      <formula>"Napkin Hs"</formula>
    </cfRule>
  </conditionalFormatting>
  <conditionalFormatting sqref="C138">
    <cfRule type="cellIs" dxfId="31999" priority="19637" stopIfTrue="1" operator="equal">
      <formula>"Towel"</formula>
    </cfRule>
    <cfRule type="cellIs" dxfId="31998" priority="19638" stopIfTrue="1" operator="equal">
      <formula>"Napkin Hs"</formula>
    </cfRule>
  </conditionalFormatting>
  <conditionalFormatting sqref="B138:C138">
    <cfRule type="cellIs" dxfId="31997" priority="19634" stopIfTrue="1" operator="equal">
      <formula>"Napkin Hs"</formula>
    </cfRule>
  </conditionalFormatting>
  <conditionalFormatting sqref="B138:C138">
    <cfRule type="cellIs" dxfId="31996" priority="19633" stopIfTrue="1" operator="equal">
      <formula>"Towel"</formula>
    </cfRule>
  </conditionalFormatting>
  <conditionalFormatting sqref="C138">
    <cfRule type="cellIs" dxfId="31995" priority="19632" stopIfTrue="1" operator="equal">
      <formula>"Napkin Hs"</formula>
    </cfRule>
  </conditionalFormatting>
  <conditionalFormatting sqref="C138">
    <cfRule type="cellIs" dxfId="31994" priority="19631" stopIfTrue="1" operator="equal">
      <formula>"Towel"</formula>
    </cfRule>
  </conditionalFormatting>
  <conditionalFormatting sqref="C138">
    <cfRule type="cellIs" dxfId="31993" priority="19629" stopIfTrue="1" operator="equal">
      <formula>"Towel"</formula>
    </cfRule>
    <cfRule type="cellIs" dxfId="31992" priority="19630" stopIfTrue="1" operator="equal">
      <formula>"Napkin Hs"</formula>
    </cfRule>
  </conditionalFormatting>
  <conditionalFormatting sqref="B138:C138">
    <cfRule type="cellIs" dxfId="31991" priority="19627" stopIfTrue="1" operator="equal">
      <formula>"Towel"</formula>
    </cfRule>
    <cfRule type="cellIs" dxfId="31990" priority="19628" stopIfTrue="1" operator="equal">
      <formula>"Napkin Hs"</formula>
    </cfRule>
  </conditionalFormatting>
  <conditionalFormatting sqref="C138">
    <cfRule type="cellIs" dxfId="31989" priority="19625" stopIfTrue="1" operator="equal">
      <formula>"Towel"</formula>
    </cfRule>
    <cfRule type="cellIs" dxfId="31988" priority="19626" stopIfTrue="1" operator="equal">
      <formula>"Napkin Hs"</formula>
    </cfRule>
  </conditionalFormatting>
  <conditionalFormatting sqref="C138">
    <cfRule type="cellIs" dxfId="31987" priority="19623" stopIfTrue="1" operator="equal">
      <formula>"Towel"</formula>
    </cfRule>
    <cfRule type="cellIs" dxfId="31986" priority="19624" stopIfTrue="1" operator="equal">
      <formula>"Napkin Hs"</formula>
    </cfRule>
  </conditionalFormatting>
  <conditionalFormatting sqref="B138:C138">
    <cfRule type="cellIs" dxfId="31985" priority="19621" stopIfTrue="1" operator="equal">
      <formula>"Towel"</formula>
    </cfRule>
    <cfRule type="cellIs" dxfId="31984" priority="19622" stopIfTrue="1" operator="equal">
      <formula>"Napkin Hs"</formula>
    </cfRule>
  </conditionalFormatting>
  <conditionalFormatting sqref="C138">
    <cfRule type="cellIs" dxfId="31983" priority="19619" stopIfTrue="1" operator="equal">
      <formula>"Towel"</formula>
    </cfRule>
    <cfRule type="cellIs" dxfId="31982" priority="19620" stopIfTrue="1" operator="equal">
      <formula>"Napkin Hs"</formula>
    </cfRule>
  </conditionalFormatting>
  <conditionalFormatting sqref="C138">
    <cfRule type="cellIs" dxfId="31981" priority="19617" stopIfTrue="1" operator="equal">
      <formula>"Towel"</formula>
    </cfRule>
    <cfRule type="cellIs" dxfId="31980" priority="19618" stopIfTrue="1" operator="equal">
      <formula>"Napkin Hs"</formula>
    </cfRule>
  </conditionalFormatting>
  <conditionalFormatting sqref="B138:C138">
    <cfRule type="cellIs" dxfId="31979" priority="19615" stopIfTrue="1" operator="equal">
      <formula>"Towel"</formula>
    </cfRule>
    <cfRule type="cellIs" dxfId="31978" priority="19616" stopIfTrue="1" operator="equal">
      <formula>"Napkin Hs"</formula>
    </cfRule>
  </conditionalFormatting>
  <conditionalFormatting sqref="C138">
    <cfRule type="cellIs" dxfId="31977" priority="19613" stopIfTrue="1" operator="equal">
      <formula>"Towel"</formula>
    </cfRule>
    <cfRule type="cellIs" dxfId="31976" priority="19614" stopIfTrue="1" operator="equal">
      <formula>"Napkin Hs"</formula>
    </cfRule>
  </conditionalFormatting>
  <conditionalFormatting sqref="C138">
    <cfRule type="cellIs" dxfId="31975" priority="19611" stopIfTrue="1" operator="equal">
      <formula>"Towel"</formula>
    </cfRule>
    <cfRule type="cellIs" dxfId="31974" priority="19612" stopIfTrue="1" operator="equal">
      <formula>"Napkin Hs"</formula>
    </cfRule>
  </conditionalFormatting>
  <conditionalFormatting sqref="B138:C138">
    <cfRule type="cellIs" dxfId="31973" priority="19609" stopIfTrue="1" operator="equal">
      <formula>"Towel"</formula>
    </cfRule>
    <cfRule type="cellIs" dxfId="31972" priority="19610" stopIfTrue="1" operator="equal">
      <formula>"Napkin Hs"</formula>
    </cfRule>
  </conditionalFormatting>
  <conditionalFormatting sqref="C138">
    <cfRule type="cellIs" dxfId="31971" priority="19607" stopIfTrue="1" operator="equal">
      <formula>"Towel"</formula>
    </cfRule>
    <cfRule type="cellIs" dxfId="31970" priority="19608" stopIfTrue="1" operator="equal">
      <formula>"Napkin Hs"</formula>
    </cfRule>
  </conditionalFormatting>
  <conditionalFormatting sqref="C138">
    <cfRule type="cellIs" dxfId="31969" priority="19605" stopIfTrue="1" operator="equal">
      <formula>"Towel"</formula>
    </cfRule>
    <cfRule type="cellIs" dxfId="31968" priority="19606" stopIfTrue="1" operator="equal">
      <formula>"Napkin Hs"</formula>
    </cfRule>
  </conditionalFormatting>
  <conditionalFormatting sqref="B138:C138">
    <cfRule type="cellIs" dxfId="31967" priority="19603" stopIfTrue="1" operator="equal">
      <formula>"Towel"</formula>
    </cfRule>
    <cfRule type="cellIs" dxfId="31966" priority="19604" stopIfTrue="1" operator="equal">
      <formula>"Napkin Hs"</formula>
    </cfRule>
  </conditionalFormatting>
  <conditionalFormatting sqref="C138">
    <cfRule type="cellIs" dxfId="31965" priority="19601" stopIfTrue="1" operator="equal">
      <formula>"Towel"</formula>
    </cfRule>
    <cfRule type="cellIs" dxfId="31964" priority="19602" stopIfTrue="1" operator="equal">
      <formula>"Napkin Hs"</formula>
    </cfRule>
  </conditionalFormatting>
  <conditionalFormatting sqref="C138">
    <cfRule type="cellIs" dxfId="31963" priority="19599" stopIfTrue="1" operator="equal">
      <formula>"Towel"</formula>
    </cfRule>
    <cfRule type="cellIs" dxfId="31962" priority="19600" stopIfTrue="1" operator="equal">
      <formula>"Napkin Hs"</formula>
    </cfRule>
  </conditionalFormatting>
  <conditionalFormatting sqref="B137:C137">
    <cfRule type="cellIs" dxfId="31961" priority="19586" stopIfTrue="1" operator="equal">
      <formula>"Napkin Hs"</formula>
    </cfRule>
  </conditionalFormatting>
  <conditionalFormatting sqref="B137:C137">
    <cfRule type="cellIs" dxfId="31960" priority="19585" stopIfTrue="1" operator="equal">
      <formula>"Towel"</formula>
    </cfRule>
  </conditionalFormatting>
  <conditionalFormatting sqref="C137">
    <cfRule type="cellIs" dxfId="31959" priority="19584" stopIfTrue="1" operator="equal">
      <formula>"Napkin Hs"</formula>
    </cfRule>
  </conditionalFormatting>
  <conditionalFormatting sqref="C137">
    <cfRule type="cellIs" dxfId="31958" priority="19581" stopIfTrue="1" operator="equal">
      <formula>"Towel"</formula>
    </cfRule>
    <cfRule type="cellIs" dxfId="31957" priority="19582" stopIfTrue="1" operator="equal">
      <formula>"Napkin Hs"</formula>
    </cfRule>
  </conditionalFormatting>
  <conditionalFormatting sqref="C137">
    <cfRule type="cellIs" dxfId="31956" priority="19583" stopIfTrue="1" operator="equal">
      <formula>"Towel"</formula>
    </cfRule>
  </conditionalFormatting>
  <conditionalFormatting sqref="B136:C136">
    <cfRule type="cellIs" dxfId="31955" priority="19580" stopIfTrue="1" operator="equal">
      <formula>"Napkin Hs"</formula>
    </cfRule>
  </conditionalFormatting>
  <conditionalFormatting sqref="B136:C136">
    <cfRule type="cellIs" dxfId="31954" priority="19579" stopIfTrue="1" operator="equal">
      <formula>"Towel"</formula>
    </cfRule>
  </conditionalFormatting>
  <conditionalFormatting sqref="C136">
    <cfRule type="cellIs" dxfId="31953" priority="19578" stopIfTrue="1" operator="equal">
      <formula>"Napkin Hs"</formula>
    </cfRule>
  </conditionalFormatting>
  <conditionalFormatting sqref="C136">
    <cfRule type="cellIs" dxfId="31952" priority="19575" stopIfTrue="1" operator="equal">
      <formula>"Towel"</formula>
    </cfRule>
    <cfRule type="cellIs" dxfId="31951" priority="19576" stopIfTrue="1" operator="equal">
      <formula>"Napkin Hs"</formula>
    </cfRule>
  </conditionalFormatting>
  <conditionalFormatting sqref="C136">
    <cfRule type="cellIs" dxfId="31950" priority="19577" stopIfTrue="1" operator="equal">
      <formula>"Towel"</formula>
    </cfRule>
  </conditionalFormatting>
  <conditionalFormatting sqref="B12:C12">
    <cfRule type="cellIs" dxfId="31949" priority="19562" stopIfTrue="1" operator="equal">
      <formula>"Napkin Hs"</formula>
    </cfRule>
  </conditionalFormatting>
  <conditionalFormatting sqref="B12:C12">
    <cfRule type="cellIs" dxfId="31948" priority="19561" stopIfTrue="1" operator="equal">
      <formula>"Towel"</formula>
    </cfRule>
  </conditionalFormatting>
  <conditionalFormatting sqref="C12">
    <cfRule type="cellIs" dxfId="31947" priority="19560" stopIfTrue="1" operator="equal">
      <formula>"Napkin Hs"</formula>
    </cfRule>
  </conditionalFormatting>
  <conditionalFormatting sqref="C12">
    <cfRule type="cellIs" dxfId="31946" priority="19557" stopIfTrue="1" operator="equal">
      <formula>"Towel"</formula>
    </cfRule>
    <cfRule type="cellIs" dxfId="31945" priority="19558" stopIfTrue="1" operator="equal">
      <formula>"Napkin Hs"</formula>
    </cfRule>
  </conditionalFormatting>
  <conditionalFormatting sqref="C12">
    <cfRule type="cellIs" dxfId="31944" priority="19559" stopIfTrue="1" operator="equal">
      <formula>"Towel"</formula>
    </cfRule>
  </conditionalFormatting>
  <conditionalFormatting sqref="C7">
    <cfRule type="cellIs" dxfId="31943" priority="18999" stopIfTrue="1" operator="equal">
      <formula>"Towel"</formula>
    </cfRule>
    <cfRule type="cellIs" dxfId="31942" priority="19000" stopIfTrue="1" operator="equal">
      <formula>"Napkin Hs"</formula>
    </cfRule>
  </conditionalFormatting>
  <conditionalFormatting sqref="C7">
    <cfRule type="cellIs" dxfId="31941" priority="18993" stopIfTrue="1" operator="equal">
      <formula>"Towel"</formula>
    </cfRule>
    <cfRule type="cellIs" dxfId="31940" priority="18994" stopIfTrue="1" operator="equal">
      <formula>"Napkin Hs"</formula>
    </cfRule>
  </conditionalFormatting>
  <conditionalFormatting sqref="B17:C17">
    <cfRule type="cellIs" dxfId="31939" priority="19526" stopIfTrue="1" operator="equal">
      <formula>"Napkin Hs"</formula>
    </cfRule>
  </conditionalFormatting>
  <conditionalFormatting sqref="B17:C17">
    <cfRule type="cellIs" dxfId="31938" priority="19525" stopIfTrue="1" operator="equal">
      <formula>"Towel"</formula>
    </cfRule>
  </conditionalFormatting>
  <conditionalFormatting sqref="C17">
    <cfRule type="cellIs" dxfId="31937" priority="19524" stopIfTrue="1" operator="equal">
      <formula>"Napkin Hs"</formula>
    </cfRule>
  </conditionalFormatting>
  <conditionalFormatting sqref="C17">
    <cfRule type="cellIs" dxfId="31936" priority="19521" stopIfTrue="1" operator="equal">
      <formula>"Towel"</formula>
    </cfRule>
    <cfRule type="cellIs" dxfId="31935" priority="19522" stopIfTrue="1" operator="equal">
      <formula>"Napkin Hs"</formula>
    </cfRule>
  </conditionalFormatting>
  <conditionalFormatting sqref="C17">
    <cfRule type="cellIs" dxfId="31934" priority="19523" stopIfTrue="1" operator="equal">
      <formula>"Towel"</formula>
    </cfRule>
  </conditionalFormatting>
  <conditionalFormatting sqref="B23:C23">
    <cfRule type="cellIs" dxfId="31933" priority="19520" stopIfTrue="1" operator="equal">
      <formula>"Napkin Hs"</formula>
    </cfRule>
  </conditionalFormatting>
  <conditionalFormatting sqref="B23:C23">
    <cfRule type="cellIs" dxfId="31932" priority="19519" stopIfTrue="1" operator="equal">
      <formula>"Towel"</formula>
    </cfRule>
  </conditionalFormatting>
  <conditionalFormatting sqref="C23">
    <cfRule type="cellIs" dxfId="31931" priority="19518" stopIfTrue="1" operator="equal">
      <formula>"Napkin Hs"</formula>
    </cfRule>
  </conditionalFormatting>
  <conditionalFormatting sqref="C23">
    <cfRule type="cellIs" dxfId="31930" priority="19515" stopIfTrue="1" operator="equal">
      <formula>"Towel"</formula>
    </cfRule>
    <cfRule type="cellIs" dxfId="31929" priority="19516" stopIfTrue="1" operator="equal">
      <formula>"Napkin Hs"</formula>
    </cfRule>
  </conditionalFormatting>
  <conditionalFormatting sqref="C23">
    <cfRule type="cellIs" dxfId="31928" priority="19517" stopIfTrue="1" operator="equal">
      <formula>"Towel"</formula>
    </cfRule>
  </conditionalFormatting>
  <conditionalFormatting sqref="C7">
    <cfRule type="cellIs" dxfId="31927" priority="18974" stopIfTrue="1" operator="equal">
      <formula>"Napkin Hs"</formula>
    </cfRule>
  </conditionalFormatting>
  <conditionalFormatting sqref="C7">
    <cfRule type="cellIs" dxfId="31926" priority="18973" stopIfTrue="1" operator="equal">
      <formula>"Towel"</formula>
    </cfRule>
  </conditionalFormatting>
  <conditionalFormatting sqref="C7">
    <cfRule type="cellIs" dxfId="31925" priority="18972" stopIfTrue="1" operator="equal">
      <formula>"Napkin Hs"</formula>
    </cfRule>
  </conditionalFormatting>
  <conditionalFormatting sqref="C7">
    <cfRule type="cellIs" dxfId="31924" priority="18969" stopIfTrue="1" operator="equal">
      <formula>"Towel"</formula>
    </cfRule>
    <cfRule type="cellIs" dxfId="31923" priority="18970" stopIfTrue="1" operator="equal">
      <formula>"Napkin Hs"</formula>
    </cfRule>
  </conditionalFormatting>
  <conditionalFormatting sqref="C7">
    <cfRule type="cellIs" dxfId="31922" priority="18971" stopIfTrue="1" operator="equal">
      <formula>"Towel"</formula>
    </cfRule>
  </conditionalFormatting>
  <conditionalFormatting sqref="C7">
    <cfRule type="cellIs" dxfId="31921" priority="18968" stopIfTrue="1" operator="equal">
      <formula>"Napkin Hs"</formula>
    </cfRule>
  </conditionalFormatting>
  <conditionalFormatting sqref="C7">
    <cfRule type="cellIs" dxfId="31920" priority="18967" stopIfTrue="1" operator="equal">
      <formula>"Towel"</formula>
    </cfRule>
  </conditionalFormatting>
  <conditionalFormatting sqref="C7">
    <cfRule type="cellIs" dxfId="31919" priority="18966" stopIfTrue="1" operator="equal">
      <formula>"Napkin Hs"</formula>
    </cfRule>
  </conditionalFormatting>
  <conditionalFormatting sqref="C7">
    <cfRule type="cellIs" dxfId="31918" priority="18963" stopIfTrue="1" operator="equal">
      <formula>"Towel"</formula>
    </cfRule>
    <cfRule type="cellIs" dxfId="31917" priority="18964" stopIfTrue="1" operator="equal">
      <formula>"Napkin Hs"</formula>
    </cfRule>
  </conditionalFormatting>
  <conditionalFormatting sqref="C7">
    <cfRule type="cellIs" dxfId="31916" priority="18965" stopIfTrue="1" operator="equal">
      <formula>"Towel"</formula>
    </cfRule>
  </conditionalFormatting>
  <conditionalFormatting sqref="B28:C28">
    <cfRule type="cellIs" dxfId="31915" priority="19472" stopIfTrue="1" operator="equal">
      <formula>"Napkin Hs"</formula>
    </cfRule>
  </conditionalFormatting>
  <conditionalFormatting sqref="B28:C28">
    <cfRule type="cellIs" dxfId="31914" priority="19471" stopIfTrue="1" operator="equal">
      <formula>"Towel"</formula>
    </cfRule>
  </conditionalFormatting>
  <conditionalFormatting sqref="C28">
    <cfRule type="cellIs" dxfId="31913" priority="19470" stopIfTrue="1" operator="equal">
      <formula>"Napkin Hs"</formula>
    </cfRule>
  </conditionalFormatting>
  <conditionalFormatting sqref="C28">
    <cfRule type="cellIs" dxfId="31912" priority="19467" stopIfTrue="1" operator="equal">
      <formula>"Towel"</formula>
    </cfRule>
    <cfRule type="cellIs" dxfId="31911" priority="19468" stopIfTrue="1" operator="equal">
      <formula>"Napkin Hs"</formula>
    </cfRule>
  </conditionalFormatting>
  <conditionalFormatting sqref="C28">
    <cfRule type="cellIs" dxfId="31910" priority="19469" stopIfTrue="1" operator="equal">
      <formula>"Towel"</formula>
    </cfRule>
  </conditionalFormatting>
  <conditionalFormatting sqref="B28:C28">
    <cfRule type="cellIs" dxfId="31909" priority="19466" stopIfTrue="1" operator="equal">
      <formula>"Napkin Hs"</formula>
    </cfRule>
  </conditionalFormatting>
  <conditionalFormatting sqref="B28:C28">
    <cfRule type="cellIs" dxfId="31908" priority="19465" stopIfTrue="1" operator="equal">
      <formula>"Towel"</formula>
    </cfRule>
  </conditionalFormatting>
  <conditionalFormatting sqref="C28">
    <cfRule type="cellIs" dxfId="31907" priority="19464" stopIfTrue="1" operator="equal">
      <formula>"Napkin Hs"</formula>
    </cfRule>
  </conditionalFormatting>
  <conditionalFormatting sqref="C28">
    <cfRule type="cellIs" dxfId="31906" priority="19461" stopIfTrue="1" operator="equal">
      <formula>"Towel"</formula>
    </cfRule>
    <cfRule type="cellIs" dxfId="31905" priority="19462" stopIfTrue="1" operator="equal">
      <formula>"Napkin Hs"</formula>
    </cfRule>
  </conditionalFormatting>
  <conditionalFormatting sqref="C28">
    <cfRule type="cellIs" dxfId="31904" priority="19463" stopIfTrue="1" operator="equal">
      <formula>"Towel"</formula>
    </cfRule>
  </conditionalFormatting>
  <conditionalFormatting sqref="B32:C32">
    <cfRule type="cellIs" dxfId="31903" priority="19454" stopIfTrue="1" operator="equal">
      <formula>"Napkin Hs"</formula>
    </cfRule>
  </conditionalFormatting>
  <conditionalFormatting sqref="B32:C32">
    <cfRule type="cellIs" dxfId="31902" priority="19453" stopIfTrue="1" operator="equal">
      <formula>"Towel"</formula>
    </cfRule>
  </conditionalFormatting>
  <conditionalFormatting sqref="C32">
    <cfRule type="cellIs" dxfId="31901" priority="19452" stopIfTrue="1" operator="equal">
      <formula>"Napkin Hs"</formula>
    </cfRule>
  </conditionalFormatting>
  <conditionalFormatting sqref="C32">
    <cfRule type="cellIs" dxfId="31900" priority="19449" stopIfTrue="1" operator="equal">
      <formula>"Towel"</formula>
    </cfRule>
    <cfRule type="cellIs" dxfId="31899" priority="19450" stopIfTrue="1" operator="equal">
      <formula>"Napkin Hs"</formula>
    </cfRule>
  </conditionalFormatting>
  <conditionalFormatting sqref="C32">
    <cfRule type="cellIs" dxfId="31898" priority="19451" stopIfTrue="1" operator="equal">
      <formula>"Towel"</formula>
    </cfRule>
  </conditionalFormatting>
  <conditionalFormatting sqref="B32:C32">
    <cfRule type="cellIs" dxfId="31897" priority="19448" stopIfTrue="1" operator="equal">
      <formula>"Napkin Hs"</formula>
    </cfRule>
  </conditionalFormatting>
  <conditionalFormatting sqref="B32:C32">
    <cfRule type="cellIs" dxfId="31896" priority="19447" stopIfTrue="1" operator="equal">
      <formula>"Towel"</formula>
    </cfRule>
  </conditionalFormatting>
  <conditionalFormatting sqref="C32">
    <cfRule type="cellIs" dxfId="31895" priority="19446" stopIfTrue="1" operator="equal">
      <formula>"Napkin Hs"</formula>
    </cfRule>
  </conditionalFormatting>
  <conditionalFormatting sqref="C32">
    <cfRule type="cellIs" dxfId="31894" priority="19443" stopIfTrue="1" operator="equal">
      <formula>"Towel"</formula>
    </cfRule>
    <cfRule type="cellIs" dxfId="31893" priority="19444" stopIfTrue="1" operator="equal">
      <formula>"Napkin Hs"</formula>
    </cfRule>
  </conditionalFormatting>
  <conditionalFormatting sqref="C32">
    <cfRule type="cellIs" dxfId="31892" priority="19445" stopIfTrue="1" operator="equal">
      <formula>"Towel"</formula>
    </cfRule>
  </conditionalFormatting>
  <conditionalFormatting sqref="B10:C11">
    <cfRule type="cellIs" dxfId="31891" priority="19412" stopIfTrue="1" operator="equal">
      <formula>"Napkin Hs"</formula>
    </cfRule>
  </conditionalFormatting>
  <conditionalFormatting sqref="B10:C11">
    <cfRule type="cellIs" dxfId="31890" priority="19411" stopIfTrue="1" operator="equal">
      <formula>"Towel"</formula>
    </cfRule>
  </conditionalFormatting>
  <conditionalFormatting sqref="C10:C11">
    <cfRule type="cellIs" dxfId="31889" priority="19410" stopIfTrue="1" operator="equal">
      <formula>"Napkin Hs"</formula>
    </cfRule>
  </conditionalFormatting>
  <conditionalFormatting sqref="C10:C11">
    <cfRule type="cellIs" dxfId="31888" priority="19409" stopIfTrue="1" operator="equal">
      <formula>"Towel"</formula>
    </cfRule>
  </conditionalFormatting>
  <conditionalFormatting sqref="C10:C11">
    <cfRule type="cellIs" dxfId="31887" priority="19407" stopIfTrue="1" operator="equal">
      <formula>"Towel"</formula>
    </cfRule>
    <cfRule type="cellIs" dxfId="31886" priority="19408" stopIfTrue="1" operator="equal">
      <formula>"Napkin Hs"</formula>
    </cfRule>
  </conditionalFormatting>
  <conditionalFormatting sqref="C9">
    <cfRule type="cellIs" dxfId="31885" priority="19403" stopIfTrue="1" operator="equal">
      <formula>"Towel"</formula>
    </cfRule>
    <cfRule type="cellIs" dxfId="31884" priority="19404" stopIfTrue="1" operator="equal">
      <formula>"Napkin Hs"</formula>
    </cfRule>
  </conditionalFormatting>
  <conditionalFormatting sqref="C9">
    <cfRule type="cellIs" dxfId="31883" priority="19401" stopIfTrue="1" operator="equal">
      <formula>"Towel"</formula>
    </cfRule>
    <cfRule type="cellIs" dxfId="31882" priority="19402" stopIfTrue="1" operator="equal">
      <formula>"Napkin Hs"</formula>
    </cfRule>
  </conditionalFormatting>
  <conditionalFormatting sqref="B9:C9">
    <cfRule type="cellIs" dxfId="31881" priority="19352" stopIfTrue="1" operator="equal">
      <formula>"Napkin Hs"</formula>
    </cfRule>
  </conditionalFormatting>
  <conditionalFormatting sqref="B9:C9">
    <cfRule type="cellIs" dxfId="31880" priority="19351" stopIfTrue="1" operator="equal">
      <formula>"Towel"</formula>
    </cfRule>
  </conditionalFormatting>
  <conditionalFormatting sqref="B9:C9">
    <cfRule type="cellIs" dxfId="31879" priority="19405" stopIfTrue="1" operator="equal">
      <formula>"Towel"</formula>
    </cfRule>
    <cfRule type="cellIs" dxfId="31878" priority="19406" stopIfTrue="1" operator="equal">
      <formula>"Napkin Hs"</formula>
    </cfRule>
  </conditionalFormatting>
  <conditionalFormatting sqref="C9">
    <cfRule type="cellIs" dxfId="31877" priority="19350" stopIfTrue="1" operator="equal">
      <formula>"Napkin Hs"</formula>
    </cfRule>
  </conditionalFormatting>
  <conditionalFormatting sqref="C9">
    <cfRule type="cellIs" dxfId="31876" priority="19349" stopIfTrue="1" operator="equal">
      <formula>"Towel"</formula>
    </cfRule>
  </conditionalFormatting>
  <conditionalFormatting sqref="C9">
    <cfRule type="cellIs" dxfId="31875" priority="19347" stopIfTrue="1" operator="equal">
      <formula>"Towel"</formula>
    </cfRule>
    <cfRule type="cellIs" dxfId="31874" priority="19348" stopIfTrue="1" operator="equal">
      <formula>"Napkin Hs"</formula>
    </cfRule>
  </conditionalFormatting>
  <conditionalFormatting sqref="B9:C9">
    <cfRule type="cellIs" dxfId="31873" priority="19400" stopIfTrue="1" operator="equal">
      <formula>"Napkin Hs"</formula>
    </cfRule>
  </conditionalFormatting>
  <conditionalFormatting sqref="B9:C9">
    <cfRule type="cellIs" dxfId="31872" priority="19399" stopIfTrue="1" operator="equal">
      <formula>"Towel"</formula>
    </cfRule>
  </conditionalFormatting>
  <conditionalFormatting sqref="C9">
    <cfRule type="cellIs" dxfId="31871" priority="19398" stopIfTrue="1" operator="equal">
      <formula>"Napkin Hs"</formula>
    </cfRule>
  </conditionalFormatting>
  <conditionalFormatting sqref="C9">
    <cfRule type="cellIs" dxfId="31870" priority="19397" stopIfTrue="1" operator="equal">
      <formula>"Towel"</formula>
    </cfRule>
  </conditionalFormatting>
  <conditionalFormatting sqref="C9">
    <cfRule type="cellIs" dxfId="31869" priority="19395" stopIfTrue="1" operator="equal">
      <formula>"Towel"</formula>
    </cfRule>
    <cfRule type="cellIs" dxfId="31868" priority="19396" stopIfTrue="1" operator="equal">
      <formula>"Napkin Hs"</formula>
    </cfRule>
  </conditionalFormatting>
  <conditionalFormatting sqref="B9:C9">
    <cfRule type="cellIs" dxfId="31867" priority="19393" stopIfTrue="1" operator="equal">
      <formula>"Towel"</formula>
    </cfRule>
    <cfRule type="cellIs" dxfId="31866" priority="19394" stopIfTrue="1" operator="equal">
      <formula>"Napkin Hs"</formula>
    </cfRule>
  </conditionalFormatting>
  <conditionalFormatting sqref="C9">
    <cfRule type="cellIs" dxfId="31865" priority="19389" stopIfTrue="1" operator="equal">
      <formula>"Towel"</formula>
    </cfRule>
    <cfRule type="cellIs" dxfId="31864" priority="19390" stopIfTrue="1" operator="equal">
      <formula>"Napkin Hs"</formula>
    </cfRule>
  </conditionalFormatting>
  <conditionalFormatting sqref="C9">
    <cfRule type="cellIs" dxfId="31863" priority="19391" stopIfTrue="1" operator="equal">
      <formula>"Towel"</formula>
    </cfRule>
    <cfRule type="cellIs" dxfId="31862" priority="19392" stopIfTrue="1" operator="equal">
      <formula>"Napkin Hs"</formula>
    </cfRule>
  </conditionalFormatting>
  <conditionalFormatting sqref="B9:C9">
    <cfRule type="cellIs" dxfId="31861" priority="19388" stopIfTrue="1" operator="equal">
      <formula>"Napkin Hs"</formula>
    </cfRule>
  </conditionalFormatting>
  <conditionalFormatting sqref="B9:C9">
    <cfRule type="cellIs" dxfId="31860" priority="19387" stopIfTrue="1" operator="equal">
      <formula>"Towel"</formula>
    </cfRule>
  </conditionalFormatting>
  <conditionalFormatting sqref="C9">
    <cfRule type="cellIs" dxfId="31859" priority="19386" stopIfTrue="1" operator="equal">
      <formula>"Napkin Hs"</formula>
    </cfRule>
  </conditionalFormatting>
  <conditionalFormatting sqref="C9">
    <cfRule type="cellIs" dxfId="31858" priority="19385" stopIfTrue="1" operator="equal">
      <formula>"Towel"</formula>
    </cfRule>
  </conditionalFormatting>
  <conditionalFormatting sqref="C9">
    <cfRule type="cellIs" dxfId="31857" priority="19383" stopIfTrue="1" operator="equal">
      <formula>"Towel"</formula>
    </cfRule>
    <cfRule type="cellIs" dxfId="31856" priority="19384" stopIfTrue="1" operator="equal">
      <formula>"Napkin Hs"</formula>
    </cfRule>
  </conditionalFormatting>
  <conditionalFormatting sqref="B9:C9">
    <cfRule type="cellIs" dxfId="31855" priority="19381" stopIfTrue="1" operator="equal">
      <formula>"Towel"</formula>
    </cfRule>
    <cfRule type="cellIs" dxfId="31854" priority="19382" stopIfTrue="1" operator="equal">
      <formula>"Napkin Hs"</formula>
    </cfRule>
  </conditionalFormatting>
  <conditionalFormatting sqref="C9">
    <cfRule type="cellIs" dxfId="31853" priority="19379" stopIfTrue="1" operator="equal">
      <formula>"Towel"</formula>
    </cfRule>
    <cfRule type="cellIs" dxfId="31852" priority="19380" stopIfTrue="1" operator="equal">
      <formula>"Napkin Hs"</formula>
    </cfRule>
  </conditionalFormatting>
  <conditionalFormatting sqref="C9">
    <cfRule type="cellIs" dxfId="31851" priority="19377" stopIfTrue="1" operator="equal">
      <formula>"Towel"</formula>
    </cfRule>
    <cfRule type="cellIs" dxfId="31850" priority="19378" stopIfTrue="1" operator="equal">
      <formula>"Napkin Hs"</formula>
    </cfRule>
  </conditionalFormatting>
  <conditionalFormatting sqref="B9:C9">
    <cfRule type="cellIs" dxfId="31849" priority="19375" stopIfTrue="1" operator="equal">
      <formula>"Towel"</formula>
    </cfRule>
    <cfRule type="cellIs" dxfId="31848" priority="19376" stopIfTrue="1" operator="equal">
      <formula>"Napkin Hs"</formula>
    </cfRule>
  </conditionalFormatting>
  <conditionalFormatting sqref="C9">
    <cfRule type="cellIs" dxfId="31847" priority="19373" stopIfTrue="1" operator="equal">
      <formula>"Towel"</formula>
    </cfRule>
    <cfRule type="cellIs" dxfId="31846" priority="19374" stopIfTrue="1" operator="equal">
      <formula>"Napkin Hs"</formula>
    </cfRule>
  </conditionalFormatting>
  <conditionalFormatting sqref="C9">
    <cfRule type="cellIs" dxfId="31845" priority="19371" stopIfTrue="1" operator="equal">
      <formula>"Towel"</formula>
    </cfRule>
    <cfRule type="cellIs" dxfId="31844" priority="19372" stopIfTrue="1" operator="equal">
      <formula>"Napkin Hs"</formula>
    </cfRule>
  </conditionalFormatting>
  <conditionalFormatting sqref="B9:C9">
    <cfRule type="cellIs" dxfId="31843" priority="19369" stopIfTrue="1" operator="equal">
      <formula>"Towel"</formula>
    </cfRule>
    <cfRule type="cellIs" dxfId="31842" priority="19370" stopIfTrue="1" operator="equal">
      <formula>"Napkin Hs"</formula>
    </cfRule>
  </conditionalFormatting>
  <conditionalFormatting sqref="C9">
    <cfRule type="cellIs" dxfId="31841" priority="19367" stopIfTrue="1" operator="equal">
      <formula>"Towel"</formula>
    </cfRule>
    <cfRule type="cellIs" dxfId="31840" priority="19368" stopIfTrue="1" operator="equal">
      <formula>"Napkin Hs"</formula>
    </cfRule>
  </conditionalFormatting>
  <conditionalFormatting sqref="C9">
    <cfRule type="cellIs" dxfId="31839" priority="19365" stopIfTrue="1" operator="equal">
      <formula>"Towel"</formula>
    </cfRule>
    <cfRule type="cellIs" dxfId="31838" priority="19366" stopIfTrue="1" operator="equal">
      <formula>"Napkin Hs"</formula>
    </cfRule>
  </conditionalFormatting>
  <conditionalFormatting sqref="B9:C9">
    <cfRule type="cellIs" dxfId="31837" priority="19363" stopIfTrue="1" operator="equal">
      <formula>"Towel"</formula>
    </cfRule>
    <cfRule type="cellIs" dxfId="31836" priority="19364" stopIfTrue="1" operator="equal">
      <formula>"Napkin Hs"</formula>
    </cfRule>
  </conditionalFormatting>
  <conditionalFormatting sqref="C9">
    <cfRule type="cellIs" dxfId="31835" priority="19361" stopIfTrue="1" operator="equal">
      <formula>"Towel"</formula>
    </cfRule>
    <cfRule type="cellIs" dxfId="31834" priority="19362" stopIfTrue="1" operator="equal">
      <formula>"Napkin Hs"</formula>
    </cfRule>
  </conditionalFormatting>
  <conditionalFormatting sqref="C9">
    <cfRule type="cellIs" dxfId="31833" priority="19359" stopIfTrue="1" operator="equal">
      <formula>"Towel"</formula>
    </cfRule>
    <cfRule type="cellIs" dxfId="31832" priority="19360" stopIfTrue="1" operator="equal">
      <formula>"Napkin Hs"</formula>
    </cfRule>
  </conditionalFormatting>
  <conditionalFormatting sqref="B9:C9">
    <cfRule type="cellIs" dxfId="31831" priority="19357" stopIfTrue="1" operator="equal">
      <formula>"Towel"</formula>
    </cfRule>
    <cfRule type="cellIs" dxfId="31830" priority="19358" stopIfTrue="1" operator="equal">
      <formula>"Napkin Hs"</formula>
    </cfRule>
  </conditionalFormatting>
  <conditionalFormatting sqref="C9">
    <cfRule type="cellIs" dxfId="31829" priority="19355" stopIfTrue="1" operator="equal">
      <formula>"Towel"</formula>
    </cfRule>
    <cfRule type="cellIs" dxfId="31828" priority="19356" stopIfTrue="1" operator="equal">
      <formula>"Napkin Hs"</formula>
    </cfRule>
  </conditionalFormatting>
  <conditionalFormatting sqref="C9">
    <cfRule type="cellIs" dxfId="31827" priority="19353" stopIfTrue="1" operator="equal">
      <formula>"Towel"</formula>
    </cfRule>
    <cfRule type="cellIs" dxfId="31826" priority="19354" stopIfTrue="1" operator="equal">
      <formula>"Napkin Hs"</formula>
    </cfRule>
  </conditionalFormatting>
  <conditionalFormatting sqref="C8">
    <cfRule type="cellIs" dxfId="31825" priority="19333" stopIfTrue="1" operator="equal">
      <formula>"Towel"</formula>
    </cfRule>
    <cfRule type="cellIs" dxfId="31824" priority="19334" stopIfTrue="1" operator="equal">
      <formula>"Napkin Hs"</formula>
    </cfRule>
  </conditionalFormatting>
  <conditionalFormatting sqref="C8">
    <cfRule type="cellIs" dxfId="31823" priority="19331" stopIfTrue="1" operator="equal">
      <formula>"Towel"</formula>
    </cfRule>
    <cfRule type="cellIs" dxfId="31822" priority="19332" stopIfTrue="1" operator="equal">
      <formula>"Napkin Hs"</formula>
    </cfRule>
  </conditionalFormatting>
  <conditionalFormatting sqref="C8">
    <cfRule type="cellIs" dxfId="31821" priority="19329" stopIfTrue="1" operator="equal">
      <formula>"Towel"</formula>
    </cfRule>
    <cfRule type="cellIs" dxfId="31820" priority="19330" stopIfTrue="1" operator="equal">
      <formula>"Napkin Hs"</formula>
    </cfRule>
  </conditionalFormatting>
  <conditionalFormatting sqref="C8">
    <cfRule type="cellIs" dxfId="31819" priority="19328" stopIfTrue="1" operator="equal">
      <formula>"Napkin Hs"</formula>
    </cfRule>
  </conditionalFormatting>
  <conditionalFormatting sqref="C8">
    <cfRule type="cellIs" dxfId="31818" priority="19327" stopIfTrue="1" operator="equal">
      <formula>"Towel"</formula>
    </cfRule>
  </conditionalFormatting>
  <conditionalFormatting sqref="C8">
    <cfRule type="cellIs" dxfId="31817" priority="19326" stopIfTrue="1" operator="equal">
      <formula>"Napkin Hs"</formula>
    </cfRule>
  </conditionalFormatting>
  <conditionalFormatting sqref="C8">
    <cfRule type="cellIs" dxfId="31816" priority="19325" stopIfTrue="1" operator="equal">
      <formula>"Towel"</formula>
    </cfRule>
  </conditionalFormatting>
  <conditionalFormatting sqref="C8">
    <cfRule type="cellIs" dxfId="31815" priority="19323" stopIfTrue="1" operator="equal">
      <formula>"Towel"</formula>
    </cfRule>
    <cfRule type="cellIs" dxfId="31814" priority="19324" stopIfTrue="1" operator="equal">
      <formula>"Napkin Hs"</formula>
    </cfRule>
  </conditionalFormatting>
  <conditionalFormatting sqref="C8">
    <cfRule type="cellIs" dxfId="31813" priority="19321" stopIfTrue="1" operator="equal">
      <formula>"Towel"</formula>
    </cfRule>
    <cfRule type="cellIs" dxfId="31812" priority="19322" stopIfTrue="1" operator="equal">
      <formula>"Napkin Hs"</formula>
    </cfRule>
  </conditionalFormatting>
  <conditionalFormatting sqref="C8">
    <cfRule type="cellIs" dxfId="31811" priority="19317" stopIfTrue="1" operator="equal">
      <formula>"Towel"</formula>
    </cfRule>
    <cfRule type="cellIs" dxfId="31810" priority="19318" stopIfTrue="1" operator="equal">
      <formula>"Napkin Hs"</formula>
    </cfRule>
  </conditionalFormatting>
  <conditionalFormatting sqref="C8">
    <cfRule type="cellIs" dxfId="31809" priority="19319" stopIfTrue="1" operator="equal">
      <formula>"Towel"</formula>
    </cfRule>
    <cfRule type="cellIs" dxfId="31808" priority="19320" stopIfTrue="1" operator="equal">
      <formula>"Napkin Hs"</formula>
    </cfRule>
  </conditionalFormatting>
  <conditionalFormatting sqref="C8">
    <cfRule type="cellIs" dxfId="31807" priority="19311" stopIfTrue="1" operator="equal">
      <formula>"Towel"</formula>
    </cfRule>
    <cfRule type="cellIs" dxfId="31806" priority="19312" stopIfTrue="1" operator="equal">
      <formula>"Napkin Hs"</formula>
    </cfRule>
  </conditionalFormatting>
  <conditionalFormatting sqref="C8">
    <cfRule type="cellIs" dxfId="31805" priority="19309" stopIfTrue="1" operator="equal">
      <formula>"Towel"</formula>
    </cfRule>
    <cfRule type="cellIs" dxfId="31804" priority="19310" stopIfTrue="1" operator="equal">
      <formula>"Napkin Hs"</formula>
    </cfRule>
  </conditionalFormatting>
  <conditionalFormatting sqref="C8">
    <cfRule type="cellIs" dxfId="31803" priority="19307" stopIfTrue="1" operator="equal">
      <formula>"Towel"</formula>
    </cfRule>
    <cfRule type="cellIs" dxfId="31802" priority="19308" stopIfTrue="1" operator="equal">
      <formula>"Napkin Hs"</formula>
    </cfRule>
  </conditionalFormatting>
  <conditionalFormatting sqref="C8">
    <cfRule type="cellIs" dxfId="31801" priority="19305" stopIfTrue="1" operator="equal">
      <formula>"Towel"</formula>
    </cfRule>
    <cfRule type="cellIs" dxfId="31800" priority="19306" stopIfTrue="1" operator="equal">
      <formula>"Napkin Hs"</formula>
    </cfRule>
  </conditionalFormatting>
  <conditionalFormatting sqref="C8">
    <cfRule type="cellIs" dxfId="31799" priority="19303" stopIfTrue="1" operator="equal">
      <formula>"Towel"</formula>
    </cfRule>
    <cfRule type="cellIs" dxfId="31798" priority="19304" stopIfTrue="1" operator="equal">
      <formula>"Napkin Hs"</formula>
    </cfRule>
  </conditionalFormatting>
  <conditionalFormatting sqref="C8">
    <cfRule type="cellIs" dxfId="31797" priority="19301" stopIfTrue="1" operator="equal">
      <formula>"Towel"</formula>
    </cfRule>
    <cfRule type="cellIs" dxfId="31796" priority="19302" stopIfTrue="1" operator="equal">
      <formula>"Napkin Hs"</formula>
    </cfRule>
  </conditionalFormatting>
  <conditionalFormatting sqref="C8">
    <cfRule type="cellIs" dxfId="31795" priority="19299" stopIfTrue="1" operator="equal">
      <formula>"Towel"</formula>
    </cfRule>
    <cfRule type="cellIs" dxfId="31794" priority="19300" stopIfTrue="1" operator="equal">
      <formula>"Napkin Hs"</formula>
    </cfRule>
  </conditionalFormatting>
  <conditionalFormatting sqref="C8">
    <cfRule type="cellIs" dxfId="31793" priority="19297" stopIfTrue="1" operator="equal">
      <formula>"Towel"</formula>
    </cfRule>
    <cfRule type="cellIs" dxfId="31792" priority="19298" stopIfTrue="1" operator="equal">
      <formula>"Napkin Hs"</formula>
    </cfRule>
  </conditionalFormatting>
  <conditionalFormatting sqref="C8">
    <cfRule type="cellIs" dxfId="31791" priority="19295" stopIfTrue="1" operator="equal">
      <formula>"Towel"</formula>
    </cfRule>
    <cfRule type="cellIs" dxfId="31790" priority="19296" stopIfTrue="1" operator="equal">
      <formula>"Napkin Hs"</formula>
    </cfRule>
  </conditionalFormatting>
  <conditionalFormatting sqref="C8">
    <cfRule type="cellIs" dxfId="31789" priority="19293" stopIfTrue="1" operator="equal">
      <formula>"Towel"</formula>
    </cfRule>
    <cfRule type="cellIs" dxfId="31788" priority="19294" stopIfTrue="1" operator="equal">
      <formula>"Napkin Hs"</formula>
    </cfRule>
  </conditionalFormatting>
  <conditionalFormatting sqref="C8">
    <cfRule type="cellIs" dxfId="31787" priority="19287" stopIfTrue="1" operator="equal">
      <formula>"Towel"</formula>
    </cfRule>
    <cfRule type="cellIs" dxfId="31786" priority="19288" stopIfTrue="1" operator="equal">
      <formula>"Napkin Hs"</formula>
    </cfRule>
  </conditionalFormatting>
  <conditionalFormatting sqref="C8">
    <cfRule type="cellIs" dxfId="31785" priority="19281" stopIfTrue="1" operator="equal">
      <formula>"Towel"</formula>
    </cfRule>
    <cfRule type="cellIs" dxfId="31784" priority="19282" stopIfTrue="1" operator="equal">
      <formula>"Napkin Hs"</formula>
    </cfRule>
  </conditionalFormatting>
  <conditionalFormatting sqref="C8">
    <cfRule type="cellIs" dxfId="31783" priority="19275" stopIfTrue="1" operator="equal">
      <formula>"Towel"</formula>
    </cfRule>
    <cfRule type="cellIs" dxfId="31782" priority="19276" stopIfTrue="1" operator="equal">
      <formula>"Napkin Hs"</formula>
    </cfRule>
  </conditionalFormatting>
  <conditionalFormatting sqref="C8">
    <cfRule type="cellIs" dxfId="31781" priority="19274" stopIfTrue="1" operator="equal">
      <formula>"Napkin Hs"</formula>
    </cfRule>
  </conditionalFormatting>
  <conditionalFormatting sqref="C8">
    <cfRule type="cellIs" dxfId="31780" priority="19273" stopIfTrue="1" operator="equal">
      <formula>"Towel"</formula>
    </cfRule>
  </conditionalFormatting>
  <conditionalFormatting sqref="C8">
    <cfRule type="cellIs" dxfId="31779" priority="19272" stopIfTrue="1" operator="equal">
      <formula>"Napkin Hs"</formula>
    </cfRule>
  </conditionalFormatting>
  <conditionalFormatting sqref="C8">
    <cfRule type="cellIs" dxfId="31778" priority="19271" stopIfTrue="1" operator="equal">
      <formula>"Towel"</formula>
    </cfRule>
  </conditionalFormatting>
  <conditionalFormatting sqref="C8">
    <cfRule type="cellIs" dxfId="31777" priority="19269" stopIfTrue="1" operator="equal">
      <formula>"Towel"</formula>
    </cfRule>
    <cfRule type="cellIs" dxfId="31776" priority="19270" stopIfTrue="1" operator="equal">
      <formula>"Napkin Hs"</formula>
    </cfRule>
  </conditionalFormatting>
  <conditionalFormatting sqref="C8">
    <cfRule type="cellIs" dxfId="31775" priority="19267" stopIfTrue="1" operator="equal">
      <formula>"Towel"</formula>
    </cfRule>
    <cfRule type="cellIs" dxfId="31774" priority="19268" stopIfTrue="1" operator="equal">
      <formula>"Napkin Hs"</formula>
    </cfRule>
  </conditionalFormatting>
  <conditionalFormatting sqref="C8">
    <cfRule type="cellIs" dxfId="31773" priority="19263" stopIfTrue="1" operator="equal">
      <formula>"Towel"</formula>
    </cfRule>
    <cfRule type="cellIs" dxfId="31772" priority="19264" stopIfTrue="1" operator="equal">
      <formula>"Napkin Hs"</formula>
    </cfRule>
  </conditionalFormatting>
  <conditionalFormatting sqref="C8">
    <cfRule type="cellIs" dxfId="31771" priority="19265" stopIfTrue="1" operator="equal">
      <formula>"Towel"</formula>
    </cfRule>
    <cfRule type="cellIs" dxfId="31770" priority="19266" stopIfTrue="1" operator="equal">
      <formula>"Napkin Hs"</formula>
    </cfRule>
  </conditionalFormatting>
  <conditionalFormatting sqref="C8">
    <cfRule type="cellIs" dxfId="31769" priority="19257" stopIfTrue="1" operator="equal">
      <formula>"Towel"</formula>
    </cfRule>
    <cfRule type="cellIs" dxfId="31768" priority="19258" stopIfTrue="1" operator="equal">
      <formula>"Napkin Hs"</formula>
    </cfRule>
  </conditionalFormatting>
  <conditionalFormatting sqref="C8">
    <cfRule type="cellIs" dxfId="31767" priority="19255" stopIfTrue="1" operator="equal">
      <formula>"Towel"</formula>
    </cfRule>
    <cfRule type="cellIs" dxfId="31766" priority="19256" stopIfTrue="1" operator="equal">
      <formula>"Napkin Hs"</formula>
    </cfRule>
  </conditionalFormatting>
  <conditionalFormatting sqref="C8">
    <cfRule type="cellIs" dxfId="31765" priority="19253" stopIfTrue="1" operator="equal">
      <formula>"Towel"</formula>
    </cfRule>
    <cfRule type="cellIs" dxfId="31764" priority="19254" stopIfTrue="1" operator="equal">
      <formula>"Napkin Hs"</formula>
    </cfRule>
  </conditionalFormatting>
  <conditionalFormatting sqref="C8">
    <cfRule type="cellIs" dxfId="31763" priority="19251" stopIfTrue="1" operator="equal">
      <formula>"Towel"</formula>
    </cfRule>
    <cfRule type="cellIs" dxfId="31762" priority="19252" stopIfTrue="1" operator="equal">
      <formula>"Napkin Hs"</formula>
    </cfRule>
  </conditionalFormatting>
  <conditionalFormatting sqref="C8">
    <cfRule type="cellIs" dxfId="31761" priority="19249" stopIfTrue="1" operator="equal">
      <formula>"Towel"</formula>
    </cfRule>
    <cfRule type="cellIs" dxfId="31760" priority="19250" stopIfTrue="1" operator="equal">
      <formula>"Napkin Hs"</formula>
    </cfRule>
  </conditionalFormatting>
  <conditionalFormatting sqref="C8">
    <cfRule type="cellIs" dxfId="31759" priority="19247" stopIfTrue="1" operator="equal">
      <formula>"Towel"</formula>
    </cfRule>
    <cfRule type="cellIs" dxfId="31758" priority="19248" stopIfTrue="1" operator="equal">
      <formula>"Napkin Hs"</formula>
    </cfRule>
  </conditionalFormatting>
  <conditionalFormatting sqref="C8">
    <cfRule type="cellIs" dxfId="31757" priority="19245" stopIfTrue="1" operator="equal">
      <formula>"Towel"</formula>
    </cfRule>
    <cfRule type="cellIs" dxfId="31756" priority="19246" stopIfTrue="1" operator="equal">
      <formula>"Napkin Hs"</formula>
    </cfRule>
  </conditionalFormatting>
  <conditionalFormatting sqref="C8">
    <cfRule type="cellIs" dxfId="31755" priority="19243" stopIfTrue="1" operator="equal">
      <formula>"Towel"</formula>
    </cfRule>
    <cfRule type="cellIs" dxfId="31754" priority="19244" stopIfTrue="1" operator="equal">
      <formula>"Napkin Hs"</formula>
    </cfRule>
  </conditionalFormatting>
  <conditionalFormatting sqref="C8">
    <cfRule type="cellIs" dxfId="31753" priority="19241" stopIfTrue="1" operator="equal">
      <formula>"Towel"</formula>
    </cfRule>
    <cfRule type="cellIs" dxfId="31752" priority="19242" stopIfTrue="1" operator="equal">
      <formula>"Napkin Hs"</formula>
    </cfRule>
  </conditionalFormatting>
  <conditionalFormatting sqref="C8">
    <cfRule type="cellIs" dxfId="31751" priority="19239" stopIfTrue="1" operator="equal">
      <formula>"Towel"</formula>
    </cfRule>
    <cfRule type="cellIs" dxfId="31750" priority="19240" stopIfTrue="1" operator="equal">
      <formula>"Napkin Hs"</formula>
    </cfRule>
  </conditionalFormatting>
  <conditionalFormatting sqref="C8">
    <cfRule type="cellIs" dxfId="31749" priority="19233" stopIfTrue="1" operator="equal">
      <formula>"Towel"</formula>
    </cfRule>
    <cfRule type="cellIs" dxfId="31748" priority="19234" stopIfTrue="1" operator="equal">
      <formula>"Napkin Hs"</formula>
    </cfRule>
  </conditionalFormatting>
  <conditionalFormatting sqref="C8">
    <cfRule type="cellIs" dxfId="31747" priority="19227" stopIfTrue="1" operator="equal">
      <formula>"Towel"</formula>
    </cfRule>
    <cfRule type="cellIs" dxfId="31746" priority="19228" stopIfTrue="1" operator="equal">
      <formula>"Napkin Hs"</formula>
    </cfRule>
  </conditionalFormatting>
  <conditionalFormatting sqref="C8">
    <cfRule type="cellIs" dxfId="31745" priority="19226" stopIfTrue="1" operator="equal">
      <formula>"Napkin Hs"</formula>
    </cfRule>
  </conditionalFormatting>
  <conditionalFormatting sqref="C8">
    <cfRule type="cellIs" dxfId="31744" priority="19225" stopIfTrue="1" operator="equal">
      <formula>"Towel"</formula>
    </cfRule>
  </conditionalFormatting>
  <conditionalFormatting sqref="C8">
    <cfRule type="cellIs" dxfId="31743" priority="19224" stopIfTrue="1" operator="equal">
      <formula>"Napkin Hs"</formula>
    </cfRule>
  </conditionalFormatting>
  <conditionalFormatting sqref="C8">
    <cfRule type="cellIs" dxfId="31742" priority="19221" stopIfTrue="1" operator="equal">
      <formula>"Towel"</formula>
    </cfRule>
    <cfRule type="cellIs" dxfId="31741" priority="19222" stopIfTrue="1" operator="equal">
      <formula>"Napkin Hs"</formula>
    </cfRule>
  </conditionalFormatting>
  <conditionalFormatting sqref="C8">
    <cfRule type="cellIs" dxfId="31740" priority="19223" stopIfTrue="1" operator="equal">
      <formula>"Towel"</formula>
    </cfRule>
  </conditionalFormatting>
  <conditionalFormatting sqref="C8">
    <cfRule type="cellIs" dxfId="31739" priority="19341" stopIfTrue="1" operator="equal">
      <formula>"Towel"</formula>
    </cfRule>
    <cfRule type="cellIs" dxfId="31738" priority="19342" stopIfTrue="1" operator="equal">
      <formula>"Napkin Hs"</formula>
    </cfRule>
  </conditionalFormatting>
  <conditionalFormatting sqref="C8">
    <cfRule type="cellIs" dxfId="31737" priority="19340" stopIfTrue="1" operator="equal">
      <formula>"Napkin Hs"</formula>
    </cfRule>
  </conditionalFormatting>
  <conditionalFormatting sqref="C8">
    <cfRule type="cellIs" dxfId="31736" priority="19339" stopIfTrue="1" operator="equal">
      <formula>"Towel"</formula>
    </cfRule>
  </conditionalFormatting>
  <conditionalFormatting sqref="C8">
    <cfRule type="cellIs" dxfId="31735" priority="19338" stopIfTrue="1" operator="equal">
      <formula>"Napkin Hs"</formula>
    </cfRule>
  </conditionalFormatting>
  <conditionalFormatting sqref="C8">
    <cfRule type="cellIs" dxfId="31734" priority="19335" stopIfTrue="1" operator="equal">
      <formula>"Towel"</formula>
    </cfRule>
    <cfRule type="cellIs" dxfId="31733" priority="19336" stopIfTrue="1" operator="equal">
      <formula>"Napkin Hs"</formula>
    </cfRule>
  </conditionalFormatting>
  <conditionalFormatting sqref="C8">
    <cfRule type="cellIs" dxfId="31732" priority="19337" stopIfTrue="1" operator="equal">
      <formula>"Towel"</formula>
    </cfRule>
  </conditionalFormatting>
  <conditionalFormatting sqref="C8">
    <cfRule type="cellIs" dxfId="31731" priority="19345" stopIfTrue="1" operator="equal">
      <formula>"Towel"</formula>
    </cfRule>
    <cfRule type="cellIs" dxfId="31730" priority="19346" stopIfTrue="1" operator="equal">
      <formula>"Napkin Hs"</formula>
    </cfRule>
  </conditionalFormatting>
  <conditionalFormatting sqref="C8">
    <cfRule type="cellIs" dxfId="31729" priority="19343" stopIfTrue="1" operator="equal">
      <formula>"Towel"</formula>
    </cfRule>
    <cfRule type="cellIs" dxfId="31728" priority="19344" stopIfTrue="1" operator="equal">
      <formula>"Napkin Hs"</formula>
    </cfRule>
  </conditionalFormatting>
  <conditionalFormatting sqref="C8">
    <cfRule type="cellIs" dxfId="31727" priority="19315" stopIfTrue="1" operator="equal">
      <formula>"Towel"</formula>
    </cfRule>
    <cfRule type="cellIs" dxfId="31726" priority="19316" stopIfTrue="1" operator="equal">
      <formula>"Napkin Hs"</formula>
    </cfRule>
  </conditionalFormatting>
  <conditionalFormatting sqref="C8">
    <cfRule type="cellIs" dxfId="31725" priority="19313" stopIfTrue="1" operator="equal">
      <formula>"Towel"</formula>
    </cfRule>
    <cfRule type="cellIs" dxfId="31724" priority="19314" stopIfTrue="1" operator="equal">
      <formula>"Napkin Hs"</formula>
    </cfRule>
  </conditionalFormatting>
  <conditionalFormatting sqref="C8">
    <cfRule type="cellIs" dxfId="31723" priority="19292" stopIfTrue="1" operator="equal">
      <formula>"Napkin Hs"</formula>
    </cfRule>
  </conditionalFormatting>
  <conditionalFormatting sqref="C8">
    <cfRule type="cellIs" dxfId="31722" priority="19291" stopIfTrue="1" operator="equal">
      <formula>"Towel"</formula>
    </cfRule>
  </conditionalFormatting>
  <conditionalFormatting sqref="C8">
    <cfRule type="cellIs" dxfId="31721" priority="19290" stopIfTrue="1" operator="equal">
      <formula>"Napkin Hs"</formula>
    </cfRule>
  </conditionalFormatting>
  <conditionalFormatting sqref="C8">
    <cfRule type="cellIs" dxfId="31720" priority="19289" stopIfTrue="1" operator="equal">
      <formula>"Towel"</formula>
    </cfRule>
  </conditionalFormatting>
  <conditionalFormatting sqref="C8">
    <cfRule type="cellIs" dxfId="31719" priority="19286" stopIfTrue="1" operator="equal">
      <formula>"Napkin Hs"</formula>
    </cfRule>
  </conditionalFormatting>
  <conditionalFormatting sqref="C8">
    <cfRule type="cellIs" dxfId="31718" priority="19285" stopIfTrue="1" operator="equal">
      <formula>"Towel"</formula>
    </cfRule>
  </conditionalFormatting>
  <conditionalFormatting sqref="C8">
    <cfRule type="cellIs" dxfId="31717" priority="19284" stopIfTrue="1" operator="equal">
      <formula>"Napkin Hs"</formula>
    </cfRule>
  </conditionalFormatting>
  <conditionalFormatting sqref="C8">
    <cfRule type="cellIs" dxfId="31716" priority="19283" stopIfTrue="1" operator="equal">
      <formula>"Towel"</formula>
    </cfRule>
  </conditionalFormatting>
  <conditionalFormatting sqref="C8">
    <cfRule type="cellIs" dxfId="31715" priority="19279" stopIfTrue="1" operator="equal">
      <formula>"Towel"</formula>
    </cfRule>
    <cfRule type="cellIs" dxfId="31714" priority="19280" stopIfTrue="1" operator="equal">
      <formula>"Napkin Hs"</formula>
    </cfRule>
  </conditionalFormatting>
  <conditionalFormatting sqref="C8">
    <cfRule type="cellIs" dxfId="31713" priority="19277" stopIfTrue="1" operator="equal">
      <formula>"Towel"</formula>
    </cfRule>
    <cfRule type="cellIs" dxfId="31712" priority="19278" stopIfTrue="1" operator="equal">
      <formula>"Napkin Hs"</formula>
    </cfRule>
  </conditionalFormatting>
  <conditionalFormatting sqref="C8">
    <cfRule type="cellIs" dxfId="31711" priority="19261" stopIfTrue="1" operator="equal">
      <formula>"Towel"</formula>
    </cfRule>
    <cfRule type="cellIs" dxfId="31710" priority="19262" stopIfTrue="1" operator="equal">
      <formula>"Napkin Hs"</formula>
    </cfRule>
  </conditionalFormatting>
  <conditionalFormatting sqref="C8">
    <cfRule type="cellIs" dxfId="31709" priority="19259" stopIfTrue="1" operator="equal">
      <formula>"Towel"</formula>
    </cfRule>
    <cfRule type="cellIs" dxfId="31708" priority="19260" stopIfTrue="1" operator="equal">
      <formula>"Napkin Hs"</formula>
    </cfRule>
  </conditionalFormatting>
  <conditionalFormatting sqref="C8">
    <cfRule type="cellIs" dxfId="31707" priority="19238" stopIfTrue="1" operator="equal">
      <formula>"Napkin Hs"</formula>
    </cfRule>
  </conditionalFormatting>
  <conditionalFormatting sqref="C8">
    <cfRule type="cellIs" dxfId="31706" priority="19237" stopIfTrue="1" operator="equal">
      <formula>"Towel"</formula>
    </cfRule>
  </conditionalFormatting>
  <conditionalFormatting sqref="C8">
    <cfRule type="cellIs" dxfId="31705" priority="19236" stopIfTrue="1" operator="equal">
      <formula>"Napkin Hs"</formula>
    </cfRule>
  </conditionalFormatting>
  <conditionalFormatting sqref="C8">
    <cfRule type="cellIs" dxfId="31704" priority="19235" stopIfTrue="1" operator="equal">
      <formula>"Towel"</formula>
    </cfRule>
  </conditionalFormatting>
  <conditionalFormatting sqref="C8">
    <cfRule type="cellIs" dxfId="31703" priority="19232" stopIfTrue="1" operator="equal">
      <formula>"Napkin Hs"</formula>
    </cfRule>
  </conditionalFormatting>
  <conditionalFormatting sqref="C8">
    <cfRule type="cellIs" dxfId="31702" priority="19231" stopIfTrue="1" operator="equal">
      <formula>"Towel"</formula>
    </cfRule>
  </conditionalFormatting>
  <conditionalFormatting sqref="C8">
    <cfRule type="cellIs" dxfId="31701" priority="19230" stopIfTrue="1" operator="equal">
      <formula>"Napkin Hs"</formula>
    </cfRule>
  </conditionalFormatting>
  <conditionalFormatting sqref="C8">
    <cfRule type="cellIs" dxfId="31700" priority="19229" stopIfTrue="1" operator="equal">
      <formula>"Towel"</formula>
    </cfRule>
  </conditionalFormatting>
  <conditionalFormatting sqref="B8:C8">
    <cfRule type="cellIs" dxfId="31699" priority="19220" stopIfTrue="1" operator="equal">
      <formula>"Napkin Hs"</formula>
    </cfRule>
  </conditionalFormatting>
  <conditionalFormatting sqref="B8:C8">
    <cfRule type="cellIs" dxfId="31698" priority="19219" stopIfTrue="1" operator="equal">
      <formula>"Towel"</formula>
    </cfRule>
  </conditionalFormatting>
  <conditionalFormatting sqref="C8">
    <cfRule type="cellIs" dxfId="31697" priority="19218" stopIfTrue="1" operator="equal">
      <formula>"Napkin Hs"</formula>
    </cfRule>
  </conditionalFormatting>
  <conditionalFormatting sqref="C8">
    <cfRule type="cellIs" dxfId="31696" priority="19215" stopIfTrue="1" operator="equal">
      <formula>"Towel"</formula>
    </cfRule>
    <cfRule type="cellIs" dxfId="31695" priority="19216" stopIfTrue="1" operator="equal">
      <formula>"Napkin Hs"</formula>
    </cfRule>
  </conditionalFormatting>
  <conditionalFormatting sqref="C8">
    <cfRule type="cellIs" dxfId="31694" priority="19217" stopIfTrue="1" operator="equal">
      <formula>"Towel"</formula>
    </cfRule>
  </conditionalFormatting>
  <conditionalFormatting sqref="C6">
    <cfRule type="cellIs" dxfId="31693" priority="19201" stopIfTrue="1" operator="equal">
      <formula>"Towel"</formula>
    </cfRule>
    <cfRule type="cellIs" dxfId="31692" priority="19202" stopIfTrue="1" operator="equal">
      <formula>"Napkin Hs"</formula>
    </cfRule>
  </conditionalFormatting>
  <conditionalFormatting sqref="C6">
    <cfRule type="cellIs" dxfId="31691" priority="19199" stopIfTrue="1" operator="equal">
      <formula>"Towel"</formula>
    </cfRule>
    <cfRule type="cellIs" dxfId="31690" priority="19200" stopIfTrue="1" operator="equal">
      <formula>"Napkin Hs"</formula>
    </cfRule>
  </conditionalFormatting>
  <conditionalFormatting sqref="C6">
    <cfRule type="cellIs" dxfId="31689" priority="19197" stopIfTrue="1" operator="equal">
      <formula>"Towel"</formula>
    </cfRule>
    <cfRule type="cellIs" dxfId="31688" priority="19198" stopIfTrue="1" operator="equal">
      <formula>"Napkin Hs"</formula>
    </cfRule>
  </conditionalFormatting>
  <conditionalFormatting sqref="C6">
    <cfRule type="cellIs" dxfId="31687" priority="19196" stopIfTrue="1" operator="equal">
      <formula>"Napkin Hs"</formula>
    </cfRule>
  </conditionalFormatting>
  <conditionalFormatting sqref="C6">
    <cfRule type="cellIs" dxfId="31686" priority="19195" stopIfTrue="1" operator="equal">
      <formula>"Towel"</formula>
    </cfRule>
  </conditionalFormatting>
  <conditionalFormatting sqref="C6">
    <cfRule type="cellIs" dxfId="31685" priority="19194" stopIfTrue="1" operator="equal">
      <formula>"Napkin Hs"</formula>
    </cfRule>
  </conditionalFormatting>
  <conditionalFormatting sqref="C6">
    <cfRule type="cellIs" dxfId="31684" priority="19193" stopIfTrue="1" operator="equal">
      <formula>"Towel"</formula>
    </cfRule>
  </conditionalFormatting>
  <conditionalFormatting sqref="C6">
    <cfRule type="cellIs" dxfId="31683" priority="19191" stopIfTrue="1" operator="equal">
      <formula>"Towel"</formula>
    </cfRule>
    <cfRule type="cellIs" dxfId="31682" priority="19192" stopIfTrue="1" operator="equal">
      <formula>"Napkin Hs"</formula>
    </cfRule>
  </conditionalFormatting>
  <conditionalFormatting sqref="C6">
    <cfRule type="cellIs" dxfId="31681" priority="19189" stopIfTrue="1" operator="equal">
      <formula>"Towel"</formula>
    </cfRule>
    <cfRule type="cellIs" dxfId="31680" priority="19190" stopIfTrue="1" operator="equal">
      <formula>"Napkin Hs"</formula>
    </cfRule>
  </conditionalFormatting>
  <conditionalFormatting sqref="C6">
    <cfRule type="cellIs" dxfId="31679" priority="19185" stopIfTrue="1" operator="equal">
      <formula>"Towel"</formula>
    </cfRule>
    <cfRule type="cellIs" dxfId="31678" priority="19186" stopIfTrue="1" operator="equal">
      <formula>"Napkin Hs"</formula>
    </cfRule>
  </conditionalFormatting>
  <conditionalFormatting sqref="C6">
    <cfRule type="cellIs" dxfId="31677" priority="19187" stopIfTrue="1" operator="equal">
      <formula>"Towel"</formula>
    </cfRule>
    <cfRule type="cellIs" dxfId="31676" priority="19188" stopIfTrue="1" operator="equal">
      <formula>"Napkin Hs"</formula>
    </cfRule>
  </conditionalFormatting>
  <conditionalFormatting sqref="C6">
    <cfRule type="cellIs" dxfId="31675" priority="19179" stopIfTrue="1" operator="equal">
      <formula>"Towel"</formula>
    </cfRule>
    <cfRule type="cellIs" dxfId="31674" priority="19180" stopIfTrue="1" operator="equal">
      <formula>"Napkin Hs"</formula>
    </cfRule>
  </conditionalFormatting>
  <conditionalFormatting sqref="C6">
    <cfRule type="cellIs" dxfId="31673" priority="19177" stopIfTrue="1" operator="equal">
      <formula>"Towel"</formula>
    </cfRule>
    <cfRule type="cellIs" dxfId="31672" priority="19178" stopIfTrue="1" operator="equal">
      <formula>"Napkin Hs"</formula>
    </cfRule>
  </conditionalFormatting>
  <conditionalFormatting sqref="C6">
    <cfRule type="cellIs" dxfId="31671" priority="19175" stopIfTrue="1" operator="equal">
      <formula>"Towel"</formula>
    </cfRule>
    <cfRule type="cellIs" dxfId="31670" priority="19176" stopIfTrue="1" operator="equal">
      <formula>"Napkin Hs"</formula>
    </cfRule>
  </conditionalFormatting>
  <conditionalFormatting sqref="C6">
    <cfRule type="cellIs" dxfId="31669" priority="19173" stopIfTrue="1" operator="equal">
      <formula>"Towel"</formula>
    </cfRule>
    <cfRule type="cellIs" dxfId="31668" priority="19174" stopIfTrue="1" operator="equal">
      <formula>"Napkin Hs"</formula>
    </cfRule>
  </conditionalFormatting>
  <conditionalFormatting sqref="C6">
    <cfRule type="cellIs" dxfId="31667" priority="19171" stopIfTrue="1" operator="equal">
      <formula>"Towel"</formula>
    </cfRule>
    <cfRule type="cellIs" dxfId="31666" priority="19172" stopIfTrue="1" operator="equal">
      <formula>"Napkin Hs"</formula>
    </cfRule>
  </conditionalFormatting>
  <conditionalFormatting sqref="C6">
    <cfRule type="cellIs" dxfId="31665" priority="19169" stopIfTrue="1" operator="equal">
      <formula>"Towel"</formula>
    </cfRule>
    <cfRule type="cellIs" dxfId="31664" priority="19170" stopIfTrue="1" operator="equal">
      <formula>"Napkin Hs"</formula>
    </cfRule>
  </conditionalFormatting>
  <conditionalFormatting sqref="C6">
    <cfRule type="cellIs" dxfId="31663" priority="19167" stopIfTrue="1" operator="equal">
      <formula>"Towel"</formula>
    </cfRule>
    <cfRule type="cellIs" dxfId="31662" priority="19168" stopIfTrue="1" operator="equal">
      <formula>"Napkin Hs"</formula>
    </cfRule>
  </conditionalFormatting>
  <conditionalFormatting sqref="C6">
    <cfRule type="cellIs" dxfId="31661" priority="19165" stopIfTrue="1" operator="equal">
      <formula>"Towel"</formula>
    </cfRule>
    <cfRule type="cellIs" dxfId="31660" priority="19166" stopIfTrue="1" operator="equal">
      <formula>"Napkin Hs"</formula>
    </cfRule>
  </conditionalFormatting>
  <conditionalFormatting sqref="C6">
    <cfRule type="cellIs" dxfId="31659" priority="19163" stopIfTrue="1" operator="equal">
      <formula>"Towel"</formula>
    </cfRule>
    <cfRule type="cellIs" dxfId="31658" priority="19164" stopIfTrue="1" operator="equal">
      <formula>"Napkin Hs"</formula>
    </cfRule>
  </conditionalFormatting>
  <conditionalFormatting sqref="C6">
    <cfRule type="cellIs" dxfId="31657" priority="19161" stopIfTrue="1" operator="equal">
      <formula>"Towel"</formula>
    </cfRule>
    <cfRule type="cellIs" dxfId="31656" priority="19162" stopIfTrue="1" operator="equal">
      <formula>"Napkin Hs"</formula>
    </cfRule>
  </conditionalFormatting>
  <conditionalFormatting sqref="C6">
    <cfRule type="cellIs" dxfId="31655" priority="19155" stopIfTrue="1" operator="equal">
      <formula>"Towel"</formula>
    </cfRule>
    <cfRule type="cellIs" dxfId="31654" priority="19156" stopIfTrue="1" operator="equal">
      <formula>"Napkin Hs"</formula>
    </cfRule>
  </conditionalFormatting>
  <conditionalFormatting sqref="C6">
    <cfRule type="cellIs" dxfId="31653" priority="19149" stopIfTrue="1" operator="equal">
      <formula>"Towel"</formula>
    </cfRule>
    <cfRule type="cellIs" dxfId="31652" priority="19150" stopIfTrue="1" operator="equal">
      <formula>"Napkin Hs"</formula>
    </cfRule>
  </conditionalFormatting>
  <conditionalFormatting sqref="C6">
    <cfRule type="cellIs" dxfId="31651" priority="19143" stopIfTrue="1" operator="equal">
      <formula>"Towel"</formula>
    </cfRule>
    <cfRule type="cellIs" dxfId="31650" priority="19144" stopIfTrue="1" operator="equal">
      <formula>"Napkin Hs"</formula>
    </cfRule>
  </conditionalFormatting>
  <conditionalFormatting sqref="C6">
    <cfRule type="cellIs" dxfId="31649" priority="19142" stopIfTrue="1" operator="equal">
      <formula>"Napkin Hs"</formula>
    </cfRule>
  </conditionalFormatting>
  <conditionalFormatting sqref="C6">
    <cfRule type="cellIs" dxfId="31648" priority="19141" stopIfTrue="1" operator="equal">
      <formula>"Towel"</formula>
    </cfRule>
  </conditionalFormatting>
  <conditionalFormatting sqref="C6">
    <cfRule type="cellIs" dxfId="31647" priority="19140" stopIfTrue="1" operator="equal">
      <formula>"Napkin Hs"</formula>
    </cfRule>
  </conditionalFormatting>
  <conditionalFormatting sqref="C6">
    <cfRule type="cellIs" dxfId="31646" priority="19139" stopIfTrue="1" operator="equal">
      <formula>"Towel"</formula>
    </cfRule>
  </conditionalFormatting>
  <conditionalFormatting sqref="C6">
    <cfRule type="cellIs" dxfId="31645" priority="19137" stopIfTrue="1" operator="equal">
      <formula>"Towel"</formula>
    </cfRule>
    <cfRule type="cellIs" dxfId="31644" priority="19138" stopIfTrue="1" operator="equal">
      <formula>"Napkin Hs"</formula>
    </cfRule>
  </conditionalFormatting>
  <conditionalFormatting sqref="C6">
    <cfRule type="cellIs" dxfId="31643" priority="19135" stopIfTrue="1" operator="equal">
      <formula>"Towel"</formula>
    </cfRule>
    <cfRule type="cellIs" dxfId="31642" priority="19136" stopIfTrue="1" operator="equal">
      <formula>"Napkin Hs"</formula>
    </cfRule>
  </conditionalFormatting>
  <conditionalFormatting sqref="C6">
    <cfRule type="cellIs" dxfId="31641" priority="19131" stopIfTrue="1" operator="equal">
      <formula>"Towel"</formula>
    </cfRule>
    <cfRule type="cellIs" dxfId="31640" priority="19132" stopIfTrue="1" operator="equal">
      <formula>"Napkin Hs"</formula>
    </cfRule>
  </conditionalFormatting>
  <conditionalFormatting sqref="C6">
    <cfRule type="cellIs" dxfId="31639" priority="19133" stopIfTrue="1" operator="equal">
      <formula>"Towel"</formula>
    </cfRule>
    <cfRule type="cellIs" dxfId="31638" priority="19134" stopIfTrue="1" operator="equal">
      <formula>"Napkin Hs"</formula>
    </cfRule>
  </conditionalFormatting>
  <conditionalFormatting sqref="C6">
    <cfRule type="cellIs" dxfId="31637" priority="19125" stopIfTrue="1" operator="equal">
      <formula>"Towel"</formula>
    </cfRule>
    <cfRule type="cellIs" dxfId="31636" priority="19126" stopIfTrue="1" operator="equal">
      <formula>"Napkin Hs"</formula>
    </cfRule>
  </conditionalFormatting>
  <conditionalFormatting sqref="C6">
    <cfRule type="cellIs" dxfId="31635" priority="19123" stopIfTrue="1" operator="equal">
      <formula>"Towel"</formula>
    </cfRule>
    <cfRule type="cellIs" dxfId="31634" priority="19124" stopIfTrue="1" operator="equal">
      <formula>"Napkin Hs"</formula>
    </cfRule>
  </conditionalFormatting>
  <conditionalFormatting sqref="C6">
    <cfRule type="cellIs" dxfId="31633" priority="19121" stopIfTrue="1" operator="equal">
      <formula>"Towel"</formula>
    </cfRule>
    <cfRule type="cellIs" dxfId="31632" priority="19122" stopIfTrue="1" operator="equal">
      <formula>"Napkin Hs"</formula>
    </cfRule>
  </conditionalFormatting>
  <conditionalFormatting sqref="C6">
    <cfRule type="cellIs" dxfId="31631" priority="19119" stopIfTrue="1" operator="equal">
      <formula>"Towel"</formula>
    </cfRule>
    <cfRule type="cellIs" dxfId="31630" priority="19120" stopIfTrue="1" operator="equal">
      <formula>"Napkin Hs"</formula>
    </cfRule>
  </conditionalFormatting>
  <conditionalFormatting sqref="C6">
    <cfRule type="cellIs" dxfId="31629" priority="19117" stopIfTrue="1" operator="equal">
      <formula>"Towel"</formula>
    </cfRule>
    <cfRule type="cellIs" dxfId="31628" priority="19118" stopIfTrue="1" operator="equal">
      <formula>"Napkin Hs"</formula>
    </cfRule>
  </conditionalFormatting>
  <conditionalFormatting sqref="C6">
    <cfRule type="cellIs" dxfId="31627" priority="19115" stopIfTrue="1" operator="equal">
      <formula>"Towel"</formula>
    </cfRule>
    <cfRule type="cellIs" dxfId="31626" priority="19116" stopIfTrue="1" operator="equal">
      <formula>"Napkin Hs"</formula>
    </cfRule>
  </conditionalFormatting>
  <conditionalFormatting sqref="C6">
    <cfRule type="cellIs" dxfId="31625" priority="19113" stopIfTrue="1" operator="equal">
      <formula>"Towel"</formula>
    </cfRule>
    <cfRule type="cellIs" dxfId="31624" priority="19114" stopIfTrue="1" operator="equal">
      <formula>"Napkin Hs"</formula>
    </cfRule>
  </conditionalFormatting>
  <conditionalFormatting sqref="C6">
    <cfRule type="cellIs" dxfId="31623" priority="19111" stopIfTrue="1" operator="equal">
      <formula>"Towel"</formula>
    </cfRule>
    <cfRule type="cellIs" dxfId="31622" priority="19112" stopIfTrue="1" operator="equal">
      <formula>"Napkin Hs"</formula>
    </cfRule>
  </conditionalFormatting>
  <conditionalFormatting sqref="C6">
    <cfRule type="cellIs" dxfId="31621" priority="19109" stopIfTrue="1" operator="equal">
      <formula>"Towel"</formula>
    </cfRule>
    <cfRule type="cellIs" dxfId="31620" priority="19110" stopIfTrue="1" operator="equal">
      <formula>"Napkin Hs"</formula>
    </cfRule>
  </conditionalFormatting>
  <conditionalFormatting sqref="C6">
    <cfRule type="cellIs" dxfId="31619" priority="19107" stopIfTrue="1" operator="equal">
      <formula>"Towel"</formula>
    </cfRule>
    <cfRule type="cellIs" dxfId="31618" priority="19108" stopIfTrue="1" operator="equal">
      <formula>"Napkin Hs"</formula>
    </cfRule>
  </conditionalFormatting>
  <conditionalFormatting sqref="C6">
    <cfRule type="cellIs" dxfId="31617" priority="19101" stopIfTrue="1" operator="equal">
      <formula>"Towel"</formula>
    </cfRule>
    <cfRule type="cellIs" dxfId="31616" priority="19102" stopIfTrue="1" operator="equal">
      <formula>"Napkin Hs"</formula>
    </cfRule>
  </conditionalFormatting>
  <conditionalFormatting sqref="C6">
    <cfRule type="cellIs" dxfId="31615" priority="19095" stopIfTrue="1" operator="equal">
      <formula>"Towel"</formula>
    </cfRule>
    <cfRule type="cellIs" dxfId="31614" priority="19096" stopIfTrue="1" operator="equal">
      <formula>"Napkin Hs"</formula>
    </cfRule>
  </conditionalFormatting>
  <conditionalFormatting sqref="C6">
    <cfRule type="cellIs" dxfId="31613" priority="19094" stopIfTrue="1" operator="equal">
      <formula>"Napkin Hs"</formula>
    </cfRule>
  </conditionalFormatting>
  <conditionalFormatting sqref="C6">
    <cfRule type="cellIs" dxfId="31612" priority="19093" stopIfTrue="1" operator="equal">
      <formula>"Towel"</formula>
    </cfRule>
  </conditionalFormatting>
  <conditionalFormatting sqref="C6">
    <cfRule type="cellIs" dxfId="31611" priority="19092" stopIfTrue="1" operator="equal">
      <formula>"Napkin Hs"</formula>
    </cfRule>
  </conditionalFormatting>
  <conditionalFormatting sqref="C6">
    <cfRule type="cellIs" dxfId="31610" priority="19089" stopIfTrue="1" operator="equal">
      <formula>"Towel"</formula>
    </cfRule>
    <cfRule type="cellIs" dxfId="31609" priority="19090" stopIfTrue="1" operator="equal">
      <formula>"Napkin Hs"</formula>
    </cfRule>
  </conditionalFormatting>
  <conditionalFormatting sqref="C6">
    <cfRule type="cellIs" dxfId="31608" priority="19091" stopIfTrue="1" operator="equal">
      <formula>"Towel"</formula>
    </cfRule>
  </conditionalFormatting>
  <conditionalFormatting sqref="C6">
    <cfRule type="cellIs" dxfId="31607" priority="19209" stopIfTrue="1" operator="equal">
      <formula>"Towel"</formula>
    </cfRule>
    <cfRule type="cellIs" dxfId="31606" priority="19210" stopIfTrue="1" operator="equal">
      <formula>"Napkin Hs"</formula>
    </cfRule>
  </conditionalFormatting>
  <conditionalFormatting sqref="C6">
    <cfRule type="cellIs" dxfId="31605" priority="19208" stopIfTrue="1" operator="equal">
      <formula>"Napkin Hs"</formula>
    </cfRule>
  </conditionalFormatting>
  <conditionalFormatting sqref="C6">
    <cfRule type="cellIs" dxfId="31604" priority="19207" stopIfTrue="1" operator="equal">
      <formula>"Towel"</formula>
    </cfRule>
  </conditionalFormatting>
  <conditionalFormatting sqref="C6">
    <cfRule type="cellIs" dxfId="31603" priority="19206" stopIfTrue="1" operator="equal">
      <formula>"Napkin Hs"</formula>
    </cfRule>
  </conditionalFormatting>
  <conditionalFormatting sqref="C6">
    <cfRule type="cellIs" dxfId="31602" priority="19203" stopIfTrue="1" operator="equal">
      <formula>"Towel"</formula>
    </cfRule>
    <cfRule type="cellIs" dxfId="31601" priority="19204" stopIfTrue="1" operator="equal">
      <formula>"Napkin Hs"</formula>
    </cfRule>
  </conditionalFormatting>
  <conditionalFormatting sqref="C6">
    <cfRule type="cellIs" dxfId="31600" priority="19205" stopIfTrue="1" operator="equal">
      <formula>"Towel"</formula>
    </cfRule>
  </conditionalFormatting>
  <conditionalFormatting sqref="C6">
    <cfRule type="cellIs" dxfId="31599" priority="19213" stopIfTrue="1" operator="equal">
      <formula>"Towel"</formula>
    </cfRule>
    <cfRule type="cellIs" dxfId="31598" priority="19214" stopIfTrue="1" operator="equal">
      <formula>"Napkin Hs"</formula>
    </cfRule>
  </conditionalFormatting>
  <conditionalFormatting sqref="C6">
    <cfRule type="cellIs" dxfId="31597" priority="19211" stopIfTrue="1" operator="equal">
      <formula>"Towel"</formula>
    </cfRule>
    <cfRule type="cellIs" dxfId="31596" priority="19212" stopIfTrue="1" operator="equal">
      <formula>"Napkin Hs"</formula>
    </cfRule>
  </conditionalFormatting>
  <conditionalFormatting sqref="C6">
    <cfRule type="cellIs" dxfId="31595" priority="19183" stopIfTrue="1" operator="equal">
      <formula>"Towel"</formula>
    </cfRule>
    <cfRule type="cellIs" dxfId="31594" priority="19184" stopIfTrue="1" operator="equal">
      <formula>"Napkin Hs"</formula>
    </cfRule>
  </conditionalFormatting>
  <conditionalFormatting sqref="C6">
    <cfRule type="cellIs" dxfId="31593" priority="19181" stopIfTrue="1" operator="equal">
      <formula>"Towel"</formula>
    </cfRule>
    <cfRule type="cellIs" dxfId="31592" priority="19182" stopIfTrue="1" operator="equal">
      <formula>"Napkin Hs"</formula>
    </cfRule>
  </conditionalFormatting>
  <conditionalFormatting sqref="C6">
    <cfRule type="cellIs" dxfId="31591" priority="19160" stopIfTrue="1" operator="equal">
      <formula>"Napkin Hs"</formula>
    </cfRule>
  </conditionalFormatting>
  <conditionalFormatting sqref="C6">
    <cfRule type="cellIs" dxfId="31590" priority="19159" stopIfTrue="1" operator="equal">
      <formula>"Towel"</formula>
    </cfRule>
  </conditionalFormatting>
  <conditionalFormatting sqref="C6">
    <cfRule type="cellIs" dxfId="31589" priority="19158" stopIfTrue="1" operator="equal">
      <formula>"Napkin Hs"</formula>
    </cfRule>
  </conditionalFormatting>
  <conditionalFormatting sqref="C6">
    <cfRule type="cellIs" dxfId="31588" priority="19157" stopIfTrue="1" operator="equal">
      <formula>"Towel"</formula>
    </cfRule>
  </conditionalFormatting>
  <conditionalFormatting sqref="C6">
    <cfRule type="cellIs" dxfId="31587" priority="19154" stopIfTrue="1" operator="equal">
      <formula>"Napkin Hs"</formula>
    </cfRule>
  </conditionalFormatting>
  <conditionalFormatting sqref="C6">
    <cfRule type="cellIs" dxfId="31586" priority="19153" stopIfTrue="1" operator="equal">
      <formula>"Towel"</formula>
    </cfRule>
  </conditionalFormatting>
  <conditionalFormatting sqref="C6">
    <cfRule type="cellIs" dxfId="31585" priority="19152" stopIfTrue="1" operator="equal">
      <formula>"Napkin Hs"</formula>
    </cfRule>
  </conditionalFormatting>
  <conditionalFormatting sqref="C6">
    <cfRule type="cellIs" dxfId="31584" priority="19151" stopIfTrue="1" operator="equal">
      <formula>"Towel"</formula>
    </cfRule>
  </conditionalFormatting>
  <conditionalFormatting sqref="C6">
    <cfRule type="cellIs" dxfId="31583" priority="19147" stopIfTrue="1" operator="equal">
      <formula>"Towel"</formula>
    </cfRule>
    <cfRule type="cellIs" dxfId="31582" priority="19148" stopIfTrue="1" operator="equal">
      <formula>"Napkin Hs"</formula>
    </cfRule>
  </conditionalFormatting>
  <conditionalFormatting sqref="C6">
    <cfRule type="cellIs" dxfId="31581" priority="19145" stopIfTrue="1" operator="equal">
      <formula>"Towel"</formula>
    </cfRule>
    <cfRule type="cellIs" dxfId="31580" priority="19146" stopIfTrue="1" operator="equal">
      <formula>"Napkin Hs"</formula>
    </cfRule>
  </conditionalFormatting>
  <conditionalFormatting sqref="C6">
    <cfRule type="cellIs" dxfId="31579" priority="19129" stopIfTrue="1" operator="equal">
      <formula>"Towel"</formula>
    </cfRule>
    <cfRule type="cellIs" dxfId="31578" priority="19130" stopIfTrue="1" operator="equal">
      <formula>"Napkin Hs"</formula>
    </cfRule>
  </conditionalFormatting>
  <conditionalFormatting sqref="C6">
    <cfRule type="cellIs" dxfId="31577" priority="19127" stopIfTrue="1" operator="equal">
      <formula>"Towel"</formula>
    </cfRule>
    <cfRule type="cellIs" dxfId="31576" priority="19128" stopIfTrue="1" operator="equal">
      <formula>"Napkin Hs"</formula>
    </cfRule>
  </conditionalFormatting>
  <conditionalFormatting sqref="C6">
    <cfRule type="cellIs" dxfId="31575" priority="19106" stopIfTrue="1" operator="equal">
      <formula>"Napkin Hs"</formula>
    </cfRule>
  </conditionalFormatting>
  <conditionalFormatting sqref="C6">
    <cfRule type="cellIs" dxfId="31574" priority="19105" stopIfTrue="1" operator="equal">
      <formula>"Towel"</formula>
    </cfRule>
  </conditionalFormatting>
  <conditionalFormatting sqref="C6">
    <cfRule type="cellIs" dxfId="31573" priority="19104" stopIfTrue="1" operator="equal">
      <formula>"Napkin Hs"</formula>
    </cfRule>
  </conditionalFormatting>
  <conditionalFormatting sqref="C6">
    <cfRule type="cellIs" dxfId="31572" priority="19103" stopIfTrue="1" operator="equal">
      <formula>"Towel"</formula>
    </cfRule>
  </conditionalFormatting>
  <conditionalFormatting sqref="C6">
    <cfRule type="cellIs" dxfId="31571" priority="19100" stopIfTrue="1" operator="equal">
      <formula>"Napkin Hs"</formula>
    </cfRule>
  </conditionalFormatting>
  <conditionalFormatting sqref="C6">
    <cfRule type="cellIs" dxfId="31570" priority="19099" stopIfTrue="1" operator="equal">
      <formula>"Towel"</formula>
    </cfRule>
  </conditionalFormatting>
  <conditionalFormatting sqref="C6">
    <cfRule type="cellIs" dxfId="31569" priority="19098" stopIfTrue="1" operator="equal">
      <formula>"Napkin Hs"</formula>
    </cfRule>
  </conditionalFormatting>
  <conditionalFormatting sqref="C6">
    <cfRule type="cellIs" dxfId="31568" priority="19097" stopIfTrue="1" operator="equal">
      <formula>"Towel"</formula>
    </cfRule>
  </conditionalFormatting>
  <conditionalFormatting sqref="B6:C6">
    <cfRule type="cellIs" dxfId="31567" priority="19088" stopIfTrue="1" operator="equal">
      <formula>"Napkin Hs"</formula>
    </cfRule>
  </conditionalFormatting>
  <conditionalFormatting sqref="B6:C6">
    <cfRule type="cellIs" dxfId="31566" priority="19087" stopIfTrue="1" operator="equal">
      <formula>"Towel"</formula>
    </cfRule>
  </conditionalFormatting>
  <conditionalFormatting sqref="C6">
    <cfRule type="cellIs" dxfId="31565" priority="19086" stopIfTrue="1" operator="equal">
      <formula>"Napkin Hs"</formula>
    </cfRule>
  </conditionalFormatting>
  <conditionalFormatting sqref="C6">
    <cfRule type="cellIs" dxfId="31564" priority="19083" stopIfTrue="1" operator="equal">
      <formula>"Towel"</formula>
    </cfRule>
    <cfRule type="cellIs" dxfId="31563" priority="19084" stopIfTrue="1" operator="equal">
      <formula>"Napkin Hs"</formula>
    </cfRule>
  </conditionalFormatting>
  <conditionalFormatting sqref="C6">
    <cfRule type="cellIs" dxfId="31562" priority="19085" stopIfTrue="1" operator="equal">
      <formula>"Towel"</formula>
    </cfRule>
  </conditionalFormatting>
  <conditionalFormatting sqref="C7">
    <cfRule type="cellIs" dxfId="31561" priority="19069" stopIfTrue="1" operator="equal">
      <formula>"Towel"</formula>
    </cfRule>
    <cfRule type="cellIs" dxfId="31560" priority="19070" stopIfTrue="1" operator="equal">
      <formula>"Napkin Hs"</formula>
    </cfRule>
  </conditionalFormatting>
  <conditionalFormatting sqref="C7">
    <cfRule type="cellIs" dxfId="31559" priority="19067" stopIfTrue="1" operator="equal">
      <formula>"Towel"</formula>
    </cfRule>
    <cfRule type="cellIs" dxfId="31558" priority="19068" stopIfTrue="1" operator="equal">
      <formula>"Napkin Hs"</formula>
    </cfRule>
  </conditionalFormatting>
  <conditionalFormatting sqref="C7">
    <cfRule type="cellIs" dxfId="31557" priority="19065" stopIfTrue="1" operator="equal">
      <formula>"Towel"</formula>
    </cfRule>
    <cfRule type="cellIs" dxfId="31556" priority="19066" stopIfTrue="1" operator="equal">
      <formula>"Napkin Hs"</formula>
    </cfRule>
  </conditionalFormatting>
  <conditionalFormatting sqref="C7">
    <cfRule type="cellIs" dxfId="31555" priority="19064" stopIfTrue="1" operator="equal">
      <formula>"Napkin Hs"</formula>
    </cfRule>
  </conditionalFormatting>
  <conditionalFormatting sqref="C7">
    <cfRule type="cellIs" dxfId="31554" priority="19063" stopIfTrue="1" operator="equal">
      <formula>"Towel"</formula>
    </cfRule>
  </conditionalFormatting>
  <conditionalFormatting sqref="C7">
    <cfRule type="cellIs" dxfId="31553" priority="19062" stopIfTrue="1" operator="equal">
      <formula>"Napkin Hs"</formula>
    </cfRule>
  </conditionalFormatting>
  <conditionalFormatting sqref="C7">
    <cfRule type="cellIs" dxfId="31552" priority="19061" stopIfTrue="1" operator="equal">
      <formula>"Towel"</formula>
    </cfRule>
  </conditionalFormatting>
  <conditionalFormatting sqref="C7">
    <cfRule type="cellIs" dxfId="31551" priority="19059" stopIfTrue="1" operator="equal">
      <formula>"Towel"</formula>
    </cfRule>
    <cfRule type="cellIs" dxfId="31550" priority="19060" stopIfTrue="1" operator="equal">
      <formula>"Napkin Hs"</formula>
    </cfRule>
  </conditionalFormatting>
  <conditionalFormatting sqref="C7">
    <cfRule type="cellIs" dxfId="31549" priority="19057" stopIfTrue="1" operator="equal">
      <formula>"Towel"</formula>
    </cfRule>
    <cfRule type="cellIs" dxfId="31548" priority="19058" stopIfTrue="1" operator="equal">
      <formula>"Napkin Hs"</formula>
    </cfRule>
  </conditionalFormatting>
  <conditionalFormatting sqref="C7">
    <cfRule type="cellIs" dxfId="31547" priority="19053" stopIfTrue="1" operator="equal">
      <formula>"Towel"</formula>
    </cfRule>
    <cfRule type="cellIs" dxfId="31546" priority="19054" stopIfTrue="1" operator="equal">
      <formula>"Napkin Hs"</formula>
    </cfRule>
  </conditionalFormatting>
  <conditionalFormatting sqref="C7">
    <cfRule type="cellIs" dxfId="31545" priority="19055" stopIfTrue="1" operator="equal">
      <formula>"Towel"</formula>
    </cfRule>
    <cfRule type="cellIs" dxfId="31544" priority="19056" stopIfTrue="1" operator="equal">
      <formula>"Napkin Hs"</formula>
    </cfRule>
  </conditionalFormatting>
  <conditionalFormatting sqref="C7">
    <cfRule type="cellIs" dxfId="31543" priority="19047" stopIfTrue="1" operator="equal">
      <formula>"Towel"</formula>
    </cfRule>
    <cfRule type="cellIs" dxfId="31542" priority="19048" stopIfTrue="1" operator="equal">
      <formula>"Napkin Hs"</formula>
    </cfRule>
  </conditionalFormatting>
  <conditionalFormatting sqref="C7">
    <cfRule type="cellIs" dxfId="31541" priority="19045" stopIfTrue="1" operator="equal">
      <formula>"Towel"</formula>
    </cfRule>
    <cfRule type="cellIs" dxfId="31540" priority="19046" stopIfTrue="1" operator="equal">
      <formula>"Napkin Hs"</formula>
    </cfRule>
  </conditionalFormatting>
  <conditionalFormatting sqref="C7">
    <cfRule type="cellIs" dxfId="31539" priority="19043" stopIfTrue="1" operator="equal">
      <formula>"Towel"</formula>
    </cfRule>
    <cfRule type="cellIs" dxfId="31538" priority="19044" stopIfTrue="1" operator="equal">
      <formula>"Napkin Hs"</formula>
    </cfRule>
  </conditionalFormatting>
  <conditionalFormatting sqref="C7">
    <cfRule type="cellIs" dxfId="31537" priority="19041" stopIfTrue="1" operator="equal">
      <formula>"Towel"</formula>
    </cfRule>
    <cfRule type="cellIs" dxfId="31536" priority="19042" stopIfTrue="1" operator="equal">
      <formula>"Napkin Hs"</formula>
    </cfRule>
  </conditionalFormatting>
  <conditionalFormatting sqref="C7">
    <cfRule type="cellIs" dxfId="31535" priority="19039" stopIfTrue="1" operator="equal">
      <formula>"Towel"</formula>
    </cfRule>
    <cfRule type="cellIs" dxfId="31534" priority="19040" stopIfTrue="1" operator="equal">
      <formula>"Napkin Hs"</formula>
    </cfRule>
  </conditionalFormatting>
  <conditionalFormatting sqref="C7">
    <cfRule type="cellIs" dxfId="31533" priority="19037" stopIfTrue="1" operator="equal">
      <formula>"Towel"</formula>
    </cfRule>
    <cfRule type="cellIs" dxfId="31532" priority="19038" stopIfTrue="1" operator="equal">
      <formula>"Napkin Hs"</formula>
    </cfRule>
  </conditionalFormatting>
  <conditionalFormatting sqref="C7">
    <cfRule type="cellIs" dxfId="31531" priority="19035" stopIfTrue="1" operator="equal">
      <formula>"Towel"</formula>
    </cfRule>
    <cfRule type="cellIs" dxfId="31530" priority="19036" stopIfTrue="1" operator="equal">
      <formula>"Napkin Hs"</formula>
    </cfRule>
  </conditionalFormatting>
  <conditionalFormatting sqref="C7">
    <cfRule type="cellIs" dxfId="31529" priority="19033" stopIfTrue="1" operator="equal">
      <formula>"Towel"</formula>
    </cfRule>
    <cfRule type="cellIs" dxfId="31528" priority="19034" stopIfTrue="1" operator="equal">
      <formula>"Napkin Hs"</formula>
    </cfRule>
  </conditionalFormatting>
  <conditionalFormatting sqref="C7">
    <cfRule type="cellIs" dxfId="31527" priority="19031" stopIfTrue="1" operator="equal">
      <formula>"Towel"</formula>
    </cfRule>
    <cfRule type="cellIs" dxfId="31526" priority="19032" stopIfTrue="1" operator="equal">
      <formula>"Napkin Hs"</formula>
    </cfRule>
  </conditionalFormatting>
  <conditionalFormatting sqref="C7">
    <cfRule type="cellIs" dxfId="31525" priority="19029" stopIfTrue="1" operator="equal">
      <formula>"Towel"</formula>
    </cfRule>
    <cfRule type="cellIs" dxfId="31524" priority="19030" stopIfTrue="1" operator="equal">
      <formula>"Napkin Hs"</formula>
    </cfRule>
  </conditionalFormatting>
  <conditionalFormatting sqref="C7">
    <cfRule type="cellIs" dxfId="31523" priority="19023" stopIfTrue="1" operator="equal">
      <formula>"Towel"</formula>
    </cfRule>
    <cfRule type="cellIs" dxfId="31522" priority="19024" stopIfTrue="1" operator="equal">
      <formula>"Napkin Hs"</formula>
    </cfRule>
  </conditionalFormatting>
  <conditionalFormatting sqref="C7">
    <cfRule type="cellIs" dxfId="31521" priority="19017" stopIfTrue="1" operator="equal">
      <formula>"Towel"</formula>
    </cfRule>
    <cfRule type="cellIs" dxfId="31520" priority="19018" stopIfTrue="1" operator="equal">
      <formula>"Napkin Hs"</formula>
    </cfRule>
  </conditionalFormatting>
  <conditionalFormatting sqref="C7">
    <cfRule type="cellIs" dxfId="31519" priority="19011" stopIfTrue="1" operator="equal">
      <formula>"Towel"</formula>
    </cfRule>
    <cfRule type="cellIs" dxfId="31518" priority="19012" stopIfTrue="1" operator="equal">
      <formula>"Napkin Hs"</formula>
    </cfRule>
  </conditionalFormatting>
  <conditionalFormatting sqref="C7">
    <cfRule type="cellIs" dxfId="31517" priority="19010" stopIfTrue="1" operator="equal">
      <formula>"Napkin Hs"</formula>
    </cfRule>
  </conditionalFormatting>
  <conditionalFormatting sqref="C7">
    <cfRule type="cellIs" dxfId="31516" priority="19009" stopIfTrue="1" operator="equal">
      <formula>"Towel"</formula>
    </cfRule>
  </conditionalFormatting>
  <conditionalFormatting sqref="C7">
    <cfRule type="cellIs" dxfId="31515" priority="19008" stopIfTrue="1" operator="equal">
      <formula>"Napkin Hs"</formula>
    </cfRule>
  </conditionalFormatting>
  <conditionalFormatting sqref="C7">
    <cfRule type="cellIs" dxfId="31514" priority="19007" stopIfTrue="1" operator="equal">
      <formula>"Towel"</formula>
    </cfRule>
  </conditionalFormatting>
  <conditionalFormatting sqref="C7">
    <cfRule type="cellIs" dxfId="31513" priority="19005" stopIfTrue="1" operator="equal">
      <formula>"Towel"</formula>
    </cfRule>
    <cfRule type="cellIs" dxfId="31512" priority="19006" stopIfTrue="1" operator="equal">
      <formula>"Napkin Hs"</formula>
    </cfRule>
  </conditionalFormatting>
  <conditionalFormatting sqref="C7">
    <cfRule type="cellIs" dxfId="31511" priority="19003" stopIfTrue="1" operator="equal">
      <formula>"Towel"</formula>
    </cfRule>
    <cfRule type="cellIs" dxfId="31510" priority="19004" stopIfTrue="1" operator="equal">
      <formula>"Napkin Hs"</formula>
    </cfRule>
  </conditionalFormatting>
  <conditionalFormatting sqref="C7">
    <cfRule type="cellIs" dxfId="31509" priority="19001" stopIfTrue="1" operator="equal">
      <formula>"Towel"</formula>
    </cfRule>
    <cfRule type="cellIs" dxfId="31508" priority="19002" stopIfTrue="1" operator="equal">
      <formula>"Napkin Hs"</formula>
    </cfRule>
  </conditionalFormatting>
  <conditionalFormatting sqref="C7">
    <cfRule type="cellIs" dxfId="31507" priority="18991" stopIfTrue="1" operator="equal">
      <formula>"Towel"</formula>
    </cfRule>
    <cfRule type="cellIs" dxfId="31506" priority="18992" stopIfTrue="1" operator="equal">
      <formula>"Napkin Hs"</formula>
    </cfRule>
  </conditionalFormatting>
  <conditionalFormatting sqref="C7">
    <cfRule type="cellIs" dxfId="31505" priority="18989" stopIfTrue="1" operator="equal">
      <formula>"Towel"</formula>
    </cfRule>
    <cfRule type="cellIs" dxfId="31504" priority="18990" stopIfTrue="1" operator="equal">
      <formula>"Napkin Hs"</formula>
    </cfRule>
  </conditionalFormatting>
  <conditionalFormatting sqref="C7">
    <cfRule type="cellIs" dxfId="31503" priority="18987" stopIfTrue="1" operator="equal">
      <formula>"Towel"</formula>
    </cfRule>
    <cfRule type="cellIs" dxfId="31502" priority="18988" stopIfTrue="1" operator="equal">
      <formula>"Napkin Hs"</formula>
    </cfRule>
  </conditionalFormatting>
  <conditionalFormatting sqref="C7">
    <cfRule type="cellIs" dxfId="31501" priority="18985" stopIfTrue="1" operator="equal">
      <formula>"Towel"</formula>
    </cfRule>
    <cfRule type="cellIs" dxfId="31500" priority="18986" stopIfTrue="1" operator="equal">
      <formula>"Napkin Hs"</formula>
    </cfRule>
  </conditionalFormatting>
  <conditionalFormatting sqref="C7">
    <cfRule type="cellIs" dxfId="31499" priority="18983" stopIfTrue="1" operator="equal">
      <formula>"Towel"</formula>
    </cfRule>
    <cfRule type="cellIs" dxfId="31498" priority="18984" stopIfTrue="1" operator="equal">
      <formula>"Napkin Hs"</formula>
    </cfRule>
  </conditionalFormatting>
  <conditionalFormatting sqref="C7">
    <cfRule type="cellIs" dxfId="31497" priority="18981" stopIfTrue="1" operator="equal">
      <formula>"Towel"</formula>
    </cfRule>
    <cfRule type="cellIs" dxfId="31496" priority="18982" stopIfTrue="1" operator="equal">
      <formula>"Napkin Hs"</formula>
    </cfRule>
  </conditionalFormatting>
  <conditionalFormatting sqref="C7">
    <cfRule type="cellIs" dxfId="31495" priority="18979" stopIfTrue="1" operator="equal">
      <formula>"Towel"</formula>
    </cfRule>
    <cfRule type="cellIs" dxfId="31494" priority="18980" stopIfTrue="1" operator="equal">
      <formula>"Napkin Hs"</formula>
    </cfRule>
  </conditionalFormatting>
  <conditionalFormatting sqref="C7">
    <cfRule type="cellIs" dxfId="31493" priority="18977" stopIfTrue="1" operator="equal">
      <formula>"Towel"</formula>
    </cfRule>
    <cfRule type="cellIs" dxfId="31492" priority="18978" stopIfTrue="1" operator="equal">
      <formula>"Napkin Hs"</formula>
    </cfRule>
  </conditionalFormatting>
  <conditionalFormatting sqref="C7">
    <cfRule type="cellIs" dxfId="31491" priority="18975" stopIfTrue="1" operator="equal">
      <formula>"Towel"</formula>
    </cfRule>
    <cfRule type="cellIs" dxfId="31490" priority="18976" stopIfTrue="1" operator="equal">
      <formula>"Napkin Hs"</formula>
    </cfRule>
  </conditionalFormatting>
  <conditionalFormatting sqref="C7">
    <cfRule type="cellIs" dxfId="31489" priority="18962" stopIfTrue="1" operator="equal">
      <formula>"Napkin Hs"</formula>
    </cfRule>
  </conditionalFormatting>
  <conditionalFormatting sqref="C7">
    <cfRule type="cellIs" dxfId="31488" priority="18961" stopIfTrue="1" operator="equal">
      <formula>"Towel"</formula>
    </cfRule>
  </conditionalFormatting>
  <conditionalFormatting sqref="C7">
    <cfRule type="cellIs" dxfId="31487" priority="18960" stopIfTrue="1" operator="equal">
      <formula>"Napkin Hs"</formula>
    </cfRule>
  </conditionalFormatting>
  <conditionalFormatting sqref="C7">
    <cfRule type="cellIs" dxfId="31486" priority="18957" stopIfTrue="1" operator="equal">
      <formula>"Towel"</formula>
    </cfRule>
    <cfRule type="cellIs" dxfId="31485" priority="18958" stopIfTrue="1" operator="equal">
      <formula>"Napkin Hs"</formula>
    </cfRule>
  </conditionalFormatting>
  <conditionalFormatting sqref="C7">
    <cfRule type="cellIs" dxfId="31484" priority="18959" stopIfTrue="1" operator="equal">
      <formula>"Towel"</formula>
    </cfRule>
  </conditionalFormatting>
  <conditionalFormatting sqref="C7">
    <cfRule type="cellIs" dxfId="31483" priority="19077" stopIfTrue="1" operator="equal">
      <formula>"Towel"</formula>
    </cfRule>
    <cfRule type="cellIs" dxfId="31482" priority="19078" stopIfTrue="1" operator="equal">
      <formula>"Napkin Hs"</formula>
    </cfRule>
  </conditionalFormatting>
  <conditionalFormatting sqref="C7">
    <cfRule type="cellIs" dxfId="31481" priority="19076" stopIfTrue="1" operator="equal">
      <formula>"Napkin Hs"</formula>
    </cfRule>
  </conditionalFormatting>
  <conditionalFormatting sqref="C7">
    <cfRule type="cellIs" dxfId="31480" priority="19075" stopIfTrue="1" operator="equal">
      <formula>"Towel"</formula>
    </cfRule>
  </conditionalFormatting>
  <conditionalFormatting sqref="C7">
    <cfRule type="cellIs" dxfId="31479" priority="19074" stopIfTrue="1" operator="equal">
      <formula>"Napkin Hs"</formula>
    </cfRule>
  </conditionalFormatting>
  <conditionalFormatting sqref="C7">
    <cfRule type="cellIs" dxfId="31478" priority="19071" stopIfTrue="1" operator="equal">
      <formula>"Towel"</formula>
    </cfRule>
    <cfRule type="cellIs" dxfId="31477" priority="19072" stopIfTrue="1" operator="equal">
      <formula>"Napkin Hs"</formula>
    </cfRule>
  </conditionalFormatting>
  <conditionalFormatting sqref="C7">
    <cfRule type="cellIs" dxfId="31476" priority="19073" stopIfTrue="1" operator="equal">
      <formula>"Towel"</formula>
    </cfRule>
  </conditionalFormatting>
  <conditionalFormatting sqref="C7">
    <cfRule type="cellIs" dxfId="31475" priority="19081" stopIfTrue="1" operator="equal">
      <formula>"Towel"</formula>
    </cfRule>
    <cfRule type="cellIs" dxfId="31474" priority="19082" stopIfTrue="1" operator="equal">
      <formula>"Napkin Hs"</formula>
    </cfRule>
  </conditionalFormatting>
  <conditionalFormatting sqref="C7">
    <cfRule type="cellIs" dxfId="31473" priority="19079" stopIfTrue="1" operator="equal">
      <formula>"Towel"</formula>
    </cfRule>
    <cfRule type="cellIs" dxfId="31472" priority="19080" stopIfTrue="1" operator="equal">
      <formula>"Napkin Hs"</formula>
    </cfRule>
  </conditionalFormatting>
  <conditionalFormatting sqref="C7">
    <cfRule type="cellIs" dxfId="31471" priority="19051" stopIfTrue="1" operator="equal">
      <formula>"Towel"</formula>
    </cfRule>
    <cfRule type="cellIs" dxfId="31470" priority="19052" stopIfTrue="1" operator="equal">
      <formula>"Napkin Hs"</formula>
    </cfRule>
  </conditionalFormatting>
  <conditionalFormatting sqref="C7">
    <cfRule type="cellIs" dxfId="31469" priority="19049" stopIfTrue="1" operator="equal">
      <formula>"Towel"</formula>
    </cfRule>
    <cfRule type="cellIs" dxfId="31468" priority="19050" stopIfTrue="1" operator="equal">
      <formula>"Napkin Hs"</formula>
    </cfRule>
  </conditionalFormatting>
  <conditionalFormatting sqref="C7">
    <cfRule type="cellIs" dxfId="31467" priority="19028" stopIfTrue="1" operator="equal">
      <formula>"Napkin Hs"</formula>
    </cfRule>
  </conditionalFormatting>
  <conditionalFormatting sqref="C7">
    <cfRule type="cellIs" dxfId="31466" priority="19027" stopIfTrue="1" operator="equal">
      <formula>"Towel"</formula>
    </cfRule>
  </conditionalFormatting>
  <conditionalFormatting sqref="C7">
    <cfRule type="cellIs" dxfId="31465" priority="19026" stopIfTrue="1" operator="equal">
      <formula>"Napkin Hs"</formula>
    </cfRule>
  </conditionalFormatting>
  <conditionalFormatting sqref="C7">
    <cfRule type="cellIs" dxfId="31464" priority="19025" stopIfTrue="1" operator="equal">
      <formula>"Towel"</formula>
    </cfRule>
  </conditionalFormatting>
  <conditionalFormatting sqref="C7">
    <cfRule type="cellIs" dxfId="31463" priority="19022" stopIfTrue="1" operator="equal">
      <formula>"Napkin Hs"</formula>
    </cfRule>
  </conditionalFormatting>
  <conditionalFormatting sqref="C7">
    <cfRule type="cellIs" dxfId="31462" priority="19021" stopIfTrue="1" operator="equal">
      <formula>"Towel"</formula>
    </cfRule>
  </conditionalFormatting>
  <conditionalFormatting sqref="C7">
    <cfRule type="cellIs" dxfId="31461" priority="19020" stopIfTrue="1" operator="equal">
      <formula>"Napkin Hs"</formula>
    </cfRule>
  </conditionalFormatting>
  <conditionalFormatting sqref="C7">
    <cfRule type="cellIs" dxfId="31460" priority="19019" stopIfTrue="1" operator="equal">
      <formula>"Towel"</formula>
    </cfRule>
  </conditionalFormatting>
  <conditionalFormatting sqref="C7">
    <cfRule type="cellIs" dxfId="31459" priority="19015" stopIfTrue="1" operator="equal">
      <formula>"Towel"</formula>
    </cfRule>
    <cfRule type="cellIs" dxfId="31458" priority="19016" stopIfTrue="1" operator="equal">
      <formula>"Napkin Hs"</formula>
    </cfRule>
  </conditionalFormatting>
  <conditionalFormatting sqref="C7">
    <cfRule type="cellIs" dxfId="31457" priority="19013" stopIfTrue="1" operator="equal">
      <formula>"Towel"</formula>
    </cfRule>
    <cfRule type="cellIs" dxfId="31456" priority="19014" stopIfTrue="1" operator="equal">
      <formula>"Napkin Hs"</formula>
    </cfRule>
  </conditionalFormatting>
  <conditionalFormatting sqref="C7">
    <cfRule type="cellIs" dxfId="31455" priority="18997" stopIfTrue="1" operator="equal">
      <formula>"Towel"</formula>
    </cfRule>
    <cfRule type="cellIs" dxfId="31454" priority="18998" stopIfTrue="1" operator="equal">
      <formula>"Napkin Hs"</formula>
    </cfRule>
  </conditionalFormatting>
  <conditionalFormatting sqref="C7">
    <cfRule type="cellIs" dxfId="31453" priority="18995" stopIfTrue="1" operator="equal">
      <formula>"Towel"</formula>
    </cfRule>
    <cfRule type="cellIs" dxfId="31452" priority="18996" stopIfTrue="1" operator="equal">
      <formula>"Napkin Hs"</formula>
    </cfRule>
  </conditionalFormatting>
  <conditionalFormatting sqref="B7:C7">
    <cfRule type="cellIs" dxfId="31451" priority="18956" stopIfTrue="1" operator="equal">
      <formula>"Napkin Hs"</formula>
    </cfRule>
  </conditionalFormatting>
  <conditionalFormatting sqref="B7:C7">
    <cfRule type="cellIs" dxfId="31450" priority="18955" stopIfTrue="1" operator="equal">
      <formula>"Towel"</formula>
    </cfRule>
  </conditionalFormatting>
  <conditionalFormatting sqref="C7">
    <cfRule type="cellIs" dxfId="31449" priority="18954" stopIfTrue="1" operator="equal">
      <formula>"Napkin Hs"</formula>
    </cfRule>
  </conditionalFormatting>
  <conditionalFormatting sqref="C7">
    <cfRule type="cellIs" dxfId="31448" priority="18951" stopIfTrue="1" operator="equal">
      <formula>"Towel"</formula>
    </cfRule>
    <cfRule type="cellIs" dxfId="31447" priority="18952" stopIfTrue="1" operator="equal">
      <formula>"Napkin Hs"</formula>
    </cfRule>
  </conditionalFormatting>
  <conditionalFormatting sqref="C7">
    <cfRule type="cellIs" dxfId="31446" priority="18953" stopIfTrue="1" operator="equal">
      <formula>"Towel"</formula>
    </cfRule>
  </conditionalFormatting>
  <conditionalFormatting sqref="C14">
    <cfRule type="cellIs" dxfId="31445" priority="18673" stopIfTrue="1" operator="equal">
      <formula>"Towel"</formula>
    </cfRule>
    <cfRule type="cellIs" dxfId="31444" priority="18674" stopIfTrue="1" operator="equal">
      <formula>"Napkin Hs"</formula>
    </cfRule>
  </conditionalFormatting>
  <conditionalFormatting sqref="C14">
    <cfRule type="cellIs" dxfId="31443" priority="18671" stopIfTrue="1" operator="equal">
      <formula>"Towel"</formula>
    </cfRule>
    <cfRule type="cellIs" dxfId="31442" priority="18672" stopIfTrue="1" operator="equal">
      <formula>"Napkin Hs"</formula>
    </cfRule>
  </conditionalFormatting>
  <conditionalFormatting sqref="C14">
    <cfRule type="cellIs" dxfId="31441" priority="18669" stopIfTrue="1" operator="equal">
      <formula>"Towel"</formula>
    </cfRule>
    <cfRule type="cellIs" dxfId="31440" priority="18670" stopIfTrue="1" operator="equal">
      <formula>"Napkin Hs"</formula>
    </cfRule>
  </conditionalFormatting>
  <conditionalFormatting sqref="C14">
    <cfRule type="cellIs" dxfId="31439" priority="18668" stopIfTrue="1" operator="equal">
      <formula>"Napkin Hs"</formula>
    </cfRule>
  </conditionalFormatting>
  <conditionalFormatting sqref="C14">
    <cfRule type="cellIs" dxfId="31438" priority="18667" stopIfTrue="1" operator="equal">
      <formula>"Towel"</formula>
    </cfRule>
  </conditionalFormatting>
  <conditionalFormatting sqref="C14">
    <cfRule type="cellIs" dxfId="31437" priority="18666" stopIfTrue="1" operator="equal">
      <formula>"Napkin Hs"</formula>
    </cfRule>
  </conditionalFormatting>
  <conditionalFormatting sqref="C14">
    <cfRule type="cellIs" dxfId="31436" priority="18665" stopIfTrue="1" operator="equal">
      <formula>"Towel"</formula>
    </cfRule>
  </conditionalFormatting>
  <conditionalFormatting sqref="C14">
    <cfRule type="cellIs" dxfId="31435" priority="18663" stopIfTrue="1" operator="equal">
      <formula>"Towel"</formula>
    </cfRule>
    <cfRule type="cellIs" dxfId="31434" priority="18664" stopIfTrue="1" operator="equal">
      <formula>"Napkin Hs"</formula>
    </cfRule>
  </conditionalFormatting>
  <conditionalFormatting sqref="C14">
    <cfRule type="cellIs" dxfId="31433" priority="18661" stopIfTrue="1" operator="equal">
      <formula>"Towel"</formula>
    </cfRule>
    <cfRule type="cellIs" dxfId="31432" priority="18662" stopIfTrue="1" operator="equal">
      <formula>"Napkin Hs"</formula>
    </cfRule>
  </conditionalFormatting>
  <conditionalFormatting sqref="C14">
    <cfRule type="cellIs" dxfId="31431" priority="18657" stopIfTrue="1" operator="equal">
      <formula>"Towel"</formula>
    </cfRule>
    <cfRule type="cellIs" dxfId="31430" priority="18658" stopIfTrue="1" operator="equal">
      <formula>"Napkin Hs"</formula>
    </cfRule>
  </conditionalFormatting>
  <conditionalFormatting sqref="C14">
    <cfRule type="cellIs" dxfId="31429" priority="18659" stopIfTrue="1" operator="equal">
      <formula>"Towel"</formula>
    </cfRule>
    <cfRule type="cellIs" dxfId="31428" priority="18660" stopIfTrue="1" operator="equal">
      <formula>"Napkin Hs"</formula>
    </cfRule>
  </conditionalFormatting>
  <conditionalFormatting sqref="C14">
    <cfRule type="cellIs" dxfId="31427" priority="18651" stopIfTrue="1" operator="equal">
      <formula>"Towel"</formula>
    </cfRule>
    <cfRule type="cellIs" dxfId="31426" priority="18652" stopIfTrue="1" operator="equal">
      <formula>"Napkin Hs"</formula>
    </cfRule>
  </conditionalFormatting>
  <conditionalFormatting sqref="C14">
    <cfRule type="cellIs" dxfId="31425" priority="18649" stopIfTrue="1" operator="equal">
      <formula>"Towel"</formula>
    </cfRule>
    <cfRule type="cellIs" dxfId="31424" priority="18650" stopIfTrue="1" operator="equal">
      <formula>"Napkin Hs"</formula>
    </cfRule>
  </conditionalFormatting>
  <conditionalFormatting sqref="C14">
    <cfRule type="cellIs" dxfId="31423" priority="18647" stopIfTrue="1" operator="equal">
      <formula>"Towel"</formula>
    </cfRule>
    <cfRule type="cellIs" dxfId="31422" priority="18648" stopIfTrue="1" operator="equal">
      <formula>"Napkin Hs"</formula>
    </cfRule>
  </conditionalFormatting>
  <conditionalFormatting sqref="C14">
    <cfRule type="cellIs" dxfId="31421" priority="18645" stopIfTrue="1" operator="equal">
      <formula>"Towel"</formula>
    </cfRule>
    <cfRule type="cellIs" dxfId="31420" priority="18646" stopIfTrue="1" operator="equal">
      <formula>"Napkin Hs"</formula>
    </cfRule>
  </conditionalFormatting>
  <conditionalFormatting sqref="C14">
    <cfRule type="cellIs" dxfId="31419" priority="18643" stopIfTrue="1" operator="equal">
      <formula>"Towel"</formula>
    </cfRule>
    <cfRule type="cellIs" dxfId="31418" priority="18644" stopIfTrue="1" operator="equal">
      <formula>"Napkin Hs"</formula>
    </cfRule>
  </conditionalFormatting>
  <conditionalFormatting sqref="C14">
    <cfRule type="cellIs" dxfId="31417" priority="18641" stopIfTrue="1" operator="equal">
      <formula>"Towel"</formula>
    </cfRule>
    <cfRule type="cellIs" dxfId="31416" priority="18642" stopIfTrue="1" operator="equal">
      <formula>"Napkin Hs"</formula>
    </cfRule>
  </conditionalFormatting>
  <conditionalFormatting sqref="C14">
    <cfRule type="cellIs" dxfId="31415" priority="18639" stopIfTrue="1" operator="equal">
      <formula>"Towel"</formula>
    </cfRule>
    <cfRule type="cellIs" dxfId="31414" priority="18640" stopIfTrue="1" operator="equal">
      <formula>"Napkin Hs"</formula>
    </cfRule>
  </conditionalFormatting>
  <conditionalFormatting sqref="C14">
    <cfRule type="cellIs" dxfId="31413" priority="18637" stopIfTrue="1" operator="equal">
      <formula>"Towel"</formula>
    </cfRule>
    <cfRule type="cellIs" dxfId="31412" priority="18638" stopIfTrue="1" operator="equal">
      <formula>"Napkin Hs"</formula>
    </cfRule>
  </conditionalFormatting>
  <conditionalFormatting sqref="C14">
    <cfRule type="cellIs" dxfId="31411" priority="18635" stopIfTrue="1" operator="equal">
      <formula>"Towel"</formula>
    </cfRule>
    <cfRule type="cellIs" dxfId="31410" priority="18636" stopIfTrue="1" operator="equal">
      <formula>"Napkin Hs"</formula>
    </cfRule>
  </conditionalFormatting>
  <conditionalFormatting sqref="C14">
    <cfRule type="cellIs" dxfId="31409" priority="18633" stopIfTrue="1" operator="equal">
      <formula>"Towel"</formula>
    </cfRule>
    <cfRule type="cellIs" dxfId="31408" priority="18634" stopIfTrue="1" operator="equal">
      <formula>"Napkin Hs"</formula>
    </cfRule>
  </conditionalFormatting>
  <conditionalFormatting sqref="C14">
    <cfRule type="cellIs" dxfId="31407" priority="18627" stopIfTrue="1" operator="equal">
      <formula>"Towel"</formula>
    </cfRule>
    <cfRule type="cellIs" dxfId="31406" priority="18628" stopIfTrue="1" operator="equal">
      <formula>"Napkin Hs"</formula>
    </cfRule>
  </conditionalFormatting>
  <conditionalFormatting sqref="C14">
    <cfRule type="cellIs" dxfId="31405" priority="18621" stopIfTrue="1" operator="equal">
      <formula>"Towel"</formula>
    </cfRule>
    <cfRule type="cellIs" dxfId="31404" priority="18622" stopIfTrue="1" operator="equal">
      <formula>"Napkin Hs"</formula>
    </cfRule>
  </conditionalFormatting>
  <conditionalFormatting sqref="C14">
    <cfRule type="cellIs" dxfId="31403" priority="18615" stopIfTrue="1" operator="equal">
      <formula>"Towel"</formula>
    </cfRule>
    <cfRule type="cellIs" dxfId="31402" priority="18616" stopIfTrue="1" operator="equal">
      <formula>"Napkin Hs"</formula>
    </cfRule>
  </conditionalFormatting>
  <conditionalFormatting sqref="C14">
    <cfRule type="cellIs" dxfId="31401" priority="18614" stopIfTrue="1" operator="equal">
      <formula>"Napkin Hs"</formula>
    </cfRule>
  </conditionalFormatting>
  <conditionalFormatting sqref="C14">
    <cfRule type="cellIs" dxfId="31400" priority="18613" stopIfTrue="1" operator="equal">
      <formula>"Towel"</formula>
    </cfRule>
  </conditionalFormatting>
  <conditionalFormatting sqref="C14">
    <cfRule type="cellIs" dxfId="31399" priority="18612" stopIfTrue="1" operator="equal">
      <formula>"Napkin Hs"</formula>
    </cfRule>
  </conditionalFormatting>
  <conditionalFormatting sqref="C14">
    <cfRule type="cellIs" dxfId="31398" priority="18611" stopIfTrue="1" operator="equal">
      <formula>"Towel"</formula>
    </cfRule>
  </conditionalFormatting>
  <conditionalFormatting sqref="C14">
    <cfRule type="cellIs" dxfId="31397" priority="18609" stopIfTrue="1" operator="equal">
      <formula>"Towel"</formula>
    </cfRule>
    <cfRule type="cellIs" dxfId="31396" priority="18610" stopIfTrue="1" operator="equal">
      <formula>"Napkin Hs"</formula>
    </cfRule>
  </conditionalFormatting>
  <conditionalFormatting sqref="C14">
    <cfRule type="cellIs" dxfId="31395" priority="18607" stopIfTrue="1" operator="equal">
      <formula>"Towel"</formula>
    </cfRule>
    <cfRule type="cellIs" dxfId="31394" priority="18608" stopIfTrue="1" operator="equal">
      <formula>"Napkin Hs"</formula>
    </cfRule>
  </conditionalFormatting>
  <conditionalFormatting sqref="C14">
    <cfRule type="cellIs" dxfId="31393" priority="18603" stopIfTrue="1" operator="equal">
      <formula>"Towel"</formula>
    </cfRule>
    <cfRule type="cellIs" dxfId="31392" priority="18604" stopIfTrue="1" operator="equal">
      <formula>"Napkin Hs"</formula>
    </cfRule>
  </conditionalFormatting>
  <conditionalFormatting sqref="C14">
    <cfRule type="cellIs" dxfId="31391" priority="18605" stopIfTrue="1" operator="equal">
      <formula>"Towel"</formula>
    </cfRule>
    <cfRule type="cellIs" dxfId="31390" priority="18606" stopIfTrue="1" operator="equal">
      <formula>"Napkin Hs"</formula>
    </cfRule>
  </conditionalFormatting>
  <conditionalFormatting sqref="C14">
    <cfRule type="cellIs" dxfId="31389" priority="18597" stopIfTrue="1" operator="equal">
      <formula>"Towel"</formula>
    </cfRule>
    <cfRule type="cellIs" dxfId="31388" priority="18598" stopIfTrue="1" operator="equal">
      <formula>"Napkin Hs"</formula>
    </cfRule>
  </conditionalFormatting>
  <conditionalFormatting sqref="C14">
    <cfRule type="cellIs" dxfId="31387" priority="18595" stopIfTrue="1" operator="equal">
      <formula>"Towel"</formula>
    </cfRule>
    <cfRule type="cellIs" dxfId="31386" priority="18596" stopIfTrue="1" operator="equal">
      <formula>"Napkin Hs"</formula>
    </cfRule>
  </conditionalFormatting>
  <conditionalFormatting sqref="C14">
    <cfRule type="cellIs" dxfId="31385" priority="18593" stopIfTrue="1" operator="equal">
      <formula>"Towel"</formula>
    </cfRule>
    <cfRule type="cellIs" dxfId="31384" priority="18594" stopIfTrue="1" operator="equal">
      <formula>"Napkin Hs"</formula>
    </cfRule>
  </conditionalFormatting>
  <conditionalFormatting sqref="C14">
    <cfRule type="cellIs" dxfId="31383" priority="18591" stopIfTrue="1" operator="equal">
      <formula>"Towel"</formula>
    </cfRule>
    <cfRule type="cellIs" dxfId="31382" priority="18592" stopIfTrue="1" operator="equal">
      <formula>"Napkin Hs"</formula>
    </cfRule>
  </conditionalFormatting>
  <conditionalFormatting sqref="C14">
    <cfRule type="cellIs" dxfId="31381" priority="18589" stopIfTrue="1" operator="equal">
      <formula>"Towel"</formula>
    </cfRule>
    <cfRule type="cellIs" dxfId="31380" priority="18590" stopIfTrue="1" operator="equal">
      <formula>"Napkin Hs"</formula>
    </cfRule>
  </conditionalFormatting>
  <conditionalFormatting sqref="C14">
    <cfRule type="cellIs" dxfId="31379" priority="18587" stopIfTrue="1" operator="equal">
      <formula>"Towel"</formula>
    </cfRule>
    <cfRule type="cellIs" dxfId="31378" priority="18588" stopIfTrue="1" operator="equal">
      <formula>"Napkin Hs"</formula>
    </cfRule>
  </conditionalFormatting>
  <conditionalFormatting sqref="C14">
    <cfRule type="cellIs" dxfId="31377" priority="18585" stopIfTrue="1" operator="equal">
      <formula>"Towel"</formula>
    </cfRule>
    <cfRule type="cellIs" dxfId="31376" priority="18586" stopIfTrue="1" operator="equal">
      <formula>"Napkin Hs"</formula>
    </cfRule>
  </conditionalFormatting>
  <conditionalFormatting sqref="C14">
    <cfRule type="cellIs" dxfId="31375" priority="18583" stopIfTrue="1" operator="equal">
      <formula>"Towel"</formula>
    </cfRule>
    <cfRule type="cellIs" dxfId="31374" priority="18584" stopIfTrue="1" operator="equal">
      <formula>"Napkin Hs"</formula>
    </cfRule>
  </conditionalFormatting>
  <conditionalFormatting sqref="C14">
    <cfRule type="cellIs" dxfId="31373" priority="18581" stopIfTrue="1" operator="equal">
      <formula>"Towel"</formula>
    </cfRule>
    <cfRule type="cellIs" dxfId="31372" priority="18582" stopIfTrue="1" operator="equal">
      <formula>"Napkin Hs"</formula>
    </cfRule>
  </conditionalFormatting>
  <conditionalFormatting sqref="C14">
    <cfRule type="cellIs" dxfId="31371" priority="18579" stopIfTrue="1" operator="equal">
      <formula>"Towel"</formula>
    </cfRule>
    <cfRule type="cellIs" dxfId="31370" priority="18580" stopIfTrue="1" operator="equal">
      <formula>"Napkin Hs"</formula>
    </cfRule>
  </conditionalFormatting>
  <conditionalFormatting sqref="C14">
    <cfRule type="cellIs" dxfId="31369" priority="18573" stopIfTrue="1" operator="equal">
      <formula>"Towel"</formula>
    </cfRule>
    <cfRule type="cellIs" dxfId="31368" priority="18574" stopIfTrue="1" operator="equal">
      <formula>"Napkin Hs"</formula>
    </cfRule>
  </conditionalFormatting>
  <conditionalFormatting sqref="C14">
    <cfRule type="cellIs" dxfId="31367" priority="18567" stopIfTrue="1" operator="equal">
      <formula>"Towel"</formula>
    </cfRule>
    <cfRule type="cellIs" dxfId="31366" priority="18568" stopIfTrue="1" operator="equal">
      <formula>"Napkin Hs"</formula>
    </cfRule>
  </conditionalFormatting>
  <conditionalFormatting sqref="C14">
    <cfRule type="cellIs" dxfId="31365" priority="18566" stopIfTrue="1" operator="equal">
      <formula>"Napkin Hs"</formula>
    </cfRule>
  </conditionalFormatting>
  <conditionalFormatting sqref="C14">
    <cfRule type="cellIs" dxfId="31364" priority="18565" stopIfTrue="1" operator="equal">
      <formula>"Towel"</formula>
    </cfRule>
  </conditionalFormatting>
  <conditionalFormatting sqref="C14">
    <cfRule type="cellIs" dxfId="31363" priority="18564" stopIfTrue="1" operator="equal">
      <formula>"Napkin Hs"</formula>
    </cfRule>
  </conditionalFormatting>
  <conditionalFormatting sqref="C14">
    <cfRule type="cellIs" dxfId="31362" priority="18561" stopIfTrue="1" operator="equal">
      <formula>"Towel"</formula>
    </cfRule>
    <cfRule type="cellIs" dxfId="31361" priority="18562" stopIfTrue="1" operator="equal">
      <formula>"Napkin Hs"</formula>
    </cfRule>
  </conditionalFormatting>
  <conditionalFormatting sqref="C14">
    <cfRule type="cellIs" dxfId="31360" priority="18563" stopIfTrue="1" operator="equal">
      <formula>"Towel"</formula>
    </cfRule>
  </conditionalFormatting>
  <conditionalFormatting sqref="C14">
    <cfRule type="cellIs" dxfId="31359" priority="18681" stopIfTrue="1" operator="equal">
      <formula>"Towel"</formula>
    </cfRule>
    <cfRule type="cellIs" dxfId="31358" priority="18682" stopIfTrue="1" operator="equal">
      <formula>"Napkin Hs"</formula>
    </cfRule>
  </conditionalFormatting>
  <conditionalFormatting sqref="C14">
    <cfRule type="cellIs" dxfId="31357" priority="18680" stopIfTrue="1" operator="equal">
      <formula>"Napkin Hs"</formula>
    </cfRule>
  </conditionalFormatting>
  <conditionalFormatting sqref="C14">
    <cfRule type="cellIs" dxfId="31356" priority="18679" stopIfTrue="1" operator="equal">
      <formula>"Towel"</formula>
    </cfRule>
  </conditionalFormatting>
  <conditionalFormatting sqref="C14">
    <cfRule type="cellIs" dxfId="31355" priority="18678" stopIfTrue="1" operator="equal">
      <formula>"Napkin Hs"</formula>
    </cfRule>
  </conditionalFormatting>
  <conditionalFormatting sqref="C14">
    <cfRule type="cellIs" dxfId="31354" priority="18675" stopIfTrue="1" operator="equal">
      <formula>"Towel"</formula>
    </cfRule>
    <cfRule type="cellIs" dxfId="31353" priority="18676" stopIfTrue="1" operator="equal">
      <formula>"Napkin Hs"</formula>
    </cfRule>
  </conditionalFormatting>
  <conditionalFormatting sqref="C14">
    <cfRule type="cellIs" dxfId="31352" priority="18677" stopIfTrue="1" operator="equal">
      <formula>"Towel"</formula>
    </cfRule>
  </conditionalFormatting>
  <conditionalFormatting sqref="C14">
    <cfRule type="cellIs" dxfId="31351" priority="18685" stopIfTrue="1" operator="equal">
      <formula>"Towel"</formula>
    </cfRule>
    <cfRule type="cellIs" dxfId="31350" priority="18686" stopIfTrue="1" operator="equal">
      <formula>"Napkin Hs"</formula>
    </cfRule>
  </conditionalFormatting>
  <conditionalFormatting sqref="C14">
    <cfRule type="cellIs" dxfId="31349" priority="18683" stopIfTrue="1" operator="equal">
      <formula>"Towel"</formula>
    </cfRule>
    <cfRule type="cellIs" dxfId="31348" priority="18684" stopIfTrue="1" operator="equal">
      <formula>"Napkin Hs"</formula>
    </cfRule>
  </conditionalFormatting>
  <conditionalFormatting sqref="C14">
    <cfRule type="cellIs" dxfId="31347" priority="18655" stopIfTrue="1" operator="equal">
      <formula>"Towel"</formula>
    </cfRule>
    <cfRule type="cellIs" dxfId="31346" priority="18656" stopIfTrue="1" operator="equal">
      <formula>"Napkin Hs"</formula>
    </cfRule>
  </conditionalFormatting>
  <conditionalFormatting sqref="C14">
    <cfRule type="cellIs" dxfId="31345" priority="18653" stopIfTrue="1" operator="equal">
      <formula>"Towel"</formula>
    </cfRule>
    <cfRule type="cellIs" dxfId="31344" priority="18654" stopIfTrue="1" operator="equal">
      <formula>"Napkin Hs"</formula>
    </cfRule>
  </conditionalFormatting>
  <conditionalFormatting sqref="C14">
    <cfRule type="cellIs" dxfId="31343" priority="18632" stopIfTrue="1" operator="equal">
      <formula>"Napkin Hs"</formula>
    </cfRule>
  </conditionalFormatting>
  <conditionalFormatting sqref="C14">
    <cfRule type="cellIs" dxfId="31342" priority="18631" stopIfTrue="1" operator="equal">
      <formula>"Towel"</formula>
    </cfRule>
  </conditionalFormatting>
  <conditionalFormatting sqref="C14">
    <cfRule type="cellIs" dxfId="31341" priority="18630" stopIfTrue="1" operator="equal">
      <formula>"Napkin Hs"</formula>
    </cfRule>
  </conditionalFormatting>
  <conditionalFormatting sqref="C14">
    <cfRule type="cellIs" dxfId="31340" priority="18629" stopIfTrue="1" operator="equal">
      <formula>"Towel"</formula>
    </cfRule>
  </conditionalFormatting>
  <conditionalFormatting sqref="C14">
    <cfRule type="cellIs" dxfId="31339" priority="18626" stopIfTrue="1" operator="equal">
      <formula>"Napkin Hs"</formula>
    </cfRule>
  </conditionalFormatting>
  <conditionalFormatting sqref="C14">
    <cfRule type="cellIs" dxfId="31338" priority="18625" stopIfTrue="1" operator="equal">
      <formula>"Towel"</formula>
    </cfRule>
  </conditionalFormatting>
  <conditionalFormatting sqref="C14">
    <cfRule type="cellIs" dxfId="31337" priority="18624" stopIfTrue="1" operator="equal">
      <formula>"Napkin Hs"</formula>
    </cfRule>
  </conditionalFormatting>
  <conditionalFormatting sqref="C14">
    <cfRule type="cellIs" dxfId="31336" priority="18623" stopIfTrue="1" operator="equal">
      <formula>"Towel"</formula>
    </cfRule>
  </conditionalFormatting>
  <conditionalFormatting sqref="C14">
    <cfRule type="cellIs" dxfId="31335" priority="18619" stopIfTrue="1" operator="equal">
      <formula>"Towel"</formula>
    </cfRule>
    <cfRule type="cellIs" dxfId="31334" priority="18620" stopIfTrue="1" operator="equal">
      <formula>"Napkin Hs"</formula>
    </cfRule>
  </conditionalFormatting>
  <conditionalFormatting sqref="C14">
    <cfRule type="cellIs" dxfId="31333" priority="18617" stopIfTrue="1" operator="equal">
      <formula>"Towel"</formula>
    </cfRule>
    <cfRule type="cellIs" dxfId="31332" priority="18618" stopIfTrue="1" operator="equal">
      <formula>"Napkin Hs"</formula>
    </cfRule>
  </conditionalFormatting>
  <conditionalFormatting sqref="C14">
    <cfRule type="cellIs" dxfId="31331" priority="18601" stopIfTrue="1" operator="equal">
      <formula>"Towel"</formula>
    </cfRule>
    <cfRule type="cellIs" dxfId="31330" priority="18602" stopIfTrue="1" operator="equal">
      <formula>"Napkin Hs"</formula>
    </cfRule>
  </conditionalFormatting>
  <conditionalFormatting sqref="C14">
    <cfRule type="cellIs" dxfId="31329" priority="18599" stopIfTrue="1" operator="equal">
      <formula>"Towel"</formula>
    </cfRule>
    <cfRule type="cellIs" dxfId="31328" priority="18600" stopIfTrue="1" operator="equal">
      <formula>"Napkin Hs"</formula>
    </cfRule>
  </conditionalFormatting>
  <conditionalFormatting sqref="C14">
    <cfRule type="cellIs" dxfId="31327" priority="18578" stopIfTrue="1" operator="equal">
      <formula>"Napkin Hs"</formula>
    </cfRule>
  </conditionalFormatting>
  <conditionalFormatting sqref="C14">
    <cfRule type="cellIs" dxfId="31326" priority="18577" stopIfTrue="1" operator="equal">
      <formula>"Towel"</formula>
    </cfRule>
  </conditionalFormatting>
  <conditionalFormatting sqref="C14">
    <cfRule type="cellIs" dxfId="31325" priority="18576" stopIfTrue="1" operator="equal">
      <formula>"Napkin Hs"</formula>
    </cfRule>
  </conditionalFormatting>
  <conditionalFormatting sqref="C14">
    <cfRule type="cellIs" dxfId="31324" priority="18575" stopIfTrue="1" operator="equal">
      <formula>"Towel"</formula>
    </cfRule>
  </conditionalFormatting>
  <conditionalFormatting sqref="C14">
    <cfRule type="cellIs" dxfId="31323" priority="18572" stopIfTrue="1" operator="equal">
      <formula>"Napkin Hs"</formula>
    </cfRule>
  </conditionalFormatting>
  <conditionalFormatting sqref="C14">
    <cfRule type="cellIs" dxfId="31322" priority="18571" stopIfTrue="1" operator="equal">
      <formula>"Towel"</formula>
    </cfRule>
  </conditionalFormatting>
  <conditionalFormatting sqref="C14">
    <cfRule type="cellIs" dxfId="31321" priority="18570" stopIfTrue="1" operator="equal">
      <formula>"Napkin Hs"</formula>
    </cfRule>
  </conditionalFormatting>
  <conditionalFormatting sqref="C14">
    <cfRule type="cellIs" dxfId="31320" priority="18569" stopIfTrue="1" operator="equal">
      <formula>"Towel"</formula>
    </cfRule>
  </conditionalFormatting>
  <conditionalFormatting sqref="B14:C14">
    <cfRule type="cellIs" dxfId="31319" priority="18560" stopIfTrue="1" operator="equal">
      <formula>"Napkin Hs"</formula>
    </cfRule>
  </conditionalFormatting>
  <conditionalFormatting sqref="B14:C14">
    <cfRule type="cellIs" dxfId="31318" priority="18559" stopIfTrue="1" operator="equal">
      <formula>"Towel"</formula>
    </cfRule>
  </conditionalFormatting>
  <conditionalFormatting sqref="C14">
    <cfRule type="cellIs" dxfId="31317" priority="18558" stopIfTrue="1" operator="equal">
      <formula>"Napkin Hs"</formula>
    </cfRule>
  </conditionalFormatting>
  <conditionalFormatting sqref="C14">
    <cfRule type="cellIs" dxfId="31316" priority="18555" stopIfTrue="1" operator="equal">
      <formula>"Towel"</formula>
    </cfRule>
    <cfRule type="cellIs" dxfId="31315" priority="18556" stopIfTrue="1" operator="equal">
      <formula>"Napkin Hs"</formula>
    </cfRule>
  </conditionalFormatting>
  <conditionalFormatting sqref="C14">
    <cfRule type="cellIs" dxfId="31314" priority="18557" stopIfTrue="1" operator="equal">
      <formula>"Towel"</formula>
    </cfRule>
  </conditionalFormatting>
  <conditionalFormatting sqref="C13">
    <cfRule type="cellIs" dxfId="31313" priority="18541" stopIfTrue="1" operator="equal">
      <formula>"Towel"</formula>
    </cfRule>
    <cfRule type="cellIs" dxfId="31312" priority="18542" stopIfTrue="1" operator="equal">
      <formula>"Napkin Hs"</formula>
    </cfRule>
  </conditionalFormatting>
  <conditionalFormatting sqref="C13">
    <cfRule type="cellIs" dxfId="31311" priority="18539" stopIfTrue="1" operator="equal">
      <formula>"Towel"</formula>
    </cfRule>
    <cfRule type="cellIs" dxfId="31310" priority="18540" stopIfTrue="1" operator="equal">
      <formula>"Napkin Hs"</formula>
    </cfRule>
  </conditionalFormatting>
  <conditionalFormatting sqref="C13">
    <cfRule type="cellIs" dxfId="31309" priority="18537" stopIfTrue="1" operator="equal">
      <formula>"Towel"</formula>
    </cfRule>
    <cfRule type="cellIs" dxfId="31308" priority="18538" stopIfTrue="1" operator="equal">
      <formula>"Napkin Hs"</formula>
    </cfRule>
  </conditionalFormatting>
  <conditionalFormatting sqref="C13">
    <cfRule type="cellIs" dxfId="31307" priority="18536" stopIfTrue="1" operator="equal">
      <formula>"Napkin Hs"</formula>
    </cfRule>
  </conditionalFormatting>
  <conditionalFormatting sqref="C13">
    <cfRule type="cellIs" dxfId="31306" priority="18535" stopIfTrue="1" operator="equal">
      <formula>"Towel"</formula>
    </cfRule>
  </conditionalFormatting>
  <conditionalFormatting sqref="C13">
    <cfRule type="cellIs" dxfId="31305" priority="18534" stopIfTrue="1" operator="equal">
      <formula>"Napkin Hs"</formula>
    </cfRule>
  </conditionalFormatting>
  <conditionalFormatting sqref="C13">
    <cfRule type="cellIs" dxfId="31304" priority="18533" stopIfTrue="1" operator="equal">
      <formula>"Towel"</formula>
    </cfRule>
  </conditionalFormatting>
  <conditionalFormatting sqref="C13">
    <cfRule type="cellIs" dxfId="31303" priority="18531" stopIfTrue="1" operator="equal">
      <formula>"Towel"</formula>
    </cfRule>
    <cfRule type="cellIs" dxfId="31302" priority="18532" stopIfTrue="1" operator="equal">
      <formula>"Napkin Hs"</formula>
    </cfRule>
  </conditionalFormatting>
  <conditionalFormatting sqref="C13">
    <cfRule type="cellIs" dxfId="31301" priority="18529" stopIfTrue="1" operator="equal">
      <formula>"Towel"</formula>
    </cfRule>
    <cfRule type="cellIs" dxfId="31300" priority="18530" stopIfTrue="1" operator="equal">
      <formula>"Napkin Hs"</formula>
    </cfRule>
  </conditionalFormatting>
  <conditionalFormatting sqref="C13">
    <cfRule type="cellIs" dxfId="31299" priority="18525" stopIfTrue="1" operator="equal">
      <formula>"Towel"</formula>
    </cfRule>
    <cfRule type="cellIs" dxfId="31298" priority="18526" stopIfTrue="1" operator="equal">
      <formula>"Napkin Hs"</formula>
    </cfRule>
  </conditionalFormatting>
  <conditionalFormatting sqref="C13">
    <cfRule type="cellIs" dxfId="31297" priority="18527" stopIfTrue="1" operator="equal">
      <formula>"Towel"</formula>
    </cfRule>
    <cfRule type="cellIs" dxfId="31296" priority="18528" stopIfTrue="1" operator="equal">
      <formula>"Napkin Hs"</formula>
    </cfRule>
  </conditionalFormatting>
  <conditionalFormatting sqref="C13">
    <cfRule type="cellIs" dxfId="31295" priority="18519" stopIfTrue="1" operator="equal">
      <formula>"Towel"</formula>
    </cfRule>
    <cfRule type="cellIs" dxfId="31294" priority="18520" stopIfTrue="1" operator="equal">
      <formula>"Napkin Hs"</formula>
    </cfRule>
  </conditionalFormatting>
  <conditionalFormatting sqref="C13">
    <cfRule type="cellIs" dxfId="31293" priority="18517" stopIfTrue="1" operator="equal">
      <formula>"Towel"</formula>
    </cfRule>
    <cfRule type="cellIs" dxfId="31292" priority="18518" stopIfTrue="1" operator="equal">
      <formula>"Napkin Hs"</formula>
    </cfRule>
  </conditionalFormatting>
  <conditionalFormatting sqref="C13">
    <cfRule type="cellIs" dxfId="31291" priority="18515" stopIfTrue="1" operator="equal">
      <formula>"Towel"</formula>
    </cfRule>
    <cfRule type="cellIs" dxfId="31290" priority="18516" stopIfTrue="1" operator="equal">
      <formula>"Napkin Hs"</formula>
    </cfRule>
  </conditionalFormatting>
  <conditionalFormatting sqref="C13">
    <cfRule type="cellIs" dxfId="31289" priority="18513" stopIfTrue="1" operator="equal">
      <formula>"Towel"</formula>
    </cfRule>
    <cfRule type="cellIs" dxfId="31288" priority="18514" stopIfTrue="1" operator="equal">
      <formula>"Napkin Hs"</formula>
    </cfRule>
  </conditionalFormatting>
  <conditionalFormatting sqref="C13">
    <cfRule type="cellIs" dxfId="31287" priority="18511" stopIfTrue="1" operator="equal">
      <formula>"Towel"</formula>
    </cfRule>
    <cfRule type="cellIs" dxfId="31286" priority="18512" stopIfTrue="1" operator="equal">
      <formula>"Napkin Hs"</formula>
    </cfRule>
  </conditionalFormatting>
  <conditionalFormatting sqref="C13">
    <cfRule type="cellIs" dxfId="31285" priority="18509" stopIfTrue="1" operator="equal">
      <formula>"Towel"</formula>
    </cfRule>
    <cfRule type="cellIs" dxfId="31284" priority="18510" stopIfTrue="1" operator="equal">
      <formula>"Napkin Hs"</formula>
    </cfRule>
  </conditionalFormatting>
  <conditionalFormatting sqref="C13">
    <cfRule type="cellIs" dxfId="31283" priority="18507" stopIfTrue="1" operator="equal">
      <formula>"Towel"</formula>
    </cfRule>
    <cfRule type="cellIs" dxfId="31282" priority="18508" stopIfTrue="1" operator="equal">
      <formula>"Napkin Hs"</formula>
    </cfRule>
  </conditionalFormatting>
  <conditionalFormatting sqref="C13">
    <cfRule type="cellIs" dxfId="31281" priority="18505" stopIfTrue="1" operator="equal">
      <formula>"Towel"</formula>
    </cfRule>
    <cfRule type="cellIs" dxfId="31280" priority="18506" stopIfTrue="1" operator="equal">
      <formula>"Napkin Hs"</formula>
    </cfRule>
  </conditionalFormatting>
  <conditionalFormatting sqref="C13">
    <cfRule type="cellIs" dxfId="31279" priority="18503" stopIfTrue="1" operator="equal">
      <formula>"Towel"</formula>
    </cfRule>
    <cfRule type="cellIs" dxfId="31278" priority="18504" stopIfTrue="1" operator="equal">
      <formula>"Napkin Hs"</formula>
    </cfRule>
  </conditionalFormatting>
  <conditionalFormatting sqref="C13">
    <cfRule type="cellIs" dxfId="31277" priority="18501" stopIfTrue="1" operator="equal">
      <formula>"Towel"</formula>
    </cfRule>
    <cfRule type="cellIs" dxfId="31276" priority="18502" stopIfTrue="1" operator="equal">
      <formula>"Napkin Hs"</formula>
    </cfRule>
  </conditionalFormatting>
  <conditionalFormatting sqref="C13">
    <cfRule type="cellIs" dxfId="31275" priority="18495" stopIfTrue="1" operator="equal">
      <formula>"Towel"</formula>
    </cfRule>
    <cfRule type="cellIs" dxfId="31274" priority="18496" stopIfTrue="1" operator="equal">
      <formula>"Napkin Hs"</formula>
    </cfRule>
  </conditionalFormatting>
  <conditionalFormatting sqref="C13">
    <cfRule type="cellIs" dxfId="31273" priority="18489" stopIfTrue="1" operator="equal">
      <formula>"Towel"</formula>
    </cfRule>
    <cfRule type="cellIs" dxfId="31272" priority="18490" stopIfTrue="1" operator="equal">
      <formula>"Napkin Hs"</formula>
    </cfRule>
  </conditionalFormatting>
  <conditionalFormatting sqref="C13">
    <cfRule type="cellIs" dxfId="31271" priority="18483" stopIfTrue="1" operator="equal">
      <formula>"Towel"</formula>
    </cfRule>
    <cfRule type="cellIs" dxfId="31270" priority="18484" stopIfTrue="1" operator="equal">
      <formula>"Napkin Hs"</formula>
    </cfRule>
  </conditionalFormatting>
  <conditionalFormatting sqref="C13">
    <cfRule type="cellIs" dxfId="31269" priority="18482" stopIfTrue="1" operator="equal">
      <formula>"Napkin Hs"</formula>
    </cfRule>
  </conditionalFormatting>
  <conditionalFormatting sqref="C13">
    <cfRule type="cellIs" dxfId="31268" priority="18481" stopIfTrue="1" operator="equal">
      <formula>"Towel"</formula>
    </cfRule>
  </conditionalFormatting>
  <conditionalFormatting sqref="C13">
    <cfRule type="cellIs" dxfId="31267" priority="18480" stopIfTrue="1" operator="equal">
      <formula>"Napkin Hs"</formula>
    </cfRule>
  </conditionalFormatting>
  <conditionalFormatting sqref="C13">
    <cfRule type="cellIs" dxfId="31266" priority="18479" stopIfTrue="1" operator="equal">
      <formula>"Towel"</formula>
    </cfRule>
  </conditionalFormatting>
  <conditionalFormatting sqref="C13">
    <cfRule type="cellIs" dxfId="31265" priority="18477" stopIfTrue="1" operator="equal">
      <formula>"Towel"</formula>
    </cfRule>
    <cfRule type="cellIs" dxfId="31264" priority="18478" stopIfTrue="1" operator="equal">
      <formula>"Napkin Hs"</formula>
    </cfRule>
  </conditionalFormatting>
  <conditionalFormatting sqref="C13">
    <cfRule type="cellIs" dxfId="31263" priority="18475" stopIfTrue="1" operator="equal">
      <formula>"Towel"</formula>
    </cfRule>
    <cfRule type="cellIs" dxfId="31262" priority="18476" stopIfTrue="1" operator="equal">
      <formula>"Napkin Hs"</formula>
    </cfRule>
  </conditionalFormatting>
  <conditionalFormatting sqref="C13">
    <cfRule type="cellIs" dxfId="31261" priority="18471" stopIfTrue="1" operator="equal">
      <formula>"Towel"</formula>
    </cfRule>
    <cfRule type="cellIs" dxfId="31260" priority="18472" stopIfTrue="1" operator="equal">
      <formula>"Napkin Hs"</formula>
    </cfRule>
  </conditionalFormatting>
  <conditionalFormatting sqref="C13">
    <cfRule type="cellIs" dxfId="31259" priority="18473" stopIfTrue="1" operator="equal">
      <formula>"Towel"</formula>
    </cfRule>
    <cfRule type="cellIs" dxfId="31258" priority="18474" stopIfTrue="1" operator="equal">
      <formula>"Napkin Hs"</formula>
    </cfRule>
  </conditionalFormatting>
  <conditionalFormatting sqref="C13">
    <cfRule type="cellIs" dxfId="31257" priority="18465" stopIfTrue="1" operator="equal">
      <formula>"Towel"</formula>
    </cfRule>
    <cfRule type="cellIs" dxfId="31256" priority="18466" stopIfTrue="1" operator="equal">
      <formula>"Napkin Hs"</formula>
    </cfRule>
  </conditionalFormatting>
  <conditionalFormatting sqref="C13">
    <cfRule type="cellIs" dxfId="31255" priority="18463" stopIfTrue="1" operator="equal">
      <formula>"Towel"</formula>
    </cfRule>
    <cfRule type="cellIs" dxfId="31254" priority="18464" stopIfTrue="1" operator="equal">
      <formula>"Napkin Hs"</formula>
    </cfRule>
  </conditionalFormatting>
  <conditionalFormatting sqref="C13">
    <cfRule type="cellIs" dxfId="31253" priority="18461" stopIfTrue="1" operator="equal">
      <formula>"Towel"</formula>
    </cfRule>
    <cfRule type="cellIs" dxfId="31252" priority="18462" stopIfTrue="1" operator="equal">
      <formula>"Napkin Hs"</formula>
    </cfRule>
  </conditionalFormatting>
  <conditionalFormatting sqref="C13">
    <cfRule type="cellIs" dxfId="31251" priority="18459" stopIfTrue="1" operator="equal">
      <formula>"Towel"</formula>
    </cfRule>
    <cfRule type="cellIs" dxfId="31250" priority="18460" stopIfTrue="1" operator="equal">
      <formula>"Napkin Hs"</formula>
    </cfRule>
  </conditionalFormatting>
  <conditionalFormatting sqref="C13">
    <cfRule type="cellIs" dxfId="31249" priority="18457" stopIfTrue="1" operator="equal">
      <formula>"Towel"</formula>
    </cfRule>
    <cfRule type="cellIs" dxfId="31248" priority="18458" stopIfTrue="1" operator="equal">
      <formula>"Napkin Hs"</formula>
    </cfRule>
  </conditionalFormatting>
  <conditionalFormatting sqref="C13">
    <cfRule type="cellIs" dxfId="31247" priority="18455" stopIfTrue="1" operator="equal">
      <formula>"Towel"</formula>
    </cfRule>
    <cfRule type="cellIs" dxfId="31246" priority="18456" stopIfTrue="1" operator="equal">
      <formula>"Napkin Hs"</formula>
    </cfRule>
  </conditionalFormatting>
  <conditionalFormatting sqref="C13">
    <cfRule type="cellIs" dxfId="31245" priority="18453" stopIfTrue="1" operator="equal">
      <formula>"Towel"</formula>
    </cfRule>
    <cfRule type="cellIs" dxfId="31244" priority="18454" stopIfTrue="1" operator="equal">
      <formula>"Napkin Hs"</formula>
    </cfRule>
  </conditionalFormatting>
  <conditionalFormatting sqref="C13">
    <cfRule type="cellIs" dxfId="31243" priority="18451" stopIfTrue="1" operator="equal">
      <formula>"Towel"</formula>
    </cfRule>
    <cfRule type="cellIs" dxfId="31242" priority="18452" stopIfTrue="1" operator="equal">
      <formula>"Napkin Hs"</formula>
    </cfRule>
  </conditionalFormatting>
  <conditionalFormatting sqref="C13">
    <cfRule type="cellIs" dxfId="31241" priority="18449" stopIfTrue="1" operator="equal">
      <formula>"Towel"</formula>
    </cfRule>
    <cfRule type="cellIs" dxfId="31240" priority="18450" stopIfTrue="1" operator="equal">
      <formula>"Napkin Hs"</formula>
    </cfRule>
  </conditionalFormatting>
  <conditionalFormatting sqref="C13">
    <cfRule type="cellIs" dxfId="31239" priority="18447" stopIfTrue="1" operator="equal">
      <formula>"Towel"</formula>
    </cfRule>
    <cfRule type="cellIs" dxfId="31238" priority="18448" stopIfTrue="1" operator="equal">
      <formula>"Napkin Hs"</formula>
    </cfRule>
  </conditionalFormatting>
  <conditionalFormatting sqref="C13">
    <cfRule type="cellIs" dxfId="31237" priority="18441" stopIfTrue="1" operator="equal">
      <formula>"Towel"</formula>
    </cfRule>
    <cfRule type="cellIs" dxfId="31236" priority="18442" stopIfTrue="1" operator="equal">
      <formula>"Napkin Hs"</formula>
    </cfRule>
  </conditionalFormatting>
  <conditionalFormatting sqref="C13">
    <cfRule type="cellIs" dxfId="31235" priority="18435" stopIfTrue="1" operator="equal">
      <formula>"Towel"</formula>
    </cfRule>
    <cfRule type="cellIs" dxfId="31234" priority="18436" stopIfTrue="1" operator="equal">
      <formula>"Napkin Hs"</formula>
    </cfRule>
  </conditionalFormatting>
  <conditionalFormatting sqref="C13">
    <cfRule type="cellIs" dxfId="31233" priority="18434" stopIfTrue="1" operator="equal">
      <formula>"Napkin Hs"</formula>
    </cfRule>
  </conditionalFormatting>
  <conditionalFormatting sqref="C13">
    <cfRule type="cellIs" dxfId="31232" priority="18433" stopIfTrue="1" operator="equal">
      <formula>"Towel"</formula>
    </cfRule>
  </conditionalFormatting>
  <conditionalFormatting sqref="C13">
    <cfRule type="cellIs" dxfId="31231" priority="18432" stopIfTrue="1" operator="equal">
      <formula>"Napkin Hs"</formula>
    </cfRule>
  </conditionalFormatting>
  <conditionalFormatting sqref="C13">
    <cfRule type="cellIs" dxfId="31230" priority="18429" stopIfTrue="1" operator="equal">
      <formula>"Towel"</formula>
    </cfRule>
    <cfRule type="cellIs" dxfId="31229" priority="18430" stopIfTrue="1" operator="equal">
      <formula>"Napkin Hs"</formula>
    </cfRule>
  </conditionalFormatting>
  <conditionalFormatting sqref="C13">
    <cfRule type="cellIs" dxfId="31228" priority="18431" stopIfTrue="1" operator="equal">
      <formula>"Towel"</formula>
    </cfRule>
  </conditionalFormatting>
  <conditionalFormatting sqref="C13">
    <cfRule type="cellIs" dxfId="31227" priority="18549" stopIfTrue="1" operator="equal">
      <formula>"Towel"</formula>
    </cfRule>
    <cfRule type="cellIs" dxfId="31226" priority="18550" stopIfTrue="1" operator="equal">
      <formula>"Napkin Hs"</formula>
    </cfRule>
  </conditionalFormatting>
  <conditionalFormatting sqref="C13">
    <cfRule type="cellIs" dxfId="31225" priority="18548" stopIfTrue="1" operator="equal">
      <formula>"Napkin Hs"</formula>
    </cfRule>
  </conditionalFormatting>
  <conditionalFormatting sqref="C13">
    <cfRule type="cellIs" dxfId="31224" priority="18547" stopIfTrue="1" operator="equal">
      <formula>"Towel"</formula>
    </cfRule>
  </conditionalFormatting>
  <conditionalFormatting sqref="C13">
    <cfRule type="cellIs" dxfId="31223" priority="18546" stopIfTrue="1" operator="equal">
      <formula>"Napkin Hs"</formula>
    </cfRule>
  </conditionalFormatting>
  <conditionalFormatting sqref="C13">
    <cfRule type="cellIs" dxfId="31222" priority="18543" stopIfTrue="1" operator="equal">
      <formula>"Towel"</formula>
    </cfRule>
    <cfRule type="cellIs" dxfId="31221" priority="18544" stopIfTrue="1" operator="equal">
      <formula>"Napkin Hs"</formula>
    </cfRule>
  </conditionalFormatting>
  <conditionalFormatting sqref="C13">
    <cfRule type="cellIs" dxfId="31220" priority="18545" stopIfTrue="1" operator="equal">
      <formula>"Towel"</formula>
    </cfRule>
  </conditionalFormatting>
  <conditionalFormatting sqref="C13">
    <cfRule type="cellIs" dxfId="31219" priority="18553" stopIfTrue="1" operator="equal">
      <formula>"Towel"</formula>
    </cfRule>
    <cfRule type="cellIs" dxfId="31218" priority="18554" stopIfTrue="1" operator="equal">
      <formula>"Napkin Hs"</formula>
    </cfRule>
  </conditionalFormatting>
  <conditionalFormatting sqref="C13">
    <cfRule type="cellIs" dxfId="31217" priority="18551" stopIfTrue="1" operator="equal">
      <formula>"Towel"</formula>
    </cfRule>
    <cfRule type="cellIs" dxfId="31216" priority="18552" stopIfTrue="1" operator="equal">
      <formula>"Napkin Hs"</formula>
    </cfRule>
  </conditionalFormatting>
  <conditionalFormatting sqref="C13">
    <cfRule type="cellIs" dxfId="31215" priority="18523" stopIfTrue="1" operator="equal">
      <formula>"Towel"</formula>
    </cfRule>
    <cfRule type="cellIs" dxfId="31214" priority="18524" stopIfTrue="1" operator="equal">
      <formula>"Napkin Hs"</formula>
    </cfRule>
  </conditionalFormatting>
  <conditionalFormatting sqref="C13">
    <cfRule type="cellIs" dxfId="31213" priority="18521" stopIfTrue="1" operator="equal">
      <formula>"Towel"</formula>
    </cfRule>
    <cfRule type="cellIs" dxfId="31212" priority="18522" stopIfTrue="1" operator="equal">
      <formula>"Napkin Hs"</formula>
    </cfRule>
  </conditionalFormatting>
  <conditionalFormatting sqref="C13">
    <cfRule type="cellIs" dxfId="31211" priority="18500" stopIfTrue="1" operator="equal">
      <formula>"Napkin Hs"</formula>
    </cfRule>
  </conditionalFormatting>
  <conditionalFormatting sqref="C13">
    <cfRule type="cellIs" dxfId="31210" priority="18499" stopIfTrue="1" operator="equal">
      <formula>"Towel"</formula>
    </cfRule>
  </conditionalFormatting>
  <conditionalFormatting sqref="C13">
    <cfRule type="cellIs" dxfId="31209" priority="18498" stopIfTrue="1" operator="equal">
      <formula>"Napkin Hs"</formula>
    </cfRule>
  </conditionalFormatting>
  <conditionalFormatting sqref="C13">
    <cfRule type="cellIs" dxfId="31208" priority="18497" stopIfTrue="1" operator="equal">
      <formula>"Towel"</formula>
    </cfRule>
  </conditionalFormatting>
  <conditionalFormatting sqref="C13">
    <cfRule type="cellIs" dxfId="31207" priority="18494" stopIfTrue="1" operator="equal">
      <formula>"Napkin Hs"</formula>
    </cfRule>
  </conditionalFormatting>
  <conditionalFormatting sqref="C13">
    <cfRule type="cellIs" dxfId="31206" priority="18493" stopIfTrue="1" operator="equal">
      <formula>"Towel"</formula>
    </cfRule>
  </conditionalFormatting>
  <conditionalFormatting sqref="C13">
    <cfRule type="cellIs" dxfId="31205" priority="18492" stopIfTrue="1" operator="equal">
      <formula>"Napkin Hs"</formula>
    </cfRule>
  </conditionalFormatting>
  <conditionalFormatting sqref="C13">
    <cfRule type="cellIs" dxfId="31204" priority="18491" stopIfTrue="1" operator="equal">
      <formula>"Towel"</formula>
    </cfRule>
  </conditionalFormatting>
  <conditionalFormatting sqref="C13">
    <cfRule type="cellIs" dxfId="31203" priority="18487" stopIfTrue="1" operator="equal">
      <formula>"Towel"</formula>
    </cfRule>
    <cfRule type="cellIs" dxfId="31202" priority="18488" stopIfTrue="1" operator="equal">
      <formula>"Napkin Hs"</formula>
    </cfRule>
  </conditionalFormatting>
  <conditionalFormatting sqref="C13">
    <cfRule type="cellIs" dxfId="31201" priority="18485" stopIfTrue="1" operator="equal">
      <formula>"Towel"</formula>
    </cfRule>
    <cfRule type="cellIs" dxfId="31200" priority="18486" stopIfTrue="1" operator="equal">
      <formula>"Napkin Hs"</formula>
    </cfRule>
  </conditionalFormatting>
  <conditionalFormatting sqref="C13">
    <cfRule type="cellIs" dxfId="31199" priority="18469" stopIfTrue="1" operator="equal">
      <formula>"Towel"</formula>
    </cfRule>
    <cfRule type="cellIs" dxfId="31198" priority="18470" stopIfTrue="1" operator="equal">
      <formula>"Napkin Hs"</formula>
    </cfRule>
  </conditionalFormatting>
  <conditionalFormatting sqref="C13">
    <cfRule type="cellIs" dxfId="31197" priority="18467" stopIfTrue="1" operator="equal">
      <formula>"Towel"</formula>
    </cfRule>
    <cfRule type="cellIs" dxfId="31196" priority="18468" stopIfTrue="1" operator="equal">
      <formula>"Napkin Hs"</formula>
    </cfRule>
  </conditionalFormatting>
  <conditionalFormatting sqref="C13">
    <cfRule type="cellIs" dxfId="31195" priority="18446" stopIfTrue="1" operator="equal">
      <formula>"Napkin Hs"</formula>
    </cfRule>
  </conditionalFormatting>
  <conditionalFormatting sqref="C13">
    <cfRule type="cellIs" dxfId="31194" priority="18445" stopIfTrue="1" operator="equal">
      <formula>"Towel"</formula>
    </cfRule>
  </conditionalFormatting>
  <conditionalFormatting sqref="C13">
    <cfRule type="cellIs" dxfId="31193" priority="18444" stopIfTrue="1" operator="equal">
      <formula>"Napkin Hs"</formula>
    </cfRule>
  </conditionalFormatting>
  <conditionalFormatting sqref="C13">
    <cfRule type="cellIs" dxfId="31192" priority="18443" stopIfTrue="1" operator="equal">
      <formula>"Towel"</formula>
    </cfRule>
  </conditionalFormatting>
  <conditionalFormatting sqref="C13">
    <cfRule type="cellIs" dxfId="31191" priority="18440" stopIfTrue="1" operator="equal">
      <formula>"Napkin Hs"</formula>
    </cfRule>
  </conditionalFormatting>
  <conditionalFormatting sqref="C13">
    <cfRule type="cellIs" dxfId="31190" priority="18439" stopIfTrue="1" operator="equal">
      <formula>"Towel"</formula>
    </cfRule>
  </conditionalFormatting>
  <conditionalFormatting sqref="C13">
    <cfRule type="cellIs" dxfId="31189" priority="18438" stopIfTrue="1" operator="equal">
      <formula>"Napkin Hs"</formula>
    </cfRule>
  </conditionalFormatting>
  <conditionalFormatting sqref="C13">
    <cfRule type="cellIs" dxfId="31188" priority="18437" stopIfTrue="1" operator="equal">
      <formula>"Towel"</formula>
    </cfRule>
  </conditionalFormatting>
  <conditionalFormatting sqref="B13:C13">
    <cfRule type="cellIs" dxfId="31187" priority="18428" stopIfTrue="1" operator="equal">
      <formula>"Napkin Hs"</formula>
    </cfRule>
  </conditionalFormatting>
  <conditionalFormatting sqref="B13:C13">
    <cfRule type="cellIs" dxfId="31186" priority="18427" stopIfTrue="1" operator="equal">
      <formula>"Towel"</formula>
    </cfRule>
  </conditionalFormatting>
  <conditionalFormatting sqref="C13">
    <cfRule type="cellIs" dxfId="31185" priority="18426" stopIfTrue="1" operator="equal">
      <formula>"Napkin Hs"</formula>
    </cfRule>
  </conditionalFormatting>
  <conditionalFormatting sqref="C13">
    <cfRule type="cellIs" dxfId="31184" priority="18423" stopIfTrue="1" operator="equal">
      <formula>"Towel"</formula>
    </cfRule>
    <cfRule type="cellIs" dxfId="31183" priority="18424" stopIfTrue="1" operator="equal">
      <formula>"Napkin Hs"</formula>
    </cfRule>
  </conditionalFormatting>
  <conditionalFormatting sqref="C13">
    <cfRule type="cellIs" dxfId="31182" priority="18425" stopIfTrue="1" operator="equal">
      <formula>"Towel"</formula>
    </cfRule>
  </conditionalFormatting>
  <conditionalFormatting sqref="C15">
    <cfRule type="cellIs" dxfId="31181" priority="18409" stopIfTrue="1" operator="equal">
      <formula>"Towel"</formula>
    </cfRule>
    <cfRule type="cellIs" dxfId="31180" priority="18410" stopIfTrue="1" operator="equal">
      <formula>"Napkin Hs"</formula>
    </cfRule>
  </conditionalFormatting>
  <conditionalFormatting sqref="C15">
    <cfRule type="cellIs" dxfId="31179" priority="18407" stopIfTrue="1" operator="equal">
      <formula>"Towel"</formula>
    </cfRule>
    <cfRule type="cellIs" dxfId="31178" priority="18408" stopIfTrue="1" operator="equal">
      <formula>"Napkin Hs"</formula>
    </cfRule>
  </conditionalFormatting>
  <conditionalFormatting sqref="C15">
    <cfRule type="cellIs" dxfId="31177" priority="18405" stopIfTrue="1" operator="equal">
      <formula>"Towel"</formula>
    </cfRule>
    <cfRule type="cellIs" dxfId="31176" priority="18406" stopIfTrue="1" operator="equal">
      <formula>"Napkin Hs"</formula>
    </cfRule>
  </conditionalFormatting>
  <conditionalFormatting sqref="C15">
    <cfRule type="cellIs" dxfId="31175" priority="18404" stopIfTrue="1" operator="equal">
      <formula>"Napkin Hs"</formula>
    </cfRule>
  </conditionalFormatting>
  <conditionalFormatting sqref="C15">
    <cfRule type="cellIs" dxfId="31174" priority="18403" stopIfTrue="1" operator="equal">
      <formula>"Towel"</formula>
    </cfRule>
  </conditionalFormatting>
  <conditionalFormatting sqref="C15">
    <cfRule type="cellIs" dxfId="31173" priority="18402" stopIfTrue="1" operator="equal">
      <formula>"Napkin Hs"</formula>
    </cfRule>
  </conditionalFormatting>
  <conditionalFormatting sqref="C15">
    <cfRule type="cellIs" dxfId="31172" priority="18401" stopIfTrue="1" operator="equal">
      <formula>"Towel"</formula>
    </cfRule>
  </conditionalFormatting>
  <conditionalFormatting sqref="C15">
    <cfRule type="cellIs" dxfId="31171" priority="18399" stopIfTrue="1" operator="equal">
      <formula>"Towel"</formula>
    </cfRule>
    <cfRule type="cellIs" dxfId="31170" priority="18400" stopIfTrue="1" operator="equal">
      <formula>"Napkin Hs"</formula>
    </cfRule>
  </conditionalFormatting>
  <conditionalFormatting sqref="C15">
    <cfRule type="cellIs" dxfId="31169" priority="18397" stopIfTrue="1" operator="equal">
      <formula>"Towel"</formula>
    </cfRule>
    <cfRule type="cellIs" dxfId="31168" priority="18398" stopIfTrue="1" operator="equal">
      <formula>"Napkin Hs"</formula>
    </cfRule>
  </conditionalFormatting>
  <conditionalFormatting sqref="C15">
    <cfRule type="cellIs" dxfId="31167" priority="18393" stopIfTrue="1" operator="equal">
      <formula>"Towel"</formula>
    </cfRule>
    <cfRule type="cellIs" dxfId="31166" priority="18394" stopIfTrue="1" operator="equal">
      <formula>"Napkin Hs"</formula>
    </cfRule>
  </conditionalFormatting>
  <conditionalFormatting sqref="C15">
    <cfRule type="cellIs" dxfId="31165" priority="18395" stopIfTrue="1" operator="equal">
      <formula>"Towel"</formula>
    </cfRule>
    <cfRule type="cellIs" dxfId="31164" priority="18396" stopIfTrue="1" operator="equal">
      <formula>"Napkin Hs"</formula>
    </cfRule>
  </conditionalFormatting>
  <conditionalFormatting sqref="C15">
    <cfRule type="cellIs" dxfId="31163" priority="18387" stopIfTrue="1" operator="equal">
      <formula>"Towel"</formula>
    </cfRule>
    <cfRule type="cellIs" dxfId="31162" priority="18388" stopIfTrue="1" operator="equal">
      <formula>"Napkin Hs"</formula>
    </cfRule>
  </conditionalFormatting>
  <conditionalFormatting sqref="C15">
    <cfRule type="cellIs" dxfId="31161" priority="18385" stopIfTrue="1" operator="equal">
      <formula>"Towel"</formula>
    </cfRule>
    <cfRule type="cellIs" dxfId="31160" priority="18386" stopIfTrue="1" operator="equal">
      <formula>"Napkin Hs"</formula>
    </cfRule>
  </conditionalFormatting>
  <conditionalFormatting sqref="C15">
    <cfRule type="cellIs" dxfId="31159" priority="18383" stopIfTrue="1" operator="equal">
      <formula>"Towel"</formula>
    </cfRule>
    <cfRule type="cellIs" dxfId="31158" priority="18384" stopIfTrue="1" operator="equal">
      <formula>"Napkin Hs"</formula>
    </cfRule>
  </conditionalFormatting>
  <conditionalFormatting sqref="C15">
    <cfRule type="cellIs" dxfId="31157" priority="18381" stopIfTrue="1" operator="equal">
      <formula>"Towel"</formula>
    </cfRule>
    <cfRule type="cellIs" dxfId="31156" priority="18382" stopIfTrue="1" operator="equal">
      <formula>"Napkin Hs"</formula>
    </cfRule>
  </conditionalFormatting>
  <conditionalFormatting sqref="C15">
    <cfRule type="cellIs" dxfId="31155" priority="18379" stopIfTrue="1" operator="equal">
      <formula>"Towel"</formula>
    </cfRule>
    <cfRule type="cellIs" dxfId="31154" priority="18380" stopIfTrue="1" operator="equal">
      <formula>"Napkin Hs"</formula>
    </cfRule>
  </conditionalFormatting>
  <conditionalFormatting sqref="C15">
    <cfRule type="cellIs" dxfId="31153" priority="18377" stopIfTrue="1" operator="equal">
      <formula>"Towel"</formula>
    </cfRule>
    <cfRule type="cellIs" dxfId="31152" priority="18378" stopIfTrue="1" operator="equal">
      <formula>"Napkin Hs"</formula>
    </cfRule>
  </conditionalFormatting>
  <conditionalFormatting sqref="C15">
    <cfRule type="cellIs" dxfId="31151" priority="18375" stopIfTrue="1" operator="equal">
      <formula>"Towel"</formula>
    </cfRule>
    <cfRule type="cellIs" dxfId="31150" priority="18376" stopIfTrue="1" operator="equal">
      <formula>"Napkin Hs"</formula>
    </cfRule>
  </conditionalFormatting>
  <conditionalFormatting sqref="C15">
    <cfRule type="cellIs" dxfId="31149" priority="18373" stopIfTrue="1" operator="equal">
      <formula>"Towel"</formula>
    </cfRule>
    <cfRule type="cellIs" dxfId="31148" priority="18374" stopIfTrue="1" operator="equal">
      <formula>"Napkin Hs"</formula>
    </cfRule>
  </conditionalFormatting>
  <conditionalFormatting sqref="C15">
    <cfRule type="cellIs" dxfId="31147" priority="18371" stopIfTrue="1" operator="equal">
      <formula>"Towel"</formula>
    </cfRule>
    <cfRule type="cellIs" dxfId="31146" priority="18372" stopIfTrue="1" operator="equal">
      <formula>"Napkin Hs"</formula>
    </cfRule>
  </conditionalFormatting>
  <conditionalFormatting sqref="C15">
    <cfRule type="cellIs" dxfId="31145" priority="18369" stopIfTrue="1" operator="equal">
      <formula>"Towel"</formula>
    </cfRule>
    <cfRule type="cellIs" dxfId="31144" priority="18370" stopIfTrue="1" operator="equal">
      <formula>"Napkin Hs"</formula>
    </cfRule>
  </conditionalFormatting>
  <conditionalFormatting sqref="C15">
    <cfRule type="cellIs" dxfId="31143" priority="18363" stopIfTrue="1" operator="equal">
      <formula>"Towel"</formula>
    </cfRule>
    <cfRule type="cellIs" dxfId="31142" priority="18364" stopIfTrue="1" operator="equal">
      <formula>"Napkin Hs"</formula>
    </cfRule>
  </conditionalFormatting>
  <conditionalFormatting sqref="C15">
    <cfRule type="cellIs" dxfId="31141" priority="18357" stopIfTrue="1" operator="equal">
      <formula>"Towel"</formula>
    </cfRule>
    <cfRule type="cellIs" dxfId="31140" priority="18358" stopIfTrue="1" operator="equal">
      <formula>"Napkin Hs"</formula>
    </cfRule>
  </conditionalFormatting>
  <conditionalFormatting sqref="C15">
    <cfRule type="cellIs" dxfId="31139" priority="18351" stopIfTrue="1" operator="equal">
      <formula>"Towel"</formula>
    </cfRule>
    <cfRule type="cellIs" dxfId="31138" priority="18352" stopIfTrue="1" operator="equal">
      <formula>"Napkin Hs"</formula>
    </cfRule>
  </conditionalFormatting>
  <conditionalFormatting sqref="C15">
    <cfRule type="cellIs" dxfId="31137" priority="18350" stopIfTrue="1" operator="equal">
      <formula>"Napkin Hs"</formula>
    </cfRule>
  </conditionalFormatting>
  <conditionalFormatting sqref="C15">
    <cfRule type="cellIs" dxfId="31136" priority="18349" stopIfTrue="1" operator="equal">
      <formula>"Towel"</formula>
    </cfRule>
  </conditionalFormatting>
  <conditionalFormatting sqref="C15">
    <cfRule type="cellIs" dxfId="31135" priority="18348" stopIfTrue="1" operator="equal">
      <formula>"Napkin Hs"</formula>
    </cfRule>
  </conditionalFormatting>
  <conditionalFormatting sqref="C15">
    <cfRule type="cellIs" dxfId="31134" priority="18347" stopIfTrue="1" operator="equal">
      <formula>"Towel"</formula>
    </cfRule>
  </conditionalFormatting>
  <conditionalFormatting sqref="C15">
    <cfRule type="cellIs" dxfId="31133" priority="18345" stopIfTrue="1" operator="equal">
      <formula>"Towel"</formula>
    </cfRule>
    <cfRule type="cellIs" dxfId="31132" priority="18346" stopIfTrue="1" operator="equal">
      <formula>"Napkin Hs"</formula>
    </cfRule>
  </conditionalFormatting>
  <conditionalFormatting sqref="C15">
    <cfRule type="cellIs" dxfId="31131" priority="18343" stopIfTrue="1" operator="equal">
      <formula>"Towel"</formula>
    </cfRule>
    <cfRule type="cellIs" dxfId="31130" priority="18344" stopIfTrue="1" operator="equal">
      <formula>"Napkin Hs"</formula>
    </cfRule>
  </conditionalFormatting>
  <conditionalFormatting sqref="C15">
    <cfRule type="cellIs" dxfId="31129" priority="18339" stopIfTrue="1" operator="equal">
      <formula>"Towel"</formula>
    </cfRule>
    <cfRule type="cellIs" dxfId="31128" priority="18340" stopIfTrue="1" operator="equal">
      <formula>"Napkin Hs"</formula>
    </cfRule>
  </conditionalFormatting>
  <conditionalFormatting sqref="C15">
    <cfRule type="cellIs" dxfId="31127" priority="18341" stopIfTrue="1" operator="equal">
      <formula>"Towel"</formula>
    </cfRule>
    <cfRule type="cellIs" dxfId="31126" priority="18342" stopIfTrue="1" operator="equal">
      <formula>"Napkin Hs"</formula>
    </cfRule>
  </conditionalFormatting>
  <conditionalFormatting sqref="C15">
    <cfRule type="cellIs" dxfId="31125" priority="18333" stopIfTrue="1" operator="equal">
      <formula>"Towel"</formula>
    </cfRule>
    <cfRule type="cellIs" dxfId="31124" priority="18334" stopIfTrue="1" operator="equal">
      <formula>"Napkin Hs"</formula>
    </cfRule>
  </conditionalFormatting>
  <conditionalFormatting sqref="C15">
    <cfRule type="cellIs" dxfId="31123" priority="18331" stopIfTrue="1" operator="equal">
      <formula>"Towel"</formula>
    </cfRule>
    <cfRule type="cellIs" dxfId="31122" priority="18332" stopIfTrue="1" operator="equal">
      <formula>"Napkin Hs"</formula>
    </cfRule>
  </conditionalFormatting>
  <conditionalFormatting sqref="C15">
    <cfRule type="cellIs" dxfId="31121" priority="18329" stopIfTrue="1" operator="equal">
      <formula>"Towel"</formula>
    </cfRule>
    <cfRule type="cellIs" dxfId="31120" priority="18330" stopIfTrue="1" operator="equal">
      <formula>"Napkin Hs"</formula>
    </cfRule>
  </conditionalFormatting>
  <conditionalFormatting sqref="C15">
    <cfRule type="cellIs" dxfId="31119" priority="18327" stopIfTrue="1" operator="equal">
      <formula>"Towel"</formula>
    </cfRule>
    <cfRule type="cellIs" dxfId="31118" priority="18328" stopIfTrue="1" operator="equal">
      <formula>"Napkin Hs"</formula>
    </cfRule>
  </conditionalFormatting>
  <conditionalFormatting sqref="C15">
    <cfRule type="cellIs" dxfId="31117" priority="18325" stopIfTrue="1" operator="equal">
      <formula>"Towel"</formula>
    </cfRule>
    <cfRule type="cellIs" dxfId="31116" priority="18326" stopIfTrue="1" operator="equal">
      <formula>"Napkin Hs"</formula>
    </cfRule>
  </conditionalFormatting>
  <conditionalFormatting sqref="C15">
    <cfRule type="cellIs" dxfId="31115" priority="18323" stopIfTrue="1" operator="equal">
      <formula>"Towel"</formula>
    </cfRule>
    <cfRule type="cellIs" dxfId="31114" priority="18324" stopIfTrue="1" operator="equal">
      <formula>"Napkin Hs"</formula>
    </cfRule>
  </conditionalFormatting>
  <conditionalFormatting sqref="C15">
    <cfRule type="cellIs" dxfId="31113" priority="18321" stopIfTrue="1" operator="equal">
      <formula>"Towel"</formula>
    </cfRule>
    <cfRule type="cellIs" dxfId="31112" priority="18322" stopIfTrue="1" operator="equal">
      <formula>"Napkin Hs"</formula>
    </cfRule>
  </conditionalFormatting>
  <conditionalFormatting sqref="C15">
    <cfRule type="cellIs" dxfId="31111" priority="18319" stopIfTrue="1" operator="equal">
      <formula>"Towel"</formula>
    </cfRule>
    <cfRule type="cellIs" dxfId="31110" priority="18320" stopIfTrue="1" operator="equal">
      <formula>"Napkin Hs"</formula>
    </cfRule>
  </conditionalFormatting>
  <conditionalFormatting sqref="C15">
    <cfRule type="cellIs" dxfId="31109" priority="18317" stopIfTrue="1" operator="equal">
      <formula>"Towel"</formula>
    </cfRule>
    <cfRule type="cellIs" dxfId="31108" priority="18318" stopIfTrue="1" operator="equal">
      <formula>"Napkin Hs"</formula>
    </cfRule>
  </conditionalFormatting>
  <conditionalFormatting sqref="C15">
    <cfRule type="cellIs" dxfId="31107" priority="18315" stopIfTrue="1" operator="equal">
      <formula>"Towel"</formula>
    </cfRule>
    <cfRule type="cellIs" dxfId="31106" priority="18316" stopIfTrue="1" operator="equal">
      <formula>"Napkin Hs"</formula>
    </cfRule>
  </conditionalFormatting>
  <conditionalFormatting sqref="C15">
    <cfRule type="cellIs" dxfId="31105" priority="18309" stopIfTrue="1" operator="equal">
      <formula>"Towel"</formula>
    </cfRule>
    <cfRule type="cellIs" dxfId="31104" priority="18310" stopIfTrue="1" operator="equal">
      <formula>"Napkin Hs"</formula>
    </cfRule>
  </conditionalFormatting>
  <conditionalFormatting sqref="C15">
    <cfRule type="cellIs" dxfId="31103" priority="18303" stopIfTrue="1" operator="equal">
      <formula>"Towel"</formula>
    </cfRule>
    <cfRule type="cellIs" dxfId="31102" priority="18304" stopIfTrue="1" operator="equal">
      <formula>"Napkin Hs"</formula>
    </cfRule>
  </conditionalFormatting>
  <conditionalFormatting sqref="C15">
    <cfRule type="cellIs" dxfId="31101" priority="18302" stopIfTrue="1" operator="equal">
      <formula>"Napkin Hs"</formula>
    </cfRule>
  </conditionalFormatting>
  <conditionalFormatting sqref="C15">
    <cfRule type="cellIs" dxfId="31100" priority="18301" stopIfTrue="1" operator="equal">
      <formula>"Towel"</formula>
    </cfRule>
  </conditionalFormatting>
  <conditionalFormatting sqref="C15">
    <cfRule type="cellIs" dxfId="31099" priority="18300" stopIfTrue="1" operator="equal">
      <formula>"Napkin Hs"</formula>
    </cfRule>
  </conditionalFormatting>
  <conditionalFormatting sqref="C15">
    <cfRule type="cellIs" dxfId="31098" priority="18297" stopIfTrue="1" operator="equal">
      <formula>"Towel"</formula>
    </cfRule>
    <cfRule type="cellIs" dxfId="31097" priority="18298" stopIfTrue="1" operator="equal">
      <formula>"Napkin Hs"</formula>
    </cfRule>
  </conditionalFormatting>
  <conditionalFormatting sqref="C15">
    <cfRule type="cellIs" dxfId="31096" priority="18299" stopIfTrue="1" operator="equal">
      <formula>"Towel"</formula>
    </cfRule>
  </conditionalFormatting>
  <conditionalFormatting sqref="C15">
    <cfRule type="cellIs" dxfId="31095" priority="18417" stopIfTrue="1" operator="equal">
      <formula>"Towel"</formula>
    </cfRule>
    <cfRule type="cellIs" dxfId="31094" priority="18418" stopIfTrue="1" operator="equal">
      <formula>"Napkin Hs"</formula>
    </cfRule>
  </conditionalFormatting>
  <conditionalFormatting sqref="C15">
    <cfRule type="cellIs" dxfId="31093" priority="18416" stopIfTrue="1" operator="equal">
      <formula>"Napkin Hs"</formula>
    </cfRule>
  </conditionalFormatting>
  <conditionalFormatting sqref="C15">
    <cfRule type="cellIs" dxfId="31092" priority="18415" stopIfTrue="1" operator="equal">
      <formula>"Towel"</formula>
    </cfRule>
  </conditionalFormatting>
  <conditionalFormatting sqref="C15">
    <cfRule type="cellIs" dxfId="31091" priority="18414" stopIfTrue="1" operator="equal">
      <formula>"Napkin Hs"</formula>
    </cfRule>
  </conditionalFormatting>
  <conditionalFormatting sqref="C15">
    <cfRule type="cellIs" dxfId="31090" priority="18411" stopIfTrue="1" operator="equal">
      <formula>"Towel"</formula>
    </cfRule>
    <cfRule type="cellIs" dxfId="31089" priority="18412" stopIfTrue="1" operator="equal">
      <formula>"Napkin Hs"</formula>
    </cfRule>
  </conditionalFormatting>
  <conditionalFormatting sqref="C15">
    <cfRule type="cellIs" dxfId="31088" priority="18413" stopIfTrue="1" operator="equal">
      <formula>"Towel"</formula>
    </cfRule>
  </conditionalFormatting>
  <conditionalFormatting sqref="C15">
    <cfRule type="cellIs" dxfId="31087" priority="18421" stopIfTrue="1" operator="equal">
      <formula>"Towel"</formula>
    </cfRule>
    <cfRule type="cellIs" dxfId="31086" priority="18422" stopIfTrue="1" operator="equal">
      <formula>"Napkin Hs"</formula>
    </cfRule>
  </conditionalFormatting>
  <conditionalFormatting sqref="C15">
    <cfRule type="cellIs" dxfId="31085" priority="18419" stopIfTrue="1" operator="equal">
      <formula>"Towel"</formula>
    </cfRule>
    <cfRule type="cellIs" dxfId="31084" priority="18420" stopIfTrue="1" operator="equal">
      <formula>"Napkin Hs"</formula>
    </cfRule>
  </conditionalFormatting>
  <conditionalFormatting sqref="C15">
    <cfRule type="cellIs" dxfId="31083" priority="18391" stopIfTrue="1" operator="equal">
      <formula>"Towel"</formula>
    </cfRule>
    <cfRule type="cellIs" dxfId="31082" priority="18392" stopIfTrue="1" operator="equal">
      <formula>"Napkin Hs"</formula>
    </cfRule>
  </conditionalFormatting>
  <conditionalFormatting sqref="C15">
    <cfRule type="cellIs" dxfId="31081" priority="18389" stopIfTrue="1" operator="equal">
      <formula>"Towel"</formula>
    </cfRule>
    <cfRule type="cellIs" dxfId="31080" priority="18390" stopIfTrue="1" operator="equal">
      <formula>"Napkin Hs"</formula>
    </cfRule>
  </conditionalFormatting>
  <conditionalFormatting sqref="C15">
    <cfRule type="cellIs" dxfId="31079" priority="18368" stopIfTrue="1" operator="equal">
      <formula>"Napkin Hs"</formula>
    </cfRule>
  </conditionalFormatting>
  <conditionalFormatting sqref="C15">
    <cfRule type="cellIs" dxfId="31078" priority="18367" stopIfTrue="1" operator="equal">
      <formula>"Towel"</formula>
    </cfRule>
  </conditionalFormatting>
  <conditionalFormatting sqref="C15">
    <cfRule type="cellIs" dxfId="31077" priority="18366" stopIfTrue="1" operator="equal">
      <formula>"Napkin Hs"</formula>
    </cfRule>
  </conditionalFormatting>
  <conditionalFormatting sqref="C15">
    <cfRule type="cellIs" dxfId="31076" priority="18365" stopIfTrue="1" operator="equal">
      <formula>"Towel"</formula>
    </cfRule>
  </conditionalFormatting>
  <conditionalFormatting sqref="C15">
    <cfRule type="cellIs" dxfId="31075" priority="18362" stopIfTrue="1" operator="equal">
      <formula>"Napkin Hs"</formula>
    </cfRule>
  </conditionalFormatting>
  <conditionalFormatting sqref="C15">
    <cfRule type="cellIs" dxfId="31074" priority="18361" stopIfTrue="1" operator="equal">
      <formula>"Towel"</formula>
    </cfRule>
  </conditionalFormatting>
  <conditionalFormatting sqref="C15">
    <cfRule type="cellIs" dxfId="31073" priority="18360" stopIfTrue="1" operator="equal">
      <formula>"Napkin Hs"</formula>
    </cfRule>
  </conditionalFormatting>
  <conditionalFormatting sqref="C15">
    <cfRule type="cellIs" dxfId="31072" priority="18359" stopIfTrue="1" operator="equal">
      <formula>"Towel"</formula>
    </cfRule>
  </conditionalFormatting>
  <conditionalFormatting sqref="C15">
    <cfRule type="cellIs" dxfId="31071" priority="18355" stopIfTrue="1" operator="equal">
      <formula>"Towel"</formula>
    </cfRule>
    <cfRule type="cellIs" dxfId="31070" priority="18356" stopIfTrue="1" operator="equal">
      <formula>"Napkin Hs"</formula>
    </cfRule>
  </conditionalFormatting>
  <conditionalFormatting sqref="C15">
    <cfRule type="cellIs" dxfId="31069" priority="18353" stopIfTrue="1" operator="equal">
      <formula>"Towel"</formula>
    </cfRule>
    <cfRule type="cellIs" dxfId="31068" priority="18354" stopIfTrue="1" operator="equal">
      <formula>"Napkin Hs"</formula>
    </cfRule>
  </conditionalFormatting>
  <conditionalFormatting sqref="C15">
    <cfRule type="cellIs" dxfId="31067" priority="18337" stopIfTrue="1" operator="equal">
      <formula>"Towel"</formula>
    </cfRule>
    <cfRule type="cellIs" dxfId="31066" priority="18338" stopIfTrue="1" operator="equal">
      <formula>"Napkin Hs"</formula>
    </cfRule>
  </conditionalFormatting>
  <conditionalFormatting sqref="C15">
    <cfRule type="cellIs" dxfId="31065" priority="18335" stopIfTrue="1" operator="equal">
      <formula>"Towel"</formula>
    </cfRule>
    <cfRule type="cellIs" dxfId="31064" priority="18336" stopIfTrue="1" operator="equal">
      <formula>"Napkin Hs"</formula>
    </cfRule>
  </conditionalFormatting>
  <conditionalFormatting sqref="C15">
    <cfRule type="cellIs" dxfId="31063" priority="18314" stopIfTrue="1" operator="equal">
      <formula>"Napkin Hs"</formula>
    </cfRule>
  </conditionalFormatting>
  <conditionalFormatting sqref="C15">
    <cfRule type="cellIs" dxfId="31062" priority="18313" stopIfTrue="1" operator="equal">
      <formula>"Towel"</formula>
    </cfRule>
  </conditionalFormatting>
  <conditionalFormatting sqref="C15">
    <cfRule type="cellIs" dxfId="31061" priority="18312" stopIfTrue="1" operator="equal">
      <formula>"Napkin Hs"</formula>
    </cfRule>
  </conditionalFormatting>
  <conditionalFormatting sqref="C15">
    <cfRule type="cellIs" dxfId="31060" priority="18311" stopIfTrue="1" operator="equal">
      <formula>"Towel"</formula>
    </cfRule>
  </conditionalFormatting>
  <conditionalFormatting sqref="C15">
    <cfRule type="cellIs" dxfId="31059" priority="18308" stopIfTrue="1" operator="equal">
      <formula>"Napkin Hs"</formula>
    </cfRule>
  </conditionalFormatting>
  <conditionalFormatting sqref="C15">
    <cfRule type="cellIs" dxfId="31058" priority="18307" stopIfTrue="1" operator="equal">
      <formula>"Towel"</formula>
    </cfRule>
  </conditionalFormatting>
  <conditionalFormatting sqref="C15">
    <cfRule type="cellIs" dxfId="31057" priority="18306" stopIfTrue="1" operator="equal">
      <formula>"Napkin Hs"</formula>
    </cfRule>
  </conditionalFormatting>
  <conditionalFormatting sqref="C15">
    <cfRule type="cellIs" dxfId="31056" priority="18305" stopIfTrue="1" operator="equal">
      <formula>"Towel"</formula>
    </cfRule>
  </conditionalFormatting>
  <conditionalFormatting sqref="B15:C15">
    <cfRule type="cellIs" dxfId="31055" priority="18296" stopIfTrue="1" operator="equal">
      <formula>"Napkin Hs"</formula>
    </cfRule>
  </conditionalFormatting>
  <conditionalFormatting sqref="B15:C15">
    <cfRule type="cellIs" dxfId="31054" priority="18295" stopIfTrue="1" operator="equal">
      <formula>"Towel"</formula>
    </cfRule>
  </conditionalFormatting>
  <conditionalFormatting sqref="C15">
    <cfRule type="cellIs" dxfId="31053" priority="18294" stopIfTrue="1" operator="equal">
      <formula>"Napkin Hs"</formula>
    </cfRule>
  </conditionalFormatting>
  <conditionalFormatting sqref="C15">
    <cfRule type="cellIs" dxfId="31052" priority="18291" stopIfTrue="1" operator="equal">
      <formula>"Towel"</formula>
    </cfRule>
    <cfRule type="cellIs" dxfId="31051" priority="18292" stopIfTrue="1" operator="equal">
      <formula>"Napkin Hs"</formula>
    </cfRule>
  </conditionalFormatting>
  <conditionalFormatting sqref="C15">
    <cfRule type="cellIs" dxfId="31050" priority="18293" stopIfTrue="1" operator="equal">
      <formula>"Towel"</formula>
    </cfRule>
  </conditionalFormatting>
  <conditionalFormatting sqref="B21:C21">
    <cfRule type="cellIs" dxfId="31049" priority="18290" stopIfTrue="1" operator="equal">
      <formula>"Napkin Hs"</formula>
    </cfRule>
  </conditionalFormatting>
  <conditionalFormatting sqref="B21:C21">
    <cfRule type="cellIs" dxfId="31048" priority="18289" stopIfTrue="1" operator="equal">
      <formula>"Towel"</formula>
    </cfRule>
  </conditionalFormatting>
  <conditionalFormatting sqref="C21">
    <cfRule type="cellIs" dxfId="31047" priority="18288" stopIfTrue="1" operator="equal">
      <formula>"Napkin Hs"</formula>
    </cfRule>
  </conditionalFormatting>
  <conditionalFormatting sqref="C21">
    <cfRule type="cellIs" dxfId="31046" priority="18285" stopIfTrue="1" operator="equal">
      <formula>"Towel"</formula>
    </cfRule>
    <cfRule type="cellIs" dxfId="31045" priority="18286" stopIfTrue="1" operator="equal">
      <formula>"Napkin Hs"</formula>
    </cfRule>
  </conditionalFormatting>
  <conditionalFormatting sqref="C21">
    <cfRule type="cellIs" dxfId="31044" priority="18287" stopIfTrue="1" operator="equal">
      <formula>"Towel"</formula>
    </cfRule>
  </conditionalFormatting>
  <conditionalFormatting sqref="B22:C22">
    <cfRule type="cellIs" dxfId="31043" priority="18284" stopIfTrue="1" operator="equal">
      <formula>"Napkin Hs"</formula>
    </cfRule>
  </conditionalFormatting>
  <conditionalFormatting sqref="B22:C22">
    <cfRule type="cellIs" dxfId="31042" priority="18283" stopIfTrue="1" operator="equal">
      <formula>"Towel"</formula>
    </cfRule>
  </conditionalFormatting>
  <conditionalFormatting sqref="C22">
    <cfRule type="cellIs" dxfId="31041" priority="18282" stopIfTrue="1" operator="equal">
      <formula>"Napkin Hs"</formula>
    </cfRule>
  </conditionalFormatting>
  <conditionalFormatting sqref="C22">
    <cfRule type="cellIs" dxfId="31040" priority="18279" stopIfTrue="1" operator="equal">
      <formula>"Towel"</formula>
    </cfRule>
    <cfRule type="cellIs" dxfId="31039" priority="18280" stopIfTrue="1" operator="equal">
      <formula>"Napkin Hs"</formula>
    </cfRule>
  </conditionalFormatting>
  <conditionalFormatting sqref="C22">
    <cfRule type="cellIs" dxfId="31038" priority="18281" stopIfTrue="1" operator="equal">
      <formula>"Towel"</formula>
    </cfRule>
  </conditionalFormatting>
  <conditionalFormatting sqref="C19">
    <cfRule type="cellIs" dxfId="31037" priority="18265" stopIfTrue="1" operator="equal">
      <formula>"Towel"</formula>
    </cfRule>
    <cfRule type="cellIs" dxfId="31036" priority="18266" stopIfTrue="1" operator="equal">
      <formula>"Napkin Hs"</formula>
    </cfRule>
  </conditionalFormatting>
  <conditionalFormatting sqref="C19">
    <cfRule type="cellIs" dxfId="31035" priority="18263" stopIfTrue="1" operator="equal">
      <formula>"Towel"</formula>
    </cfRule>
    <cfRule type="cellIs" dxfId="31034" priority="18264" stopIfTrue="1" operator="equal">
      <formula>"Napkin Hs"</formula>
    </cfRule>
  </conditionalFormatting>
  <conditionalFormatting sqref="C19">
    <cfRule type="cellIs" dxfId="31033" priority="18261" stopIfTrue="1" operator="equal">
      <formula>"Towel"</formula>
    </cfRule>
    <cfRule type="cellIs" dxfId="31032" priority="18262" stopIfTrue="1" operator="equal">
      <formula>"Napkin Hs"</formula>
    </cfRule>
  </conditionalFormatting>
  <conditionalFormatting sqref="C19">
    <cfRule type="cellIs" dxfId="31031" priority="18260" stopIfTrue="1" operator="equal">
      <formula>"Napkin Hs"</formula>
    </cfRule>
  </conditionalFormatting>
  <conditionalFormatting sqref="C19">
    <cfRule type="cellIs" dxfId="31030" priority="18259" stopIfTrue="1" operator="equal">
      <formula>"Towel"</formula>
    </cfRule>
  </conditionalFormatting>
  <conditionalFormatting sqref="C19">
    <cfRule type="cellIs" dxfId="31029" priority="18258" stopIfTrue="1" operator="equal">
      <formula>"Napkin Hs"</formula>
    </cfRule>
  </conditionalFormatting>
  <conditionalFormatting sqref="C19">
    <cfRule type="cellIs" dxfId="31028" priority="18257" stopIfTrue="1" operator="equal">
      <formula>"Towel"</formula>
    </cfRule>
  </conditionalFormatting>
  <conditionalFormatting sqref="C19">
    <cfRule type="cellIs" dxfId="31027" priority="18255" stopIfTrue="1" operator="equal">
      <formula>"Towel"</formula>
    </cfRule>
    <cfRule type="cellIs" dxfId="31026" priority="18256" stopIfTrue="1" operator="equal">
      <formula>"Napkin Hs"</formula>
    </cfRule>
  </conditionalFormatting>
  <conditionalFormatting sqref="C19">
    <cfRule type="cellIs" dxfId="31025" priority="18253" stopIfTrue="1" operator="equal">
      <formula>"Towel"</formula>
    </cfRule>
    <cfRule type="cellIs" dxfId="31024" priority="18254" stopIfTrue="1" operator="equal">
      <formula>"Napkin Hs"</formula>
    </cfRule>
  </conditionalFormatting>
  <conditionalFormatting sqref="C19">
    <cfRule type="cellIs" dxfId="31023" priority="18249" stopIfTrue="1" operator="equal">
      <formula>"Towel"</formula>
    </cfRule>
    <cfRule type="cellIs" dxfId="31022" priority="18250" stopIfTrue="1" operator="equal">
      <formula>"Napkin Hs"</formula>
    </cfRule>
  </conditionalFormatting>
  <conditionalFormatting sqref="C19">
    <cfRule type="cellIs" dxfId="31021" priority="18251" stopIfTrue="1" operator="equal">
      <formula>"Towel"</formula>
    </cfRule>
    <cfRule type="cellIs" dxfId="31020" priority="18252" stopIfTrue="1" operator="equal">
      <formula>"Napkin Hs"</formula>
    </cfRule>
  </conditionalFormatting>
  <conditionalFormatting sqref="C19">
    <cfRule type="cellIs" dxfId="31019" priority="18243" stopIfTrue="1" operator="equal">
      <formula>"Towel"</formula>
    </cfRule>
    <cfRule type="cellIs" dxfId="31018" priority="18244" stopIfTrue="1" operator="equal">
      <formula>"Napkin Hs"</formula>
    </cfRule>
  </conditionalFormatting>
  <conditionalFormatting sqref="C19">
    <cfRule type="cellIs" dxfId="31017" priority="18241" stopIfTrue="1" operator="equal">
      <formula>"Towel"</formula>
    </cfRule>
    <cfRule type="cellIs" dxfId="31016" priority="18242" stopIfTrue="1" operator="equal">
      <formula>"Napkin Hs"</formula>
    </cfRule>
  </conditionalFormatting>
  <conditionalFormatting sqref="C19">
    <cfRule type="cellIs" dxfId="31015" priority="18239" stopIfTrue="1" operator="equal">
      <formula>"Towel"</formula>
    </cfRule>
    <cfRule type="cellIs" dxfId="31014" priority="18240" stopIfTrue="1" operator="equal">
      <formula>"Napkin Hs"</formula>
    </cfRule>
  </conditionalFormatting>
  <conditionalFormatting sqref="C19">
    <cfRule type="cellIs" dxfId="31013" priority="18237" stopIfTrue="1" operator="equal">
      <formula>"Towel"</formula>
    </cfRule>
    <cfRule type="cellIs" dxfId="31012" priority="18238" stopIfTrue="1" operator="equal">
      <formula>"Napkin Hs"</formula>
    </cfRule>
  </conditionalFormatting>
  <conditionalFormatting sqref="C19">
    <cfRule type="cellIs" dxfId="31011" priority="18235" stopIfTrue="1" operator="equal">
      <formula>"Towel"</formula>
    </cfRule>
    <cfRule type="cellIs" dxfId="31010" priority="18236" stopIfTrue="1" operator="equal">
      <formula>"Napkin Hs"</formula>
    </cfRule>
  </conditionalFormatting>
  <conditionalFormatting sqref="C19">
    <cfRule type="cellIs" dxfId="31009" priority="18233" stopIfTrue="1" operator="equal">
      <formula>"Towel"</formula>
    </cfRule>
    <cfRule type="cellIs" dxfId="31008" priority="18234" stopIfTrue="1" operator="equal">
      <formula>"Napkin Hs"</formula>
    </cfRule>
  </conditionalFormatting>
  <conditionalFormatting sqref="C19">
    <cfRule type="cellIs" dxfId="31007" priority="18231" stopIfTrue="1" operator="equal">
      <formula>"Towel"</formula>
    </cfRule>
    <cfRule type="cellIs" dxfId="31006" priority="18232" stopIfTrue="1" operator="equal">
      <formula>"Napkin Hs"</formula>
    </cfRule>
  </conditionalFormatting>
  <conditionalFormatting sqref="C19">
    <cfRule type="cellIs" dxfId="31005" priority="18229" stopIfTrue="1" operator="equal">
      <formula>"Towel"</formula>
    </cfRule>
    <cfRule type="cellIs" dxfId="31004" priority="18230" stopIfTrue="1" operator="equal">
      <formula>"Napkin Hs"</formula>
    </cfRule>
  </conditionalFormatting>
  <conditionalFormatting sqref="C19">
    <cfRule type="cellIs" dxfId="31003" priority="18227" stopIfTrue="1" operator="equal">
      <formula>"Towel"</formula>
    </cfRule>
    <cfRule type="cellIs" dxfId="31002" priority="18228" stopIfTrue="1" operator="equal">
      <formula>"Napkin Hs"</formula>
    </cfRule>
  </conditionalFormatting>
  <conditionalFormatting sqref="C19">
    <cfRule type="cellIs" dxfId="31001" priority="18225" stopIfTrue="1" operator="equal">
      <formula>"Towel"</formula>
    </cfRule>
    <cfRule type="cellIs" dxfId="31000" priority="18226" stopIfTrue="1" operator="equal">
      <formula>"Napkin Hs"</formula>
    </cfRule>
  </conditionalFormatting>
  <conditionalFormatting sqref="C19">
    <cfRule type="cellIs" dxfId="30999" priority="18219" stopIfTrue="1" operator="equal">
      <formula>"Towel"</formula>
    </cfRule>
    <cfRule type="cellIs" dxfId="30998" priority="18220" stopIfTrue="1" operator="equal">
      <formula>"Napkin Hs"</formula>
    </cfRule>
  </conditionalFormatting>
  <conditionalFormatting sqref="C19">
    <cfRule type="cellIs" dxfId="30997" priority="18213" stopIfTrue="1" operator="equal">
      <formula>"Towel"</formula>
    </cfRule>
    <cfRule type="cellIs" dxfId="30996" priority="18214" stopIfTrue="1" operator="equal">
      <formula>"Napkin Hs"</formula>
    </cfRule>
  </conditionalFormatting>
  <conditionalFormatting sqref="C19">
    <cfRule type="cellIs" dxfId="30995" priority="18207" stopIfTrue="1" operator="equal">
      <formula>"Towel"</formula>
    </cfRule>
    <cfRule type="cellIs" dxfId="30994" priority="18208" stopIfTrue="1" operator="equal">
      <formula>"Napkin Hs"</formula>
    </cfRule>
  </conditionalFormatting>
  <conditionalFormatting sqref="C19">
    <cfRule type="cellIs" dxfId="30993" priority="18206" stopIfTrue="1" operator="equal">
      <formula>"Napkin Hs"</formula>
    </cfRule>
  </conditionalFormatting>
  <conditionalFormatting sqref="C19">
    <cfRule type="cellIs" dxfId="30992" priority="18205" stopIfTrue="1" operator="equal">
      <formula>"Towel"</formula>
    </cfRule>
  </conditionalFormatting>
  <conditionalFormatting sqref="C19">
    <cfRule type="cellIs" dxfId="30991" priority="18204" stopIfTrue="1" operator="equal">
      <formula>"Napkin Hs"</formula>
    </cfRule>
  </conditionalFormatting>
  <conditionalFormatting sqref="C19">
    <cfRule type="cellIs" dxfId="30990" priority="18203" stopIfTrue="1" operator="equal">
      <formula>"Towel"</formula>
    </cfRule>
  </conditionalFormatting>
  <conditionalFormatting sqref="C19">
    <cfRule type="cellIs" dxfId="30989" priority="18201" stopIfTrue="1" operator="equal">
      <formula>"Towel"</formula>
    </cfRule>
    <cfRule type="cellIs" dxfId="30988" priority="18202" stopIfTrue="1" operator="equal">
      <formula>"Napkin Hs"</formula>
    </cfRule>
  </conditionalFormatting>
  <conditionalFormatting sqref="C19">
    <cfRule type="cellIs" dxfId="30987" priority="18199" stopIfTrue="1" operator="equal">
      <formula>"Towel"</formula>
    </cfRule>
    <cfRule type="cellIs" dxfId="30986" priority="18200" stopIfTrue="1" operator="equal">
      <formula>"Napkin Hs"</formula>
    </cfRule>
  </conditionalFormatting>
  <conditionalFormatting sqref="C19">
    <cfRule type="cellIs" dxfId="30985" priority="18195" stopIfTrue="1" operator="equal">
      <formula>"Towel"</formula>
    </cfRule>
    <cfRule type="cellIs" dxfId="30984" priority="18196" stopIfTrue="1" operator="equal">
      <formula>"Napkin Hs"</formula>
    </cfRule>
  </conditionalFormatting>
  <conditionalFormatting sqref="C19">
    <cfRule type="cellIs" dxfId="30983" priority="18197" stopIfTrue="1" operator="equal">
      <formula>"Towel"</formula>
    </cfRule>
    <cfRule type="cellIs" dxfId="30982" priority="18198" stopIfTrue="1" operator="equal">
      <formula>"Napkin Hs"</formula>
    </cfRule>
  </conditionalFormatting>
  <conditionalFormatting sqref="C19">
    <cfRule type="cellIs" dxfId="30981" priority="18189" stopIfTrue="1" operator="equal">
      <formula>"Towel"</formula>
    </cfRule>
    <cfRule type="cellIs" dxfId="30980" priority="18190" stopIfTrue="1" operator="equal">
      <formula>"Napkin Hs"</formula>
    </cfRule>
  </conditionalFormatting>
  <conditionalFormatting sqref="C19">
    <cfRule type="cellIs" dxfId="30979" priority="18187" stopIfTrue="1" operator="equal">
      <formula>"Towel"</formula>
    </cfRule>
    <cfRule type="cellIs" dxfId="30978" priority="18188" stopIfTrue="1" operator="equal">
      <formula>"Napkin Hs"</formula>
    </cfRule>
  </conditionalFormatting>
  <conditionalFormatting sqref="C19">
    <cfRule type="cellIs" dxfId="30977" priority="18185" stopIfTrue="1" operator="equal">
      <formula>"Towel"</formula>
    </cfRule>
    <cfRule type="cellIs" dxfId="30976" priority="18186" stopIfTrue="1" operator="equal">
      <formula>"Napkin Hs"</formula>
    </cfRule>
  </conditionalFormatting>
  <conditionalFormatting sqref="C19">
    <cfRule type="cellIs" dxfId="30975" priority="18183" stopIfTrue="1" operator="equal">
      <formula>"Towel"</formula>
    </cfRule>
    <cfRule type="cellIs" dxfId="30974" priority="18184" stopIfTrue="1" operator="equal">
      <formula>"Napkin Hs"</formula>
    </cfRule>
  </conditionalFormatting>
  <conditionalFormatting sqref="C19">
    <cfRule type="cellIs" dxfId="30973" priority="18181" stopIfTrue="1" operator="equal">
      <formula>"Towel"</formula>
    </cfRule>
    <cfRule type="cellIs" dxfId="30972" priority="18182" stopIfTrue="1" operator="equal">
      <formula>"Napkin Hs"</formula>
    </cfRule>
  </conditionalFormatting>
  <conditionalFormatting sqref="C19">
    <cfRule type="cellIs" dxfId="30971" priority="18179" stopIfTrue="1" operator="equal">
      <formula>"Towel"</formula>
    </cfRule>
    <cfRule type="cellIs" dxfId="30970" priority="18180" stopIfTrue="1" operator="equal">
      <formula>"Napkin Hs"</formula>
    </cfRule>
  </conditionalFormatting>
  <conditionalFormatting sqref="C19">
    <cfRule type="cellIs" dxfId="30969" priority="18177" stopIfTrue="1" operator="equal">
      <formula>"Towel"</formula>
    </cfRule>
    <cfRule type="cellIs" dxfId="30968" priority="18178" stopIfTrue="1" operator="equal">
      <formula>"Napkin Hs"</formula>
    </cfRule>
  </conditionalFormatting>
  <conditionalFormatting sqref="C19">
    <cfRule type="cellIs" dxfId="30967" priority="18175" stopIfTrue="1" operator="equal">
      <formula>"Towel"</formula>
    </cfRule>
    <cfRule type="cellIs" dxfId="30966" priority="18176" stopIfTrue="1" operator="equal">
      <formula>"Napkin Hs"</formula>
    </cfRule>
  </conditionalFormatting>
  <conditionalFormatting sqref="C19">
    <cfRule type="cellIs" dxfId="30965" priority="18173" stopIfTrue="1" operator="equal">
      <formula>"Towel"</formula>
    </cfRule>
    <cfRule type="cellIs" dxfId="30964" priority="18174" stopIfTrue="1" operator="equal">
      <formula>"Napkin Hs"</formula>
    </cfRule>
  </conditionalFormatting>
  <conditionalFormatting sqref="C19">
    <cfRule type="cellIs" dxfId="30963" priority="18171" stopIfTrue="1" operator="equal">
      <formula>"Towel"</formula>
    </cfRule>
    <cfRule type="cellIs" dxfId="30962" priority="18172" stopIfTrue="1" operator="equal">
      <formula>"Napkin Hs"</formula>
    </cfRule>
  </conditionalFormatting>
  <conditionalFormatting sqref="C19">
    <cfRule type="cellIs" dxfId="30961" priority="18165" stopIfTrue="1" operator="equal">
      <formula>"Towel"</formula>
    </cfRule>
    <cfRule type="cellIs" dxfId="30960" priority="18166" stopIfTrue="1" operator="equal">
      <formula>"Napkin Hs"</formula>
    </cfRule>
  </conditionalFormatting>
  <conditionalFormatting sqref="C19">
    <cfRule type="cellIs" dxfId="30959" priority="18159" stopIfTrue="1" operator="equal">
      <formula>"Towel"</formula>
    </cfRule>
    <cfRule type="cellIs" dxfId="30958" priority="18160" stopIfTrue="1" operator="equal">
      <formula>"Napkin Hs"</formula>
    </cfRule>
  </conditionalFormatting>
  <conditionalFormatting sqref="C19">
    <cfRule type="cellIs" dxfId="30957" priority="18158" stopIfTrue="1" operator="equal">
      <formula>"Napkin Hs"</formula>
    </cfRule>
  </conditionalFormatting>
  <conditionalFormatting sqref="C19">
    <cfRule type="cellIs" dxfId="30956" priority="18157" stopIfTrue="1" operator="equal">
      <formula>"Towel"</formula>
    </cfRule>
  </conditionalFormatting>
  <conditionalFormatting sqref="C19">
    <cfRule type="cellIs" dxfId="30955" priority="18156" stopIfTrue="1" operator="equal">
      <formula>"Napkin Hs"</formula>
    </cfRule>
  </conditionalFormatting>
  <conditionalFormatting sqref="C19">
    <cfRule type="cellIs" dxfId="30954" priority="18153" stopIfTrue="1" operator="equal">
      <formula>"Towel"</formula>
    </cfRule>
    <cfRule type="cellIs" dxfId="30953" priority="18154" stopIfTrue="1" operator="equal">
      <formula>"Napkin Hs"</formula>
    </cfRule>
  </conditionalFormatting>
  <conditionalFormatting sqref="C19">
    <cfRule type="cellIs" dxfId="30952" priority="18155" stopIfTrue="1" operator="equal">
      <formula>"Towel"</formula>
    </cfRule>
  </conditionalFormatting>
  <conditionalFormatting sqref="C19">
    <cfRule type="cellIs" dxfId="30951" priority="18273" stopIfTrue="1" operator="equal">
      <formula>"Towel"</formula>
    </cfRule>
    <cfRule type="cellIs" dxfId="30950" priority="18274" stopIfTrue="1" operator="equal">
      <formula>"Napkin Hs"</formula>
    </cfRule>
  </conditionalFormatting>
  <conditionalFormatting sqref="C19">
    <cfRule type="cellIs" dxfId="30949" priority="18272" stopIfTrue="1" operator="equal">
      <formula>"Napkin Hs"</formula>
    </cfRule>
  </conditionalFormatting>
  <conditionalFormatting sqref="C19">
    <cfRule type="cellIs" dxfId="30948" priority="18271" stopIfTrue="1" operator="equal">
      <formula>"Towel"</formula>
    </cfRule>
  </conditionalFormatting>
  <conditionalFormatting sqref="C19">
    <cfRule type="cellIs" dxfId="30947" priority="18270" stopIfTrue="1" operator="equal">
      <formula>"Napkin Hs"</formula>
    </cfRule>
  </conditionalFormatting>
  <conditionalFormatting sqref="C19">
    <cfRule type="cellIs" dxfId="30946" priority="18267" stopIfTrue="1" operator="equal">
      <formula>"Towel"</formula>
    </cfRule>
    <cfRule type="cellIs" dxfId="30945" priority="18268" stopIfTrue="1" operator="equal">
      <formula>"Napkin Hs"</formula>
    </cfRule>
  </conditionalFormatting>
  <conditionalFormatting sqref="C19">
    <cfRule type="cellIs" dxfId="30944" priority="18269" stopIfTrue="1" operator="equal">
      <formula>"Towel"</formula>
    </cfRule>
  </conditionalFormatting>
  <conditionalFormatting sqref="C19">
    <cfRule type="cellIs" dxfId="30943" priority="18277" stopIfTrue="1" operator="equal">
      <formula>"Towel"</formula>
    </cfRule>
    <cfRule type="cellIs" dxfId="30942" priority="18278" stopIfTrue="1" operator="equal">
      <formula>"Napkin Hs"</formula>
    </cfRule>
  </conditionalFormatting>
  <conditionalFormatting sqref="C19">
    <cfRule type="cellIs" dxfId="30941" priority="18275" stopIfTrue="1" operator="equal">
      <formula>"Towel"</formula>
    </cfRule>
    <cfRule type="cellIs" dxfId="30940" priority="18276" stopIfTrue="1" operator="equal">
      <formula>"Napkin Hs"</formula>
    </cfRule>
  </conditionalFormatting>
  <conditionalFormatting sqref="C19">
    <cfRule type="cellIs" dxfId="30939" priority="18247" stopIfTrue="1" operator="equal">
      <formula>"Towel"</formula>
    </cfRule>
    <cfRule type="cellIs" dxfId="30938" priority="18248" stopIfTrue="1" operator="equal">
      <formula>"Napkin Hs"</formula>
    </cfRule>
  </conditionalFormatting>
  <conditionalFormatting sqref="C19">
    <cfRule type="cellIs" dxfId="30937" priority="18245" stopIfTrue="1" operator="equal">
      <formula>"Towel"</formula>
    </cfRule>
    <cfRule type="cellIs" dxfId="30936" priority="18246" stopIfTrue="1" operator="equal">
      <formula>"Napkin Hs"</formula>
    </cfRule>
  </conditionalFormatting>
  <conditionalFormatting sqref="C19">
    <cfRule type="cellIs" dxfId="30935" priority="18224" stopIfTrue="1" operator="equal">
      <formula>"Napkin Hs"</formula>
    </cfRule>
  </conditionalFormatting>
  <conditionalFormatting sqref="C19">
    <cfRule type="cellIs" dxfId="30934" priority="18223" stopIfTrue="1" operator="equal">
      <formula>"Towel"</formula>
    </cfRule>
  </conditionalFormatting>
  <conditionalFormatting sqref="C19">
    <cfRule type="cellIs" dxfId="30933" priority="18222" stopIfTrue="1" operator="equal">
      <formula>"Napkin Hs"</formula>
    </cfRule>
  </conditionalFormatting>
  <conditionalFormatting sqref="C19">
    <cfRule type="cellIs" dxfId="30932" priority="18221" stopIfTrue="1" operator="equal">
      <formula>"Towel"</formula>
    </cfRule>
  </conditionalFormatting>
  <conditionalFormatting sqref="C19">
    <cfRule type="cellIs" dxfId="30931" priority="18218" stopIfTrue="1" operator="equal">
      <formula>"Napkin Hs"</formula>
    </cfRule>
  </conditionalFormatting>
  <conditionalFormatting sqref="C19">
    <cfRule type="cellIs" dxfId="30930" priority="18217" stopIfTrue="1" operator="equal">
      <formula>"Towel"</formula>
    </cfRule>
  </conditionalFormatting>
  <conditionalFormatting sqref="C19">
    <cfRule type="cellIs" dxfId="30929" priority="18216" stopIfTrue="1" operator="equal">
      <formula>"Napkin Hs"</formula>
    </cfRule>
  </conditionalFormatting>
  <conditionalFormatting sqref="C19">
    <cfRule type="cellIs" dxfId="30928" priority="18215" stopIfTrue="1" operator="equal">
      <formula>"Towel"</formula>
    </cfRule>
  </conditionalFormatting>
  <conditionalFormatting sqref="C19">
    <cfRule type="cellIs" dxfId="30927" priority="18211" stopIfTrue="1" operator="equal">
      <formula>"Towel"</formula>
    </cfRule>
    <cfRule type="cellIs" dxfId="30926" priority="18212" stopIfTrue="1" operator="equal">
      <formula>"Napkin Hs"</formula>
    </cfRule>
  </conditionalFormatting>
  <conditionalFormatting sqref="C19">
    <cfRule type="cellIs" dxfId="30925" priority="18209" stopIfTrue="1" operator="equal">
      <formula>"Towel"</formula>
    </cfRule>
    <cfRule type="cellIs" dxfId="30924" priority="18210" stopIfTrue="1" operator="equal">
      <formula>"Napkin Hs"</formula>
    </cfRule>
  </conditionalFormatting>
  <conditionalFormatting sqref="C19">
    <cfRule type="cellIs" dxfId="30923" priority="18193" stopIfTrue="1" operator="equal">
      <formula>"Towel"</formula>
    </cfRule>
    <cfRule type="cellIs" dxfId="30922" priority="18194" stopIfTrue="1" operator="equal">
      <formula>"Napkin Hs"</formula>
    </cfRule>
  </conditionalFormatting>
  <conditionalFormatting sqref="C19">
    <cfRule type="cellIs" dxfId="30921" priority="18191" stopIfTrue="1" operator="equal">
      <formula>"Towel"</formula>
    </cfRule>
    <cfRule type="cellIs" dxfId="30920" priority="18192" stopIfTrue="1" operator="equal">
      <formula>"Napkin Hs"</formula>
    </cfRule>
  </conditionalFormatting>
  <conditionalFormatting sqref="C19">
    <cfRule type="cellIs" dxfId="30919" priority="18170" stopIfTrue="1" operator="equal">
      <formula>"Napkin Hs"</formula>
    </cfRule>
  </conditionalFormatting>
  <conditionalFormatting sqref="C19">
    <cfRule type="cellIs" dxfId="30918" priority="18169" stopIfTrue="1" operator="equal">
      <formula>"Towel"</formula>
    </cfRule>
  </conditionalFormatting>
  <conditionalFormatting sqref="C19">
    <cfRule type="cellIs" dxfId="30917" priority="18168" stopIfTrue="1" operator="equal">
      <formula>"Napkin Hs"</formula>
    </cfRule>
  </conditionalFormatting>
  <conditionalFormatting sqref="C19">
    <cfRule type="cellIs" dxfId="30916" priority="18167" stopIfTrue="1" operator="equal">
      <formula>"Towel"</formula>
    </cfRule>
  </conditionalFormatting>
  <conditionalFormatting sqref="C19">
    <cfRule type="cellIs" dxfId="30915" priority="18164" stopIfTrue="1" operator="equal">
      <formula>"Napkin Hs"</formula>
    </cfRule>
  </conditionalFormatting>
  <conditionalFormatting sqref="C19">
    <cfRule type="cellIs" dxfId="30914" priority="18163" stopIfTrue="1" operator="equal">
      <formula>"Towel"</formula>
    </cfRule>
  </conditionalFormatting>
  <conditionalFormatting sqref="C19">
    <cfRule type="cellIs" dxfId="30913" priority="18162" stopIfTrue="1" operator="equal">
      <formula>"Napkin Hs"</formula>
    </cfRule>
  </conditionalFormatting>
  <conditionalFormatting sqref="C19">
    <cfRule type="cellIs" dxfId="30912" priority="18161" stopIfTrue="1" operator="equal">
      <formula>"Towel"</formula>
    </cfRule>
  </conditionalFormatting>
  <conditionalFormatting sqref="B19:C19 B20">
    <cfRule type="cellIs" dxfId="30911" priority="18152" stopIfTrue="1" operator="equal">
      <formula>"Napkin Hs"</formula>
    </cfRule>
  </conditionalFormatting>
  <conditionalFormatting sqref="B19:C19 B20">
    <cfRule type="cellIs" dxfId="30910" priority="18151" stopIfTrue="1" operator="equal">
      <formula>"Towel"</formula>
    </cfRule>
  </conditionalFormatting>
  <conditionalFormatting sqref="C19">
    <cfRule type="cellIs" dxfId="30909" priority="18150" stopIfTrue="1" operator="equal">
      <formula>"Napkin Hs"</formula>
    </cfRule>
  </conditionalFormatting>
  <conditionalFormatting sqref="C19">
    <cfRule type="cellIs" dxfId="30908" priority="18147" stopIfTrue="1" operator="equal">
      <formula>"Towel"</formula>
    </cfRule>
    <cfRule type="cellIs" dxfId="30907" priority="18148" stopIfTrue="1" operator="equal">
      <formula>"Napkin Hs"</formula>
    </cfRule>
  </conditionalFormatting>
  <conditionalFormatting sqref="C19">
    <cfRule type="cellIs" dxfId="30906" priority="18149" stopIfTrue="1" operator="equal">
      <formula>"Towel"</formula>
    </cfRule>
  </conditionalFormatting>
  <conditionalFormatting sqref="C20">
    <cfRule type="cellIs" dxfId="30905" priority="18001" stopIfTrue="1" operator="equal">
      <formula>"Towel"</formula>
    </cfRule>
    <cfRule type="cellIs" dxfId="30904" priority="18002" stopIfTrue="1" operator="equal">
      <formula>"Napkin Hs"</formula>
    </cfRule>
  </conditionalFormatting>
  <conditionalFormatting sqref="C20">
    <cfRule type="cellIs" dxfId="30903" priority="17999" stopIfTrue="1" operator="equal">
      <formula>"Towel"</formula>
    </cfRule>
    <cfRule type="cellIs" dxfId="30902" priority="18000" stopIfTrue="1" operator="equal">
      <formula>"Napkin Hs"</formula>
    </cfRule>
  </conditionalFormatting>
  <conditionalFormatting sqref="C20">
    <cfRule type="cellIs" dxfId="30901" priority="17997" stopIfTrue="1" operator="equal">
      <formula>"Towel"</formula>
    </cfRule>
    <cfRule type="cellIs" dxfId="30900" priority="17998" stopIfTrue="1" operator="equal">
      <formula>"Napkin Hs"</formula>
    </cfRule>
  </conditionalFormatting>
  <conditionalFormatting sqref="C20">
    <cfRule type="cellIs" dxfId="30899" priority="17996" stopIfTrue="1" operator="equal">
      <formula>"Napkin Hs"</formula>
    </cfRule>
  </conditionalFormatting>
  <conditionalFormatting sqref="C20">
    <cfRule type="cellIs" dxfId="30898" priority="17995" stopIfTrue="1" operator="equal">
      <formula>"Towel"</formula>
    </cfRule>
  </conditionalFormatting>
  <conditionalFormatting sqref="C20">
    <cfRule type="cellIs" dxfId="30897" priority="17994" stopIfTrue="1" operator="equal">
      <formula>"Napkin Hs"</formula>
    </cfRule>
  </conditionalFormatting>
  <conditionalFormatting sqref="C20">
    <cfRule type="cellIs" dxfId="30896" priority="17993" stopIfTrue="1" operator="equal">
      <formula>"Towel"</formula>
    </cfRule>
  </conditionalFormatting>
  <conditionalFormatting sqref="C20">
    <cfRule type="cellIs" dxfId="30895" priority="17991" stopIfTrue="1" operator="equal">
      <formula>"Towel"</formula>
    </cfRule>
    <cfRule type="cellIs" dxfId="30894" priority="17992" stopIfTrue="1" operator="equal">
      <formula>"Napkin Hs"</formula>
    </cfRule>
  </conditionalFormatting>
  <conditionalFormatting sqref="C20">
    <cfRule type="cellIs" dxfId="30893" priority="17989" stopIfTrue="1" operator="equal">
      <formula>"Towel"</formula>
    </cfRule>
    <cfRule type="cellIs" dxfId="30892" priority="17990" stopIfTrue="1" operator="equal">
      <formula>"Napkin Hs"</formula>
    </cfRule>
  </conditionalFormatting>
  <conditionalFormatting sqref="C20">
    <cfRule type="cellIs" dxfId="30891" priority="17985" stopIfTrue="1" operator="equal">
      <formula>"Towel"</formula>
    </cfRule>
    <cfRule type="cellIs" dxfId="30890" priority="17986" stopIfTrue="1" operator="equal">
      <formula>"Napkin Hs"</formula>
    </cfRule>
  </conditionalFormatting>
  <conditionalFormatting sqref="C20">
    <cfRule type="cellIs" dxfId="30889" priority="17987" stopIfTrue="1" operator="equal">
      <formula>"Towel"</formula>
    </cfRule>
    <cfRule type="cellIs" dxfId="30888" priority="17988" stopIfTrue="1" operator="equal">
      <formula>"Napkin Hs"</formula>
    </cfRule>
  </conditionalFormatting>
  <conditionalFormatting sqref="C20">
    <cfRule type="cellIs" dxfId="30887" priority="17979" stopIfTrue="1" operator="equal">
      <formula>"Towel"</formula>
    </cfRule>
    <cfRule type="cellIs" dxfId="30886" priority="17980" stopIfTrue="1" operator="equal">
      <formula>"Napkin Hs"</formula>
    </cfRule>
  </conditionalFormatting>
  <conditionalFormatting sqref="C20">
    <cfRule type="cellIs" dxfId="30885" priority="17977" stopIfTrue="1" operator="equal">
      <formula>"Towel"</formula>
    </cfRule>
    <cfRule type="cellIs" dxfId="30884" priority="17978" stopIfTrue="1" operator="equal">
      <formula>"Napkin Hs"</formula>
    </cfRule>
  </conditionalFormatting>
  <conditionalFormatting sqref="C20">
    <cfRule type="cellIs" dxfId="30883" priority="17975" stopIfTrue="1" operator="equal">
      <formula>"Towel"</formula>
    </cfRule>
    <cfRule type="cellIs" dxfId="30882" priority="17976" stopIfTrue="1" operator="equal">
      <formula>"Napkin Hs"</formula>
    </cfRule>
  </conditionalFormatting>
  <conditionalFormatting sqref="C20">
    <cfRule type="cellIs" dxfId="30881" priority="17973" stopIfTrue="1" operator="equal">
      <formula>"Towel"</formula>
    </cfRule>
    <cfRule type="cellIs" dxfId="30880" priority="17974" stopIfTrue="1" operator="equal">
      <formula>"Napkin Hs"</formula>
    </cfRule>
  </conditionalFormatting>
  <conditionalFormatting sqref="C20">
    <cfRule type="cellIs" dxfId="30879" priority="17971" stopIfTrue="1" operator="equal">
      <formula>"Towel"</formula>
    </cfRule>
    <cfRule type="cellIs" dxfId="30878" priority="17972" stopIfTrue="1" operator="equal">
      <formula>"Napkin Hs"</formula>
    </cfRule>
  </conditionalFormatting>
  <conditionalFormatting sqref="C20">
    <cfRule type="cellIs" dxfId="30877" priority="17969" stopIfTrue="1" operator="equal">
      <formula>"Towel"</formula>
    </cfRule>
    <cfRule type="cellIs" dxfId="30876" priority="17970" stopIfTrue="1" operator="equal">
      <formula>"Napkin Hs"</formula>
    </cfRule>
  </conditionalFormatting>
  <conditionalFormatting sqref="C20">
    <cfRule type="cellIs" dxfId="30875" priority="17967" stopIfTrue="1" operator="equal">
      <formula>"Towel"</formula>
    </cfRule>
    <cfRule type="cellIs" dxfId="30874" priority="17968" stopIfTrue="1" operator="equal">
      <formula>"Napkin Hs"</formula>
    </cfRule>
  </conditionalFormatting>
  <conditionalFormatting sqref="C20">
    <cfRule type="cellIs" dxfId="30873" priority="17965" stopIfTrue="1" operator="equal">
      <formula>"Towel"</formula>
    </cfRule>
    <cfRule type="cellIs" dxfId="30872" priority="17966" stopIfTrue="1" operator="equal">
      <formula>"Napkin Hs"</formula>
    </cfRule>
  </conditionalFormatting>
  <conditionalFormatting sqref="C20">
    <cfRule type="cellIs" dxfId="30871" priority="17963" stopIfTrue="1" operator="equal">
      <formula>"Towel"</formula>
    </cfRule>
    <cfRule type="cellIs" dxfId="30870" priority="17964" stopIfTrue="1" operator="equal">
      <formula>"Napkin Hs"</formula>
    </cfRule>
  </conditionalFormatting>
  <conditionalFormatting sqref="C20">
    <cfRule type="cellIs" dxfId="30869" priority="17961" stopIfTrue="1" operator="equal">
      <formula>"Towel"</formula>
    </cfRule>
    <cfRule type="cellIs" dxfId="30868" priority="17962" stopIfTrue="1" operator="equal">
      <formula>"Napkin Hs"</formula>
    </cfRule>
  </conditionalFormatting>
  <conditionalFormatting sqref="C20">
    <cfRule type="cellIs" dxfId="30867" priority="17955" stopIfTrue="1" operator="equal">
      <formula>"Towel"</formula>
    </cfRule>
    <cfRule type="cellIs" dxfId="30866" priority="17956" stopIfTrue="1" operator="equal">
      <formula>"Napkin Hs"</formula>
    </cfRule>
  </conditionalFormatting>
  <conditionalFormatting sqref="C20">
    <cfRule type="cellIs" dxfId="30865" priority="17949" stopIfTrue="1" operator="equal">
      <formula>"Towel"</formula>
    </cfRule>
    <cfRule type="cellIs" dxfId="30864" priority="17950" stopIfTrue="1" operator="equal">
      <formula>"Napkin Hs"</formula>
    </cfRule>
  </conditionalFormatting>
  <conditionalFormatting sqref="C20">
    <cfRule type="cellIs" dxfId="30863" priority="17943" stopIfTrue="1" operator="equal">
      <formula>"Towel"</formula>
    </cfRule>
    <cfRule type="cellIs" dxfId="30862" priority="17944" stopIfTrue="1" operator="equal">
      <formula>"Napkin Hs"</formula>
    </cfRule>
  </conditionalFormatting>
  <conditionalFormatting sqref="C20">
    <cfRule type="cellIs" dxfId="30861" priority="17942" stopIfTrue="1" operator="equal">
      <formula>"Napkin Hs"</formula>
    </cfRule>
  </conditionalFormatting>
  <conditionalFormatting sqref="C20">
    <cfRule type="cellIs" dxfId="30860" priority="17941" stopIfTrue="1" operator="equal">
      <formula>"Towel"</formula>
    </cfRule>
  </conditionalFormatting>
  <conditionalFormatting sqref="C20">
    <cfRule type="cellIs" dxfId="30859" priority="17940" stopIfTrue="1" operator="equal">
      <formula>"Napkin Hs"</formula>
    </cfRule>
  </conditionalFormatting>
  <conditionalFormatting sqref="C20">
    <cfRule type="cellIs" dxfId="30858" priority="17939" stopIfTrue="1" operator="equal">
      <formula>"Towel"</formula>
    </cfRule>
  </conditionalFormatting>
  <conditionalFormatting sqref="C20">
    <cfRule type="cellIs" dxfId="30857" priority="17937" stopIfTrue="1" operator="equal">
      <formula>"Towel"</formula>
    </cfRule>
    <cfRule type="cellIs" dxfId="30856" priority="17938" stopIfTrue="1" operator="equal">
      <formula>"Napkin Hs"</formula>
    </cfRule>
  </conditionalFormatting>
  <conditionalFormatting sqref="C20">
    <cfRule type="cellIs" dxfId="30855" priority="17935" stopIfTrue="1" operator="equal">
      <formula>"Towel"</formula>
    </cfRule>
    <cfRule type="cellIs" dxfId="30854" priority="17936" stopIfTrue="1" operator="equal">
      <formula>"Napkin Hs"</formula>
    </cfRule>
  </conditionalFormatting>
  <conditionalFormatting sqref="C20">
    <cfRule type="cellIs" dxfId="30853" priority="17931" stopIfTrue="1" operator="equal">
      <formula>"Towel"</formula>
    </cfRule>
    <cfRule type="cellIs" dxfId="30852" priority="17932" stopIfTrue="1" operator="equal">
      <formula>"Napkin Hs"</formula>
    </cfRule>
  </conditionalFormatting>
  <conditionalFormatting sqref="C20">
    <cfRule type="cellIs" dxfId="30851" priority="17933" stopIfTrue="1" operator="equal">
      <formula>"Towel"</formula>
    </cfRule>
    <cfRule type="cellIs" dxfId="30850" priority="17934" stopIfTrue="1" operator="equal">
      <formula>"Napkin Hs"</formula>
    </cfRule>
  </conditionalFormatting>
  <conditionalFormatting sqref="C20">
    <cfRule type="cellIs" dxfId="30849" priority="17925" stopIfTrue="1" operator="equal">
      <formula>"Towel"</formula>
    </cfRule>
    <cfRule type="cellIs" dxfId="30848" priority="17926" stopIfTrue="1" operator="equal">
      <formula>"Napkin Hs"</formula>
    </cfRule>
  </conditionalFormatting>
  <conditionalFormatting sqref="C20">
    <cfRule type="cellIs" dxfId="30847" priority="17923" stopIfTrue="1" operator="equal">
      <formula>"Towel"</formula>
    </cfRule>
    <cfRule type="cellIs" dxfId="30846" priority="17924" stopIfTrue="1" operator="equal">
      <formula>"Napkin Hs"</formula>
    </cfRule>
  </conditionalFormatting>
  <conditionalFormatting sqref="C20">
    <cfRule type="cellIs" dxfId="30845" priority="17921" stopIfTrue="1" operator="equal">
      <formula>"Towel"</formula>
    </cfRule>
    <cfRule type="cellIs" dxfId="30844" priority="17922" stopIfTrue="1" operator="equal">
      <formula>"Napkin Hs"</formula>
    </cfRule>
  </conditionalFormatting>
  <conditionalFormatting sqref="C20">
    <cfRule type="cellIs" dxfId="30843" priority="17919" stopIfTrue="1" operator="equal">
      <formula>"Towel"</formula>
    </cfRule>
    <cfRule type="cellIs" dxfId="30842" priority="17920" stopIfTrue="1" operator="equal">
      <formula>"Napkin Hs"</formula>
    </cfRule>
  </conditionalFormatting>
  <conditionalFormatting sqref="C20">
    <cfRule type="cellIs" dxfId="30841" priority="17917" stopIfTrue="1" operator="equal">
      <formula>"Towel"</formula>
    </cfRule>
    <cfRule type="cellIs" dxfId="30840" priority="17918" stopIfTrue="1" operator="equal">
      <formula>"Napkin Hs"</formula>
    </cfRule>
  </conditionalFormatting>
  <conditionalFormatting sqref="C20">
    <cfRule type="cellIs" dxfId="30839" priority="17915" stopIfTrue="1" operator="equal">
      <formula>"Towel"</formula>
    </cfRule>
    <cfRule type="cellIs" dxfId="30838" priority="17916" stopIfTrue="1" operator="equal">
      <formula>"Napkin Hs"</formula>
    </cfRule>
  </conditionalFormatting>
  <conditionalFormatting sqref="C20">
    <cfRule type="cellIs" dxfId="30837" priority="17913" stopIfTrue="1" operator="equal">
      <formula>"Towel"</formula>
    </cfRule>
    <cfRule type="cellIs" dxfId="30836" priority="17914" stopIfTrue="1" operator="equal">
      <formula>"Napkin Hs"</formula>
    </cfRule>
  </conditionalFormatting>
  <conditionalFormatting sqref="C20">
    <cfRule type="cellIs" dxfId="30835" priority="17911" stopIfTrue="1" operator="equal">
      <formula>"Towel"</formula>
    </cfRule>
    <cfRule type="cellIs" dxfId="30834" priority="17912" stopIfTrue="1" operator="equal">
      <formula>"Napkin Hs"</formula>
    </cfRule>
  </conditionalFormatting>
  <conditionalFormatting sqref="C20">
    <cfRule type="cellIs" dxfId="30833" priority="17909" stopIfTrue="1" operator="equal">
      <formula>"Towel"</formula>
    </cfRule>
    <cfRule type="cellIs" dxfId="30832" priority="17910" stopIfTrue="1" operator="equal">
      <formula>"Napkin Hs"</formula>
    </cfRule>
  </conditionalFormatting>
  <conditionalFormatting sqref="C20">
    <cfRule type="cellIs" dxfId="30831" priority="17907" stopIfTrue="1" operator="equal">
      <formula>"Towel"</formula>
    </cfRule>
    <cfRule type="cellIs" dxfId="30830" priority="17908" stopIfTrue="1" operator="equal">
      <formula>"Napkin Hs"</formula>
    </cfRule>
  </conditionalFormatting>
  <conditionalFormatting sqref="C20">
    <cfRule type="cellIs" dxfId="30829" priority="17901" stopIfTrue="1" operator="equal">
      <formula>"Towel"</formula>
    </cfRule>
    <cfRule type="cellIs" dxfId="30828" priority="17902" stopIfTrue="1" operator="equal">
      <formula>"Napkin Hs"</formula>
    </cfRule>
  </conditionalFormatting>
  <conditionalFormatting sqref="C20">
    <cfRule type="cellIs" dxfId="30827" priority="17895" stopIfTrue="1" operator="equal">
      <formula>"Towel"</formula>
    </cfRule>
    <cfRule type="cellIs" dxfId="30826" priority="17896" stopIfTrue="1" operator="equal">
      <formula>"Napkin Hs"</formula>
    </cfRule>
  </conditionalFormatting>
  <conditionalFormatting sqref="C20">
    <cfRule type="cellIs" dxfId="30825" priority="17894" stopIfTrue="1" operator="equal">
      <formula>"Napkin Hs"</formula>
    </cfRule>
  </conditionalFormatting>
  <conditionalFormatting sqref="C20">
    <cfRule type="cellIs" dxfId="30824" priority="17893" stopIfTrue="1" operator="equal">
      <formula>"Towel"</formula>
    </cfRule>
  </conditionalFormatting>
  <conditionalFormatting sqref="C20">
    <cfRule type="cellIs" dxfId="30823" priority="17892" stopIfTrue="1" operator="equal">
      <formula>"Napkin Hs"</formula>
    </cfRule>
  </conditionalFormatting>
  <conditionalFormatting sqref="C20">
    <cfRule type="cellIs" dxfId="30822" priority="17889" stopIfTrue="1" operator="equal">
      <formula>"Towel"</formula>
    </cfRule>
    <cfRule type="cellIs" dxfId="30821" priority="17890" stopIfTrue="1" operator="equal">
      <formula>"Napkin Hs"</formula>
    </cfRule>
  </conditionalFormatting>
  <conditionalFormatting sqref="C20">
    <cfRule type="cellIs" dxfId="30820" priority="17891" stopIfTrue="1" operator="equal">
      <formula>"Towel"</formula>
    </cfRule>
  </conditionalFormatting>
  <conditionalFormatting sqref="C20">
    <cfRule type="cellIs" dxfId="30819" priority="18009" stopIfTrue="1" operator="equal">
      <formula>"Towel"</formula>
    </cfRule>
    <cfRule type="cellIs" dxfId="30818" priority="18010" stopIfTrue="1" operator="equal">
      <formula>"Napkin Hs"</formula>
    </cfRule>
  </conditionalFormatting>
  <conditionalFormatting sqref="C20">
    <cfRule type="cellIs" dxfId="30817" priority="18008" stopIfTrue="1" operator="equal">
      <formula>"Napkin Hs"</formula>
    </cfRule>
  </conditionalFormatting>
  <conditionalFormatting sqref="C20">
    <cfRule type="cellIs" dxfId="30816" priority="18007" stopIfTrue="1" operator="equal">
      <formula>"Towel"</formula>
    </cfRule>
  </conditionalFormatting>
  <conditionalFormatting sqref="C20">
    <cfRule type="cellIs" dxfId="30815" priority="18006" stopIfTrue="1" operator="equal">
      <formula>"Napkin Hs"</formula>
    </cfRule>
  </conditionalFormatting>
  <conditionalFormatting sqref="C20">
    <cfRule type="cellIs" dxfId="30814" priority="18003" stopIfTrue="1" operator="equal">
      <formula>"Towel"</formula>
    </cfRule>
    <cfRule type="cellIs" dxfId="30813" priority="18004" stopIfTrue="1" operator="equal">
      <formula>"Napkin Hs"</formula>
    </cfRule>
  </conditionalFormatting>
  <conditionalFormatting sqref="C20">
    <cfRule type="cellIs" dxfId="30812" priority="18005" stopIfTrue="1" operator="equal">
      <formula>"Towel"</formula>
    </cfRule>
  </conditionalFormatting>
  <conditionalFormatting sqref="C20">
    <cfRule type="cellIs" dxfId="30811" priority="18013" stopIfTrue="1" operator="equal">
      <formula>"Towel"</formula>
    </cfRule>
    <cfRule type="cellIs" dxfId="30810" priority="18014" stopIfTrue="1" operator="equal">
      <formula>"Napkin Hs"</formula>
    </cfRule>
  </conditionalFormatting>
  <conditionalFormatting sqref="C20">
    <cfRule type="cellIs" dxfId="30809" priority="18011" stopIfTrue="1" operator="equal">
      <formula>"Towel"</formula>
    </cfRule>
    <cfRule type="cellIs" dxfId="30808" priority="18012" stopIfTrue="1" operator="equal">
      <formula>"Napkin Hs"</formula>
    </cfRule>
  </conditionalFormatting>
  <conditionalFormatting sqref="C20">
    <cfRule type="cellIs" dxfId="30807" priority="17983" stopIfTrue="1" operator="equal">
      <formula>"Towel"</formula>
    </cfRule>
    <cfRule type="cellIs" dxfId="30806" priority="17984" stopIfTrue="1" operator="equal">
      <formula>"Napkin Hs"</formula>
    </cfRule>
  </conditionalFormatting>
  <conditionalFormatting sqref="C20">
    <cfRule type="cellIs" dxfId="30805" priority="17981" stopIfTrue="1" operator="equal">
      <formula>"Towel"</formula>
    </cfRule>
    <cfRule type="cellIs" dxfId="30804" priority="17982" stopIfTrue="1" operator="equal">
      <formula>"Napkin Hs"</formula>
    </cfRule>
  </conditionalFormatting>
  <conditionalFormatting sqref="C20">
    <cfRule type="cellIs" dxfId="30803" priority="17960" stopIfTrue="1" operator="equal">
      <formula>"Napkin Hs"</formula>
    </cfRule>
  </conditionalFormatting>
  <conditionalFormatting sqref="C20">
    <cfRule type="cellIs" dxfId="30802" priority="17959" stopIfTrue="1" operator="equal">
      <formula>"Towel"</formula>
    </cfRule>
  </conditionalFormatting>
  <conditionalFormatting sqref="C20">
    <cfRule type="cellIs" dxfId="30801" priority="17958" stopIfTrue="1" operator="equal">
      <formula>"Napkin Hs"</formula>
    </cfRule>
  </conditionalFormatting>
  <conditionalFormatting sqref="C20">
    <cfRule type="cellIs" dxfId="30800" priority="17957" stopIfTrue="1" operator="equal">
      <formula>"Towel"</formula>
    </cfRule>
  </conditionalFormatting>
  <conditionalFormatting sqref="C20">
    <cfRule type="cellIs" dxfId="30799" priority="17954" stopIfTrue="1" operator="equal">
      <formula>"Napkin Hs"</formula>
    </cfRule>
  </conditionalFormatting>
  <conditionalFormatting sqref="C20">
    <cfRule type="cellIs" dxfId="30798" priority="17953" stopIfTrue="1" operator="equal">
      <formula>"Towel"</formula>
    </cfRule>
  </conditionalFormatting>
  <conditionalFormatting sqref="C20">
    <cfRule type="cellIs" dxfId="30797" priority="17952" stopIfTrue="1" operator="equal">
      <formula>"Napkin Hs"</formula>
    </cfRule>
  </conditionalFormatting>
  <conditionalFormatting sqref="C20">
    <cfRule type="cellIs" dxfId="30796" priority="17951" stopIfTrue="1" operator="equal">
      <formula>"Towel"</formula>
    </cfRule>
  </conditionalFormatting>
  <conditionalFormatting sqref="C20">
    <cfRule type="cellIs" dxfId="30795" priority="17947" stopIfTrue="1" operator="equal">
      <formula>"Towel"</formula>
    </cfRule>
    <cfRule type="cellIs" dxfId="30794" priority="17948" stopIfTrue="1" operator="equal">
      <formula>"Napkin Hs"</formula>
    </cfRule>
  </conditionalFormatting>
  <conditionalFormatting sqref="C20">
    <cfRule type="cellIs" dxfId="30793" priority="17945" stopIfTrue="1" operator="equal">
      <formula>"Towel"</formula>
    </cfRule>
    <cfRule type="cellIs" dxfId="30792" priority="17946" stopIfTrue="1" operator="equal">
      <formula>"Napkin Hs"</formula>
    </cfRule>
  </conditionalFormatting>
  <conditionalFormatting sqref="C20">
    <cfRule type="cellIs" dxfId="30791" priority="17929" stopIfTrue="1" operator="equal">
      <formula>"Towel"</formula>
    </cfRule>
    <cfRule type="cellIs" dxfId="30790" priority="17930" stopIfTrue="1" operator="equal">
      <formula>"Napkin Hs"</formula>
    </cfRule>
  </conditionalFormatting>
  <conditionalFormatting sqref="C20">
    <cfRule type="cellIs" dxfId="30789" priority="17927" stopIfTrue="1" operator="equal">
      <formula>"Towel"</formula>
    </cfRule>
    <cfRule type="cellIs" dxfId="30788" priority="17928" stopIfTrue="1" operator="equal">
      <formula>"Napkin Hs"</formula>
    </cfRule>
  </conditionalFormatting>
  <conditionalFormatting sqref="C20">
    <cfRule type="cellIs" dxfId="30787" priority="17906" stopIfTrue="1" operator="equal">
      <formula>"Napkin Hs"</formula>
    </cfRule>
  </conditionalFormatting>
  <conditionalFormatting sqref="C20">
    <cfRule type="cellIs" dxfId="30786" priority="17905" stopIfTrue="1" operator="equal">
      <formula>"Towel"</formula>
    </cfRule>
  </conditionalFormatting>
  <conditionalFormatting sqref="C20">
    <cfRule type="cellIs" dxfId="30785" priority="17904" stopIfTrue="1" operator="equal">
      <formula>"Napkin Hs"</formula>
    </cfRule>
  </conditionalFormatting>
  <conditionalFormatting sqref="C20">
    <cfRule type="cellIs" dxfId="30784" priority="17903" stopIfTrue="1" operator="equal">
      <formula>"Towel"</formula>
    </cfRule>
  </conditionalFormatting>
  <conditionalFormatting sqref="C20">
    <cfRule type="cellIs" dxfId="30783" priority="17900" stopIfTrue="1" operator="equal">
      <formula>"Napkin Hs"</formula>
    </cfRule>
  </conditionalFormatting>
  <conditionalFormatting sqref="C20">
    <cfRule type="cellIs" dxfId="30782" priority="17899" stopIfTrue="1" operator="equal">
      <formula>"Towel"</formula>
    </cfRule>
  </conditionalFormatting>
  <conditionalFormatting sqref="C20">
    <cfRule type="cellIs" dxfId="30781" priority="17898" stopIfTrue="1" operator="equal">
      <formula>"Napkin Hs"</formula>
    </cfRule>
  </conditionalFormatting>
  <conditionalFormatting sqref="C20">
    <cfRule type="cellIs" dxfId="30780" priority="17897" stopIfTrue="1" operator="equal">
      <formula>"Towel"</formula>
    </cfRule>
  </conditionalFormatting>
  <conditionalFormatting sqref="C20">
    <cfRule type="cellIs" dxfId="30779" priority="17888" stopIfTrue="1" operator="equal">
      <formula>"Napkin Hs"</formula>
    </cfRule>
  </conditionalFormatting>
  <conditionalFormatting sqref="C20">
    <cfRule type="cellIs" dxfId="30778" priority="17887" stopIfTrue="1" operator="equal">
      <formula>"Towel"</formula>
    </cfRule>
  </conditionalFormatting>
  <conditionalFormatting sqref="C20">
    <cfRule type="cellIs" dxfId="30777" priority="17886" stopIfTrue="1" operator="equal">
      <formula>"Napkin Hs"</formula>
    </cfRule>
  </conditionalFormatting>
  <conditionalFormatting sqref="C20">
    <cfRule type="cellIs" dxfId="30776" priority="17883" stopIfTrue="1" operator="equal">
      <formula>"Towel"</formula>
    </cfRule>
    <cfRule type="cellIs" dxfId="30775" priority="17884" stopIfTrue="1" operator="equal">
      <formula>"Napkin Hs"</formula>
    </cfRule>
  </conditionalFormatting>
  <conditionalFormatting sqref="C20">
    <cfRule type="cellIs" dxfId="30774" priority="17885" stopIfTrue="1" operator="equal">
      <formula>"Towel"</formula>
    </cfRule>
  </conditionalFormatting>
  <conditionalFormatting sqref="C18">
    <cfRule type="cellIs" dxfId="30773" priority="17869" stopIfTrue="1" operator="equal">
      <formula>"Towel"</formula>
    </cfRule>
    <cfRule type="cellIs" dxfId="30772" priority="17870" stopIfTrue="1" operator="equal">
      <formula>"Napkin Hs"</formula>
    </cfRule>
  </conditionalFormatting>
  <conditionalFormatting sqref="C18">
    <cfRule type="cellIs" dxfId="30771" priority="17867" stopIfTrue="1" operator="equal">
      <formula>"Towel"</formula>
    </cfRule>
    <cfRule type="cellIs" dxfId="30770" priority="17868" stopIfTrue="1" operator="equal">
      <formula>"Napkin Hs"</formula>
    </cfRule>
  </conditionalFormatting>
  <conditionalFormatting sqref="C18">
    <cfRule type="cellIs" dxfId="30769" priority="17865" stopIfTrue="1" operator="equal">
      <formula>"Towel"</formula>
    </cfRule>
    <cfRule type="cellIs" dxfId="30768" priority="17866" stopIfTrue="1" operator="equal">
      <formula>"Napkin Hs"</formula>
    </cfRule>
  </conditionalFormatting>
  <conditionalFormatting sqref="C18">
    <cfRule type="cellIs" dxfId="30767" priority="17864" stopIfTrue="1" operator="equal">
      <formula>"Napkin Hs"</formula>
    </cfRule>
  </conditionalFormatting>
  <conditionalFormatting sqref="C18">
    <cfRule type="cellIs" dxfId="30766" priority="17863" stopIfTrue="1" operator="equal">
      <formula>"Towel"</formula>
    </cfRule>
  </conditionalFormatting>
  <conditionalFormatting sqref="C18">
    <cfRule type="cellIs" dxfId="30765" priority="17862" stopIfTrue="1" operator="equal">
      <formula>"Napkin Hs"</formula>
    </cfRule>
  </conditionalFormatting>
  <conditionalFormatting sqref="C18">
    <cfRule type="cellIs" dxfId="30764" priority="17861" stopIfTrue="1" operator="equal">
      <formula>"Towel"</formula>
    </cfRule>
  </conditionalFormatting>
  <conditionalFormatting sqref="C18">
    <cfRule type="cellIs" dxfId="30763" priority="17859" stopIfTrue="1" operator="equal">
      <formula>"Towel"</formula>
    </cfRule>
    <cfRule type="cellIs" dxfId="30762" priority="17860" stopIfTrue="1" operator="equal">
      <formula>"Napkin Hs"</formula>
    </cfRule>
  </conditionalFormatting>
  <conditionalFormatting sqref="C18">
    <cfRule type="cellIs" dxfId="30761" priority="17857" stopIfTrue="1" operator="equal">
      <formula>"Towel"</formula>
    </cfRule>
    <cfRule type="cellIs" dxfId="30760" priority="17858" stopIfTrue="1" operator="equal">
      <formula>"Napkin Hs"</formula>
    </cfRule>
  </conditionalFormatting>
  <conditionalFormatting sqref="C18">
    <cfRule type="cellIs" dxfId="30759" priority="17853" stopIfTrue="1" operator="equal">
      <formula>"Towel"</formula>
    </cfRule>
    <cfRule type="cellIs" dxfId="30758" priority="17854" stopIfTrue="1" operator="equal">
      <formula>"Napkin Hs"</formula>
    </cfRule>
  </conditionalFormatting>
  <conditionalFormatting sqref="C18">
    <cfRule type="cellIs" dxfId="30757" priority="17855" stopIfTrue="1" operator="equal">
      <formula>"Towel"</formula>
    </cfRule>
    <cfRule type="cellIs" dxfId="30756" priority="17856" stopIfTrue="1" operator="equal">
      <formula>"Napkin Hs"</formula>
    </cfRule>
  </conditionalFormatting>
  <conditionalFormatting sqref="C18">
    <cfRule type="cellIs" dxfId="30755" priority="17847" stopIfTrue="1" operator="equal">
      <formula>"Towel"</formula>
    </cfRule>
    <cfRule type="cellIs" dxfId="30754" priority="17848" stopIfTrue="1" operator="equal">
      <formula>"Napkin Hs"</formula>
    </cfRule>
  </conditionalFormatting>
  <conditionalFormatting sqref="C18">
    <cfRule type="cellIs" dxfId="30753" priority="17845" stopIfTrue="1" operator="equal">
      <formula>"Towel"</formula>
    </cfRule>
    <cfRule type="cellIs" dxfId="30752" priority="17846" stopIfTrue="1" operator="equal">
      <formula>"Napkin Hs"</formula>
    </cfRule>
  </conditionalFormatting>
  <conditionalFormatting sqref="C18">
    <cfRule type="cellIs" dxfId="30751" priority="17843" stopIfTrue="1" operator="equal">
      <formula>"Towel"</formula>
    </cfRule>
    <cfRule type="cellIs" dxfId="30750" priority="17844" stopIfTrue="1" operator="equal">
      <formula>"Napkin Hs"</formula>
    </cfRule>
  </conditionalFormatting>
  <conditionalFormatting sqref="C18">
    <cfRule type="cellIs" dxfId="30749" priority="17841" stopIfTrue="1" operator="equal">
      <formula>"Towel"</formula>
    </cfRule>
    <cfRule type="cellIs" dxfId="30748" priority="17842" stopIfTrue="1" operator="equal">
      <formula>"Napkin Hs"</formula>
    </cfRule>
  </conditionalFormatting>
  <conditionalFormatting sqref="C18">
    <cfRule type="cellIs" dxfId="30747" priority="17839" stopIfTrue="1" operator="equal">
      <formula>"Towel"</formula>
    </cfRule>
    <cfRule type="cellIs" dxfId="30746" priority="17840" stopIfTrue="1" operator="equal">
      <formula>"Napkin Hs"</formula>
    </cfRule>
  </conditionalFormatting>
  <conditionalFormatting sqref="C18">
    <cfRule type="cellIs" dxfId="30745" priority="17837" stopIfTrue="1" operator="equal">
      <formula>"Towel"</formula>
    </cfRule>
    <cfRule type="cellIs" dxfId="30744" priority="17838" stopIfTrue="1" operator="equal">
      <formula>"Napkin Hs"</formula>
    </cfRule>
  </conditionalFormatting>
  <conditionalFormatting sqref="C18">
    <cfRule type="cellIs" dxfId="30743" priority="17835" stopIfTrue="1" operator="equal">
      <formula>"Towel"</formula>
    </cfRule>
    <cfRule type="cellIs" dxfId="30742" priority="17836" stopIfTrue="1" operator="equal">
      <formula>"Napkin Hs"</formula>
    </cfRule>
  </conditionalFormatting>
  <conditionalFormatting sqref="C18">
    <cfRule type="cellIs" dxfId="30741" priority="17833" stopIfTrue="1" operator="equal">
      <formula>"Towel"</formula>
    </cfRule>
    <cfRule type="cellIs" dxfId="30740" priority="17834" stopIfTrue="1" operator="equal">
      <formula>"Napkin Hs"</formula>
    </cfRule>
  </conditionalFormatting>
  <conditionalFormatting sqref="C18">
    <cfRule type="cellIs" dxfId="30739" priority="17831" stopIfTrue="1" operator="equal">
      <formula>"Towel"</formula>
    </cfRule>
    <cfRule type="cellIs" dxfId="30738" priority="17832" stopIfTrue="1" operator="equal">
      <formula>"Napkin Hs"</formula>
    </cfRule>
  </conditionalFormatting>
  <conditionalFormatting sqref="C18">
    <cfRule type="cellIs" dxfId="30737" priority="17829" stopIfTrue="1" operator="equal">
      <formula>"Towel"</formula>
    </cfRule>
    <cfRule type="cellIs" dxfId="30736" priority="17830" stopIfTrue="1" operator="equal">
      <formula>"Napkin Hs"</formula>
    </cfRule>
  </conditionalFormatting>
  <conditionalFormatting sqref="C18">
    <cfRule type="cellIs" dxfId="30735" priority="17823" stopIfTrue="1" operator="equal">
      <formula>"Towel"</formula>
    </cfRule>
    <cfRule type="cellIs" dxfId="30734" priority="17824" stopIfTrue="1" operator="equal">
      <formula>"Napkin Hs"</formula>
    </cfRule>
  </conditionalFormatting>
  <conditionalFormatting sqref="C18">
    <cfRule type="cellIs" dxfId="30733" priority="17817" stopIfTrue="1" operator="equal">
      <formula>"Towel"</formula>
    </cfRule>
    <cfRule type="cellIs" dxfId="30732" priority="17818" stopIfTrue="1" operator="equal">
      <formula>"Napkin Hs"</formula>
    </cfRule>
  </conditionalFormatting>
  <conditionalFormatting sqref="C18">
    <cfRule type="cellIs" dxfId="30731" priority="17811" stopIfTrue="1" operator="equal">
      <formula>"Towel"</formula>
    </cfRule>
    <cfRule type="cellIs" dxfId="30730" priority="17812" stopIfTrue="1" operator="equal">
      <formula>"Napkin Hs"</formula>
    </cfRule>
  </conditionalFormatting>
  <conditionalFormatting sqref="C18">
    <cfRule type="cellIs" dxfId="30729" priority="17810" stopIfTrue="1" operator="equal">
      <formula>"Napkin Hs"</formula>
    </cfRule>
  </conditionalFormatting>
  <conditionalFormatting sqref="C18">
    <cfRule type="cellIs" dxfId="30728" priority="17809" stopIfTrue="1" operator="equal">
      <formula>"Towel"</formula>
    </cfRule>
  </conditionalFormatting>
  <conditionalFormatting sqref="C18">
    <cfRule type="cellIs" dxfId="30727" priority="17808" stopIfTrue="1" operator="equal">
      <formula>"Napkin Hs"</formula>
    </cfRule>
  </conditionalFormatting>
  <conditionalFormatting sqref="C18">
    <cfRule type="cellIs" dxfId="30726" priority="17807" stopIfTrue="1" operator="equal">
      <formula>"Towel"</formula>
    </cfRule>
  </conditionalFormatting>
  <conditionalFormatting sqref="C18">
    <cfRule type="cellIs" dxfId="30725" priority="17805" stopIfTrue="1" operator="equal">
      <formula>"Towel"</formula>
    </cfRule>
    <cfRule type="cellIs" dxfId="30724" priority="17806" stopIfTrue="1" operator="equal">
      <formula>"Napkin Hs"</formula>
    </cfRule>
  </conditionalFormatting>
  <conditionalFormatting sqref="C18">
    <cfRule type="cellIs" dxfId="30723" priority="17803" stopIfTrue="1" operator="equal">
      <formula>"Towel"</formula>
    </cfRule>
    <cfRule type="cellIs" dxfId="30722" priority="17804" stopIfTrue="1" operator="equal">
      <formula>"Napkin Hs"</formula>
    </cfRule>
  </conditionalFormatting>
  <conditionalFormatting sqref="C18">
    <cfRule type="cellIs" dxfId="30721" priority="17799" stopIfTrue="1" operator="equal">
      <formula>"Towel"</formula>
    </cfRule>
    <cfRule type="cellIs" dxfId="30720" priority="17800" stopIfTrue="1" operator="equal">
      <formula>"Napkin Hs"</formula>
    </cfRule>
  </conditionalFormatting>
  <conditionalFormatting sqref="C18">
    <cfRule type="cellIs" dxfId="30719" priority="17801" stopIfTrue="1" operator="equal">
      <formula>"Towel"</formula>
    </cfRule>
    <cfRule type="cellIs" dxfId="30718" priority="17802" stopIfTrue="1" operator="equal">
      <formula>"Napkin Hs"</formula>
    </cfRule>
  </conditionalFormatting>
  <conditionalFormatting sqref="C18">
    <cfRule type="cellIs" dxfId="30717" priority="17793" stopIfTrue="1" operator="equal">
      <formula>"Towel"</formula>
    </cfRule>
    <cfRule type="cellIs" dxfId="30716" priority="17794" stopIfTrue="1" operator="equal">
      <formula>"Napkin Hs"</formula>
    </cfRule>
  </conditionalFormatting>
  <conditionalFormatting sqref="C18">
    <cfRule type="cellIs" dxfId="30715" priority="17791" stopIfTrue="1" operator="equal">
      <formula>"Towel"</formula>
    </cfRule>
    <cfRule type="cellIs" dxfId="30714" priority="17792" stopIfTrue="1" operator="equal">
      <formula>"Napkin Hs"</formula>
    </cfRule>
  </conditionalFormatting>
  <conditionalFormatting sqref="C18">
    <cfRule type="cellIs" dxfId="30713" priority="17789" stopIfTrue="1" operator="equal">
      <formula>"Towel"</formula>
    </cfRule>
    <cfRule type="cellIs" dxfId="30712" priority="17790" stopIfTrue="1" operator="equal">
      <formula>"Napkin Hs"</formula>
    </cfRule>
  </conditionalFormatting>
  <conditionalFormatting sqref="C18">
    <cfRule type="cellIs" dxfId="30711" priority="17787" stopIfTrue="1" operator="equal">
      <formula>"Towel"</formula>
    </cfRule>
    <cfRule type="cellIs" dxfId="30710" priority="17788" stopIfTrue="1" operator="equal">
      <formula>"Napkin Hs"</formula>
    </cfRule>
  </conditionalFormatting>
  <conditionalFormatting sqref="C18">
    <cfRule type="cellIs" dxfId="30709" priority="17785" stopIfTrue="1" operator="equal">
      <formula>"Towel"</formula>
    </cfRule>
    <cfRule type="cellIs" dxfId="30708" priority="17786" stopIfTrue="1" operator="equal">
      <formula>"Napkin Hs"</formula>
    </cfRule>
  </conditionalFormatting>
  <conditionalFormatting sqref="C18">
    <cfRule type="cellIs" dxfId="30707" priority="17783" stopIfTrue="1" operator="equal">
      <formula>"Towel"</formula>
    </cfRule>
    <cfRule type="cellIs" dxfId="30706" priority="17784" stopIfTrue="1" operator="equal">
      <formula>"Napkin Hs"</formula>
    </cfRule>
  </conditionalFormatting>
  <conditionalFormatting sqref="C18">
    <cfRule type="cellIs" dxfId="30705" priority="17781" stopIfTrue="1" operator="equal">
      <formula>"Towel"</formula>
    </cfRule>
    <cfRule type="cellIs" dxfId="30704" priority="17782" stopIfTrue="1" operator="equal">
      <formula>"Napkin Hs"</formula>
    </cfRule>
  </conditionalFormatting>
  <conditionalFormatting sqref="C18">
    <cfRule type="cellIs" dxfId="30703" priority="17779" stopIfTrue="1" operator="equal">
      <formula>"Towel"</formula>
    </cfRule>
    <cfRule type="cellIs" dxfId="30702" priority="17780" stopIfTrue="1" operator="equal">
      <formula>"Napkin Hs"</formula>
    </cfRule>
  </conditionalFormatting>
  <conditionalFormatting sqref="C18">
    <cfRule type="cellIs" dxfId="30701" priority="17777" stopIfTrue="1" operator="equal">
      <formula>"Towel"</formula>
    </cfRule>
    <cfRule type="cellIs" dxfId="30700" priority="17778" stopIfTrue="1" operator="equal">
      <formula>"Napkin Hs"</formula>
    </cfRule>
  </conditionalFormatting>
  <conditionalFormatting sqref="C18">
    <cfRule type="cellIs" dxfId="30699" priority="17775" stopIfTrue="1" operator="equal">
      <formula>"Towel"</formula>
    </cfRule>
    <cfRule type="cellIs" dxfId="30698" priority="17776" stopIfTrue="1" operator="equal">
      <formula>"Napkin Hs"</formula>
    </cfRule>
  </conditionalFormatting>
  <conditionalFormatting sqref="C18">
    <cfRule type="cellIs" dxfId="30697" priority="17769" stopIfTrue="1" operator="equal">
      <formula>"Towel"</formula>
    </cfRule>
    <cfRule type="cellIs" dxfId="30696" priority="17770" stopIfTrue="1" operator="equal">
      <formula>"Napkin Hs"</formula>
    </cfRule>
  </conditionalFormatting>
  <conditionalFormatting sqref="C18">
    <cfRule type="cellIs" dxfId="30695" priority="17763" stopIfTrue="1" operator="equal">
      <formula>"Towel"</formula>
    </cfRule>
    <cfRule type="cellIs" dxfId="30694" priority="17764" stopIfTrue="1" operator="equal">
      <formula>"Napkin Hs"</formula>
    </cfRule>
  </conditionalFormatting>
  <conditionalFormatting sqref="C18">
    <cfRule type="cellIs" dxfId="30693" priority="17762" stopIfTrue="1" operator="equal">
      <formula>"Napkin Hs"</formula>
    </cfRule>
  </conditionalFormatting>
  <conditionalFormatting sqref="C18">
    <cfRule type="cellIs" dxfId="30692" priority="17761" stopIfTrue="1" operator="equal">
      <formula>"Towel"</formula>
    </cfRule>
  </conditionalFormatting>
  <conditionalFormatting sqref="C18">
    <cfRule type="cellIs" dxfId="30691" priority="17760" stopIfTrue="1" operator="equal">
      <formula>"Napkin Hs"</formula>
    </cfRule>
  </conditionalFormatting>
  <conditionalFormatting sqref="C18">
    <cfRule type="cellIs" dxfId="30690" priority="17757" stopIfTrue="1" operator="equal">
      <formula>"Towel"</formula>
    </cfRule>
    <cfRule type="cellIs" dxfId="30689" priority="17758" stopIfTrue="1" operator="equal">
      <formula>"Napkin Hs"</formula>
    </cfRule>
  </conditionalFormatting>
  <conditionalFormatting sqref="C18">
    <cfRule type="cellIs" dxfId="30688" priority="17759" stopIfTrue="1" operator="equal">
      <formula>"Towel"</formula>
    </cfRule>
  </conditionalFormatting>
  <conditionalFormatting sqref="C18">
    <cfRule type="cellIs" dxfId="30687" priority="17877" stopIfTrue="1" operator="equal">
      <formula>"Towel"</formula>
    </cfRule>
    <cfRule type="cellIs" dxfId="30686" priority="17878" stopIfTrue="1" operator="equal">
      <formula>"Napkin Hs"</formula>
    </cfRule>
  </conditionalFormatting>
  <conditionalFormatting sqref="C18">
    <cfRule type="cellIs" dxfId="30685" priority="17876" stopIfTrue="1" operator="equal">
      <formula>"Napkin Hs"</formula>
    </cfRule>
  </conditionalFormatting>
  <conditionalFormatting sqref="C18">
    <cfRule type="cellIs" dxfId="30684" priority="17875" stopIfTrue="1" operator="equal">
      <formula>"Towel"</formula>
    </cfRule>
  </conditionalFormatting>
  <conditionalFormatting sqref="C18">
    <cfRule type="cellIs" dxfId="30683" priority="17874" stopIfTrue="1" operator="equal">
      <formula>"Napkin Hs"</formula>
    </cfRule>
  </conditionalFormatting>
  <conditionalFormatting sqref="C18">
    <cfRule type="cellIs" dxfId="30682" priority="17871" stopIfTrue="1" operator="equal">
      <formula>"Towel"</formula>
    </cfRule>
    <cfRule type="cellIs" dxfId="30681" priority="17872" stopIfTrue="1" operator="equal">
      <formula>"Napkin Hs"</formula>
    </cfRule>
  </conditionalFormatting>
  <conditionalFormatting sqref="C18">
    <cfRule type="cellIs" dxfId="30680" priority="17873" stopIfTrue="1" operator="equal">
      <formula>"Towel"</formula>
    </cfRule>
  </conditionalFormatting>
  <conditionalFormatting sqref="C18">
    <cfRule type="cellIs" dxfId="30679" priority="17881" stopIfTrue="1" operator="equal">
      <formula>"Towel"</formula>
    </cfRule>
    <cfRule type="cellIs" dxfId="30678" priority="17882" stopIfTrue="1" operator="equal">
      <formula>"Napkin Hs"</formula>
    </cfRule>
  </conditionalFormatting>
  <conditionalFormatting sqref="C18">
    <cfRule type="cellIs" dxfId="30677" priority="17879" stopIfTrue="1" operator="equal">
      <formula>"Towel"</formula>
    </cfRule>
    <cfRule type="cellIs" dxfId="30676" priority="17880" stopIfTrue="1" operator="equal">
      <formula>"Napkin Hs"</formula>
    </cfRule>
  </conditionalFormatting>
  <conditionalFormatting sqref="C18">
    <cfRule type="cellIs" dxfId="30675" priority="17851" stopIfTrue="1" operator="equal">
      <formula>"Towel"</formula>
    </cfRule>
    <cfRule type="cellIs" dxfId="30674" priority="17852" stopIfTrue="1" operator="equal">
      <formula>"Napkin Hs"</formula>
    </cfRule>
  </conditionalFormatting>
  <conditionalFormatting sqref="C18">
    <cfRule type="cellIs" dxfId="30673" priority="17849" stopIfTrue="1" operator="equal">
      <formula>"Towel"</formula>
    </cfRule>
    <cfRule type="cellIs" dxfId="30672" priority="17850" stopIfTrue="1" operator="equal">
      <formula>"Napkin Hs"</formula>
    </cfRule>
  </conditionalFormatting>
  <conditionalFormatting sqref="C18">
    <cfRule type="cellIs" dxfId="30671" priority="17828" stopIfTrue="1" operator="equal">
      <formula>"Napkin Hs"</formula>
    </cfRule>
  </conditionalFormatting>
  <conditionalFormatting sqref="C18">
    <cfRule type="cellIs" dxfId="30670" priority="17827" stopIfTrue="1" operator="equal">
      <formula>"Towel"</formula>
    </cfRule>
  </conditionalFormatting>
  <conditionalFormatting sqref="C18">
    <cfRule type="cellIs" dxfId="30669" priority="17826" stopIfTrue="1" operator="equal">
      <formula>"Napkin Hs"</formula>
    </cfRule>
  </conditionalFormatting>
  <conditionalFormatting sqref="C18">
    <cfRule type="cellIs" dxfId="30668" priority="17825" stopIfTrue="1" operator="equal">
      <formula>"Towel"</formula>
    </cfRule>
  </conditionalFormatting>
  <conditionalFormatting sqref="C18">
    <cfRule type="cellIs" dxfId="30667" priority="17822" stopIfTrue="1" operator="equal">
      <formula>"Napkin Hs"</formula>
    </cfRule>
  </conditionalFormatting>
  <conditionalFormatting sqref="C18">
    <cfRule type="cellIs" dxfId="30666" priority="17821" stopIfTrue="1" operator="equal">
      <formula>"Towel"</formula>
    </cfRule>
  </conditionalFormatting>
  <conditionalFormatting sqref="C18">
    <cfRule type="cellIs" dxfId="30665" priority="17820" stopIfTrue="1" operator="equal">
      <formula>"Napkin Hs"</formula>
    </cfRule>
  </conditionalFormatting>
  <conditionalFormatting sqref="C18">
    <cfRule type="cellIs" dxfId="30664" priority="17819" stopIfTrue="1" operator="equal">
      <formula>"Towel"</formula>
    </cfRule>
  </conditionalFormatting>
  <conditionalFormatting sqref="C18">
    <cfRule type="cellIs" dxfId="30663" priority="17815" stopIfTrue="1" operator="equal">
      <formula>"Towel"</formula>
    </cfRule>
    <cfRule type="cellIs" dxfId="30662" priority="17816" stopIfTrue="1" operator="equal">
      <formula>"Napkin Hs"</formula>
    </cfRule>
  </conditionalFormatting>
  <conditionalFormatting sqref="C18">
    <cfRule type="cellIs" dxfId="30661" priority="17813" stopIfTrue="1" operator="equal">
      <formula>"Towel"</formula>
    </cfRule>
    <cfRule type="cellIs" dxfId="30660" priority="17814" stopIfTrue="1" operator="equal">
      <formula>"Napkin Hs"</formula>
    </cfRule>
  </conditionalFormatting>
  <conditionalFormatting sqref="C18">
    <cfRule type="cellIs" dxfId="30659" priority="17797" stopIfTrue="1" operator="equal">
      <formula>"Towel"</formula>
    </cfRule>
    <cfRule type="cellIs" dxfId="30658" priority="17798" stopIfTrue="1" operator="equal">
      <formula>"Napkin Hs"</formula>
    </cfRule>
  </conditionalFormatting>
  <conditionalFormatting sqref="C18">
    <cfRule type="cellIs" dxfId="30657" priority="17795" stopIfTrue="1" operator="equal">
      <formula>"Towel"</formula>
    </cfRule>
    <cfRule type="cellIs" dxfId="30656" priority="17796" stopIfTrue="1" operator="equal">
      <formula>"Napkin Hs"</formula>
    </cfRule>
  </conditionalFormatting>
  <conditionalFormatting sqref="C18">
    <cfRule type="cellIs" dxfId="30655" priority="17774" stopIfTrue="1" operator="equal">
      <formula>"Napkin Hs"</formula>
    </cfRule>
  </conditionalFormatting>
  <conditionalFormatting sqref="C18">
    <cfRule type="cellIs" dxfId="30654" priority="17773" stopIfTrue="1" operator="equal">
      <formula>"Towel"</formula>
    </cfRule>
  </conditionalFormatting>
  <conditionalFormatting sqref="C18">
    <cfRule type="cellIs" dxfId="30653" priority="17772" stopIfTrue="1" operator="equal">
      <formula>"Napkin Hs"</formula>
    </cfRule>
  </conditionalFormatting>
  <conditionalFormatting sqref="C18">
    <cfRule type="cellIs" dxfId="30652" priority="17771" stopIfTrue="1" operator="equal">
      <formula>"Towel"</formula>
    </cfRule>
  </conditionalFormatting>
  <conditionalFormatting sqref="C18">
    <cfRule type="cellIs" dxfId="30651" priority="17768" stopIfTrue="1" operator="equal">
      <formula>"Napkin Hs"</formula>
    </cfRule>
  </conditionalFormatting>
  <conditionalFormatting sqref="C18">
    <cfRule type="cellIs" dxfId="30650" priority="17767" stopIfTrue="1" operator="equal">
      <formula>"Towel"</formula>
    </cfRule>
  </conditionalFormatting>
  <conditionalFormatting sqref="C18">
    <cfRule type="cellIs" dxfId="30649" priority="17766" stopIfTrue="1" operator="equal">
      <formula>"Napkin Hs"</formula>
    </cfRule>
  </conditionalFormatting>
  <conditionalFormatting sqref="C18">
    <cfRule type="cellIs" dxfId="30648" priority="17765" stopIfTrue="1" operator="equal">
      <formula>"Towel"</formula>
    </cfRule>
  </conditionalFormatting>
  <conditionalFormatting sqref="B18:C18">
    <cfRule type="cellIs" dxfId="30647" priority="17756" stopIfTrue="1" operator="equal">
      <formula>"Napkin Hs"</formula>
    </cfRule>
  </conditionalFormatting>
  <conditionalFormatting sqref="B18:C18">
    <cfRule type="cellIs" dxfId="30646" priority="17755" stopIfTrue="1" operator="equal">
      <formula>"Towel"</formula>
    </cfRule>
  </conditionalFormatting>
  <conditionalFormatting sqref="C18">
    <cfRule type="cellIs" dxfId="30645" priority="17754" stopIfTrue="1" operator="equal">
      <formula>"Napkin Hs"</formula>
    </cfRule>
  </conditionalFormatting>
  <conditionalFormatting sqref="C18">
    <cfRule type="cellIs" dxfId="30644" priority="17751" stopIfTrue="1" operator="equal">
      <formula>"Towel"</formula>
    </cfRule>
    <cfRule type="cellIs" dxfId="30643" priority="17752" stopIfTrue="1" operator="equal">
      <formula>"Napkin Hs"</formula>
    </cfRule>
  </conditionalFormatting>
  <conditionalFormatting sqref="C18">
    <cfRule type="cellIs" dxfId="30642" priority="17753" stopIfTrue="1" operator="equal">
      <formula>"Towel"</formula>
    </cfRule>
  </conditionalFormatting>
  <conditionalFormatting sqref="B27:C27">
    <cfRule type="cellIs" dxfId="30641" priority="17750" stopIfTrue="1" operator="equal">
      <formula>"Napkin Hs"</formula>
    </cfRule>
  </conditionalFormatting>
  <conditionalFormatting sqref="B27:C27">
    <cfRule type="cellIs" dxfId="30640" priority="17749" stopIfTrue="1" operator="equal">
      <formula>"Towel"</formula>
    </cfRule>
  </conditionalFormatting>
  <conditionalFormatting sqref="C27">
    <cfRule type="cellIs" dxfId="30639" priority="17748" stopIfTrue="1" operator="equal">
      <formula>"Napkin Hs"</formula>
    </cfRule>
  </conditionalFormatting>
  <conditionalFormatting sqref="C27">
    <cfRule type="cellIs" dxfId="30638" priority="17745" stopIfTrue="1" operator="equal">
      <formula>"Towel"</formula>
    </cfRule>
    <cfRule type="cellIs" dxfId="30637" priority="17746" stopIfTrue="1" operator="equal">
      <formula>"Napkin Hs"</formula>
    </cfRule>
  </conditionalFormatting>
  <conditionalFormatting sqref="C27">
    <cfRule type="cellIs" dxfId="30636" priority="17747" stopIfTrue="1" operator="equal">
      <formula>"Towel"</formula>
    </cfRule>
  </conditionalFormatting>
  <conditionalFormatting sqref="C25">
    <cfRule type="cellIs" dxfId="30635" priority="17731" stopIfTrue="1" operator="equal">
      <formula>"Towel"</formula>
    </cfRule>
    <cfRule type="cellIs" dxfId="30634" priority="17732" stopIfTrue="1" operator="equal">
      <formula>"Napkin Hs"</formula>
    </cfRule>
  </conditionalFormatting>
  <conditionalFormatting sqref="C25">
    <cfRule type="cellIs" dxfId="30633" priority="17729" stopIfTrue="1" operator="equal">
      <formula>"Towel"</formula>
    </cfRule>
    <cfRule type="cellIs" dxfId="30632" priority="17730" stopIfTrue="1" operator="equal">
      <formula>"Napkin Hs"</formula>
    </cfRule>
  </conditionalFormatting>
  <conditionalFormatting sqref="C25">
    <cfRule type="cellIs" dxfId="30631" priority="17727" stopIfTrue="1" operator="equal">
      <formula>"Towel"</formula>
    </cfRule>
    <cfRule type="cellIs" dxfId="30630" priority="17728" stopIfTrue="1" operator="equal">
      <formula>"Napkin Hs"</formula>
    </cfRule>
  </conditionalFormatting>
  <conditionalFormatting sqref="C25">
    <cfRule type="cellIs" dxfId="30629" priority="17726" stopIfTrue="1" operator="equal">
      <formula>"Napkin Hs"</formula>
    </cfRule>
  </conditionalFormatting>
  <conditionalFormatting sqref="C25">
    <cfRule type="cellIs" dxfId="30628" priority="17725" stopIfTrue="1" operator="equal">
      <formula>"Towel"</formula>
    </cfRule>
  </conditionalFormatting>
  <conditionalFormatting sqref="C25">
    <cfRule type="cellIs" dxfId="30627" priority="17724" stopIfTrue="1" operator="equal">
      <formula>"Napkin Hs"</formula>
    </cfRule>
  </conditionalFormatting>
  <conditionalFormatting sqref="C25">
    <cfRule type="cellIs" dxfId="30626" priority="17723" stopIfTrue="1" operator="equal">
      <formula>"Towel"</formula>
    </cfRule>
  </conditionalFormatting>
  <conditionalFormatting sqref="C25">
    <cfRule type="cellIs" dxfId="30625" priority="17721" stopIfTrue="1" operator="equal">
      <formula>"Towel"</formula>
    </cfRule>
    <cfRule type="cellIs" dxfId="30624" priority="17722" stopIfTrue="1" operator="equal">
      <formula>"Napkin Hs"</formula>
    </cfRule>
  </conditionalFormatting>
  <conditionalFormatting sqref="C25">
    <cfRule type="cellIs" dxfId="30623" priority="17719" stopIfTrue="1" operator="equal">
      <formula>"Towel"</formula>
    </cfRule>
    <cfRule type="cellIs" dxfId="30622" priority="17720" stopIfTrue="1" operator="equal">
      <formula>"Napkin Hs"</formula>
    </cfRule>
  </conditionalFormatting>
  <conditionalFormatting sqref="C25">
    <cfRule type="cellIs" dxfId="30621" priority="17715" stopIfTrue="1" operator="equal">
      <formula>"Towel"</formula>
    </cfRule>
    <cfRule type="cellIs" dxfId="30620" priority="17716" stopIfTrue="1" operator="equal">
      <formula>"Napkin Hs"</formula>
    </cfRule>
  </conditionalFormatting>
  <conditionalFormatting sqref="C25">
    <cfRule type="cellIs" dxfId="30619" priority="17717" stopIfTrue="1" operator="equal">
      <formula>"Towel"</formula>
    </cfRule>
    <cfRule type="cellIs" dxfId="30618" priority="17718" stopIfTrue="1" operator="equal">
      <formula>"Napkin Hs"</formula>
    </cfRule>
  </conditionalFormatting>
  <conditionalFormatting sqref="C25">
    <cfRule type="cellIs" dxfId="30617" priority="17709" stopIfTrue="1" operator="equal">
      <formula>"Towel"</formula>
    </cfRule>
    <cfRule type="cellIs" dxfId="30616" priority="17710" stopIfTrue="1" operator="equal">
      <formula>"Napkin Hs"</formula>
    </cfRule>
  </conditionalFormatting>
  <conditionalFormatting sqref="C25">
    <cfRule type="cellIs" dxfId="30615" priority="17707" stopIfTrue="1" operator="equal">
      <formula>"Towel"</formula>
    </cfRule>
    <cfRule type="cellIs" dxfId="30614" priority="17708" stopIfTrue="1" operator="equal">
      <formula>"Napkin Hs"</formula>
    </cfRule>
  </conditionalFormatting>
  <conditionalFormatting sqref="C25">
    <cfRule type="cellIs" dxfId="30613" priority="17705" stopIfTrue="1" operator="equal">
      <formula>"Towel"</formula>
    </cfRule>
    <cfRule type="cellIs" dxfId="30612" priority="17706" stopIfTrue="1" operator="equal">
      <formula>"Napkin Hs"</formula>
    </cfRule>
  </conditionalFormatting>
  <conditionalFormatting sqref="C25">
    <cfRule type="cellIs" dxfId="30611" priority="17703" stopIfTrue="1" operator="equal">
      <formula>"Towel"</formula>
    </cfRule>
    <cfRule type="cellIs" dxfId="30610" priority="17704" stopIfTrue="1" operator="equal">
      <formula>"Napkin Hs"</formula>
    </cfRule>
  </conditionalFormatting>
  <conditionalFormatting sqref="C25">
    <cfRule type="cellIs" dxfId="30609" priority="17701" stopIfTrue="1" operator="equal">
      <formula>"Towel"</formula>
    </cfRule>
    <cfRule type="cellIs" dxfId="30608" priority="17702" stopIfTrue="1" operator="equal">
      <formula>"Napkin Hs"</formula>
    </cfRule>
  </conditionalFormatting>
  <conditionalFormatting sqref="C25">
    <cfRule type="cellIs" dxfId="30607" priority="17699" stopIfTrue="1" operator="equal">
      <formula>"Towel"</formula>
    </cfRule>
    <cfRule type="cellIs" dxfId="30606" priority="17700" stopIfTrue="1" operator="equal">
      <formula>"Napkin Hs"</formula>
    </cfRule>
  </conditionalFormatting>
  <conditionalFormatting sqref="C25">
    <cfRule type="cellIs" dxfId="30605" priority="17697" stopIfTrue="1" operator="equal">
      <formula>"Towel"</formula>
    </cfRule>
    <cfRule type="cellIs" dxfId="30604" priority="17698" stopIfTrue="1" operator="equal">
      <formula>"Napkin Hs"</formula>
    </cfRule>
  </conditionalFormatting>
  <conditionalFormatting sqref="C25">
    <cfRule type="cellIs" dxfId="30603" priority="17695" stopIfTrue="1" operator="equal">
      <formula>"Towel"</formula>
    </cfRule>
    <cfRule type="cellIs" dxfId="30602" priority="17696" stopIfTrue="1" operator="equal">
      <formula>"Napkin Hs"</formula>
    </cfRule>
  </conditionalFormatting>
  <conditionalFormatting sqref="C25">
    <cfRule type="cellIs" dxfId="30601" priority="17693" stopIfTrue="1" operator="equal">
      <formula>"Towel"</formula>
    </cfRule>
    <cfRule type="cellIs" dxfId="30600" priority="17694" stopIfTrue="1" operator="equal">
      <formula>"Napkin Hs"</formula>
    </cfRule>
  </conditionalFormatting>
  <conditionalFormatting sqref="C25">
    <cfRule type="cellIs" dxfId="30599" priority="17691" stopIfTrue="1" operator="equal">
      <formula>"Towel"</formula>
    </cfRule>
    <cfRule type="cellIs" dxfId="30598" priority="17692" stopIfTrue="1" operator="equal">
      <formula>"Napkin Hs"</formula>
    </cfRule>
  </conditionalFormatting>
  <conditionalFormatting sqref="C25">
    <cfRule type="cellIs" dxfId="30597" priority="17685" stopIfTrue="1" operator="equal">
      <formula>"Towel"</formula>
    </cfRule>
    <cfRule type="cellIs" dxfId="30596" priority="17686" stopIfTrue="1" operator="equal">
      <formula>"Napkin Hs"</formula>
    </cfRule>
  </conditionalFormatting>
  <conditionalFormatting sqref="C25">
    <cfRule type="cellIs" dxfId="30595" priority="17679" stopIfTrue="1" operator="equal">
      <formula>"Towel"</formula>
    </cfRule>
    <cfRule type="cellIs" dxfId="30594" priority="17680" stopIfTrue="1" operator="equal">
      <formula>"Napkin Hs"</formula>
    </cfRule>
  </conditionalFormatting>
  <conditionalFormatting sqref="C25">
    <cfRule type="cellIs" dxfId="30593" priority="17673" stopIfTrue="1" operator="equal">
      <formula>"Towel"</formula>
    </cfRule>
    <cfRule type="cellIs" dxfId="30592" priority="17674" stopIfTrue="1" operator="equal">
      <formula>"Napkin Hs"</formula>
    </cfRule>
  </conditionalFormatting>
  <conditionalFormatting sqref="C25">
    <cfRule type="cellIs" dxfId="30591" priority="17672" stopIfTrue="1" operator="equal">
      <formula>"Napkin Hs"</formula>
    </cfRule>
  </conditionalFormatting>
  <conditionalFormatting sqref="C25">
    <cfRule type="cellIs" dxfId="30590" priority="17671" stopIfTrue="1" operator="equal">
      <formula>"Towel"</formula>
    </cfRule>
  </conditionalFormatting>
  <conditionalFormatting sqref="C25">
    <cfRule type="cellIs" dxfId="30589" priority="17670" stopIfTrue="1" operator="equal">
      <formula>"Napkin Hs"</formula>
    </cfRule>
  </conditionalFormatting>
  <conditionalFormatting sqref="C25">
    <cfRule type="cellIs" dxfId="30588" priority="17669" stopIfTrue="1" operator="equal">
      <formula>"Towel"</formula>
    </cfRule>
  </conditionalFormatting>
  <conditionalFormatting sqref="C25">
    <cfRule type="cellIs" dxfId="30587" priority="17667" stopIfTrue="1" operator="equal">
      <formula>"Towel"</formula>
    </cfRule>
    <cfRule type="cellIs" dxfId="30586" priority="17668" stopIfTrue="1" operator="equal">
      <formula>"Napkin Hs"</formula>
    </cfRule>
  </conditionalFormatting>
  <conditionalFormatting sqref="C25">
    <cfRule type="cellIs" dxfId="30585" priority="17665" stopIfTrue="1" operator="equal">
      <formula>"Towel"</formula>
    </cfRule>
    <cfRule type="cellIs" dxfId="30584" priority="17666" stopIfTrue="1" operator="equal">
      <formula>"Napkin Hs"</formula>
    </cfRule>
  </conditionalFormatting>
  <conditionalFormatting sqref="C25">
    <cfRule type="cellIs" dxfId="30583" priority="17661" stopIfTrue="1" operator="equal">
      <formula>"Towel"</formula>
    </cfRule>
    <cfRule type="cellIs" dxfId="30582" priority="17662" stopIfTrue="1" operator="equal">
      <formula>"Napkin Hs"</formula>
    </cfRule>
  </conditionalFormatting>
  <conditionalFormatting sqref="C25">
    <cfRule type="cellIs" dxfId="30581" priority="17663" stopIfTrue="1" operator="equal">
      <formula>"Towel"</formula>
    </cfRule>
    <cfRule type="cellIs" dxfId="30580" priority="17664" stopIfTrue="1" operator="equal">
      <formula>"Napkin Hs"</formula>
    </cfRule>
  </conditionalFormatting>
  <conditionalFormatting sqref="C25">
    <cfRule type="cellIs" dxfId="30579" priority="17655" stopIfTrue="1" operator="equal">
      <formula>"Towel"</formula>
    </cfRule>
    <cfRule type="cellIs" dxfId="30578" priority="17656" stopIfTrue="1" operator="equal">
      <formula>"Napkin Hs"</formula>
    </cfRule>
  </conditionalFormatting>
  <conditionalFormatting sqref="C25">
    <cfRule type="cellIs" dxfId="30577" priority="17653" stopIfTrue="1" operator="equal">
      <formula>"Towel"</formula>
    </cfRule>
    <cfRule type="cellIs" dxfId="30576" priority="17654" stopIfTrue="1" operator="equal">
      <formula>"Napkin Hs"</formula>
    </cfRule>
  </conditionalFormatting>
  <conditionalFormatting sqref="C25">
    <cfRule type="cellIs" dxfId="30575" priority="17651" stopIfTrue="1" operator="equal">
      <formula>"Towel"</formula>
    </cfRule>
    <cfRule type="cellIs" dxfId="30574" priority="17652" stopIfTrue="1" operator="equal">
      <formula>"Napkin Hs"</formula>
    </cfRule>
  </conditionalFormatting>
  <conditionalFormatting sqref="C25">
    <cfRule type="cellIs" dxfId="30573" priority="17649" stopIfTrue="1" operator="equal">
      <formula>"Towel"</formula>
    </cfRule>
    <cfRule type="cellIs" dxfId="30572" priority="17650" stopIfTrue="1" operator="equal">
      <formula>"Napkin Hs"</formula>
    </cfRule>
  </conditionalFormatting>
  <conditionalFormatting sqref="C25">
    <cfRule type="cellIs" dxfId="30571" priority="17647" stopIfTrue="1" operator="equal">
      <formula>"Towel"</formula>
    </cfRule>
    <cfRule type="cellIs" dxfId="30570" priority="17648" stopIfTrue="1" operator="equal">
      <formula>"Napkin Hs"</formula>
    </cfRule>
  </conditionalFormatting>
  <conditionalFormatting sqref="C25">
    <cfRule type="cellIs" dxfId="30569" priority="17645" stopIfTrue="1" operator="equal">
      <formula>"Towel"</formula>
    </cfRule>
    <cfRule type="cellIs" dxfId="30568" priority="17646" stopIfTrue="1" operator="equal">
      <formula>"Napkin Hs"</formula>
    </cfRule>
  </conditionalFormatting>
  <conditionalFormatting sqref="C25">
    <cfRule type="cellIs" dxfId="30567" priority="17643" stopIfTrue="1" operator="equal">
      <formula>"Towel"</formula>
    </cfRule>
    <cfRule type="cellIs" dxfId="30566" priority="17644" stopIfTrue="1" operator="equal">
      <formula>"Napkin Hs"</formula>
    </cfRule>
  </conditionalFormatting>
  <conditionalFormatting sqref="C25">
    <cfRule type="cellIs" dxfId="30565" priority="17641" stopIfTrue="1" operator="equal">
      <formula>"Towel"</formula>
    </cfRule>
    <cfRule type="cellIs" dxfId="30564" priority="17642" stopIfTrue="1" operator="equal">
      <formula>"Napkin Hs"</formula>
    </cfRule>
  </conditionalFormatting>
  <conditionalFormatting sqref="C25">
    <cfRule type="cellIs" dxfId="30563" priority="17639" stopIfTrue="1" operator="equal">
      <formula>"Towel"</formula>
    </cfRule>
    <cfRule type="cellIs" dxfId="30562" priority="17640" stopIfTrue="1" operator="equal">
      <formula>"Napkin Hs"</formula>
    </cfRule>
  </conditionalFormatting>
  <conditionalFormatting sqref="C25">
    <cfRule type="cellIs" dxfId="30561" priority="17637" stopIfTrue="1" operator="equal">
      <formula>"Towel"</formula>
    </cfRule>
    <cfRule type="cellIs" dxfId="30560" priority="17638" stopIfTrue="1" operator="equal">
      <formula>"Napkin Hs"</formula>
    </cfRule>
  </conditionalFormatting>
  <conditionalFormatting sqref="C25">
    <cfRule type="cellIs" dxfId="30559" priority="17631" stopIfTrue="1" operator="equal">
      <formula>"Towel"</formula>
    </cfRule>
    <cfRule type="cellIs" dxfId="30558" priority="17632" stopIfTrue="1" operator="equal">
      <formula>"Napkin Hs"</formula>
    </cfRule>
  </conditionalFormatting>
  <conditionalFormatting sqref="C25">
    <cfRule type="cellIs" dxfId="30557" priority="17625" stopIfTrue="1" operator="equal">
      <formula>"Towel"</formula>
    </cfRule>
    <cfRule type="cellIs" dxfId="30556" priority="17626" stopIfTrue="1" operator="equal">
      <formula>"Napkin Hs"</formula>
    </cfRule>
  </conditionalFormatting>
  <conditionalFormatting sqref="C25">
    <cfRule type="cellIs" dxfId="30555" priority="17624" stopIfTrue="1" operator="equal">
      <formula>"Napkin Hs"</formula>
    </cfRule>
  </conditionalFormatting>
  <conditionalFormatting sqref="C25">
    <cfRule type="cellIs" dxfId="30554" priority="17623" stopIfTrue="1" operator="equal">
      <formula>"Towel"</formula>
    </cfRule>
  </conditionalFormatting>
  <conditionalFormatting sqref="C25">
    <cfRule type="cellIs" dxfId="30553" priority="17622" stopIfTrue="1" operator="equal">
      <formula>"Napkin Hs"</formula>
    </cfRule>
  </conditionalFormatting>
  <conditionalFormatting sqref="C25">
    <cfRule type="cellIs" dxfId="30552" priority="17619" stopIfTrue="1" operator="equal">
      <formula>"Towel"</formula>
    </cfRule>
    <cfRule type="cellIs" dxfId="30551" priority="17620" stopIfTrue="1" operator="equal">
      <formula>"Napkin Hs"</formula>
    </cfRule>
  </conditionalFormatting>
  <conditionalFormatting sqref="C25">
    <cfRule type="cellIs" dxfId="30550" priority="17621" stopIfTrue="1" operator="equal">
      <formula>"Towel"</formula>
    </cfRule>
  </conditionalFormatting>
  <conditionalFormatting sqref="C25">
    <cfRule type="cellIs" dxfId="30549" priority="17739" stopIfTrue="1" operator="equal">
      <formula>"Towel"</formula>
    </cfRule>
    <cfRule type="cellIs" dxfId="30548" priority="17740" stopIfTrue="1" operator="equal">
      <formula>"Napkin Hs"</formula>
    </cfRule>
  </conditionalFormatting>
  <conditionalFormatting sqref="C25">
    <cfRule type="cellIs" dxfId="30547" priority="17738" stopIfTrue="1" operator="equal">
      <formula>"Napkin Hs"</formula>
    </cfRule>
  </conditionalFormatting>
  <conditionalFormatting sqref="C25">
    <cfRule type="cellIs" dxfId="30546" priority="17737" stopIfTrue="1" operator="equal">
      <formula>"Towel"</formula>
    </cfRule>
  </conditionalFormatting>
  <conditionalFormatting sqref="C25">
    <cfRule type="cellIs" dxfId="30545" priority="17736" stopIfTrue="1" operator="equal">
      <formula>"Napkin Hs"</formula>
    </cfRule>
  </conditionalFormatting>
  <conditionalFormatting sqref="C25">
    <cfRule type="cellIs" dxfId="30544" priority="17733" stopIfTrue="1" operator="equal">
      <formula>"Towel"</formula>
    </cfRule>
    <cfRule type="cellIs" dxfId="30543" priority="17734" stopIfTrue="1" operator="equal">
      <formula>"Napkin Hs"</formula>
    </cfRule>
  </conditionalFormatting>
  <conditionalFormatting sqref="C25">
    <cfRule type="cellIs" dxfId="30542" priority="17735" stopIfTrue="1" operator="equal">
      <formula>"Towel"</formula>
    </cfRule>
  </conditionalFormatting>
  <conditionalFormatting sqref="C25">
    <cfRule type="cellIs" dxfId="30541" priority="17743" stopIfTrue="1" operator="equal">
      <formula>"Towel"</formula>
    </cfRule>
    <cfRule type="cellIs" dxfId="30540" priority="17744" stopIfTrue="1" operator="equal">
      <formula>"Napkin Hs"</formula>
    </cfRule>
  </conditionalFormatting>
  <conditionalFormatting sqref="C25">
    <cfRule type="cellIs" dxfId="30539" priority="17741" stopIfTrue="1" operator="equal">
      <formula>"Towel"</formula>
    </cfRule>
    <cfRule type="cellIs" dxfId="30538" priority="17742" stopIfTrue="1" operator="equal">
      <formula>"Napkin Hs"</formula>
    </cfRule>
  </conditionalFormatting>
  <conditionalFormatting sqref="C25">
    <cfRule type="cellIs" dxfId="30537" priority="17713" stopIfTrue="1" operator="equal">
      <formula>"Towel"</formula>
    </cfRule>
    <cfRule type="cellIs" dxfId="30536" priority="17714" stopIfTrue="1" operator="equal">
      <formula>"Napkin Hs"</formula>
    </cfRule>
  </conditionalFormatting>
  <conditionalFormatting sqref="C25">
    <cfRule type="cellIs" dxfId="30535" priority="17711" stopIfTrue="1" operator="equal">
      <formula>"Towel"</formula>
    </cfRule>
    <cfRule type="cellIs" dxfId="30534" priority="17712" stopIfTrue="1" operator="equal">
      <formula>"Napkin Hs"</formula>
    </cfRule>
  </conditionalFormatting>
  <conditionalFormatting sqref="C25">
    <cfRule type="cellIs" dxfId="30533" priority="17690" stopIfTrue="1" operator="equal">
      <formula>"Napkin Hs"</formula>
    </cfRule>
  </conditionalFormatting>
  <conditionalFormatting sqref="C25">
    <cfRule type="cellIs" dxfId="30532" priority="17689" stopIfTrue="1" operator="equal">
      <formula>"Towel"</formula>
    </cfRule>
  </conditionalFormatting>
  <conditionalFormatting sqref="C25">
    <cfRule type="cellIs" dxfId="30531" priority="17688" stopIfTrue="1" operator="equal">
      <formula>"Napkin Hs"</formula>
    </cfRule>
  </conditionalFormatting>
  <conditionalFormatting sqref="C25">
    <cfRule type="cellIs" dxfId="30530" priority="17687" stopIfTrue="1" operator="equal">
      <formula>"Towel"</formula>
    </cfRule>
  </conditionalFormatting>
  <conditionalFormatting sqref="C25">
    <cfRule type="cellIs" dxfId="30529" priority="17684" stopIfTrue="1" operator="equal">
      <formula>"Napkin Hs"</formula>
    </cfRule>
  </conditionalFormatting>
  <conditionalFormatting sqref="C25">
    <cfRule type="cellIs" dxfId="30528" priority="17683" stopIfTrue="1" operator="equal">
      <formula>"Towel"</formula>
    </cfRule>
  </conditionalFormatting>
  <conditionalFormatting sqref="C25">
    <cfRule type="cellIs" dxfId="30527" priority="17682" stopIfTrue="1" operator="equal">
      <formula>"Napkin Hs"</formula>
    </cfRule>
  </conditionalFormatting>
  <conditionalFormatting sqref="C25">
    <cfRule type="cellIs" dxfId="30526" priority="17681" stopIfTrue="1" operator="equal">
      <formula>"Towel"</formula>
    </cfRule>
  </conditionalFormatting>
  <conditionalFormatting sqref="C25">
    <cfRule type="cellIs" dxfId="30525" priority="17677" stopIfTrue="1" operator="equal">
      <formula>"Towel"</formula>
    </cfRule>
    <cfRule type="cellIs" dxfId="30524" priority="17678" stopIfTrue="1" operator="equal">
      <formula>"Napkin Hs"</formula>
    </cfRule>
  </conditionalFormatting>
  <conditionalFormatting sqref="C25">
    <cfRule type="cellIs" dxfId="30523" priority="17675" stopIfTrue="1" operator="equal">
      <formula>"Towel"</formula>
    </cfRule>
    <cfRule type="cellIs" dxfId="30522" priority="17676" stopIfTrue="1" operator="equal">
      <formula>"Napkin Hs"</formula>
    </cfRule>
  </conditionalFormatting>
  <conditionalFormatting sqref="C25">
    <cfRule type="cellIs" dxfId="30521" priority="17659" stopIfTrue="1" operator="equal">
      <formula>"Towel"</formula>
    </cfRule>
    <cfRule type="cellIs" dxfId="30520" priority="17660" stopIfTrue="1" operator="equal">
      <formula>"Napkin Hs"</formula>
    </cfRule>
  </conditionalFormatting>
  <conditionalFormatting sqref="C25">
    <cfRule type="cellIs" dxfId="30519" priority="17657" stopIfTrue="1" operator="equal">
      <formula>"Towel"</formula>
    </cfRule>
    <cfRule type="cellIs" dxfId="30518" priority="17658" stopIfTrue="1" operator="equal">
      <formula>"Napkin Hs"</formula>
    </cfRule>
  </conditionalFormatting>
  <conditionalFormatting sqref="C25">
    <cfRule type="cellIs" dxfId="30517" priority="17636" stopIfTrue="1" operator="equal">
      <formula>"Napkin Hs"</formula>
    </cfRule>
  </conditionalFormatting>
  <conditionalFormatting sqref="C25">
    <cfRule type="cellIs" dxfId="30516" priority="17635" stopIfTrue="1" operator="equal">
      <formula>"Towel"</formula>
    </cfRule>
  </conditionalFormatting>
  <conditionalFormatting sqref="C25">
    <cfRule type="cellIs" dxfId="30515" priority="17634" stopIfTrue="1" operator="equal">
      <formula>"Napkin Hs"</formula>
    </cfRule>
  </conditionalFormatting>
  <conditionalFormatting sqref="C25">
    <cfRule type="cellIs" dxfId="30514" priority="17633" stopIfTrue="1" operator="equal">
      <formula>"Towel"</formula>
    </cfRule>
  </conditionalFormatting>
  <conditionalFormatting sqref="C25">
    <cfRule type="cellIs" dxfId="30513" priority="17630" stopIfTrue="1" operator="equal">
      <formula>"Napkin Hs"</formula>
    </cfRule>
  </conditionalFormatting>
  <conditionalFormatting sqref="C25">
    <cfRule type="cellIs" dxfId="30512" priority="17629" stopIfTrue="1" operator="equal">
      <formula>"Towel"</formula>
    </cfRule>
  </conditionalFormatting>
  <conditionalFormatting sqref="C25">
    <cfRule type="cellIs" dxfId="30511" priority="17628" stopIfTrue="1" operator="equal">
      <formula>"Napkin Hs"</formula>
    </cfRule>
  </conditionalFormatting>
  <conditionalFormatting sqref="C25">
    <cfRule type="cellIs" dxfId="30510" priority="17627" stopIfTrue="1" operator="equal">
      <formula>"Towel"</formula>
    </cfRule>
  </conditionalFormatting>
  <conditionalFormatting sqref="B25:C25 B26">
    <cfRule type="cellIs" dxfId="30509" priority="17618" stopIfTrue="1" operator="equal">
      <formula>"Napkin Hs"</formula>
    </cfRule>
  </conditionalFormatting>
  <conditionalFormatting sqref="B25:C25 B26">
    <cfRule type="cellIs" dxfId="30508" priority="17617" stopIfTrue="1" operator="equal">
      <formula>"Towel"</formula>
    </cfRule>
  </conditionalFormatting>
  <conditionalFormatting sqref="C25">
    <cfRule type="cellIs" dxfId="30507" priority="17616" stopIfTrue="1" operator="equal">
      <formula>"Napkin Hs"</formula>
    </cfRule>
  </conditionalFormatting>
  <conditionalFormatting sqref="C25">
    <cfRule type="cellIs" dxfId="30506" priority="17613" stopIfTrue="1" operator="equal">
      <formula>"Towel"</formula>
    </cfRule>
    <cfRule type="cellIs" dxfId="30505" priority="17614" stopIfTrue="1" operator="equal">
      <formula>"Napkin Hs"</formula>
    </cfRule>
  </conditionalFormatting>
  <conditionalFormatting sqref="C25">
    <cfRule type="cellIs" dxfId="30504" priority="17615" stopIfTrue="1" operator="equal">
      <formula>"Towel"</formula>
    </cfRule>
  </conditionalFormatting>
  <conditionalFormatting sqref="C26">
    <cfRule type="cellIs" dxfId="30503" priority="17599" stopIfTrue="1" operator="equal">
      <formula>"Towel"</formula>
    </cfRule>
    <cfRule type="cellIs" dxfId="30502" priority="17600" stopIfTrue="1" operator="equal">
      <formula>"Napkin Hs"</formula>
    </cfRule>
  </conditionalFormatting>
  <conditionalFormatting sqref="C26">
    <cfRule type="cellIs" dxfId="30501" priority="17597" stopIfTrue="1" operator="equal">
      <formula>"Towel"</formula>
    </cfRule>
    <cfRule type="cellIs" dxfId="30500" priority="17598" stopIfTrue="1" operator="equal">
      <formula>"Napkin Hs"</formula>
    </cfRule>
  </conditionalFormatting>
  <conditionalFormatting sqref="C26">
    <cfRule type="cellIs" dxfId="30499" priority="17595" stopIfTrue="1" operator="equal">
      <formula>"Towel"</formula>
    </cfRule>
    <cfRule type="cellIs" dxfId="30498" priority="17596" stopIfTrue="1" operator="equal">
      <formula>"Napkin Hs"</formula>
    </cfRule>
  </conditionalFormatting>
  <conditionalFormatting sqref="C26">
    <cfRule type="cellIs" dxfId="30497" priority="17594" stopIfTrue="1" operator="equal">
      <formula>"Napkin Hs"</formula>
    </cfRule>
  </conditionalFormatting>
  <conditionalFormatting sqref="C26">
    <cfRule type="cellIs" dxfId="30496" priority="17593" stopIfTrue="1" operator="equal">
      <formula>"Towel"</formula>
    </cfRule>
  </conditionalFormatting>
  <conditionalFormatting sqref="C26">
    <cfRule type="cellIs" dxfId="30495" priority="17592" stopIfTrue="1" operator="equal">
      <formula>"Napkin Hs"</formula>
    </cfRule>
  </conditionalFormatting>
  <conditionalFormatting sqref="C26">
    <cfRule type="cellIs" dxfId="30494" priority="17591" stopIfTrue="1" operator="equal">
      <formula>"Towel"</formula>
    </cfRule>
  </conditionalFormatting>
  <conditionalFormatting sqref="C26">
    <cfRule type="cellIs" dxfId="30493" priority="17589" stopIfTrue="1" operator="equal">
      <formula>"Towel"</formula>
    </cfRule>
    <cfRule type="cellIs" dxfId="30492" priority="17590" stopIfTrue="1" operator="equal">
      <formula>"Napkin Hs"</formula>
    </cfRule>
  </conditionalFormatting>
  <conditionalFormatting sqref="C26">
    <cfRule type="cellIs" dxfId="30491" priority="17587" stopIfTrue="1" operator="equal">
      <formula>"Towel"</formula>
    </cfRule>
    <cfRule type="cellIs" dxfId="30490" priority="17588" stopIfTrue="1" operator="equal">
      <formula>"Napkin Hs"</formula>
    </cfRule>
  </conditionalFormatting>
  <conditionalFormatting sqref="C26">
    <cfRule type="cellIs" dxfId="30489" priority="17583" stopIfTrue="1" operator="equal">
      <formula>"Towel"</formula>
    </cfRule>
    <cfRule type="cellIs" dxfId="30488" priority="17584" stopIfTrue="1" operator="equal">
      <formula>"Napkin Hs"</formula>
    </cfRule>
  </conditionalFormatting>
  <conditionalFormatting sqref="C26">
    <cfRule type="cellIs" dxfId="30487" priority="17585" stopIfTrue="1" operator="equal">
      <formula>"Towel"</formula>
    </cfRule>
    <cfRule type="cellIs" dxfId="30486" priority="17586" stopIfTrue="1" operator="equal">
      <formula>"Napkin Hs"</formula>
    </cfRule>
  </conditionalFormatting>
  <conditionalFormatting sqref="C26">
    <cfRule type="cellIs" dxfId="30485" priority="17577" stopIfTrue="1" operator="equal">
      <formula>"Towel"</formula>
    </cfRule>
    <cfRule type="cellIs" dxfId="30484" priority="17578" stopIfTrue="1" operator="equal">
      <formula>"Napkin Hs"</formula>
    </cfRule>
  </conditionalFormatting>
  <conditionalFormatting sqref="C26">
    <cfRule type="cellIs" dxfId="30483" priority="17575" stopIfTrue="1" operator="equal">
      <formula>"Towel"</formula>
    </cfRule>
    <cfRule type="cellIs" dxfId="30482" priority="17576" stopIfTrue="1" operator="equal">
      <formula>"Napkin Hs"</formula>
    </cfRule>
  </conditionalFormatting>
  <conditionalFormatting sqref="C26">
    <cfRule type="cellIs" dxfId="30481" priority="17573" stopIfTrue="1" operator="equal">
      <formula>"Towel"</formula>
    </cfRule>
    <cfRule type="cellIs" dxfId="30480" priority="17574" stopIfTrue="1" operator="equal">
      <formula>"Napkin Hs"</formula>
    </cfRule>
  </conditionalFormatting>
  <conditionalFormatting sqref="C26">
    <cfRule type="cellIs" dxfId="30479" priority="17571" stopIfTrue="1" operator="equal">
      <formula>"Towel"</formula>
    </cfRule>
    <cfRule type="cellIs" dxfId="30478" priority="17572" stopIfTrue="1" operator="equal">
      <formula>"Napkin Hs"</formula>
    </cfRule>
  </conditionalFormatting>
  <conditionalFormatting sqref="C26">
    <cfRule type="cellIs" dxfId="30477" priority="17569" stopIfTrue="1" operator="equal">
      <formula>"Towel"</formula>
    </cfRule>
    <cfRule type="cellIs" dxfId="30476" priority="17570" stopIfTrue="1" operator="equal">
      <formula>"Napkin Hs"</formula>
    </cfRule>
  </conditionalFormatting>
  <conditionalFormatting sqref="C26">
    <cfRule type="cellIs" dxfId="30475" priority="17567" stopIfTrue="1" operator="equal">
      <formula>"Towel"</formula>
    </cfRule>
    <cfRule type="cellIs" dxfId="30474" priority="17568" stopIfTrue="1" operator="equal">
      <formula>"Napkin Hs"</formula>
    </cfRule>
  </conditionalFormatting>
  <conditionalFormatting sqref="C26">
    <cfRule type="cellIs" dxfId="30473" priority="17565" stopIfTrue="1" operator="equal">
      <formula>"Towel"</formula>
    </cfRule>
    <cfRule type="cellIs" dxfId="30472" priority="17566" stopIfTrue="1" operator="equal">
      <formula>"Napkin Hs"</formula>
    </cfRule>
  </conditionalFormatting>
  <conditionalFormatting sqref="C26">
    <cfRule type="cellIs" dxfId="30471" priority="17563" stopIfTrue="1" operator="equal">
      <formula>"Towel"</formula>
    </cfRule>
    <cfRule type="cellIs" dxfId="30470" priority="17564" stopIfTrue="1" operator="equal">
      <formula>"Napkin Hs"</formula>
    </cfRule>
  </conditionalFormatting>
  <conditionalFormatting sqref="C26">
    <cfRule type="cellIs" dxfId="30469" priority="17561" stopIfTrue="1" operator="equal">
      <formula>"Towel"</formula>
    </cfRule>
    <cfRule type="cellIs" dxfId="30468" priority="17562" stopIfTrue="1" operator="equal">
      <formula>"Napkin Hs"</formula>
    </cfRule>
  </conditionalFormatting>
  <conditionalFormatting sqref="C26">
    <cfRule type="cellIs" dxfId="30467" priority="17559" stopIfTrue="1" operator="equal">
      <formula>"Towel"</formula>
    </cfRule>
    <cfRule type="cellIs" dxfId="30466" priority="17560" stopIfTrue="1" operator="equal">
      <formula>"Napkin Hs"</formula>
    </cfRule>
  </conditionalFormatting>
  <conditionalFormatting sqref="C26">
    <cfRule type="cellIs" dxfId="30465" priority="17553" stopIfTrue="1" operator="equal">
      <formula>"Towel"</formula>
    </cfRule>
    <cfRule type="cellIs" dxfId="30464" priority="17554" stopIfTrue="1" operator="equal">
      <formula>"Napkin Hs"</formula>
    </cfRule>
  </conditionalFormatting>
  <conditionalFormatting sqref="C26">
    <cfRule type="cellIs" dxfId="30463" priority="17547" stopIfTrue="1" operator="equal">
      <formula>"Towel"</formula>
    </cfRule>
    <cfRule type="cellIs" dxfId="30462" priority="17548" stopIfTrue="1" operator="equal">
      <formula>"Napkin Hs"</formula>
    </cfRule>
  </conditionalFormatting>
  <conditionalFormatting sqref="C26">
    <cfRule type="cellIs" dxfId="30461" priority="17541" stopIfTrue="1" operator="equal">
      <formula>"Towel"</formula>
    </cfRule>
    <cfRule type="cellIs" dxfId="30460" priority="17542" stopIfTrue="1" operator="equal">
      <formula>"Napkin Hs"</formula>
    </cfRule>
  </conditionalFormatting>
  <conditionalFormatting sqref="C26">
    <cfRule type="cellIs" dxfId="30459" priority="17540" stopIfTrue="1" operator="equal">
      <formula>"Napkin Hs"</formula>
    </cfRule>
  </conditionalFormatting>
  <conditionalFormatting sqref="C26">
    <cfRule type="cellIs" dxfId="30458" priority="17539" stopIfTrue="1" operator="equal">
      <formula>"Towel"</formula>
    </cfRule>
  </conditionalFormatting>
  <conditionalFormatting sqref="C26">
    <cfRule type="cellIs" dxfId="30457" priority="17538" stopIfTrue="1" operator="equal">
      <formula>"Napkin Hs"</formula>
    </cfRule>
  </conditionalFormatting>
  <conditionalFormatting sqref="C26">
    <cfRule type="cellIs" dxfId="30456" priority="17537" stopIfTrue="1" operator="equal">
      <formula>"Towel"</formula>
    </cfRule>
  </conditionalFormatting>
  <conditionalFormatting sqref="C26">
    <cfRule type="cellIs" dxfId="30455" priority="17535" stopIfTrue="1" operator="equal">
      <formula>"Towel"</formula>
    </cfRule>
    <cfRule type="cellIs" dxfId="30454" priority="17536" stopIfTrue="1" operator="equal">
      <formula>"Napkin Hs"</formula>
    </cfRule>
  </conditionalFormatting>
  <conditionalFormatting sqref="C26">
    <cfRule type="cellIs" dxfId="30453" priority="17533" stopIfTrue="1" operator="equal">
      <formula>"Towel"</formula>
    </cfRule>
    <cfRule type="cellIs" dxfId="30452" priority="17534" stopIfTrue="1" operator="equal">
      <formula>"Napkin Hs"</formula>
    </cfRule>
  </conditionalFormatting>
  <conditionalFormatting sqref="C26">
    <cfRule type="cellIs" dxfId="30451" priority="17529" stopIfTrue="1" operator="equal">
      <formula>"Towel"</formula>
    </cfRule>
    <cfRule type="cellIs" dxfId="30450" priority="17530" stopIfTrue="1" operator="equal">
      <formula>"Napkin Hs"</formula>
    </cfRule>
  </conditionalFormatting>
  <conditionalFormatting sqref="C26">
    <cfRule type="cellIs" dxfId="30449" priority="17531" stopIfTrue="1" operator="equal">
      <formula>"Towel"</formula>
    </cfRule>
    <cfRule type="cellIs" dxfId="30448" priority="17532" stopIfTrue="1" operator="equal">
      <formula>"Napkin Hs"</formula>
    </cfRule>
  </conditionalFormatting>
  <conditionalFormatting sqref="C26">
    <cfRule type="cellIs" dxfId="30447" priority="17523" stopIfTrue="1" operator="equal">
      <formula>"Towel"</formula>
    </cfRule>
    <cfRule type="cellIs" dxfId="30446" priority="17524" stopIfTrue="1" operator="equal">
      <formula>"Napkin Hs"</formula>
    </cfRule>
  </conditionalFormatting>
  <conditionalFormatting sqref="C26">
    <cfRule type="cellIs" dxfId="30445" priority="17521" stopIfTrue="1" operator="equal">
      <formula>"Towel"</formula>
    </cfRule>
    <cfRule type="cellIs" dxfId="30444" priority="17522" stopIfTrue="1" operator="equal">
      <formula>"Napkin Hs"</formula>
    </cfRule>
  </conditionalFormatting>
  <conditionalFormatting sqref="C26">
    <cfRule type="cellIs" dxfId="30443" priority="17519" stopIfTrue="1" operator="equal">
      <formula>"Towel"</formula>
    </cfRule>
    <cfRule type="cellIs" dxfId="30442" priority="17520" stopIfTrue="1" operator="equal">
      <formula>"Napkin Hs"</formula>
    </cfRule>
  </conditionalFormatting>
  <conditionalFormatting sqref="C26">
    <cfRule type="cellIs" dxfId="30441" priority="17517" stopIfTrue="1" operator="equal">
      <formula>"Towel"</formula>
    </cfRule>
    <cfRule type="cellIs" dxfId="30440" priority="17518" stopIfTrue="1" operator="equal">
      <formula>"Napkin Hs"</formula>
    </cfRule>
  </conditionalFormatting>
  <conditionalFormatting sqref="C26">
    <cfRule type="cellIs" dxfId="30439" priority="17515" stopIfTrue="1" operator="equal">
      <formula>"Towel"</formula>
    </cfRule>
    <cfRule type="cellIs" dxfId="30438" priority="17516" stopIfTrue="1" operator="equal">
      <formula>"Napkin Hs"</formula>
    </cfRule>
  </conditionalFormatting>
  <conditionalFormatting sqref="C26">
    <cfRule type="cellIs" dxfId="30437" priority="17513" stopIfTrue="1" operator="equal">
      <formula>"Towel"</formula>
    </cfRule>
    <cfRule type="cellIs" dxfId="30436" priority="17514" stopIfTrue="1" operator="equal">
      <formula>"Napkin Hs"</formula>
    </cfRule>
  </conditionalFormatting>
  <conditionalFormatting sqref="C26">
    <cfRule type="cellIs" dxfId="30435" priority="17511" stopIfTrue="1" operator="equal">
      <formula>"Towel"</formula>
    </cfRule>
    <cfRule type="cellIs" dxfId="30434" priority="17512" stopIfTrue="1" operator="equal">
      <formula>"Napkin Hs"</formula>
    </cfRule>
  </conditionalFormatting>
  <conditionalFormatting sqref="C26">
    <cfRule type="cellIs" dxfId="30433" priority="17509" stopIfTrue="1" operator="equal">
      <formula>"Towel"</formula>
    </cfRule>
    <cfRule type="cellIs" dxfId="30432" priority="17510" stopIfTrue="1" operator="equal">
      <formula>"Napkin Hs"</formula>
    </cfRule>
  </conditionalFormatting>
  <conditionalFormatting sqref="C26">
    <cfRule type="cellIs" dxfId="30431" priority="17507" stopIfTrue="1" operator="equal">
      <formula>"Towel"</formula>
    </cfRule>
    <cfRule type="cellIs" dxfId="30430" priority="17508" stopIfTrue="1" operator="equal">
      <formula>"Napkin Hs"</formula>
    </cfRule>
  </conditionalFormatting>
  <conditionalFormatting sqref="C26">
    <cfRule type="cellIs" dxfId="30429" priority="17505" stopIfTrue="1" operator="equal">
      <formula>"Towel"</formula>
    </cfRule>
    <cfRule type="cellIs" dxfId="30428" priority="17506" stopIfTrue="1" operator="equal">
      <formula>"Napkin Hs"</formula>
    </cfRule>
  </conditionalFormatting>
  <conditionalFormatting sqref="C26">
    <cfRule type="cellIs" dxfId="30427" priority="17499" stopIfTrue="1" operator="equal">
      <formula>"Towel"</formula>
    </cfRule>
    <cfRule type="cellIs" dxfId="30426" priority="17500" stopIfTrue="1" operator="equal">
      <formula>"Napkin Hs"</formula>
    </cfRule>
  </conditionalFormatting>
  <conditionalFormatting sqref="C26">
    <cfRule type="cellIs" dxfId="30425" priority="17493" stopIfTrue="1" operator="equal">
      <formula>"Towel"</formula>
    </cfRule>
    <cfRule type="cellIs" dxfId="30424" priority="17494" stopIfTrue="1" operator="equal">
      <formula>"Napkin Hs"</formula>
    </cfRule>
  </conditionalFormatting>
  <conditionalFormatting sqref="C26">
    <cfRule type="cellIs" dxfId="30423" priority="17492" stopIfTrue="1" operator="equal">
      <formula>"Napkin Hs"</formula>
    </cfRule>
  </conditionalFormatting>
  <conditionalFormatting sqref="C26">
    <cfRule type="cellIs" dxfId="30422" priority="17491" stopIfTrue="1" operator="equal">
      <formula>"Towel"</formula>
    </cfRule>
  </conditionalFormatting>
  <conditionalFormatting sqref="C26">
    <cfRule type="cellIs" dxfId="30421" priority="17490" stopIfTrue="1" operator="equal">
      <formula>"Napkin Hs"</formula>
    </cfRule>
  </conditionalFormatting>
  <conditionalFormatting sqref="C26">
    <cfRule type="cellIs" dxfId="30420" priority="17487" stopIfTrue="1" operator="equal">
      <formula>"Towel"</formula>
    </cfRule>
    <cfRule type="cellIs" dxfId="30419" priority="17488" stopIfTrue="1" operator="equal">
      <formula>"Napkin Hs"</formula>
    </cfRule>
  </conditionalFormatting>
  <conditionalFormatting sqref="C26">
    <cfRule type="cellIs" dxfId="30418" priority="17489" stopIfTrue="1" operator="equal">
      <formula>"Towel"</formula>
    </cfRule>
  </conditionalFormatting>
  <conditionalFormatting sqref="C26">
    <cfRule type="cellIs" dxfId="30417" priority="17607" stopIfTrue="1" operator="equal">
      <formula>"Towel"</formula>
    </cfRule>
    <cfRule type="cellIs" dxfId="30416" priority="17608" stopIfTrue="1" operator="equal">
      <formula>"Napkin Hs"</formula>
    </cfRule>
  </conditionalFormatting>
  <conditionalFormatting sqref="C26">
    <cfRule type="cellIs" dxfId="30415" priority="17606" stopIfTrue="1" operator="equal">
      <formula>"Napkin Hs"</formula>
    </cfRule>
  </conditionalFormatting>
  <conditionalFormatting sqref="C26">
    <cfRule type="cellIs" dxfId="30414" priority="17605" stopIfTrue="1" operator="equal">
      <formula>"Towel"</formula>
    </cfRule>
  </conditionalFormatting>
  <conditionalFormatting sqref="C26">
    <cfRule type="cellIs" dxfId="30413" priority="17604" stopIfTrue="1" operator="equal">
      <formula>"Napkin Hs"</formula>
    </cfRule>
  </conditionalFormatting>
  <conditionalFormatting sqref="C26">
    <cfRule type="cellIs" dxfId="30412" priority="17601" stopIfTrue="1" operator="equal">
      <formula>"Towel"</formula>
    </cfRule>
    <cfRule type="cellIs" dxfId="30411" priority="17602" stopIfTrue="1" operator="equal">
      <formula>"Napkin Hs"</formula>
    </cfRule>
  </conditionalFormatting>
  <conditionalFormatting sqref="C26">
    <cfRule type="cellIs" dxfId="30410" priority="17603" stopIfTrue="1" operator="equal">
      <formula>"Towel"</formula>
    </cfRule>
  </conditionalFormatting>
  <conditionalFormatting sqref="C26">
    <cfRule type="cellIs" dxfId="30409" priority="17611" stopIfTrue="1" operator="equal">
      <formula>"Towel"</formula>
    </cfRule>
    <cfRule type="cellIs" dxfId="30408" priority="17612" stopIfTrue="1" operator="equal">
      <formula>"Napkin Hs"</formula>
    </cfRule>
  </conditionalFormatting>
  <conditionalFormatting sqref="C26">
    <cfRule type="cellIs" dxfId="30407" priority="17609" stopIfTrue="1" operator="equal">
      <formula>"Towel"</formula>
    </cfRule>
    <cfRule type="cellIs" dxfId="30406" priority="17610" stopIfTrue="1" operator="equal">
      <formula>"Napkin Hs"</formula>
    </cfRule>
  </conditionalFormatting>
  <conditionalFormatting sqref="C26">
    <cfRule type="cellIs" dxfId="30405" priority="17581" stopIfTrue="1" operator="equal">
      <formula>"Towel"</formula>
    </cfRule>
    <cfRule type="cellIs" dxfId="30404" priority="17582" stopIfTrue="1" operator="equal">
      <formula>"Napkin Hs"</formula>
    </cfRule>
  </conditionalFormatting>
  <conditionalFormatting sqref="C26">
    <cfRule type="cellIs" dxfId="30403" priority="17579" stopIfTrue="1" operator="equal">
      <formula>"Towel"</formula>
    </cfRule>
    <cfRule type="cellIs" dxfId="30402" priority="17580" stopIfTrue="1" operator="equal">
      <formula>"Napkin Hs"</formula>
    </cfRule>
  </conditionalFormatting>
  <conditionalFormatting sqref="C26">
    <cfRule type="cellIs" dxfId="30401" priority="17558" stopIfTrue="1" operator="equal">
      <formula>"Napkin Hs"</formula>
    </cfRule>
  </conditionalFormatting>
  <conditionalFormatting sqref="C26">
    <cfRule type="cellIs" dxfId="30400" priority="17557" stopIfTrue="1" operator="equal">
      <formula>"Towel"</formula>
    </cfRule>
  </conditionalFormatting>
  <conditionalFormatting sqref="C26">
    <cfRule type="cellIs" dxfId="30399" priority="17556" stopIfTrue="1" operator="equal">
      <formula>"Napkin Hs"</formula>
    </cfRule>
  </conditionalFormatting>
  <conditionalFormatting sqref="C26">
    <cfRule type="cellIs" dxfId="30398" priority="17555" stopIfTrue="1" operator="equal">
      <formula>"Towel"</formula>
    </cfRule>
  </conditionalFormatting>
  <conditionalFormatting sqref="C26">
    <cfRule type="cellIs" dxfId="30397" priority="17552" stopIfTrue="1" operator="equal">
      <formula>"Napkin Hs"</formula>
    </cfRule>
  </conditionalFormatting>
  <conditionalFormatting sqref="C26">
    <cfRule type="cellIs" dxfId="30396" priority="17551" stopIfTrue="1" operator="equal">
      <formula>"Towel"</formula>
    </cfRule>
  </conditionalFormatting>
  <conditionalFormatting sqref="C26">
    <cfRule type="cellIs" dxfId="30395" priority="17550" stopIfTrue="1" operator="equal">
      <formula>"Napkin Hs"</formula>
    </cfRule>
  </conditionalFormatting>
  <conditionalFormatting sqref="C26">
    <cfRule type="cellIs" dxfId="30394" priority="17549" stopIfTrue="1" operator="equal">
      <formula>"Towel"</formula>
    </cfRule>
  </conditionalFormatting>
  <conditionalFormatting sqref="C26">
    <cfRule type="cellIs" dxfId="30393" priority="17545" stopIfTrue="1" operator="equal">
      <formula>"Towel"</formula>
    </cfRule>
    <cfRule type="cellIs" dxfId="30392" priority="17546" stopIfTrue="1" operator="equal">
      <formula>"Napkin Hs"</formula>
    </cfRule>
  </conditionalFormatting>
  <conditionalFormatting sqref="C26">
    <cfRule type="cellIs" dxfId="30391" priority="17543" stopIfTrue="1" operator="equal">
      <formula>"Towel"</formula>
    </cfRule>
    <cfRule type="cellIs" dxfId="30390" priority="17544" stopIfTrue="1" operator="equal">
      <formula>"Napkin Hs"</formula>
    </cfRule>
  </conditionalFormatting>
  <conditionalFormatting sqref="C26">
    <cfRule type="cellIs" dxfId="30389" priority="17527" stopIfTrue="1" operator="equal">
      <formula>"Towel"</formula>
    </cfRule>
    <cfRule type="cellIs" dxfId="30388" priority="17528" stopIfTrue="1" operator="equal">
      <formula>"Napkin Hs"</formula>
    </cfRule>
  </conditionalFormatting>
  <conditionalFormatting sqref="C26">
    <cfRule type="cellIs" dxfId="30387" priority="17525" stopIfTrue="1" operator="equal">
      <formula>"Towel"</formula>
    </cfRule>
    <cfRule type="cellIs" dxfId="30386" priority="17526" stopIfTrue="1" operator="equal">
      <formula>"Napkin Hs"</formula>
    </cfRule>
  </conditionalFormatting>
  <conditionalFormatting sqref="C26">
    <cfRule type="cellIs" dxfId="30385" priority="17504" stopIfTrue="1" operator="equal">
      <formula>"Napkin Hs"</formula>
    </cfRule>
  </conditionalFormatting>
  <conditionalFormatting sqref="C26">
    <cfRule type="cellIs" dxfId="30384" priority="17503" stopIfTrue="1" operator="equal">
      <formula>"Towel"</formula>
    </cfRule>
  </conditionalFormatting>
  <conditionalFormatting sqref="C26">
    <cfRule type="cellIs" dxfId="30383" priority="17502" stopIfTrue="1" operator="equal">
      <formula>"Napkin Hs"</formula>
    </cfRule>
  </conditionalFormatting>
  <conditionalFormatting sqref="C26">
    <cfRule type="cellIs" dxfId="30382" priority="17501" stopIfTrue="1" operator="equal">
      <formula>"Towel"</formula>
    </cfRule>
  </conditionalFormatting>
  <conditionalFormatting sqref="C26">
    <cfRule type="cellIs" dxfId="30381" priority="17498" stopIfTrue="1" operator="equal">
      <formula>"Napkin Hs"</formula>
    </cfRule>
  </conditionalFormatting>
  <conditionalFormatting sqref="C26">
    <cfRule type="cellIs" dxfId="30380" priority="17497" stopIfTrue="1" operator="equal">
      <formula>"Towel"</formula>
    </cfRule>
  </conditionalFormatting>
  <conditionalFormatting sqref="C26">
    <cfRule type="cellIs" dxfId="30379" priority="17496" stopIfTrue="1" operator="equal">
      <formula>"Napkin Hs"</formula>
    </cfRule>
  </conditionalFormatting>
  <conditionalFormatting sqref="C26">
    <cfRule type="cellIs" dxfId="30378" priority="17495" stopIfTrue="1" operator="equal">
      <formula>"Towel"</formula>
    </cfRule>
  </conditionalFormatting>
  <conditionalFormatting sqref="C26">
    <cfRule type="cellIs" dxfId="30377" priority="17486" stopIfTrue="1" operator="equal">
      <formula>"Napkin Hs"</formula>
    </cfRule>
  </conditionalFormatting>
  <conditionalFormatting sqref="C26">
    <cfRule type="cellIs" dxfId="30376" priority="17485" stopIfTrue="1" operator="equal">
      <formula>"Towel"</formula>
    </cfRule>
  </conditionalFormatting>
  <conditionalFormatting sqref="C26">
    <cfRule type="cellIs" dxfId="30375" priority="17484" stopIfTrue="1" operator="equal">
      <formula>"Napkin Hs"</formula>
    </cfRule>
  </conditionalFormatting>
  <conditionalFormatting sqref="C26">
    <cfRule type="cellIs" dxfId="30374" priority="17481" stopIfTrue="1" operator="equal">
      <formula>"Towel"</formula>
    </cfRule>
    <cfRule type="cellIs" dxfId="30373" priority="17482" stopIfTrue="1" operator="equal">
      <formula>"Napkin Hs"</formula>
    </cfRule>
  </conditionalFormatting>
  <conditionalFormatting sqref="C26">
    <cfRule type="cellIs" dxfId="30372" priority="17483" stopIfTrue="1" operator="equal">
      <formula>"Towel"</formula>
    </cfRule>
  </conditionalFormatting>
  <conditionalFormatting sqref="C24">
    <cfRule type="cellIs" dxfId="30371" priority="17335" stopIfTrue="1" operator="equal">
      <formula>"Towel"</formula>
    </cfRule>
    <cfRule type="cellIs" dxfId="30370" priority="17336" stopIfTrue="1" operator="equal">
      <formula>"Napkin Hs"</formula>
    </cfRule>
  </conditionalFormatting>
  <conditionalFormatting sqref="C24">
    <cfRule type="cellIs" dxfId="30369" priority="17333" stopIfTrue="1" operator="equal">
      <formula>"Towel"</formula>
    </cfRule>
    <cfRule type="cellIs" dxfId="30368" priority="17334" stopIfTrue="1" operator="equal">
      <formula>"Napkin Hs"</formula>
    </cfRule>
  </conditionalFormatting>
  <conditionalFormatting sqref="C24">
    <cfRule type="cellIs" dxfId="30367" priority="17331" stopIfTrue="1" operator="equal">
      <formula>"Towel"</formula>
    </cfRule>
    <cfRule type="cellIs" dxfId="30366" priority="17332" stopIfTrue="1" operator="equal">
      <formula>"Napkin Hs"</formula>
    </cfRule>
  </conditionalFormatting>
  <conditionalFormatting sqref="C24">
    <cfRule type="cellIs" dxfId="30365" priority="17330" stopIfTrue="1" operator="equal">
      <formula>"Napkin Hs"</formula>
    </cfRule>
  </conditionalFormatting>
  <conditionalFormatting sqref="C24">
    <cfRule type="cellIs" dxfId="30364" priority="17329" stopIfTrue="1" operator="equal">
      <formula>"Towel"</formula>
    </cfRule>
  </conditionalFormatting>
  <conditionalFormatting sqref="C24">
    <cfRule type="cellIs" dxfId="30363" priority="17328" stopIfTrue="1" operator="equal">
      <formula>"Napkin Hs"</formula>
    </cfRule>
  </conditionalFormatting>
  <conditionalFormatting sqref="C24">
    <cfRule type="cellIs" dxfId="30362" priority="17327" stopIfTrue="1" operator="equal">
      <formula>"Towel"</formula>
    </cfRule>
  </conditionalFormatting>
  <conditionalFormatting sqref="C24">
    <cfRule type="cellIs" dxfId="30361" priority="17325" stopIfTrue="1" operator="equal">
      <formula>"Towel"</formula>
    </cfRule>
    <cfRule type="cellIs" dxfId="30360" priority="17326" stopIfTrue="1" operator="equal">
      <formula>"Napkin Hs"</formula>
    </cfRule>
  </conditionalFormatting>
  <conditionalFormatting sqref="C24">
    <cfRule type="cellIs" dxfId="30359" priority="17323" stopIfTrue="1" operator="equal">
      <formula>"Towel"</formula>
    </cfRule>
    <cfRule type="cellIs" dxfId="30358" priority="17324" stopIfTrue="1" operator="equal">
      <formula>"Napkin Hs"</formula>
    </cfRule>
  </conditionalFormatting>
  <conditionalFormatting sqref="C24">
    <cfRule type="cellIs" dxfId="30357" priority="17319" stopIfTrue="1" operator="equal">
      <formula>"Towel"</formula>
    </cfRule>
    <cfRule type="cellIs" dxfId="30356" priority="17320" stopIfTrue="1" operator="equal">
      <formula>"Napkin Hs"</formula>
    </cfRule>
  </conditionalFormatting>
  <conditionalFormatting sqref="C24">
    <cfRule type="cellIs" dxfId="30355" priority="17321" stopIfTrue="1" operator="equal">
      <formula>"Towel"</formula>
    </cfRule>
    <cfRule type="cellIs" dxfId="30354" priority="17322" stopIfTrue="1" operator="equal">
      <formula>"Napkin Hs"</formula>
    </cfRule>
  </conditionalFormatting>
  <conditionalFormatting sqref="C24">
    <cfRule type="cellIs" dxfId="30353" priority="17313" stopIfTrue="1" operator="equal">
      <formula>"Towel"</formula>
    </cfRule>
    <cfRule type="cellIs" dxfId="30352" priority="17314" stopIfTrue="1" operator="equal">
      <formula>"Napkin Hs"</formula>
    </cfRule>
  </conditionalFormatting>
  <conditionalFormatting sqref="C24">
    <cfRule type="cellIs" dxfId="30351" priority="17311" stopIfTrue="1" operator="equal">
      <formula>"Towel"</formula>
    </cfRule>
    <cfRule type="cellIs" dxfId="30350" priority="17312" stopIfTrue="1" operator="equal">
      <formula>"Napkin Hs"</formula>
    </cfRule>
  </conditionalFormatting>
  <conditionalFormatting sqref="C24">
    <cfRule type="cellIs" dxfId="30349" priority="17309" stopIfTrue="1" operator="equal">
      <formula>"Towel"</formula>
    </cfRule>
    <cfRule type="cellIs" dxfId="30348" priority="17310" stopIfTrue="1" operator="equal">
      <formula>"Napkin Hs"</formula>
    </cfRule>
  </conditionalFormatting>
  <conditionalFormatting sqref="C24">
    <cfRule type="cellIs" dxfId="30347" priority="17307" stopIfTrue="1" operator="equal">
      <formula>"Towel"</formula>
    </cfRule>
    <cfRule type="cellIs" dxfId="30346" priority="17308" stopIfTrue="1" operator="equal">
      <formula>"Napkin Hs"</formula>
    </cfRule>
  </conditionalFormatting>
  <conditionalFormatting sqref="C24">
    <cfRule type="cellIs" dxfId="30345" priority="17305" stopIfTrue="1" operator="equal">
      <formula>"Towel"</formula>
    </cfRule>
    <cfRule type="cellIs" dxfId="30344" priority="17306" stopIfTrue="1" operator="equal">
      <formula>"Napkin Hs"</formula>
    </cfRule>
  </conditionalFormatting>
  <conditionalFormatting sqref="C24">
    <cfRule type="cellIs" dxfId="30343" priority="17303" stopIfTrue="1" operator="equal">
      <formula>"Towel"</formula>
    </cfRule>
    <cfRule type="cellIs" dxfId="30342" priority="17304" stopIfTrue="1" operator="equal">
      <formula>"Napkin Hs"</formula>
    </cfRule>
  </conditionalFormatting>
  <conditionalFormatting sqref="C24">
    <cfRule type="cellIs" dxfId="30341" priority="17301" stopIfTrue="1" operator="equal">
      <formula>"Towel"</formula>
    </cfRule>
    <cfRule type="cellIs" dxfId="30340" priority="17302" stopIfTrue="1" operator="equal">
      <formula>"Napkin Hs"</formula>
    </cfRule>
  </conditionalFormatting>
  <conditionalFormatting sqref="C24">
    <cfRule type="cellIs" dxfId="30339" priority="17299" stopIfTrue="1" operator="equal">
      <formula>"Towel"</formula>
    </cfRule>
    <cfRule type="cellIs" dxfId="30338" priority="17300" stopIfTrue="1" operator="equal">
      <formula>"Napkin Hs"</formula>
    </cfRule>
  </conditionalFormatting>
  <conditionalFormatting sqref="C24">
    <cfRule type="cellIs" dxfId="30337" priority="17297" stopIfTrue="1" operator="equal">
      <formula>"Towel"</formula>
    </cfRule>
    <cfRule type="cellIs" dxfId="30336" priority="17298" stopIfTrue="1" operator="equal">
      <formula>"Napkin Hs"</formula>
    </cfRule>
  </conditionalFormatting>
  <conditionalFormatting sqref="C24">
    <cfRule type="cellIs" dxfId="30335" priority="17295" stopIfTrue="1" operator="equal">
      <formula>"Towel"</formula>
    </cfRule>
    <cfRule type="cellIs" dxfId="30334" priority="17296" stopIfTrue="1" operator="equal">
      <formula>"Napkin Hs"</formula>
    </cfRule>
  </conditionalFormatting>
  <conditionalFormatting sqref="C24">
    <cfRule type="cellIs" dxfId="30333" priority="17289" stopIfTrue="1" operator="equal">
      <formula>"Towel"</formula>
    </cfRule>
    <cfRule type="cellIs" dxfId="30332" priority="17290" stopIfTrue="1" operator="equal">
      <formula>"Napkin Hs"</formula>
    </cfRule>
  </conditionalFormatting>
  <conditionalFormatting sqref="C24">
    <cfRule type="cellIs" dxfId="30331" priority="17283" stopIfTrue="1" operator="equal">
      <formula>"Towel"</formula>
    </cfRule>
    <cfRule type="cellIs" dxfId="30330" priority="17284" stopIfTrue="1" operator="equal">
      <formula>"Napkin Hs"</formula>
    </cfRule>
  </conditionalFormatting>
  <conditionalFormatting sqref="C24">
    <cfRule type="cellIs" dxfId="30329" priority="17277" stopIfTrue="1" operator="equal">
      <formula>"Towel"</formula>
    </cfRule>
    <cfRule type="cellIs" dxfId="30328" priority="17278" stopIfTrue="1" operator="equal">
      <formula>"Napkin Hs"</formula>
    </cfRule>
  </conditionalFormatting>
  <conditionalFormatting sqref="C24">
    <cfRule type="cellIs" dxfId="30327" priority="17276" stopIfTrue="1" operator="equal">
      <formula>"Napkin Hs"</formula>
    </cfRule>
  </conditionalFormatting>
  <conditionalFormatting sqref="C24">
    <cfRule type="cellIs" dxfId="30326" priority="17275" stopIfTrue="1" operator="equal">
      <formula>"Towel"</formula>
    </cfRule>
  </conditionalFormatting>
  <conditionalFormatting sqref="C24">
    <cfRule type="cellIs" dxfId="30325" priority="17274" stopIfTrue="1" operator="equal">
      <formula>"Napkin Hs"</formula>
    </cfRule>
  </conditionalFormatting>
  <conditionalFormatting sqref="C24">
    <cfRule type="cellIs" dxfId="30324" priority="17273" stopIfTrue="1" operator="equal">
      <formula>"Towel"</formula>
    </cfRule>
  </conditionalFormatting>
  <conditionalFormatting sqref="C24">
    <cfRule type="cellIs" dxfId="30323" priority="17271" stopIfTrue="1" operator="equal">
      <formula>"Towel"</formula>
    </cfRule>
    <cfRule type="cellIs" dxfId="30322" priority="17272" stopIfTrue="1" operator="equal">
      <formula>"Napkin Hs"</formula>
    </cfRule>
  </conditionalFormatting>
  <conditionalFormatting sqref="C24">
    <cfRule type="cellIs" dxfId="30321" priority="17269" stopIfTrue="1" operator="equal">
      <formula>"Towel"</formula>
    </cfRule>
    <cfRule type="cellIs" dxfId="30320" priority="17270" stopIfTrue="1" operator="equal">
      <formula>"Napkin Hs"</formula>
    </cfRule>
  </conditionalFormatting>
  <conditionalFormatting sqref="C24">
    <cfRule type="cellIs" dxfId="30319" priority="17265" stopIfTrue="1" operator="equal">
      <formula>"Towel"</formula>
    </cfRule>
    <cfRule type="cellIs" dxfId="30318" priority="17266" stopIfTrue="1" operator="equal">
      <formula>"Napkin Hs"</formula>
    </cfRule>
  </conditionalFormatting>
  <conditionalFormatting sqref="C24">
    <cfRule type="cellIs" dxfId="30317" priority="17267" stopIfTrue="1" operator="equal">
      <formula>"Towel"</formula>
    </cfRule>
    <cfRule type="cellIs" dxfId="30316" priority="17268" stopIfTrue="1" operator="equal">
      <formula>"Napkin Hs"</formula>
    </cfRule>
  </conditionalFormatting>
  <conditionalFormatting sqref="C24">
    <cfRule type="cellIs" dxfId="30315" priority="17259" stopIfTrue="1" operator="equal">
      <formula>"Towel"</formula>
    </cfRule>
    <cfRule type="cellIs" dxfId="30314" priority="17260" stopIfTrue="1" operator="equal">
      <formula>"Napkin Hs"</formula>
    </cfRule>
  </conditionalFormatting>
  <conditionalFormatting sqref="C24">
    <cfRule type="cellIs" dxfId="30313" priority="17257" stopIfTrue="1" operator="equal">
      <formula>"Towel"</formula>
    </cfRule>
    <cfRule type="cellIs" dxfId="30312" priority="17258" stopIfTrue="1" operator="equal">
      <formula>"Napkin Hs"</formula>
    </cfRule>
  </conditionalFormatting>
  <conditionalFormatting sqref="C24">
    <cfRule type="cellIs" dxfId="30311" priority="17255" stopIfTrue="1" operator="equal">
      <formula>"Towel"</formula>
    </cfRule>
    <cfRule type="cellIs" dxfId="30310" priority="17256" stopIfTrue="1" operator="equal">
      <formula>"Napkin Hs"</formula>
    </cfRule>
  </conditionalFormatting>
  <conditionalFormatting sqref="C24">
    <cfRule type="cellIs" dxfId="30309" priority="17253" stopIfTrue="1" operator="equal">
      <formula>"Towel"</formula>
    </cfRule>
    <cfRule type="cellIs" dxfId="30308" priority="17254" stopIfTrue="1" operator="equal">
      <formula>"Napkin Hs"</formula>
    </cfRule>
  </conditionalFormatting>
  <conditionalFormatting sqref="C24">
    <cfRule type="cellIs" dxfId="30307" priority="17251" stopIfTrue="1" operator="equal">
      <formula>"Towel"</formula>
    </cfRule>
    <cfRule type="cellIs" dxfId="30306" priority="17252" stopIfTrue="1" operator="equal">
      <formula>"Napkin Hs"</formula>
    </cfRule>
  </conditionalFormatting>
  <conditionalFormatting sqref="C24">
    <cfRule type="cellIs" dxfId="30305" priority="17249" stopIfTrue="1" operator="equal">
      <formula>"Towel"</formula>
    </cfRule>
    <cfRule type="cellIs" dxfId="30304" priority="17250" stopIfTrue="1" operator="equal">
      <formula>"Napkin Hs"</formula>
    </cfRule>
  </conditionalFormatting>
  <conditionalFormatting sqref="C24">
    <cfRule type="cellIs" dxfId="30303" priority="17247" stopIfTrue="1" operator="equal">
      <formula>"Towel"</formula>
    </cfRule>
    <cfRule type="cellIs" dxfId="30302" priority="17248" stopIfTrue="1" operator="equal">
      <formula>"Napkin Hs"</formula>
    </cfRule>
  </conditionalFormatting>
  <conditionalFormatting sqref="C24">
    <cfRule type="cellIs" dxfId="30301" priority="17245" stopIfTrue="1" operator="equal">
      <formula>"Towel"</formula>
    </cfRule>
    <cfRule type="cellIs" dxfId="30300" priority="17246" stopIfTrue="1" operator="equal">
      <formula>"Napkin Hs"</formula>
    </cfRule>
  </conditionalFormatting>
  <conditionalFormatting sqref="C24">
    <cfRule type="cellIs" dxfId="30299" priority="17243" stopIfTrue="1" operator="equal">
      <formula>"Towel"</formula>
    </cfRule>
    <cfRule type="cellIs" dxfId="30298" priority="17244" stopIfTrue="1" operator="equal">
      <formula>"Napkin Hs"</formula>
    </cfRule>
  </conditionalFormatting>
  <conditionalFormatting sqref="C24">
    <cfRule type="cellIs" dxfId="30297" priority="17241" stopIfTrue="1" operator="equal">
      <formula>"Towel"</formula>
    </cfRule>
    <cfRule type="cellIs" dxfId="30296" priority="17242" stopIfTrue="1" operator="equal">
      <formula>"Napkin Hs"</formula>
    </cfRule>
  </conditionalFormatting>
  <conditionalFormatting sqref="C24">
    <cfRule type="cellIs" dxfId="30295" priority="17235" stopIfTrue="1" operator="equal">
      <formula>"Towel"</formula>
    </cfRule>
    <cfRule type="cellIs" dxfId="30294" priority="17236" stopIfTrue="1" operator="equal">
      <formula>"Napkin Hs"</formula>
    </cfRule>
  </conditionalFormatting>
  <conditionalFormatting sqref="C24">
    <cfRule type="cellIs" dxfId="30293" priority="17229" stopIfTrue="1" operator="equal">
      <formula>"Towel"</formula>
    </cfRule>
    <cfRule type="cellIs" dxfId="30292" priority="17230" stopIfTrue="1" operator="equal">
      <formula>"Napkin Hs"</formula>
    </cfRule>
  </conditionalFormatting>
  <conditionalFormatting sqref="C24">
    <cfRule type="cellIs" dxfId="30291" priority="17228" stopIfTrue="1" operator="equal">
      <formula>"Napkin Hs"</formula>
    </cfRule>
  </conditionalFormatting>
  <conditionalFormatting sqref="C24">
    <cfRule type="cellIs" dxfId="30290" priority="17227" stopIfTrue="1" operator="equal">
      <formula>"Towel"</formula>
    </cfRule>
  </conditionalFormatting>
  <conditionalFormatting sqref="C24">
    <cfRule type="cellIs" dxfId="30289" priority="17226" stopIfTrue="1" operator="equal">
      <formula>"Napkin Hs"</formula>
    </cfRule>
  </conditionalFormatting>
  <conditionalFormatting sqref="C24">
    <cfRule type="cellIs" dxfId="30288" priority="17223" stopIfTrue="1" operator="equal">
      <formula>"Towel"</formula>
    </cfRule>
    <cfRule type="cellIs" dxfId="30287" priority="17224" stopIfTrue="1" operator="equal">
      <formula>"Napkin Hs"</formula>
    </cfRule>
  </conditionalFormatting>
  <conditionalFormatting sqref="C24">
    <cfRule type="cellIs" dxfId="30286" priority="17225" stopIfTrue="1" operator="equal">
      <formula>"Towel"</formula>
    </cfRule>
  </conditionalFormatting>
  <conditionalFormatting sqref="C24">
    <cfRule type="cellIs" dxfId="30285" priority="17343" stopIfTrue="1" operator="equal">
      <formula>"Towel"</formula>
    </cfRule>
    <cfRule type="cellIs" dxfId="30284" priority="17344" stopIfTrue="1" operator="equal">
      <formula>"Napkin Hs"</formula>
    </cfRule>
  </conditionalFormatting>
  <conditionalFormatting sqref="C24">
    <cfRule type="cellIs" dxfId="30283" priority="17342" stopIfTrue="1" operator="equal">
      <formula>"Napkin Hs"</formula>
    </cfRule>
  </conditionalFormatting>
  <conditionalFormatting sqref="C24">
    <cfRule type="cellIs" dxfId="30282" priority="17341" stopIfTrue="1" operator="equal">
      <formula>"Towel"</formula>
    </cfRule>
  </conditionalFormatting>
  <conditionalFormatting sqref="C24">
    <cfRule type="cellIs" dxfId="30281" priority="17340" stopIfTrue="1" operator="equal">
      <formula>"Napkin Hs"</formula>
    </cfRule>
  </conditionalFormatting>
  <conditionalFormatting sqref="C24">
    <cfRule type="cellIs" dxfId="30280" priority="17337" stopIfTrue="1" operator="equal">
      <formula>"Towel"</formula>
    </cfRule>
    <cfRule type="cellIs" dxfId="30279" priority="17338" stopIfTrue="1" operator="equal">
      <formula>"Napkin Hs"</formula>
    </cfRule>
  </conditionalFormatting>
  <conditionalFormatting sqref="C24">
    <cfRule type="cellIs" dxfId="30278" priority="17339" stopIfTrue="1" operator="equal">
      <formula>"Towel"</formula>
    </cfRule>
  </conditionalFormatting>
  <conditionalFormatting sqref="C24">
    <cfRule type="cellIs" dxfId="30277" priority="17347" stopIfTrue="1" operator="equal">
      <formula>"Towel"</formula>
    </cfRule>
    <cfRule type="cellIs" dxfId="30276" priority="17348" stopIfTrue="1" operator="equal">
      <formula>"Napkin Hs"</formula>
    </cfRule>
  </conditionalFormatting>
  <conditionalFormatting sqref="C24">
    <cfRule type="cellIs" dxfId="30275" priority="17345" stopIfTrue="1" operator="equal">
      <formula>"Towel"</formula>
    </cfRule>
    <cfRule type="cellIs" dxfId="30274" priority="17346" stopIfTrue="1" operator="equal">
      <formula>"Napkin Hs"</formula>
    </cfRule>
  </conditionalFormatting>
  <conditionalFormatting sqref="C24">
    <cfRule type="cellIs" dxfId="30273" priority="17317" stopIfTrue="1" operator="equal">
      <formula>"Towel"</formula>
    </cfRule>
    <cfRule type="cellIs" dxfId="30272" priority="17318" stopIfTrue="1" operator="equal">
      <formula>"Napkin Hs"</formula>
    </cfRule>
  </conditionalFormatting>
  <conditionalFormatting sqref="C24">
    <cfRule type="cellIs" dxfId="30271" priority="17315" stopIfTrue="1" operator="equal">
      <formula>"Towel"</formula>
    </cfRule>
    <cfRule type="cellIs" dxfId="30270" priority="17316" stopIfTrue="1" operator="equal">
      <formula>"Napkin Hs"</formula>
    </cfRule>
  </conditionalFormatting>
  <conditionalFormatting sqref="C24">
    <cfRule type="cellIs" dxfId="30269" priority="17294" stopIfTrue="1" operator="equal">
      <formula>"Napkin Hs"</formula>
    </cfRule>
  </conditionalFormatting>
  <conditionalFormatting sqref="C24">
    <cfRule type="cellIs" dxfId="30268" priority="17293" stopIfTrue="1" operator="equal">
      <formula>"Towel"</formula>
    </cfRule>
  </conditionalFormatting>
  <conditionalFormatting sqref="C24">
    <cfRule type="cellIs" dxfId="30267" priority="17292" stopIfTrue="1" operator="equal">
      <formula>"Napkin Hs"</formula>
    </cfRule>
  </conditionalFormatting>
  <conditionalFormatting sqref="C24">
    <cfRule type="cellIs" dxfId="30266" priority="17291" stopIfTrue="1" operator="equal">
      <formula>"Towel"</formula>
    </cfRule>
  </conditionalFormatting>
  <conditionalFormatting sqref="C24">
    <cfRule type="cellIs" dxfId="30265" priority="17288" stopIfTrue="1" operator="equal">
      <formula>"Napkin Hs"</formula>
    </cfRule>
  </conditionalFormatting>
  <conditionalFormatting sqref="C24">
    <cfRule type="cellIs" dxfId="30264" priority="17287" stopIfTrue="1" operator="equal">
      <formula>"Towel"</formula>
    </cfRule>
  </conditionalFormatting>
  <conditionalFormatting sqref="C24">
    <cfRule type="cellIs" dxfId="30263" priority="17286" stopIfTrue="1" operator="equal">
      <formula>"Napkin Hs"</formula>
    </cfRule>
  </conditionalFormatting>
  <conditionalFormatting sqref="C24">
    <cfRule type="cellIs" dxfId="30262" priority="17285" stopIfTrue="1" operator="equal">
      <formula>"Towel"</formula>
    </cfRule>
  </conditionalFormatting>
  <conditionalFormatting sqref="C24">
    <cfRule type="cellIs" dxfId="30261" priority="17281" stopIfTrue="1" operator="equal">
      <formula>"Towel"</formula>
    </cfRule>
    <cfRule type="cellIs" dxfId="30260" priority="17282" stopIfTrue="1" operator="equal">
      <formula>"Napkin Hs"</formula>
    </cfRule>
  </conditionalFormatting>
  <conditionalFormatting sqref="C24">
    <cfRule type="cellIs" dxfId="30259" priority="17279" stopIfTrue="1" operator="equal">
      <formula>"Towel"</formula>
    </cfRule>
    <cfRule type="cellIs" dxfId="30258" priority="17280" stopIfTrue="1" operator="equal">
      <formula>"Napkin Hs"</formula>
    </cfRule>
  </conditionalFormatting>
  <conditionalFormatting sqref="C24">
    <cfRule type="cellIs" dxfId="30257" priority="17263" stopIfTrue="1" operator="equal">
      <formula>"Towel"</formula>
    </cfRule>
    <cfRule type="cellIs" dxfId="30256" priority="17264" stopIfTrue="1" operator="equal">
      <formula>"Napkin Hs"</formula>
    </cfRule>
  </conditionalFormatting>
  <conditionalFormatting sqref="C24">
    <cfRule type="cellIs" dxfId="30255" priority="17261" stopIfTrue="1" operator="equal">
      <formula>"Towel"</formula>
    </cfRule>
    <cfRule type="cellIs" dxfId="30254" priority="17262" stopIfTrue="1" operator="equal">
      <formula>"Napkin Hs"</formula>
    </cfRule>
  </conditionalFormatting>
  <conditionalFormatting sqref="C24">
    <cfRule type="cellIs" dxfId="30253" priority="17240" stopIfTrue="1" operator="equal">
      <formula>"Napkin Hs"</formula>
    </cfRule>
  </conditionalFormatting>
  <conditionalFormatting sqref="C24">
    <cfRule type="cellIs" dxfId="30252" priority="17239" stopIfTrue="1" operator="equal">
      <formula>"Towel"</formula>
    </cfRule>
  </conditionalFormatting>
  <conditionalFormatting sqref="C24">
    <cfRule type="cellIs" dxfId="30251" priority="17238" stopIfTrue="1" operator="equal">
      <formula>"Napkin Hs"</formula>
    </cfRule>
  </conditionalFormatting>
  <conditionalFormatting sqref="C24">
    <cfRule type="cellIs" dxfId="30250" priority="17237" stopIfTrue="1" operator="equal">
      <formula>"Towel"</formula>
    </cfRule>
  </conditionalFormatting>
  <conditionalFormatting sqref="C24">
    <cfRule type="cellIs" dxfId="30249" priority="17234" stopIfTrue="1" operator="equal">
      <formula>"Napkin Hs"</formula>
    </cfRule>
  </conditionalFormatting>
  <conditionalFormatting sqref="C24">
    <cfRule type="cellIs" dxfId="30248" priority="17233" stopIfTrue="1" operator="equal">
      <formula>"Towel"</formula>
    </cfRule>
  </conditionalFormatting>
  <conditionalFormatting sqref="C24">
    <cfRule type="cellIs" dxfId="30247" priority="17232" stopIfTrue="1" operator="equal">
      <formula>"Napkin Hs"</formula>
    </cfRule>
  </conditionalFormatting>
  <conditionalFormatting sqref="C24">
    <cfRule type="cellIs" dxfId="30246" priority="17231" stopIfTrue="1" operator="equal">
      <formula>"Towel"</formula>
    </cfRule>
  </conditionalFormatting>
  <conditionalFormatting sqref="B24:C24">
    <cfRule type="cellIs" dxfId="30245" priority="17222" stopIfTrue="1" operator="equal">
      <formula>"Napkin Hs"</formula>
    </cfRule>
  </conditionalFormatting>
  <conditionalFormatting sqref="B24:C24">
    <cfRule type="cellIs" dxfId="30244" priority="17221" stopIfTrue="1" operator="equal">
      <formula>"Towel"</formula>
    </cfRule>
  </conditionalFormatting>
  <conditionalFormatting sqref="C24">
    <cfRule type="cellIs" dxfId="30243" priority="17220" stopIfTrue="1" operator="equal">
      <formula>"Napkin Hs"</formula>
    </cfRule>
  </conditionalFormatting>
  <conditionalFormatting sqref="C24">
    <cfRule type="cellIs" dxfId="30242" priority="17217" stopIfTrue="1" operator="equal">
      <formula>"Towel"</formula>
    </cfRule>
    <cfRule type="cellIs" dxfId="30241" priority="17218" stopIfTrue="1" operator="equal">
      <formula>"Napkin Hs"</formula>
    </cfRule>
  </conditionalFormatting>
  <conditionalFormatting sqref="C24">
    <cfRule type="cellIs" dxfId="30240" priority="17219" stopIfTrue="1" operator="equal">
      <formula>"Towel"</formula>
    </cfRule>
  </conditionalFormatting>
  <conditionalFormatting sqref="C30">
    <cfRule type="cellIs" dxfId="30239" priority="17203" stopIfTrue="1" operator="equal">
      <formula>"Towel"</formula>
    </cfRule>
    <cfRule type="cellIs" dxfId="30238" priority="17204" stopIfTrue="1" operator="equal">
      <formula>"Napkin Hs"</formula>
    </cfRule>
  </conditionalFormatting>
  <conditionalFormatting sqref="C30">
    <cfRule type="cellIs" dxfId="30237" priority="17201" stopIfTrue="1" operator="equal">
      <formula>"Towel"</formula>
    </cfRule>
    <cfRule type="cellIs" dxfId="30236" priority="17202" stopIfTrue="1" operator="equal">
      <formula>"Napkin Hs"</formula>
    </cfRule>
  </conditionalFormatting>
  <conditionalFormatting sqref="C30">
    <cfRule type="cellIs" dxfId="30235" priority="17199" stopIfTrue="1" operator="equal">
      <formula>"Towel"</formula>
    </cfRule>
    <cfRule type="cellIs" dxfId="30234" priority="17200" stopIfTrue="1" operator="equal">
      <formula>"Napkin Hs"</formula>
    </cfRule>
  </conditionalFormatting>
  <conditionalFormatting sqref="C30">
    <cfRule type="cellIs" dxfId="30233" priority="17198" stopIfTrue="1" operator="equal">
      <formula>"Napkin Hs"</formula>
    </cfRule>
  </conditionalFormatting>
  <conditionalFormatting sqref="C30">
    <cfRule type="cellIs" dxfId="30232" priority="17197" stopIfTrue="1" operator="equal">
      <formula>"Towel"</formula>
    </cfRule>
  </conditionalFormatting>
  <conditionalFormatting sqref="C30">
    <cfRule type="cellIs" dxfId="30231" priority="17196" stopIfTrue="1" operator="equal">
      <formula>"Napkin Hs"</formula>
    </cfRule>
  </conditionalFormatting>
  <conditionalFormatting sqref="C30">
    <cfRule type="cellIs" dxfId="30230" priority="17195" stopIfTrue="1" operator="equal">
      <formula>"Towel"</formula>
    </cfRule>
  </conditionalFormatting>
  <conditionalFormatting sqref="C30">
    <cfRule type="cellIs" dxfId="30229" priority="17193" stopIfTrue="1" operator="equal">
      <formula>"Towel"</formula>
    </cfRule>
    <cfRule type="cellIs" dxfId="30228" priority="17194" stopIfTrue="1" operator="equal">
      <formula>"Napkin Hs"</formula>
    </cfRule>
  </conditionalFormatting>
  <conditionalFormatting sqref="C30">
    <cfRule type="cellIs" dxfId="30227" priority="17191" stopIfTrue="1" operator="equal">
      <formula>"Towel"</formula>
    </cfRule>
    <cfRule type="cellIs" dxfId="30226" priority="17192" stopIfTrue="1" operator="equal">
      <formula>"Napkin Hs"</formula>
    </cfRule>
  </conditionalFormatting>
  <conditionalFormatting sqref="C30">
    <cfRule type="cellIs" dxfId="30225" priority="17187" stopIfTrue="1" operator="equal">
      <formula>"Towel"</formula>
    </cfRule>
    <cfRule type="cellIs" dxfId="30224" priority="17188" stopIfTrue="1" operator="equal">
      <formula>"Napkin Hs"</formula>
    </cfRule>
  </conditionalFormatting>
  <conditionalFormatting sqref="C30">
    <cfRule type="cellIs" dxfId="30223" priority="17189" stopIfTrue="1" operator="equal">
      <formula>"Towel"</formula>
    </cfRule>
    <cfRule type="cellIs" dxfId="30222" priority="17190" stopIfTrue="1" operator="equal">
      <formula>"Napkin Hs"</formula>
    </cfRule>
  </conditionalFormatting>
  <conditionalFormatting sqref="C30">
    <cfRule type="cellIs" dxfId="30221" priority="17181" stopIfTrue="1" operator="equal">
      <formula>"Towel"</formula>
    </cfRule>
    <cfRule type="cellIs" dxfId="30220" priority="17182" stopIfTrue="1" operator="equal">
      <formula>"Napkin Hs"</formula>
    </cfRule>
  </conditionalFormatting>
  <conditionalFormatting sqref="C30">
    <cfRule type="cellIs" dxfId="30219" priority="17179" stopIfTrue="1" operator="equal">
      <formula>"Towel"</formula>
    </cfRule>
    <cfRule type="cellIs" dxfId="30218" priority="17180" stopIfTrue="1" operator="equal">
      <formula>"Napkin Hs"</formula>
    </cfRule>
  </conditionalFormatting>
  <conditionalFormatting sqref="C30">
    <cfRule type="cellIs" dxfId="30217" priority="17177" stopIfTrue="1" operator="equal">
      <formula>"Towel"</formula>
    </cfRule>
    <cfRule type="cellIs" dxfId="30216" priority="17178" stopIfTrue="1" operator="equal">
      <formula>"Napkin Hs"</formula>
    </cfRule>
  </conditionalFormatting>
  <conditionalFormatting sqref="C30">
    <cfRule type="cellIs" dxfId="30215" priority="17175" stopIfTrue="1" operator="equal">
      <formula>"Towel"</formula>
    </cfRule>
    <cfRule type="cellIs" dxfId="30214" priority="17176" stopIfTrue="1" operator="equal">
      <formula>"Napkin Hs"</formula>
    </cfRule>
  </conditionalFormatting>
  <conditionalFormatting sqref="C30">
    <cfRule type="cellIs" dxfId="30213" priority="17173" stopIfTrue="1" operator="equal">
      <formula>"Towel"</formula>
    </cfRule>
    <cfRule type="cellIs" dxfId="30212" priority="17174" stopIfTrue="1" operator="equal">
      <formula>"Napkin Hs"</formula>
    </cfRule>
  </conditionalFormatting>
  <conditionalFormatting sqref="C30">
    <cfRule type="cellIs" dxfId="30211" priority="17171" stopIfTrue="1" operator="equal">
      <formula>"Towel"</formula>
    </cfRule>
    <cfRule type="cellIs" dxfId="30210" priority="17172" stopIfTrue="1" operator="equal">
      <formula>"Napkin Hs"</formula>
    </cfRule>
  </conditionalFormatting>
  <conditionalFormatting sqref="C30">
    <cfRule type="cellIs" dxfId="30209" priority="17169" stopIfTrue="1" operator="equal">
      <formula>"Towel"</formula>
    </cfRule>
    <cfRule type="cellIs" dxfId="30208" priority="17170" stopIfTrue="1" operator="equal">
      <formula>"Napkin Hs"</formula>
    </cfRule>
  </conditionalFormatting>
  <conditionalFormatting sqref="C30">
    <cfRule type="cellIs" dxfId="30207" priority="17167" stopIfTrue="1" operator="equal">
      <formula>"Towel"</formula>
    </cfRule>
    <cfRule type="cellIs" dxfId="30206" priority="17168" stopIfTrue="1" operator="equal">
      <formula>"Napkin Hs"</formula>
    </cfRule>
  </conditionalFormatting>
  <conditionalFormatting sqref="C30">
    <cfRule type="cellIs" dxfId="30205" priority="17165" stopIfTrue="1" operator="equal">
      <formula>"Towel"</formula>
    </cfRule>
    <cfRule type="cellIs" dxfId="30204" priority="17166" stopIfTrue="1" operator="equal">
      <formula>"Napkin Hs"</formula>
    </cfRule>
  </conditionalFormatting>
  <conditionalFormatting sqref="C30">
    <cfRule type="cellIs" dxfId="30203" priority="17163" stopIfTrue="1" operator="equal">
      <formula>"Towel"</formula>
    </cfRule>
    <cfRule type="cellIs" dxfId="30202" priority="17164" stopIfTrue="1" operator="equal">
      <formula>"Napkin Hs"</formula>
    </cfRule>
  </conditionalFormatting>
  <conditionalFormatting sqref="C30">
    <cfRule type="cellIs" dxfId="30201" priority="17157" stopIfTrue="1" operator="equal">
      <formula>"Towel"</formula>
    </cfRule>
    <cfRule type="cellIs" dxfId="30200" priority="17158" stopIfTrue="1" operator="equal">
      <formula>"Napkin Hs"</formula>
    </cfRule>
  </conditionalFormatting>
  <conditionalFormatting sqref="C30">
    <cfRule type="cellIs" dxfId="30199" priority="17151" stopIfTrue="1" operator="equal">
      <formula>"Towel"</formula>
    </cfRule>
    <cfRule type="cellIs" dxfId="30198" priority="17152" stopIfTrue="1" operator="equal">
      <formula>"Napkin Hs"</formula>
    </cfRule>
  </conditionalFormatting>
  <conditionalFormatting sqref="C30">
    <cfRule type="cellIs" dxfId="30197" priority="17145" stopIfTrue="1" operator="equal">
      <formula>"Towel"</formula>
    </cfRule>
    <cfRule type="cellIs" dxfId="30196" priority="17146" stopIfTrue="1" operator="equal">
      <formula>"Napkin Hs"</formula>
    </cfRule>
  </conditionalFormatting>
  <conditionalFormatting sqref="C30">
    <cfRule type="cellIs" dxfId="30195" priority="17144" stopIfTrue="1" operator="equal">
      <formula>"Napkin Hs"</formula>
    </cfRule>
  </conditionalFormatting>
  <conditionalFormatting sqref="C30">
    <cfRule type="cellIs" dxfId="30194" priority="17143" stopIfTrue="1" operator="equal">
      <formula>"Towel"</formula>
    </cfRule>
  </conditionalFormatting>
  <conditionalFormatting sqref="C30">
    <cfRule type="cellIs" dxfId="30193" priority="17142" stopIfTrue="1" operator="equal">
      <formula>"Napkin Hs"</formula>
    </cfRule>
  </conditionalFormatting>
  <conditionalFormatting sqref="C30">
    <cfRule type="cellIs" dxfId="30192" priority="17141" stopIfTrue="1" operator="equal">
      <formula>"Towel"</formula>
    </cfRule>
  </conditionalFormatting>
  <conditionalFormatting sqref="C30">
    <cfRule type="cellIs" dxfId="30191" priority="17139" stopIfTrue="1" operator="equal">
      <formula>"Towel"</formula>
    </cfRule>
    <cfRule type="cellIs" dxfId="30190" priority="17140" stopIfTrue="1" operator="equal">
      <formula>"Napkin Hs"</formula>
    </cfRule>
  </conditionalFormatting>
  <conditionalFormatting sqref="C30">
    <cfRule type="cellIs" dxfId="30189" priority="17137" stopIfTrue="1" operator="equal">
      <formula>"Towel"</formula>
    </cfRule>
    <cfRule type="cellIs" dxfId="30188" priority="17138" stopIfTrue="1" operator="equal">
      <formula>"Napkin Hs"</formula>
    </cfRule>
  </conditionalFormatting>
  <conditionalFormatting sqref="C30">
    <cfRule type="cellIs" dxfId="30187" priority="17133" stopIfTrue="1" operator="equal">
      <formula>"Towel"</formula>
    </cfRule>
    <cfRule type="cellIs" dxfId="30186" priority="17134" stopIfTrue="1" operator="equal">
      <formula>"Napkin Hs"</formula>
    </cfRule>
  </conditionalFormatting>
  <conditionalFormatting sqref="C30">
    <cfRule type="cellIs" dxfId="30185" priority="17135" stopIfTrue="1" operator="equal">
      <formula>"Towel"</formula>
    </cfRule>
    <cfRule type="cellIs" dxfId="30184" priority="17136" stopIfTrue="1" operator="equal">
      <formula>"Napkin Hs"</formula>
    </cfRule>
  </conditionalFormatting>
  <conditionalFormatting sqref="C30">
    <cfRule type="cellIs" dxfId="30183" priority="17127" stopIfTrue="1" operator="equal">
      <formula>"Towel"</formula>
    </cfRule>
    <cfRule type="cellIs" dxfId="30182" priority="17128" stopIfTrue="1" operator="equal">
      <formula>"Napkin Hs"</formula>
    </cfRule>
  </conditionalFormatting>
  <conditionalFormatting sqref="C30">
    <cfRule type="cellIs" dxfId="30181" priority="17125" stopIfTrue="1" operator="equal">
      <formula>"Towel"</formula>
    </cfRule>
    <cfRule type="cellIs" dxfId="30180" priority="17126" stopIfTrue="1" operator="equal">
      <formula>"Napkin Hs"</formula>
    </cfRule>
  </conditionalFormatting>
  <conditionalFormatting sqref="C30">
    <cfRule type="cellIs" dxfId="30179" priority="17123" stopIfTrue="1" operator="equal">
      <formula>"Towel"</formula>
    </cfRule>
    <cfRule type="cellIs" dxfId="30178" priority="17124" stopIfTrue="1" operator="equal">
      <formula>"Napkin Hs"</formula>
    </cfRule>
  </conditionalFormatting>
  <conditionalFormatting sqref="C30">
    <cfRule type="cellIs" dxfId="30177" priority="17121" stopIfTrue="1" operator="equal">
      <formula>"Towel"</formula>
    </cfRule>
    <cfRule type="cellIs" dxfId="30176" priority="17122" stopIfTrue="1" operator="equal">
      <formula>"Napkin Hs"</formula>
    </cfRule>
  </conditionalFormatting>
  <conditionalFormatting sqref="C30">
    <cfRule type="cellIs" dxfId="30175" priority="17119" stopIfTrue="1" operator="equal">
      <formula>"Towel"</formula>
    </cfRule>
    <cfRule type="cellIs" dxfId="30174" priority="17120" stopIfTrue="1" operator="equal">
      <formula>"Napkin Hs"</formula>
    </cfRule>
  </conditionalFormatting>
  <conditionalFormatting sqref="C30">
    <cfRule type="cellIs" dxfId="30173" priority="17117" stopIfTrue="1" operator="equal">
      <formula>"Towel"</formula>
    </cfRule>
    <cfRule type="cellIs" dxfId="30172" priority="17118" stopIfTrue="1" operator="equal">
      <formula>"Napkin Hs"</formula>
    </cfRule>
  </conditionalFormatting>
  <conditionalFormatting sqref="C30">
    <cfRule type="cellIs" dxfId="30171" priority="17115" stopIfTrue="1" operator="equal">
      <formula>"Towel"</formula>
    </cfRule>
    <cfRule type="cellIs" dxfId="30170" priority="17116" stopIfTrue="1" operator="equal">
      <formula>"Napkin Hs"</formula>
    </cfRule>
  </conditionalFormatting>
  <conditionalFormatting sqref="C30">
    <cfRule type="cellIs" dxfId="30169" priority="17113" stopIfTrue="1" operator="equal">
      <formula>"Towel"</formula>
    </cfRule>
    <cfRule type="cellIs" dxfId="30168" priority="17114" stopIfTrue="1" operator="equal">
      <formula>"Napkin Hs"</formula>
    </cfRule>
  </conditionalFormatting>
  <conditionalFormatting sqref="C30">
    <cfRule type="cellIs" dxfId="30167" priority="17111" stopIfTrue="1" operator="equal">
      <formula>"Towel"</formula>
    </cfRule>
    <cfRule type="cellIs" dxfId="30166" priority="17112" stopIfTrue="1" operator="equal">
      <formula>"Napkin Hs"</formula>
    </cfRule>
  </conditionalFormatting>
  <conditionalFormatting sqref="C30">
    <cfRule type="cellIs" dxfId="30165" priority="17109" stopIfTrue="1" operator="equal">
      <formula>"Towel"</formula>
    </cfRule>
    <cfRule type="cellIs" dxfId="30164" priority="17110" stopIfTrue="1" operator="equal">
      <formula>"Napkin Hs"</formula>
    </cfRule>
  </conditionalFormatting>
  <conditionalFormatting sqref="C30">
    <cfRule type="cellIs" dxfId="30163" priority="17103" stopIfTrue="1" operator="equal">
      <formula>"Towel"</formula>
    </cfRule>
    <cfRule type="cellIs" dxfId="30162" priority="17104" stopIfTrue="1" operator="equal">
      <formula>"Napkin Hs"</formula>
    </cfRule>
  </conditionalFormatting>
  <conditionalFormatting sqref="C30">
    <cfRule type="cellIs" dxfId="30161" priority="17097" stopIfTrue="1" operator="equal">
      <formula>"Towel"</formula>
    </cfRule>
    <cfRule type="cellIs" dxfId="30160" priority="17098" stopIfTrue="1" operator="equal">
      <formula>"Napkin Hs"</formula>
    </cfRule>
  </conditionalFormatting>
  <conditionalFormatting sqref="C30">
    <cfRule type="cellIs" dxfId="30159" priority="17096" stopIfTrue="1" operator="equal">
      <formula>"Napkin Hs"</formula>
    </cfRule>
  </conditionalFormatting>
  <conditionalFormatting sqref="C30">
    <cfRule type="cellIs" dxfId="30158" priority="17095" stopIfTrue="1" operator="equal">
      <formula>"Towel"</formula>
    </cfRule>
  </conditionalFormatting>
  <conditionalFormatting sqref="C30">
    <cfRule type="cellIs" dxfId="30157" priority="17094" stopIfTrue="1" operator="equal">
      <formula>"Napkin Hs"</formula>
    </cfRule>
  </conditionalFormatting>
  <conditionalFormatting sqref="C30">
    <cfRule type="cellIs" dxfId="30156" priority="17091" stopIfTrue="1" operator="equal">
      <formula>"Towel"</formula>
    </cfRule>
    <cfRule type="cellIs" dxfId="30155" priority="17092" stopIfTrue="1" operator="equal">
      <formula>"Napkin Hs"</formula>
    </cfRule>
  </conditionalFormatting>
  <conditionalFormatting sqref="C30">
    <cfRule type="cellIs" dxfId="30154" priority="17093" stopIfTrue="1" operator="equal">
      <formula>"Towel"</formula>
    </cfRule>
  </conditionalFormatting>
  <conditionalFormatting sqref="C30">
    <cfRule type="cellIs" dxfId="30153" priority="17211" stopIfTrue="1" operator="equal">
      <formula>"Towel"</formula>
    </cfRule>
    <cfRule type="cellIs" dxfId="30152" priority="17212" stopIfTrue="1" operator="equal">
      <formula>"Napkin Hs"</formula>
    </cfRule>
  </conditionalFormatting>
  <conditionalFormatting sqref="C30">
    <cfRule type="cellIs" dxfId="30151" priority="17210" stopIfTrue="1" operator="equal">
      <formula>"Napkin Hs"</formula>
    </cfRule>
  </conditionalFormatting>
  <conditionalFormatting sqref="C30">
    <cfRule type="cellIs" dxfId="30150" priority="17209" stopIfTrue="1" operator="equal">
      <formula>"Towel"</formula>
    </cfRule>
  </conditionalFormatting>
  <conditionalFormatting sqref="C30">
    <cfRule type="cellIs" dxfId="30149" priority="17208" stopIfTrue="1" operator="equal">
      <formula>"Napkin Hs"</formula>
    </cfRule>
  </conditionalFormatting>
  <conditionalFormatting sqref="C30">
    <cfRule type="cellIs" dxfId="30148" priority="17205" stopIfTrue="1" operator="equal">
      <formula>"Towel"</formula>
    </cfRule>
    <cfRule type="cellIs" dxfId="30147" priority="17206" stopIfTrue="1" operator="equal">
      <formula>"Napkin Hs"</formula>
    </cfRule>
  </conditionalFormatting>
  <conditionalFormatting sqref="C30">
    <cfRule type="cellIs" dxfId="30146" priority="17207" stopIfTrue="1" operator="equal">
      <formula>"Towel"</formula>
    </cfRule>
  </conditionalFormatting>
  <conditionalFormatting sqref="C30">
    <cfRule type="cellIs" dxfId="30145" priority="17215" stopIfTrue="1" operator="equal">
      <formula>"Towel"</formula>
    </cfRule>
    <cfRule type="cellIs" dxfId="30144" priority="17216" stopIfTrue="1" operator="equal">
      <formula>"Napkin Hs"</formula>
    </cfRule>
  </conditionalFormatting>
  <conditionalFormatting sqref="C30">
    <cfRule type="cellIs" dxfId="30143" priority="17213" stopIfTrue="1" operator="equal">
      <formula>"Towel"</formula>
    </cfRule>
    <cfRule type="cellIs" dxfId="30142" priority="17214" stopIfTrue="1" operator="equal">
      <formula>"Napkin Hs"</formula>
    </cfRule>
  </conditionalFormatting>
  <conditionalFormatting sqref="C30">
    <cfRule type="cellIs" dxfId="30141" priority="17185" stopIfTrue="1" operator="equal">
      <formula>"Towel"</formula>
    </cfRule>
    <cfRule type="cellIs" dxfId="30140" priority="17186" stopIfTrue="1" operator="equal">
      <formula>"Napkin Hs"</formula>
    </cfRule>
  </conditionalFormatting>
  <conditionalFormatting sqref="C30">
    <cfRule type="cellIs" dxfId="30139" priority="17183" stopIfTrue="1" operator="equal">
      <formula>"Towel"</formula>
    </cfRule>
    <cfRule type="cellIs" dxfId="30138" priority="17184" stopIfTrue="1" operator="equal">
      <formula>"Napkin Hs"</formula>
    </cfRule>
  </conditionalFormatting>
  <conditionalFormatting sqref="C30">
    <cfRule type="cellIs" dxfId="30137" priority="17162" stopIfTrue="1" operator="equal">
      <formula>"Napkin Hs"</formula>
    </cfRule>
  </conditionalFormatting>
  <conditionalFormatting sqref="C30">
    <cfRule type="cellIs" dxfId="30136" priority="17161" stopIfTrue="1" operator="equal">
      <formula>"Towel"</formula>
    </cfRule>
  </conditionalFormatting>
  <conditionalFormatting sqref="C30">
    <cfRule type="cellIs" dxfId="30135" priority="17160" stopIfTrue="1" operator="equal">
      <formula>"Napkin Hs"</formula>
    </cfRule>
  </conditionalFormatting>
  <conditionalFormatting sqref="C30">
    <cfRule type="cellIs" dxfId="30134" priority="17159" stopIfTrue="1" operator="equal">
      <formula>"Towel"</formula>
    </cfRule>
  </conditionalFormatting>
  <conditionalFormatting sqref="C30">
    <cfRule type="cellIs" dxfId="30133" priority="17156" stopIfTrue="1" operator="equal">
      <formula>"Napkin Hs"</formula>
    </cfRule>
  </conditionalFormatting>
  <conditionalFormatting sqref="C30">
    <cfRule type="cellIs" dxfId="30132" priority="17155" stopIfTrue="1" operator="equal">
      <formula>"Towel"</formula>
    </cfRule>
  </conditionalFormatting>
  <conditionalFormatting sqref="C30">
    <cfRule type="cellIs" dxfId="30131" priority="17154" stopIfTrue="1" operator="equal">
      <formula>"Napkin Hs"</formula>
    </cfRule>
  </conditionalFormatting>
  <conditionalFormatting sqref="C30">
    <cfRule type="cellIs" dxfId="30130" priority="17153" stopIfTrue="1" operator="equal">
      <formula>"Towel"</formula>
    </cfRule>
  </conditionalFormatting>
  <conditionalFormatting sqref="C30">
    <cfRule type="cellIs" dxfId="30129" priority="17149" stopIfTrue="1" operator="equal">
      <formula>"Towel"</formula>
    </cfRule>
    <cfRule type="cellIs" dxfId="30128" priority="17150" stopIfTrue="1" operator="equal">
      <formula>"Napkin Hs"</formula>
    </cfRule>
  </conditionalFormatting>
  <conditionalFormatting sqref="C30">
    <cfRule type="cellIs" dxfId="30127" priority="17147" stopIfTrue="1" operator="equal">
      <formula>"Towel"</formula>
    </cfRule>
    <cfRule type="cellIs" dxfId="30126" priority="17148" stopIfTrue="1" operator="equal">
      <formula>"Napkin Hs"</formula>
    </cfRule>
  </conditionalFormatting>
  <conditionalFormatting sqref="C30">
    <cfRule type="cellIs" dxfId="30125" priority="17131" stopIfTrue="1" operator="equal">
      <formula>"Towel"</formula>
    </cfRule>
    <cfRule type="cellIs" dxfId="30124" priority="17132" stopIfTrue="1" operator="equal">
      <formula>"Napkin Hs"</formula>
    </cfRule>
  </conditionalFormatting>
  <conditionalFormatting sqref="C30">
    <cfRule type="cellIs" dxfId="30123" priority="17129" stopIfTrue="1" operator="equal">
      <formula>"Towel"</formula>
    </cfRule>
    <cfRule type="cellIs" dxfId="30122" priority="17130" stopIfTrue="1" operator="equal">
      <formula>"Napkin Hs"</formula>
    </cfRule>
  </conditionalFormatting>
  <conditionalFormatting sqref="C30">
    <cfRule type="cellIs" dxfId="30121" priority="17108" stopIfTrue="1" operator="equal">
      <formula>"Napkin Hs"</formula>
    </cfRule>
  </conditionalFormatting>
  <conditionalFormatting sqref="C30">
    <cfRule type="cellIs" dxfId="30120" priority="17107" stopIfTrue="1" operator="equal">
      <formula>"Towel"</formula>
    </cfRule>
  </conditionalFormatting>
  <conditionalFormatting sqref="C30">
    <cfRule type="cellIs" dxfId="30119" priority="17106" stopIfTrue="1" operator="equal">
      <formula>"Napkin Hs"</formula>
    </cfRule>
  </conditionalFormatting>
  <conditionalFormatting sqref="C30">
    <cfRule type="cellIs" dxfId="30118" priority="17105" stopIfTrue="1" operator="equal">
      <formula>"Towel"</formula>
    </cfRule>
  </conditionalFormatting>
  <conditionalFormatting sqref="C30">
    <cfRule type="cellIs" dxfId="30117" priority="17102" stopIfTrue="1" operator="equal">
      <formula>"Napkin Hs"</formula>
    </cfRule>
  </conditionalFormatting>
  <conditionalFormatting sqref="C30">
    <cfRule type="cellIs" dxfId="30116" priority="17101" stopIfTrue="1" operator="equal">
      <formula>"Towel"</formula>
    </cfRule>
  </conditionalFormatting>
  <conditionalFormatting sqref="C30">
    <cfRule type="cellIs" dxfId="30115" priority="17100" stopIfTrue="1" operator="equal">
      <formula>"Napkin Hs"</formula>
    </cfRule>
  </conditionalFormatting>
  <conditionalFormatting sqref="C30">
    <cfRule type="cellIs" dxfId="30114" priority="17099" stopIfTrue="1" operator="equal">
      <formula>"Towel"</formula>
    </cfRule>
  </conditionalFormatting>
  <conditionalFormatting sqref="B30:C30 B31">
    <cfRule type="cellIs" dxfId="30113" priority="17090" stopIfTrue="1" operator="equal">
      <formula>"Napkin Hs"</formula>
    </cfRule>
  </conditionalFormatting>
  <conditionalFormatting sqref="B30:C30 B31">
    <cfRule type="cellIs" dxfId="30112" priority="17089" stopIfTrue="1" operator="equal">
      <formula>"Towel"</formula>
    </cfRule>
  </conditionalFormatting>
  <conditionalFormatting sqref="C30">
    <cfRule type="cellIs" dxfId="30111" priority="17088" stopIfTrue="1" operator="equal">
      <formula>"Napkin Hs"</formula>
    </cfRule>
  </conditionalFormatting>
  <conditionalFormatting sqref="C30">
    <cfRule type="cellIs" dxfId="30110" priority="17085" stopIfTrue="1" operator="equal">
      <formula>"Towel"</formula>
    </cfRule>
    <cfRule type="cellIs" dxfId="30109" priority="17086" stopIfTrue="1" operator="equal">
      <formula>"Napkin Hs"</formula>
    </cfRule>
  </conditionalFormatting>
  <conditionalFormatting sqref="C30">
    <cfRule type="cellIs" dxfId="30108" priority="17087" stopIfTrue="1" operator="equal">
      <formula>"Towel"</formula>
    </cfRule>
  </conditionalFormatting>
  <conditionalFormatting sqref="C31">
    <cfRule type="cellIs" dxfId="30107" priority="17071" stopIfTrue="1" operator="equal">
      <formula>"Towel"</formula>
    </cfRule>
    <cfRule type="cellIs" dxfId="30106" priority="17072" stopIfTrue="1" operator="equal">
      <formula>"Napkin Hs"</formula>
    </cfRule>
  </conditionalFormatting>
  <conditionalFormatting sqref="C31">
    <cfRule type="cellIs" dxfId="30105" priority="17069" stopIfTrue="1" operator="equal">
      <formula>"Towel"</formula>
    </cfRule>
    <cfRule type="cellIs" dxfId="30104" priority="17070" stopIfTrue="1" operator="equal">
      <formula>"Napkin Hs"</formula>
    </cfRule>
  </conditionalFormatting>
  <conditionalFormatting sqref="C31">
    <cfRule type="cellIs" dxfId="30103" priority="17067" stopIfTrue="1" operator="equal">
      <formula>"Towel"</formula>
    </cfRule>
    <cfRule type="cellIs" dxfId="30102" priority="17068" stopIfTrue="1" operator="equal">
      <formula>"Napkin Hs"</formula>
    </cfRule>
  </conditionalFormatting>
  <conditionalFormatting sqref="C31">
    <cfRule type="cellIs" dxfId="30101" priority="17066" stopIfTrue="1" operator="equal">
      <formula>"Napkin Hs"</formula>
    </cfRule>
  </conditionalFormatting>
  <conditionalFormatting sqref="C31">
    <cfRule type="cellIs" dxfId="30100" priority="17065" stopIfTrue="1" operator="equal">
      <formula>"Towel"</formula>
    </cfRule>
  </conditionalFormatting>
  <conditionalFormatting sqref="C31">
    <cfRule type="cellIs" dxfId="30099" priority="17064" stopIfTrue="1" operator="equal">
      <formula>"Napkin Hs"</formula>
    </cfRule>
  </conditionalFormatting>
  <conditionalFormatting sqref="C31">
    <cfRule type="cellIs" dxfId="30098" priority="17063" stopIfTrue="1" operator="equal">
      <formula>"Towel"</formula>
    </cfRule>
  </conditionalFormatting>
  <conditionalFormatting sqref="C31">
    <cfRule type="cellIs" dxfId="30097" priority="17061" stopIfTrue="1" operator="equal">
      <formula>"Towel"</formula>
    </cfRule>
    <cfRule type="cellIs" dxfId="30096" priority="17062" stopIfTrue="1" operator="equal">
      <formula>"Napkin Hs"</formula>
    </cfRule>
  </conditionalFormatting>
  <conditionalFormatting sqref="C31">
    <cfRule type="cellIs" dxfId="30095" priority="17059" stopIfTrue="1" operator="equal">
      <formula>"Towel"</formula>
    </cfRule>
    <cfRule type="cellIs" dxfId="30094" priority="17060" stopIfTrue="1" operator="equal">
      <formula>"Napkin Hs"</formula>
    </cfRule>
  </conditionalFormatting>
  <conditionalFormatting sqref="C31">
    <cfRule type="cellIs" dxfId="30093" priority="17055" stopIfTrue="1" operator="equal">
      <formula>"Towel"</formula>
    </cfRule>
    <cfRule type="cellIs" dxfId="30092" priority="17056" stopIfTrue="1" operator="equal">
      <formula>"Napkin Hs"</formula>
    </cfRule>
  </conditionalFormatting>
  <conditionalFormatting sqref="C31">
    <cfRule type="cellIs" dxfId="30091" priority="17057" stopIfTrue="1" operator="equal">
      <formula>"Towel"</formula>
    </cfRule>
    <cfRule type="cellIs" dxfId="30090" priority="17058" stopIfTrue="1" operator="equal">
      <formula>"Napkin Hs"</formula>
    </cfRule>
  </conditionalFormatting>
  <conditionalFormatting sqref="C31">
    <cfRule type="cellIs" dxfId="30089" priority="17049" stopIfTrue="1" operator="equal">
      <formula>"Towel"</formula>
    </cfRule>
    <cfRule type="cellIs" dxfId="30088" priority="17050" stopIfTrue="1" operator="equal">
      <formula>"Napkin Hs"</formula>
    </cfRule>
  </conditionalFormatting>
  <conditionalFormatting sqref="C31">
    <cfRule type="cellIs" dxfId="30087" priority="17047" stopIfTrue="1" operator="equal">
      <formula>"Towel"</formula>
    </cfRule>
    <cfRule type="cellIs" dxfId="30086" priority="17048" stopIfTrue="1" operator="equal">
      <formula>"Napkin Hs"</formula>
    </cfRule>
  </conditionalFormatting>
  <conditionalFormatting sqref="C31">
    <cfRule type="cellIs" dxfId="30085" priority="17045" stopIfTrue="1" operator="equal">
      <formula>"Towel"</formula>
    </cfRule>
    <cfRule type="cellIs" dxfId="30084" priority="17046" stopIfTrue="1" operator="equal">
      <formula>"Napkin Hs"</formula>
    </cfRule>
  </conditionalFormatting>
  <conditionalFormatting sqref="C31">
    <cfRule type="cellIs" dxfId="30083" priority="17043" stopIfTrue="1" operator="equal">
      <formula>"Towel"</formula>
    </cfRule>
    <cfRule type="cellIs" dxfId="30082" priority="17044" stopIfTrue="1" operator="equal">
      <formula>"Napkin Hs"</formula>
    </cfRule>
  </conditionalFormatting>
  <conditionalFormatting sqref="C31">
    <cfRule type="cellIs" dxfId="30081" priority="17041" stopIfTrue="1" operator="equal">
      <formula>"Towel"</formula>
    </cfRule>
    <cfRule type="cellIs" dxfId="30080" priority="17042" stopIfTrue="1" operator="equal">
      <formula>"Napkin Hs"</formula>
    </cfRule>
  </conditionalFormatting>
  <conditionalFormatting sqref="C31">
    <cfRule type="cellIs" dxfId="30079" priority="17039" stopIfTrue="1" operator="equal">
      <formula>"Towel"</formula>
    </cfRule>
    <cfRule type="cellIs" dxfId="30078" priority="17040" stopIfTrue="1" operator="equal">
      <formula>"Napkin Hs"</formula>
    </cfRule>
  </conditionalFormatting>
  <conditionalFormatting sqref="C31">
    <cfRule type="cellIs" dxfId="30077" priority="17037" stopIfTrue="1" operator="equal">
      <formula>"Towel"</formula>
    </cfRule>
    <cfRule type="cellIs" dxfId="30076" priority="17038" stopIfTrue="1" operator="equal">
      <formula>"Napkin Hs"</formula>
    </cfRule>
  </conditionalFormatting>
  <conditionalFormatting sqref="C31">
    <cfRule type="cellIs" dxfId="30075" priority="17035" stopIfTrue="1" operator="equal">
      <formula>"Towel"</formula>
    </cfRule>
    <cfRule type="cellIs" dxfId="30074" priority="17036" stopIfTrue="1" operator="equal">
      <formula>"Napkin Hs"</formula>
    </cfRule>
  </conditionalFormatting>
  <conditionalFormatting sqref="C31">
    <cfRule type="cellIs" dxfId="30073" priority="17033" stopIfTrue="1" operator="equal">
      <formula>"Towel"</formula>
    </cfRule>
    <cfRule type="cellIs" dxfId="30072" priority="17034" stopIfTrue="1" operator="equal">
      <formula>"Napkin Hs"</formula>
    </cfRule>
  </conditionalFormatting>
  <conditionalFormatting sqref="C31">
    <cfRule type="cellIs" dxfId="30071" priority="17031" stopIfTrue="1" operator="equal">
      <formula>"Towel"</formula>
    </cfRule>
    <cfRule type="cellIs" dxfId="30070" priority="17032" stopIfTrue="1" operator="equal">
      <formula>"Napkin Hs"</formula>
    </cfRule>
  </conditionalFormatting>
  <conditionalFormatting sqref="C31">
    <cfRule type="cellIs" dxfId="30069" priority="17025" stopIfTrue="1" operator="equal">
      <formula>"Towel"</formula>
    </cfRule>
    <cfRule type="cellIs" dxfId="30068" priority="17026" stopIfTrue="1" operator="equal">
      <formula>"Napkin Hs"</formula>
    </cfRule>
  </conditionalFormatting>
  <conditionalFormatting sqref="C31">
    <cfRule type="cellIs" dxfId="30067" priority="17019" stopIfTrue="1" operator="equal">
      <formula>"Towel"</formula>
    </cfRule>
    <cfRule type="cellIs" dxfId="30066" priority="17020" stopIfTrue="1" operator="equal">
      <formula>"Napkin Hs"</formula>
    </cfRule>
  </conditionalFormatting>
  <conditionalFormatting sqref="C31">
    <cfRule type="cellIs" dxfId="30065" priority="17013" stopIfTrue="1" operator="equal">
      <formula>"Towel"</formula>
    </cfRule>
    <cfRule type="cellIs" dxfId="30064" priority="17014" stopIfTrue="1" operator="equal">
      <formula>"Napkin Hs"</formula>
    </cfRule>
  </conditionalFormatting>
  <conditionalFormatting sqref="C31">
    <cfRule type="cellIs" dxfId="30063" priority="17012" stopIfTrue="1" operator="equal">
      <formula>"Napkin Hs"</formula>
    </cfRule>
  </conditionalFormatting>
  <conditionalFormatting sqref="C31">
    <cfRule type="cellIs" dxfId="30062" priority="17011" stopIfTrue="1" operator="equal">
      <formula>"Towel"</formula>
    </cfRule>
  </conditionalFormatting>
  <conditionalFormatting sqref="C31">
    <cfRule type="cellIs" dxfId="30061" priority="17010" stopIfTrue="1" operator="equal">
      <formula>"Napkin Hs"</formula>
    </cfRule>
  </conditionalFormatting>
  <conditionalFormatting sqref="C31">
    <cfRule type="cellIs" dxfId="30060" priority="17009" stopIfTrue="1" operator="equal">
      <formula>"Towel"</formula>
    </cfRule>
  </conditionalFormatting>
  <conditionalFormatting sqref="C31">
    <cfRule type="cellIs" dxfId="30059" priority="17007" stopIfTrue="1" operator="equal">
      <formula>"Towel"</formula>
    </cfRule>
    <cfRule type="cellIs" dxfId="30058" priority="17008" stopIfTrue="1" operator="equal">
      <formula>"Napkin Hs"</formula>
    </cfRule>
  </conditionalFormatting>
  <conditionalFormatting sqref="C31">
    <cfRule type="cellIs" dxfId="30057" priority="17005" stopIfTrue="1" operator="equal">
      <formula>"Towel"</formula>
    </cfRule>
    <cfRule type="cellIs" dxfId="30056" priority="17006" stopIfTrue="1" operator="equal">
      <formula>"Napkin Hs"</formula>
    </cfRule>
  </conditionalFormatting>
  <conditionalFormatting sqref="C31">
    <cfRule type="cellIs" dxfId="30055" priority="17001" stopIfTrue="1" operator="equal">
      <formula>"Towel"</formula>
    </cfRule>
    <cfRule type="cellIs" dxfId="30054" priority="17002" stopIfTrue="1" operator="equal">
      <formula>"Napkin Hs"</formula>
    </cfRule>
  </conditionalFormatting>
  <conditionalFormatting sqref="C31">
    <cfRule type="cellIs" dxfId="30053" priority="17003" stopIfTrue="1" operator="equal">
      <formula>"Towel"</formula>
    </cfRule>
    <cfRule type="cellIs" dxfId="30052" priority="17004" stopIfTrue="1" operator="equal">
      <formula>"Napkin Hs"</formula>
    </cfRule>
  </conditionalFormatting>
  <conditionalFormatting sqref="C31">
    <cfRule type="cellIs" dxfId="30051" priority="16995" stopIfTrue="1" operator="equal">
      <formula>"Towel"</formula>
    </cfRule>
    <cfRule type="cellIs" dxfId="30050" priority="16996" stopIfTrue="1" operator="equal">
      <formula>"Napkin Hs"</formula>
    </cfRule>
  </conditionalFormatting>
  <conditionalFormatting sqref="C31">
    <cfRule type="cellIs" dxfId="30049" priority="16993" stopIfTrue="1" operator="equal">
      <formula>"Towel"</formula>
    </cfRule>
    <cfRule type="cellIs" dxfId="30048" priority="16994" stopIfTrue="1" operator="equal">
      <formula>"Napkin Hs"</formula>
    </cfRule>
  </conditionalFormatting>
  <conditionalFormatting sqref="C31">
    <cfRule type="cellIs" dxfId="30047" priority="16991" stopIfTrue="1" operator="equal">
      <formula>"Towel"</formula>
    </cfRule>
    <cfRule type="cellIs" dxfId="30046" priority="16992" stopIfTrue="1" operator="equal">
      <formula>"Napkin Hs"</formula>
    </cfRule>
  </conditionalFormatting>
  <conditionalFormatting sqref="C31">
    <cfRule type="cellIs" dxfId="30045" priority="16989" stopIfTrue="1" operator="equal">
      <formula>"Towel"</formula>
    </cfRule>
    <cfRule type="cellIs" dxfId="30044" priority="16990" stopIfTrue="1" operator="equal">
      <formula>"Napkin Hs"</formula>
    </cfRule>
  </conditionalFormatting>
  <conditionalFormatting sqref="C31">
    <cfRule type="cellIs" dxfId="30043" priority="16987" stopIfTrue="1" operator="equal">
      <formula>"Towel"</formula>
    </cfRule>
    <cfRule type="cellIs" dxfId="30042" priority="16988" stopIfTrue="1" operator="equal">
      <formula>"Napkin Hs"</formula>
    </cfRule>
  </conditionalFormatting>
  <conditionalFormatting sqref="C31">
    <cfRule type="cellIs" dxfId="30041" priority="16985" stopIfTrue="1" operator="equal">
      <formula>"Towel"</formula>
    </cfRule>
    <cfRule type="cellIs" dxfId="30040" priority="16986" stopIfTrue="1" operator="equal">
      <formula>"Napkin Hs"</formula>
    </cfRule>
  </conditionalFormatting>
  <conditionalFormatting sqref="C31">
    <cfRule type="cellIs" dxfId="30039" priority="16983" stopIfTrue="1" operator="equal">
      <formula>"Towel"</formula>
    </cfRule>
    <cfRule type="cellIs" dxfId="30038" priority="16984" stopIfTrue="1" operator="equal">
      <formula>"Napkin Hs"</formula>
    </cfRule>
  </conditionalFormatting>
  <conditionalFormatting sqref="C31">
    <cfRule type="cellIs" dxfId="30037" priority="16981" stopIfTrue="1" operator="equal">
      <formula>"Towel"</formula>
    </cfRule>
    <cfRule type="cellIs" dxfId="30036" priority="16982" stopIfTrue="1" operator="equal">
      <formula>"Napkin Hs"</formula>
    </cfRule>
  </conditionalFormatting>
  <conditionalFormatting sqref="C31">
    <cfRule type="cellIs" dxfId="30035" priority="16979" stopIfTrue="1" operator="equal">
      <formula>"Towel"</formula>
    </cfRule>
    <cfRule type="cellIs" dxfId="30034" priority="16980" stopIfTrue="1" operator="equal">
      <formula>"Napkin Hs"</formula>
    </cfRule>
  </conditionalFormatting>
  <conditionalFormatting sqref="C31">
    <cfRule type="cellIs" dxfId="30033" priority="16977" stopIfTrue="1" operator="equal">
      <formula>"Towel"</formula>
    </cfRule>
    <cfRule type="cellIs" dxfId="30032" priority="16978" stopIfTrue="1" operator="equal">
      <formula>"Napkin Hs"</formula>
    </cfRule>
  </conditionalFormatting>
  <conditionalFormatting sqref="C31">
    <cfRule type="cellIs" dxfId="30031" priority="16971" stopIfTrue="1" operator="equal">
      <formula>"Towel"</formula>
    </cfRule>
    <cfRule type="cellIs" dxfId="30030" priority="16972" stopIfTrue="1" operator="equal">
      <formula>"Napkin Hs"</formula>
    </cfRule>
  </conditionalFormatting>
  <conditionalFormatting sqref="C31">
    <cfRule type="cellIs" dxfId="30029" priority="16965" stopIfTrue="1" operator="equal">
      <formula>"Towel"</formula>
    </cfRule>
    <cfRule type="cellIs" dxfId="30028" priority="16966" stopIfTrue="1" operator="equal">
      <formula>"Napkin Hs"</formula>
    </cfRule>
  </conditionalFormatting>
  <conditionalFormatting sqref="C31">
    <cfRule type="cellIs" dxfId="30027" priority="16964" stopIfTrue="1" operator="equal">
      <formula>"Napkin Hs"</formula>
    </cfRule>
  </conditionalFormatting>
  <conditionalFormatting sqref="C31">
    <cfRule type="cellIs" dxfId="30026" priority="16963" stopIfTrue="1" operator="equal">
      <formula>"Towel"</formula>
    </cfRule>
  </conditionalFormatting>
  <conditionalFormatting sqref="C31">
    <cfRule type="cellIs" dxfId="30025" priority="16962" stopIfTrue="1" operator="equal">
      <formula>"Napkin Hs"</formula>
    </cfRule>
  </conditionalFormatting>
  <conditionalFormatting sqref="C31">
    <cfRule type="cellIs" dxfId="30024" priority="16959" stopIfTrue="1" operator="equal">
      <formula>"Towel"</formula>
    </cfRule>
    <cfRule type="cellIs" dxfId="30023" priority="16960" stopIfTrue="1" operator="equal">
      <formula>"Napkin Hs"</formula>
    </cfRule>
  </conditionalFormatting>
  <conditionalFormatting sqref="C31">
    <cfRule type="cellIs" dxfId="30022" priority="16961" stopIfTrue="1" operator="equal">
      <formula>"Towel"</formula>
    </cfRule>
  </conditionalFormatting>
  <conditionalFormatting sqref="C31">
    <cfRule type="cellIs" dxfId="30021" priority="17079" stopIfTrue="1" operator="equal">
      <formula>"Towel"</formula>
    </cfRule>
    <cfRule type="cellIs" dxfId="30020" priority="17080" stopIfTrue="1" operator="equal">
      <formula>"Napkin Hs"</formula>
    </cfRule>
  </conditionalFormatting>
  <conditionalFormatting sqref="C31">
    <cfRule type="cellIs" dxfId="30019" priority="17078" stopIfTrue="1" operator="equal">
      <formula>"Napkin Hs"</formula>
    </cfRule>
  </conditionalFormatting>
  <conditionalFormatting sqref="C31">
    <cfRule type="cellIs" dxfId="30018" priority="17077" stopIfTrue="1" operator="equal">
      <formula>"Towel"</formula>
    </cfRule>
  </conditionalFormatting>
  <conditionalFormatting sqref="C31">
    <cfRule type="cellIs" dxfId="30017" priority="17076" stopIfTrue="1" operator="equal">
      <formula>"Napkin Hs"</formula>
    </cfRule>
  </conditionalFormatting>
  <conditionalFormatting sqref="C31">
    <cfRule type="cellIs" dxfId="30016" priority="17073" stopIfTrue="1" operator="equal">
      <formula>"Towel"</formula>
    </cfRule>
    <cfRule type="cellIs" dxfId="30015" priority="17074" stopIfTrue="1" operator="equal">
      <formula>"Napkin Hs"</formula>
    </cfRule>
  </conditionalFormatting>
  <conditionalFormatting sqref="C31">
    <cfRule type="cellIs" dxfId="30014" priority="17075" stopIfTrue="1" operator="equal">
      <formula>"Towel"</formula>
    </cfRule>
  </conditionalFormatting>
  <conditionalFormatting sqref="C31">
    <cfRule type="cellIs" dxfId="30013" priority="17083" stopIfTrue="1" operator="equal">
      <formula>"Towel"</formula>
    </cfRule>
    <cfRule type="cellIs" dxfId="30012" priority="17084" stopIfTrue="1" operator="equal">
      <formula>"Napkin Hs"</formula>
    </cfRule>
  </conditionalFormatting>
  <conditionalFormatting sqref="C31">
    <cfRule type="cellIs" dxfId="30011" priority="17081" stopIfTrue="1" operator="equal">
      <formula>"Towel"</formula>
    </cfRule>
    <cfRule type="cellIs" dxfId="30010" priority="17082" stopIfTrue="1" operator="equal">
      <formula>"Napkin Hs"</formula>
    </cfRule>
  </conditionalFormatting>
  <conditionalFormatting sqref="C31">
    <cfRule type="cellIs" dxfId="30009" priority="17053" stopIfTrue="1" operator="equal">
      <formula>"Towel"</formula>
    </cfRule>
    <cfRule type="cellIs" dxfId="30008" priority="17054" stopIfTrue="1" operator="equal">
      <formula>"Napkin Hs"</formula>
    </cfRule>
  </conditionalFormatting>
  <conditionalFormatting sqref="C31">
    <cfRule type="cellIs" dxfId="30007" priority="17051" stopIfTrue="1" operator="equal">
      <formula>"Towel"</formula>
    </cfRule>
    <cfRule type="cellIs" dxfId="30006" priority="17052" stopIfTrue="1" operator="equal">
      <formula>"Napkin Hs"</formula>
    </cfRule>
  </conditionalFormatting>
  <conditionalFormatting sqref="C31">
    <cfRule type="cellIs" dxfId="30005" priority="17030" stopIfTrue="1" operator="equal">
      <formula>"Napkin Hs"</formula>
    </cfRule>
  </conditionalFormatting>
  <conditionalFormatting sqref="C31">
    <cfRule type="cellIs" dxfId="30004" priority="17029" stopIfTrue="1" operator="equal">
      <formula>"Towel"</formula>
    </cfRule>
  </conditionalFormatting>
  <conditionalFormatting sqref="C31">
    <cfRule type="cellIs" dxfId="30003" priority="17028" stopIfTrue="1" operator="equal">
      <formula>"Napkin Hs"</formula>
    </cfRule>
  </conditionalFormatting>
  <conditionalFormatting sqref="C31">
    <cfRule type="cellIs" dxfId="30002" priority="17027" stopIfTrue="1" operator="equal">
      <formula>"Towel"</formula>
    </cfRule>
  </conditionalFormatting>
  <conditionalFormatting sqref="C31">
    <cfRule type="cellIs" dxfId="30001" priority="17024" stopIfTrue="1" operator="equal">
      <formula>"Napkin Hs"</formula>
    </cfRule>
  </conditionalFormatting>
  <conditionalFormatting sqref="C31">
    <cfRule type="cellIs" dxfId="30000" priority="17023" stopIfTrue="1" operator="equal">
      <formula>"Towel"</formula>
    </cfRule>
  </conditionalFormatting>
  <conditionalFormatting sqref="C31">
    <cfRule type="cellIs" dxfId="29999" priority="17022" stopIfTrue="1" operator="equal">
      <formula>"Napkin Hs"</formula>
    </cfRule>
  </conditionalFormatting>
  <conditionalFormatting sqref="C31">
    <cfRule type="cellIs" dxfId="29998" priority="17021" stopIfTrue="1" operator="equal">
      <formula>"Towel"</formula>
    </cfRule>
  </conditionalFormatting>
  <conditionalFormatting sqref="C31">
    <cfRule type="cellIs" dxfId="29997" priority="17017" stopIfTrue="1" operator="equal">
      <formula>"Towel"</formula>
    </cfRule>
    <cfRule type="cellIs" dxfId="29996" priority="17018" stopIfTrue="1" operator="equal">
      <formula>"Napkin Hs"</formula>
    </cfRule>
  </conditionalFormatting>
  <conditionalFormatting sqref="C31">
    <cfRule type="cellIs" dxfId="29995" priority="17015" stopIfTrue="1" operator="equal">
      <formula>"Towel"</formula>
    </cfRule>
    <cfRule type="cellIs" dxfId="29994" priority="17016" stopIfTrue="1" operator="equal">
      <formula>"Napkin Hs"</formula>
    </cfRule>
  </conditionalFormatting>
  <conditionalFormatting sqref="C31">
    <cfRule type="cellIs" dxfId="29993" priority="16999" stopIfTrue="1" operator="equal">
      <formula>"Towel"</formula>
    </cfRule>
    <cfRule type="cellIs" dxfId="29992" priority="17000" stopIfTrue="1" operator="equal">
      <formula>"Napkin Hs"</formula>
    </cfRule>
  </conditionalFormatting>
  <conditionalFormatting sqref="C31">
    <cfRule type="cellIs" dxfId="29991" priority="16997" stopIfTrue="1" operator="equal">
      <formula>"Towel"</formula>
    </cfRule>
    <cfRule type="cellIs" dxfId="29990" priority="16998" stopIfTrue="1" operator="equal">
      <formula>"Napkin Hs"</formula>
    </cfRule>
  </conditionalFormatting>
  <conditionalFormatting sqref="C31">
    <cfRule type="cellIs" dxfId="29989" priority="16976" stopIfTrue="1" operator="equal">
      <formula>"Napkin Hs"</formula>
    </cfRule>
  </conditionalFormatting>
  <conditionalFormatting sqref="C31">
    <cfRule type="cellIs" dxfId="29988" priority="16975" stopIfTrue="1" operator="equal">
      <formula>"Towel"</formula>
    </cfRule>
  </conditionalFormatting>
  <conditionalFormatting sqref="C31">
    <cfRule type="cellIs" dxfId="29987" priority="16974" stopIfTrue="1" operator="equal">
      <formula>"Napkin Hs"</formula>
    </cfRule>
  </conditionalFormatting>
  <conditionalFormatting sqref="C31">
    <cfRule type="cellIs" dxfId="29986" priority="16973" stopIfTrue="1" operator="equal">
      <formula>"Towel"</formula>
    </cfRule>
  </conditionalFormatting>
  <conditionalFormatting sqref="C31">
    <cfRule type="cellIs" dxfId="29985" priority="16970" stopIfTrue="1" operator="equal">
      <formula>"Napkin Hs"</formula>
    </cfRule>
  </conditionalFormatting>
  <conditionalFormatting sqref="C31">
    <cfRule type="cellIs" dxfId="29984" priority="16969" stopIfTrue="1" operator="equal">
      <formula>"Towel"</formula>
    </cfRule>
  </conditionalFormatting>
  <conditionalFormatting sqref="C31">
    <cfRule type="cellIs" dxfId="29983" priority="16968" stopIfTrue="1" operator="equal">
      <formula>"Napkin Hs"</formula>
    </cfRule>
  </conditionalFormatting>
  <conditionalFormatting sqref="C31">
    <cfRule type="cellIs" dxfId="29982" priority="16967" stopIfTrue="1" operator="equal">
      <formula>"Towel"</formula>
    </cfRule>
  </conditionalFormatting>
  <conditionalFormatting sqref="C31">
    <cfRule type="cellIs" dxfId="29981" priority="16958" stopIfTrue="1" operator="equal">
      <formula>"Napkin Hs"</formula>
    </cfRule>
  </conditionalFormatting>
  <conditionalFormatting sqref="C31">
    <cfRule type="cellIs" dxfId="29980" priority="16957" stopIfTrue="1" operator="equal">
      <formula>"Towel"</formula>
    </cfRule>
  </conditionalFormatting>
  <conditionalFormatting sqref="C31">
    <cfRule type="cellIs" dxfId="29979" priority="16956" stopIfTrue="1" operator="equal">
      <formula>"Napkin Hs"</formula>
    </cfRule>
  </conditionalFormatting>
  <conditionalFormatting sqref="C31">
    <cfRule type="cellIs" dxfId="29978" priority="16953" stopIfTrue="1" operator="equal">
      <formula>"Towel"</formula>
    </cfRule>
    <cfRule type="cellIs" dxfId="29977" priority="16954" stopIfTrue="1" operator="equal">
      <formula>"Napkin Hs"</formula>
    </cfRule>
  </conditionalFormatting>
  <conditionalFormatting sqref="C31">
    <cfRule type="cellIs" dxfId="29976" priority="16955" stopIfTrue="1" operator="equal">
      <formula>"Towel"</formula>
    </cfRule>
  </conditionalFormatting>
  <conditionalFormatting sqref="C29">
    <cfRule type="cellIs" dxfId="29975" priority="16939" stopIfTrue="1" operator="equal">
      <formula>"Towel"</formula>
    </cfRule>
    <cfRule type="cellIs" dxfId="29974" priority="16940" stopIfTrue="1" operator="equal">
      <formula>"Napkin Hs"</formula>
    </cfRule>
  </conditionalFormatting>
  <conditionalFormatting sqref="C29">
    <cfRule type="cellIs" dxfId="29973" priority="16937" stopIfTrue="1" operator="equal">
      <formula>"Towel"</formula>
    </cfRule>
    <cfRule type="cellIs" dxfId="29972" priority="16938" stopIfTrue="1" operator="equal">
      <formula>"Napkin Hs"</formula>
    </cfRule>
  </conditionalFormatting>
  <conditionalFormatting sqref="C29">
    <cfRule type="cellIs" dxfId="29971" priority="16935" stopIfTrue="1" operator="equal">
      <formula>"Towel"</formula>
    </cfRule>
    <cfRule type="cellIs" dxfId="29970" priority="16936" stopIfTrue="1" operator="equal">
      <formula>"Napkin Hs"</formula>
    </cfRule>
  </conditionalFormatting>
  <conditionalFormatting sqref="C29">
    <cfRule type="cellIs" dxfId="29969" priority="16934" stopIfTrue="1" operator="equal">
      <formula>"Napkin Hs"</formula>
    </cfRule>
  </conditionalFormatting>
  <conditionalFormatting sqref="C29">
    <cfRule type="cellIs" dxfId="29968" priority="16933" stopIfTrue="1" operator="equal">
      <formula>"Towel"</formula>
    </cfRule>
  </conditionalFormatting>
  <conditionalFormatting sqref="C29">
    <cfRule type="cellIs" dxfId="29967" priority="16932" stopIfTrue="1" operator="equal">
      <formula>"Napkin Hs"</formula>
    </cfRule>
  </conditionalFormatting>
  <conditionalFormatting sqref="C29">
    <cfRule type="cellIs" dxfId="29966" priority="16931" stopIfTrue="1" operator="equal">
      <formula>"Towel"</formula>
    </cfRule>
  </conditionalFormatting>
  <conditionalFormatting sqref="C29">
    <cfRule type="cellIs" dxfId="29965" priority="16929" stopIfTrue="1" operator="equal">
      <formula>"Towel"</formula>
    </cfRule>
    <cfRule type="cellIs" dxfId="29964" priority="16930" stopIfTrue="1" operator="equal">
      <formula>"Napkin Hs"</formula>
    </cfRule>
  </conditionalFormatting>
  <conditionalFormatting sqref="C29">
    <cfRule type="cellIs" dxfId="29963" priority="16927" stopIfTrue="1" operator="equal">
      <formula>"Towel"</formula>
    </cfRule>
    <cfRule type="cellIs" dxfId="29962" priority="16928" stopIfTrue="1" operator="equal">
      <formula>"Napkin Hs"</formula>
    </cfRule>
  </conditionalFormatting>
  <conditionalFormatting sqref="C29">
    <cfRule type="cellIs" dxfId="29961" priority="16923" stopIfTrue="1" operator="equal">
      <formula>"Towel"</formula>
    </cfRule>
    <cfRule type="cellIs" dxfId="29960" priority="16924" stopIfTrue="1" operator="equal">
      <formula>"Napkin Hs"</formula>
    </cfRule>
  </conditionalFormatting>
  <conditionalFormatting sqref="C29">
    <cfRule type="cellIs" dxfId="29959" priority="16925" stopIfTrue="1" operator="equal">
      <formula>"Towel"</formula>
    </cfRule>
    <cfRule type="cellIs" dxfId="29958" priority="16926" stopIfTrue="1" operator="equal">
      <formula>"Napkin Hs"</formula>
    </cfRule>
  </conditionalFormatting>
  <conditionalFormatting sqref="C29">
    <cfRule type="cellIs" dxfId="29957" priority="16917" stopIfTrue="1" operator="equal">
      <formula>"Towel"</formula>
    </cfRule>
    <cfRule type="cellIs" dxfId="29956" priority="16918" stopIfTrue="1" operator="equal">
      <formula>"Napkin Hs"</formula>
    </cfRule>
  </conditionalFormatting>
  <conditionalFormatting sqref="C29">
    <cfRule type="cellIs" dxfId="29955" priority="16915" stopIfTrue="1" operator="equal">
      <formula>"Towel"</formula>
    </cfRule>
    <cfRule type="cellIs" dxfId="29954" priority="16916" stopIfTrue="1" operator="equal">
      <formula>"Napkin Hs"</formula>
    </cfRule>
  </conditionalFormatting>
  <conditionalFormatting sqref="C29">
    <cfRule type="cellIs" dxfId="29953" priority="16913" stopIfTrue="1" operator="equal">
      <formula>"Towel"</formula>
    </cfRule>
    <cfRule type="cellIs" dxfId="29952" priority="16914" stopIfTrue="1" operator="equal">
      <formula>"Napkin Hs"</formula>
    </cfRule>
  </conditionalFormatting>
  <conditionalFormatting sqref="C29">
    <cfRule type="cellIs" dxfId="29951" priority="16911" stopIfTrue="1" operator="equal">
      <formula>"Towel"</formula>
    </cfRule>
    <cfRule type="cellIs" dxfId="29950" priority="16912" stopIfTrue="1" operator="equal">
      <formula>"Napkin Hs"</formula>
    </cfRule>
  </conditionalFormatting>
  <conditionalFormatting sqref="C29">
    <cfRule type="cellIs" dxfId="29949" priority="16909" stopIfTrue="1" operator="equal">
      <formula>"Towel"</formula>
    </cfRule>
    <cfRule type="cellIs" dxfId="29948" priority="16910" stopIfTrue="1" operator="equal">
      <formula>"Napkin Hs"</formula>
    </cfRule>
  </conditionalFormatting>
  <conditionalFormatting sqref="C29">
    <cfRule type="cellIs" dxfId="29947" priority="16907" stopIfTrue="1" operator="equal">
      <formula>"Towel"</formula>
    </cfRule>
    <cfRule type="cellIs" dxfId="29946" priority="16908" stopIfTrue="1" operator="equal">
      <formula>"Napkin Hs"</formula>
    </cfRule>
  </conditionalFormatting>
  <conditionalFormatting sqref="C29">
    <cfRule type="cellIs" dxfId="29945" priority="16905" stopIfTrue="1" operator="equal">
      <formula>"Towel"</formula>
    </cfRule>
    <cfRule type="cellIs" dxfId="29944" priority="16906" stopIfTrue="1" operator="equal">
      <formula>"Napkin Hs"</formula>
    </cfRule>
  </conditionalFormatting>
  <conditionalFormatting sqref="C29">
    <cfRule type="cellIs" dxfId="29943" priority="16903" stopIfTrue="1" operator="equal">
      <formula>"Towel"</formula>
    </cfRule>
    <cfRule type="cellIs" dxfId="29942" priority="16904" stopIfTrue="1" operator="equal">
      <formula>"Napkin Hs"</formula>
    </cfRule>
  </conditionalFormatting>
  <conditionalFormatting sqref="C29">
    <cfRule type="cellIs" dxfId="29941" priority="16901" stopIfTrue="1" operator="equal">
      <formula>"Towel"</formula>
    </cfRule>
    <cfRule type="cellIs" dxfId="29940" priority="16902" stopIfTrue="1" operator="equal">
      <formula>"Napkin Hs"</formula>
    </cfRule>
  </conditionalFormatting>
  <conditionalFormatting sqref="C29">
    <cfRule type="cellIs" dxfId="29939" priority="16899" stopIfTrue="1" operator="equal">
      <formula>"Towel"</formula>
    </cfRule>
    <cfRule type="cellIs" dxfId="29938" priority="16900" stopIfTrue="1" operator="equal">
      <formula>"Napkin Hs"</formula>
    </cfRule>
  </conditionalFormatting>
  <conditionalFormatting sqref="C29">
    <cfRule type="cellIs" dxfId="29937" priority="16893" stopIfTrue="1" operator="equal">
      <formula>"Towel"</formula>
    </cfRule>
    <cfRule type="cellIs" dxfId="29936" priority="16894" stopIfTrue="1" operator="equal">
      <formula>"Napkin Hs"</formula>
    </cfRule>
  </conditionalFormatting>
  <conditionalFormatting sqref="C29">
    <cfRule type="cellIs" dxfId="29935" priority="16887" stopIfTrue="1" operator="equal">
      <formula>"Towel"</formula>
    </cfRule>
    <cfRule type="cellIs" dxfId="29934" priority="16888" stopIfTrue="1" operator="equal">
      <formula>"Napkin Hs"</formula>
    </cfRule>
  </conditionalFormatting>
  <conditionalFormatting sqref="C29">
    <cfRule type="cellIs" dxfId="29933" priority="16881" stopIfTrue="1" operator="equal">
      <formula>"Towel"</formula>
    </cfRule>
    <cfRule type="cellIs" dxfId="29932" priority="16882" stopIfTrue="1" operator="equal">
      <formula>"Napkin Hs"</formula>
    </cfRule>
  </conditionalFormatting>
  <conditionalFormatting sqref="C29">
    <cfRule type="cellIs" dxfId="29931" priority="16880" stopIfTrue="1" operator="equal">
      <formula>"Napkin Hs"</formula>
    </cfRule>
  </conditionalFormatting>
  <conditionalFormatting sqref="C29">
    <cfRule type="cellIs" dxfId="29930" priority="16879" stopIfTrue="1" operator="equal">
      <formula>"Towel"</formula>
    </cfRule>
  </conditionalFormatting>
  <conditionalFormatting sqref="C29">
    <cfRule type="cellIs" dxfId="29929" priority="16878" stopIfTrue="1" operator="equal">
      <formula>"Napkin Hs"</formula>
    </cfRule>
  </conditionalFormatting>
  <conditionalFormatting sqref="C29">
    <cfRule type="cellIs" dxfId="29928" priority="16877" stopIfTrue="1" operator="equal">
      <formula>"Towel"</formula>
    </cfRule>
  </conditionalFormatting>
  <conditionalFormatting sqref="C29">
    <cfRule type="cellIs" dxfId="29927" priority="16875" stopIfTrue="1" operator="equal">
      <formula>"Towel"</formula>
    </cfRule>
    <cfRule type="cellIs" dxfId="29926" priority="16876" stopIfTrue="1" operator="equal">
      <formula>"Napkin Hs"</formula>
    </cfRule>
  </conditionalFormatting>
  <conditionalFormatting sqref="C29">
    <cfRule type="cellIs" dxfId="29925" priority="16873" stopIfTrue="1" operator="equal">
      <formula>"Towel"</formula>
    </cfRule>
    <cfRule type="cellIs" dxfId="29924" priority="16874" stopIfTrue="1" operator="equal">
      <formula>"Napkin Hs"</formula>
    </cfRule>
  </conditionalFormatting>
  <conditionalFormatting sqref="C29">
    <cfRule type="cellIs" dxfId="29923" priority="16869" stopIfTrue="1" operator="equal">
      <formula>"Towel"</formula>
    </cfRule>
    <cfRule type="cellIs" dxfId="29922" priority="16870" stopIfTrue="1" operator="equal">
      <formula>"Napkin Hs"</formula>
    </cfRule>
  </conditionalFormatting>
  <conditionalFormatting sqref="C29">
    <cfRule type="cellIs" dxfId="29921" priority="16871" stopIfTrue="1" operator="equal">
      <formula>"Towel"</formula>
    </cfRule>
    <cfRule type="cellIs" dxfId="29920" priority="16872" stopIfTrue="1" operator="equal">
      <formula>"Napkin Hs"</formula>
    </cfRule>
  </conditionalFormatting>
  <conditionalFormatting sqref="C29">
    <cfRule type="cellIs" dxfId="29919" priority="16863" stopIfTrue="1" operator="equal">
      <formula>"Towel"</formula>
    </cfRule>
    <cfRule type="cellIs" dxfId="29918" priority="16864" stopIfTrue="1" operator="equal">
      <formula>"Napkin Hs"</formula>
    </cfRule>
  </conditionalFormatting>
  <conditionalFormatting sqref="C29">
    <cfRule type="cellIs" dxfId="29917" priority="16861" stopIfTrue="1" operator="equal">
      <formula>"Towel"</formula>
    </cfRule>
    <cfRule type="cellIs" dxfId="29916" priority="16862" stopIfTrue="1" operator="equal">
      <formula>"Napkin Hs"</formula>
    </cfRule>
  </conditionalFormatting>
  <conditionalFormatting sqref="C29">
    <cfRule type="cellIs" dxfId="29915" priority="16859" stopIfTrue="1" operator="equal">
      <formula>"Towel"</formula>
    </cfRule>
    <cfRule type="cellIs" dxfId="29914" priority="16860" stopIfTrue="1" operator="equal">
      <formula>"Napkin Hs"</formula>
    </cfRule>
  </conditionalFormatting>
  <conditionalFormatting sqref="C29">
    <cfRule type="cellIs" dxfId="29913" priority="16857" stopIfTrue="1" operator="equal">
      <formula>"Towel"</formula>
    </cfRule>
    <cfRule type="cellIs" dxfId="29912" priority="16858" stopIfTrue="1" operator="equal">
      <formula>"Napkin Hs"</formula>
    </cfRule>
  </conditionalFormatting>
  <conditionalFormatting sqref="C29">
    <cfRule type="cellIs" dxfId="29911" priority="16855" stopIfTrue="1" operator="equal">
      <formula>"Towel"</formula>
    </cfRule>
    <cfRule type="cellIs" dxfId="29910" priority="16856" stopIfTrue="1" operator="equal">
      <formula>"Napkin Hs"</formula>
    </cfRule>
  </conditionalFormatting>
  <conditionalFormatting sqref="C29">
    <cfRule type="cellIs" dxfId="29909" priority="16853" stopIfTrue="1" operator="equal">
      <formula>"Towel"</formula>
    </cfRule>
    <cfRule type="cellIs" dxfId="29908" priority="16854" stopIfTrue="1" operator="equal">
      <formula>"Napkin Hs"</formula>
    </cfRule>
  </conditionalFormatting>
  <conditionalFormatting sqref="C29">
    <cfRule type="cellIs" dxfId="29907" priority="16851" stopIfTrue="1" operator="equal">
      <formula>"Towel"</formula>
    </cfRule>
    <cfRule type="cellIs" dxfId="29906" priority="16852" stopIfTrue="1" operator="equal">
      <formula>"Napkin Hs"</formula>
    </cfRule>
  </conditionalFormatting>
  <conditionalFormatting sqref="C29">
    <cfRule type="cellIs" dxfId="29905" priority="16849" stopIfTrue="1" operator="equal">
      <formula>"Towel"</formula>
    </cfRule>
    <cfRule type="cellIs" dxfId="29904" priority="16850" stopIfTrue="1" operator="equal">
      <formula>"Napkin Hs"</formula>
    </cfRule>
  </conditionalFormatting>
  <conditionalFormatting sqref="C29">
    <cfRule type="cellIs" dxfId="29903" priority="16847" stopIfTrue="1" operator="equal">
      <formula>"Towel"</formula>
    </cfRule>
    <cfRule type="cellIs" dxfId="29902" priority="16848" stopIfTrue="1" operator="equal">
      <formula>"Napkin Hs"</formula>
    </cfRule>
  </conditionalFormatting>
  <conditionalFormatting sqref="C29">
    <cfRule type="cellIs" dxfId="29901" priority="16845" stopIfTrue="1" operator="equal">
      <formula>"Towel"</formula>
    </cfRule>
    <cfRule type="cellIs" dxfId="29900" priority="16846" stopIfTrue="1" operator="equal">
      <formula>"Napkin Hs"</formula>
    </cfRule>
  </conditionalFormatting>
  <conditionalFormatting sqref="C29">
    <cfRule type="cellIs" dxfId="29899" priority="16839" stopIfTrue="1" operator="equal">
      <formula>"Towel"</formula>
    </cfRule>
    <cfRule type="cellIs" dxfId="29898" priority="16840" stopIfTrue="1" operator="equal">
      <formula>"Napkin Hs"</formula>
    </cfRule>
  </conditionalFormatting>
  <conditionalFormatting sqref="C29">
    <cfRule type="cellIs" dxfId="29897" priority="16833" stopIfTrue="1" operator="equal">
      <formula>"Towel"</formula>
    </cfRule>
    <cfRule type="cellIs" dxfId="29896" priority="16834" stopIfTrue="1" operator="equal">
      <formula>"Napkin Hs"</formula>
    </cfRule>
  </conditionalFormatting>
  <conditionalFormatting sqref="C29">
    <cfRule type="cellIs" dxfId="29895" priority="16832" stopIfTrue="1" operator="equal">
      <formula>"Napkin Hs"</formula>
    </cfRule>
  </conditionalFormatting>
  <conditionalFormatting sqref="C29">
    <cfRule type="cellIs" dxfId="29894" priority="16831" stopIfTrue="1" operator="equal">
      <formula>"Towel"</formula>
    </cfRule>
  </conditionalFormatting>
  <conditionalFormatting sqref="C29">
    <cfRule type="cellIs" dxfId="29893" priority="16830" stopIfTrue="1" operator="equal">
      <formula>"Napkin Hs"</formula>
    </cfRule>
  </conditionalFormatting>
  <conditionalFormatting sqref="C29">
    <cfRule type="cellIs" dxfId="29892" priority="16827" stopIfTrue="1" operator="equal">
      <formula>"Towel"</formula>
    </cfRule>
    <cfRule type="cellIs" dxfId="29891" priority="16828" stopIfTrue="1" operator="equal">
      <formula>"Napkin Hs"</formula>
    </cfRule>
  </conditionalFormatting>
  <conditionalFormatting sqref="C29">
    <cfRule type="cellIs" dxfId="29890" priority="16829" stopIfTrue="1" operator="equal">
      <formula>"Towel"</formula>
    </cfRule>
  </conditionalFormatting>
  <conditionalFormatting sqref="C29">
    <cfRule type="cellIs" dxfId="29889" priority="16947" stopIfTrue="1" operator="equal">
      <formula>"Towel"</formula>
    </cfRule>
    <cfRule type="cellIs" dxfId="29888" priority="16948" stopIfTrue="1" operator="equal">
      <formula>"Napkin Hs"</formula>
    </cfRule>
  </conditionalFormatting>
  <conditionalFormatting sqref="C29">
    <cfRule type="cellIs" dxfId="29887" priority="16946" stopIfTrue="1" operator="equal">
      <formula>"Napkin Hs"</formula>
    </cfRule>
  </conditionalFormatting>
  <conditionalFormatting sqref="C29">
    <cfRule type="cellIs" dxfId="29886" priority="16945" stopIfTrue="1" operator="equal">
      <formula>"Towel"</formula>
    </cfRule>
  </conditionalFormatting>
  <conditionalFormatting sqref="C29">
    <cfRule type="cellIs" dxfId="29885" priority="16944" stopIfTrue="1" operator="equal">
      <formula>"Napkin Hs"</formula>
    </cfRule>
  </conditionalFormatting>
  <conditionalFormatting sqref="C29">
    <cfRule type="cellIs" dxfId="29884" priority="16941" stopIfTrue="1" operator="equal">
      <formula>"Towel"</formula>
    </cfRule>
    <cfRule type="cellIs" dxfId="29883" priority="16942" stopIfTrue="1" operator="equal">
      <formula>"Napkin Hs"</formula>
    </cfRule>
  </conditionalFormatting>
  <conditionalFormatting sqref="C29">
    <cfRule type="cellIs" dxfId="29882" priority="16943" stopIfTrue="1" operator="equal">
      <formula>"Towel"</formula>
    </cfRule>
  </conditionalFormatting>
  <conditionalFormatting sqref="C29">
    <cfRule type="cellIs" dxfId="29881" priority="16951" stopIfTrue="1" operator="equal">
      <formula>"Towel"</formula>
    </cfRule>
    <cfRule type="cellIs" dxfId="29880" priority="16952" stopIfTrue="1" operator="equal">
      <formula>"Napkin Hs"</formula>
    </cfRule>
  </conditionalFormatting>
  <conditionalFormatting sqref="C29">
    <cfRule type="cellIs" dxfId="29879" priority="16949" stopIfTrue="1" operator="equal">
      <formula>"Towel"</formula>
    </cfRule>
    <cfRule type="cellIs" dxfId="29878" priority="16950" stopIfTrue="1" operator="equal">
      <formula>"Napkin Hs"</formula>
    </cfRule>
  </conditionalFormatting>
  <conditionalFormatting sqref="C29">
    <cfRule type="cellIs" dxfId="29877" priority="16921" stopIfTrue="1" operator="equal">
      <formula>"Towel"</formula>
    </cfRule>
    <cfRule type="cellIs" dxfId="29876" priority="16922" stopIfTrue="1" operator="equal">
      <formula>"Napkin Hs"</formula>
    </cfRule>
  </conditionalFormatting>
  <conditionalFormatting sqref="C29">
    <cfRule type="cellIs" dxfId="29875" priority="16919" stopIfTrue="1" operator="equal">
      <formula>"Towel"</formula>
    </cfRule>
    <cfRule type="cellIs" dxfId="29874" priority="16920" stopIfTrue="1" operator="equal">
      <formula>"Napkin Hs"</formula>
    </cfRule>
  </conditionalFormatting>
  <conditionalFormatting sqref="C29">
    <cfRule type="cellIs" dxfId="29873" priority="16898" stopIfTrue="1" operator="equal">
      <formula>"Napkin Hs"</formula>
    </cfRule>
  </conditionalFormatting>
  <conditionalFormatting sqref="C29">
    <cfRule type="cellIs" dxfId="29872" priority="16897" stopIfTrue="1" operator="equal">
      <formula>"Towel"</formula>
    </cfRule>
  </conditionalFormatting>
  <conditionalFormatting sqref="C29">
    <cfRule type="cellIs" dxfId="29871" priority="16896" stopIfTrue="1" operator="equal">
      <formula>"Napkin Hs"</formula>
    </cfRule>
  </conditionalFormatting>
  <conditionalFormatting sqref="C29">
    <cfRule type="cellIs" dxfId="29870" priority="16895" stopIfTrue="1" operator="equal">
      <formula>"Towel"</formula>
    </cfRule>
  </conditionalFormatting>
  <conditionalFormatting sqref="C29">
    <cfRule type="cellIs" dxfId="29869" priority="16892" stopIfTrue="1" operator="equal">
      <formula>"Napkin Hs"</formula>
    </cfRule>
  </conditionalFormatting>
  <conditionalFormatting sqref="C29">
    <cfRule type="cellIs" dxfId="29868" priority="16891" stopIfTrue="1" operator="equal">
      <formula>"Towel"</formula>
    </cfRule>
  </conditionalFormatting>
  <conditionalFormatting sqref="C29">
    <cfRule type="cellIs" dxfId="29867" priority="16890" stopIfTrue="1" operator="equal">
      <formula>"Napkin Hs"</formula>
    </cfRule>
  </conditionalFormatting>
  <conditionalFormatting sqref="C29">
    <cfRule type="cellIs" dxfId="29866" priority="16889" stopIfTrue="1" operator="equal">
      <formula>"Towel"</formula>
    </cfRule>
  </conditionalFormatting>
  <conditionalFormatting sqref="C29">
    <cfRule type="cellIs" dxfId="29865" priority="16885" stopIfTrue="1" operator="equal">
      <formula>"Towel"</formula>
    </cfRule>
    <cfRule type="cellIs" dxfId="29864" priority="16886" stopIfTrue="1" operator="equal">
      <formula>"Napkin Hs"</formula>
    </cfRule>
  </conditionalFormatting>
  <conditionalFormatting sqref="C29">
    <cfRule type="cellIs" dxfId="29863" priority="16883" stopIfTrue="1" operator="equal">
      <formula>"Towel"</formula>
    </cfRule>
    <cfRule type="cellIs" dxfId="29862" priority="16884" stopIfTrue="1" operator="equal">
      <formula>"Napkin Hs"</formula>
    </cfRule>
  </conditionalFormatting>
  <conditionalFormatting sqref="C29">
    <cfRule type="cellIs" dxfId="29861" priority="16867" stopIfTrue="1" operator="equal">
      <formula>"Towel"</formula>
    </cfRule>
    <cfRule type="cellIs" dxfId="29860" priority="16868" stopIfTrue="1" operator="equal">
      <formula>"Napkin Hs"</formula>
    </cfRule>
  </conditionalFormatting>
  <conditionalFormatting sqref="C29">
    <cfRule type="cellIs" dxfId="29859" priority="16865" stopIfTrue="1" operator="equal">
      <formula>"Towel"</formula>
    </cfRule>
    <cfRule type="cellIs" dxfId="29858" priority="16866" stopIfTrue="1" operator="equal">
      <formula>"Napkin Hs"</formula>
    </cfRule>
  </conditionalFormatting>
  <conditionalFormatting sqref="C29">
    <cfRule type="cellIs" dxfId="29857" priority="16844" stopIfTrue="1" operator="equal">
      <formula>"Napkin Hs"</formula>
    </cfRule>
  </conditionalFormatting>
  <conditionalFormatting sqref="C29">
    <cfRule type="cellIs" dxfId="29856" priority="16843" stopIfTrue="1" operator="equal">
      <formula>"Towel"</formula>
    </cfRule>
  </conditionalFormatting>
  <conditionalFormatting sqref="C29">
    <cfRule type="cellIs" dxfId="29855" priority="16842" stopIfTrue="1" operator="equal">
      <formula>"Napkin Hs"</formula>
    </cfRule>
  </conditionalFormatting>
  <conditionalFormatting sqref="C29">
    <cfRule type="cellIs" dxfId="29854" priority="16841" stopIfTrue="1" operator="equal">
      <formula>"Towel"</formula>
    </cfRule>
  </conditionalFormatting>
  <conditionalFormatting sqref="C29">
    <cfRule type="cellIs" dxfId="29853" priority="16838" stopIfTrue="1" operator="equal">
      <formula>"Napkin Hs"</formula>
    </cfRule>
  </conditionalFormatting>
  <conditionalFormatting sqref="C29">
    <cfRule type="cellIs" dxfId="29852" priority="16837" stopIfTrue="1" operator="equal">
      <formula>"Towel"</formula>
    </cfRule>
  </conditionalFormatting>
  <conditionalFormatting sqref="C29">
    <cfRule type="cellIs" dxfId="29851" priority="16836" stopIfTrue="1" operator="equal">
      <formula>"Napkin Hs"</formula>
    </cfRule>
  </conditionalFormatting>
  <conditionalFormatting sqref="C29">
    <cfRule type="cellIs" dxfId="29850" priority="16835" stopIfTrue="1" operator="equal">
      <formula>"Towel"</formula>
    </cfRule>
  </conditionalFormatting>
  <conditionalFormatting sqref="B29:C29">
    <cfRule type="cellIs" dxfId="29849" priority="16826" stopIfTrue="1" operator="equal">
      <formula>"Napkin Hs"</formula>
    </cfRule>
  </conditionalFormatting>
  <conditionalFormatting sqref="B29:C29">
    <cfRule type="cellIs" dxfId="29848" priority="16825" stopIfTrue="1" operator="equal">
      <formula>"Towel"</formula>
    </cfRule>
  </conditionalFormatting>
  <conditionalFormatting sqref="C29">
    <cfRule type="cellIs" dxfId="29847" priority="16824" stopIfTrue="1" operator="equal">
      <formula>"Napkin Hs"</formula>
    </cfRule>
  </conditionalFormatting>
  <conditionalFormatting sqref="C29">
    <cfRule type="cellIs" dxfId="29846" priority="16821" stopIfTrue="1" operator="equal">
      <formula>"Towel"</formula>
    </cfRule>
    <cfRule type="cellIs" dxfId="29845" priority="16822" stopIfTrue="1" operator="equal">
      <formula>"Napkin Hs"</formula>
    </cfRule>
  </conditionalFormatting>
  <conditionalFormatting sqref="C29">
    <cfRule type="cellIs" dxfId="29844" priority="16823" stopIfTrue="1" operator="equal">
      <formula>"Towel"</formula>
    </cfRule>
  </conditionalFormatting>
  <conditionalFormatting sqref="C33">
    <cfRule type="cellIs" dxfId="29843" priority="16531" stopIfTrue="1" operator="equal">
      <formula>"Towel"</formula>
    </cfRule>
    <cfRule type="cellIs" dxfId="29842" priority="16532" stopIfTrue="1" operator="equal">
      <formula>"Napkin Hs"</formula>
    </cfRule>
  </conditionalFormatting>
  <conditionalFormatting sqref="C33">
    <cfRule type="cellIs" dxfId="29841" priority="16529" stopIfTrue="1" operator="equal">
      <formula>"Towel"</formula>
    </cfRule>
    <cfRule type="cellIs" dxfId="29840" priority="16530" stopIfTrue="1" operator="equal">
      <formula>"Napkin Hs"</formula>
    </cfRule>
  </conditionalFormatting>
  <conditionalFormatting sqref="C33">
    <cfRule type="cellIs" dxfId="29839" priority="16527" stopIfTrue="1" operator="equal">
      <formula>"Towel"</formula>
    </cfRule>
    <cfRule type="cellIs" dxfId="29838" priority="16528" stopIfTrue="1" operator="equal">
      <formula>"Napkin Hs"</formula>
    </cfRule>
  </conditionalFormatting>
  <conditionalFormatting sqref="C33">
    <cfRule type="cellIs" dxfId="29837" priority="16526" stopIfTrue="1" operator="equal">
      <formula>"Napkin Hs"</formula>
    </cfRule>
  </conditionalFormatting>
  <conditionalFormatting sqref="C33">
    <cfRule type="cellIs" dxfId="29836" priority="16525" stopIfTrue="1" operator="equal">
      <formula>"Towel"</formula>
    </cfRule>
  </conditionalFormatting>
  <conditionalFormatting sqref="C33">
    <cfRule type="cellIs" dxfId="29835" priority="16524" stopIfTrue="1" operator="equal">
      <formula>"Napkin Hs"</formula>
    </cfRule>
  </conditionalFormatting>
  <conditionalFormatting sqref="C33">
    <cfRule type="cellIs" dxfId="29834" priority="16523" stopIfTrue="1" operator="equal">
      <formula>"Towel"</formula>
    </cfRule>
  </conditionalFormatting>
  <conditionalFormatting sqref="C33">
    <cfRule type="cellIs" dxfId="29833" priority="16521" stopIfTrue="1" operator="equal">
      <formula>"Towel"</formula>
    </cfRule>
    <cfRule type="cellIs" dxfId="29832" priority="16522" stopIfTrue="1" operator="equal">
      <formula>"Napkin Hs"</formula>
    </cfRule>
  </conditionalFormatting>
  <conditionalFormatting sqref="C33">
    <cfRule type="cellIs" dxfId="29831" priority="16519" stopIfTrue="1" operator="equal">
      <formula>"Towel"</formula>
    </cfRule>
    <cfRule type="cellIs" dxfId="29830" priority="16520" stopIfTrue="1" operator="equal">
      <formula>"Napkin Hs"</formula>
    </cfRule>
  </conditionalFormatting>
  <conditionalFormatting sqref="C33">
    <cfRule type="cellIs" dxfId="29829" priority="16515" stopIfTrue="1" operator="equal">
      <formula>"Towel"</formula>
    </cfRule>
    <cfRule type="cellIs" dxfId="29828" priority="16516" stopIfTrue="1" operator="equal">
      <formula>"Napkin Hs"</formula>
    </cfRule>
  </conditionalFormatting>
  <conditionalFormatting sqref="C33">
    <cfRule type="cellIs" dxfId="29827" priority="16517" stopIfTrue="1" operator="equal">
      <formula>"Towel"</formula>
    </cfRule>
    <cfRule type="cellIs" dxfId="29826" priority="16518" stopIfTrue="1" operator="equal">
      <formula>"Napkin Hs"</formula>
    </cfRule>
  </conditionalFormatting>
  <conditionalFormatting sqref="C33">
    <cfRule type="cellIs" dxfId="29825" priority="16509" stopIfTrue="1" operator="equal">
      <formula>"Towel"</formula>
    </cfRule>
    <cfRule type="cellIs" dxfId="29824" priority="16510" stopIfTrue="1" operator="equal">
      <formula>"Napkin Hs"</formula>
    </cfRule>
  </conditionalFormatting>
  <conditionalFormatting sqref="C33">
    <cfRule type="cellIs" dxfId="29823" priority="16507" stopIfTrue="1" operator="equal">
      <formula>"Towel"</formula>
    </cfRule>
    <cfRule type="cellIs" dxfId="29822" priority="16508" stopIfTrue="1" operator="equal">
      <formula>"Napkin Hs"</formula>
    </cfRule>
  </conditionalFormatting>
  <conditionalFormatting sqref="C33">
    <cfRule type="cellIs" dxfId="29821" priority="16505" stopIfTrue="1" operator="equal">
      <formula>"Towel"</formula>
    </cfRule>
    <cfRule type="cellIs" dxfId="29820" priority="16506" stopIfTrue="1" operator="equal">
      <formula>"Napkin Hs"</formula>
    </cfRule>
  </conditionalFormatting>
  <conditionalFormatting sqref="C33">
    <cfRule type="cellIs" dxfId="29819" priority="16503" stopIfTrue="1" operator="equal">
      <formula>"Towel"</formula>
    </cfRule>
    <cfRule type="cellIs" dxfId="29818" priority="16504" stopIfTrue="1" operator="equal">
      <formula>"Napkin Hs"</formula>
    </cfRule>
  </conditionalFormatting>
  <conditionalFormatting sqref="C33">
    <cfRule type="cellIs" dxfId="29817" priority="16501" stopIfTrue="1" operator="equal">
      <formula>"Towel"</formula>
    </cfRule>
    <cfRule type="cellIs" dxfId="29816" priority="16502" stopIfTrue="1" operator="equal">
      <formula>"Napkin Hs"</formula>
    </cfRule>
  </conditionalFormatting>
  <conditionalFormatting sqref="C33">
    <cfRule type="cellIs" dxfId="29815" priority="16499" stopIfTrue="1" operator="equal">
      <formula>"Towel"</formula>
    </cfRule>
    <cfRule type="cellIs" dxfId="29814" priority="16500" stopIfTrue="1" operator="equal">
      <formula>"Napkin Hs"</formula>
    </cfRule>
  </conditionalFormatting>
  <conditionalFormatting sqref="C33">
    <cfRule type="cellIs" dxfId="29813" priority="16497" stopIfTrue="1" operator="equal">
      <formula>"Towel"</formula>
    </cfRule>
    <cfRule type="cellIs" dxfId="29812" priority="16498" stopIfTrue="1" operator="equal">
      <formula>"Napkin Hs"</formula>
    </cfRule>
  </conditionalFormatting>
  <conditionalFormatting sqref="C33">
    <cfRule type="cellIs" dxfId="29811" priority="16495" stopIfTrue="1" operator="equal">
      <formula>"Towel"</formula>
    </cfRule>
    <cfRule type="cellIs" dxfId="29810" priority="16496" stopIfTrue="1" operator="equal">
      <formula>"Napkin Hs"</formula>
    </cfRule>
  </conditionalFormatting>
  <conditionalFormatting sqref="C33">
    <cfRule type="cellIs" dxfId="29809" priority="16493" stopIfTrue="1" operator="equal">
      <formula>"Towel"</formula>
    </cfRule>
    <cfRule type="cellIs" dxfId="29808" priority="16494" stopIfTrue="1" operator="equal">
      <formula>"Napkin Hs"</formula>
    </cfRule>
  </conditionalFormatting>
  <conditionalFormatting sqref="C33">
    <cfRule type="cellIs" dxfId="29807" priority="16491" stopIfTrue="1" operator="equal">
      <formula>"Towel"</formula>
    </cfRule>
    <cfRule type="cellIs" dxfId="29806" priority="16492" stopIfTrue="1" operator="equal">
      <formula>"Napkin Hs"</formula>
    </cfRule>
  </conditionalFormatting>
  <conditionalFormatting sqref="C33">
    <cfRule type="cellIs" dxfId="29805" priority="16485" stopIfTrue="1" operator="equal">
      <formula>"Towel"</formula>
    </cfRule>
    <cfRule type="cellIs" dxfId="29804" priority="16486" stopIfTrue="1" operator="equal">
      <formula>"Napkin Hs"</formula>
    </cfRule>
  </conditionalFormatting>
  <conditionalFormatting sqref="C33">
    <cfRule type="cellIs" dxfId="29803" priority="16479" stopIfTrue="1" operator="equal">
      <formula>"Towel"</formula>
    </cfRule>
    <cfRule type="cellIs" dxfId="29802" priority="16480" stopIfTrue="1" operator="equal">
      <formula>"Napkin Hs"</formula>
    </cfRule>
  </conditionalFormatting>
  <conditionalFormatting sqref="C33">
    <cfRule type="cellIs" dxfId="29801" priority="16473" stopIfTrue="1" operator="equal">
      <formula>"Towel"</formula>
    </cfRule>
    <cfRule type="cellIs" dxfId="29800" priority="16474" stopIfTrue="1" operator="equal">
      <formula>"Napkin Hs"</formula>
    </cfRule>
  </conditionalFormatting>
  <conditionalFormatting sqref="C33">
    <cfRule type="cellIs" dxfId="29799" priority="16472" stopIfTrue="1" operator="equal">
      <formula>"Napkin Hs"</formula>
    </cfRule>
  </conditionalFormatting>
  <conditionalFormatting sqref="C33">
    <cfRule type="cellIs" dxfId="29798" priority="16471" stopIfTrue="1" operator="equal">
      <formula>"Towel"</formula>
    </cfRule>
  </conditionalFormatting>
  <conditionalFormatting sqref="C33">
    <cfRule type="cellIs" dxfId="29797" priority="16470" stopIfTrue="1" operator="equal">
      <formula>"Napkin Hs"</formula>
    </cfRule>
  </conditionalFormatting>
  <conditionalFormatting sqref="C33">
    <cfRule type="cellIs" dxfId="29796" priority="16469" stopIfTrue="1" operator="equal">
      <formula>"Towel"</formula>
    </cfRule>
  </conditionalFormatting>
  <conditionalFormatting sqref="C33">
    <cfRule type="cellIs" dxfId="29795" priority="16467" stopIfTrue="1" operator="equal">
      <formula>"Towel"</formula>
    </cfRule>
    <cfRule type="cellIs" dxfId="29794" priority="16468" stopIfTrue="1" operator="equal">
      <formula>"Napkin Hs"</formula>
    </cfRule>
  </conditionalFormatting>
  <conditionalFormatting sqref="C33">
    <cfRule type="cellIs" dxfId="29793" priority="16465" stopIfTrue="1" operator="equal">
      <formula>"Towel"</formula>
    </cfRule>
    <cfRule type="cellIs" dxfId="29792" priority="16466" stopIfTrue="1" operator="equal">
      <formula>"Napkin Hs"</formula>
    </cfRule>
  </conditionalFormatting>
  <conditionalFormatting sqref="C33">
    <cfRule type="cellIs" dxfId="29791" priority="16461" stopIfTrue="1" operator="equal">
      <formula>"Towel"</formula>
    </cfRule>
    <cfRule type="cellIs" dxfId="29790" priority="16462" stopIfTrue="1" operator="equal">
      <formula>"Napkin Hs"</formula>
    </cfRule>
  </conditionalFormatting>
  <conditionalFormatting sqref="C33">
    <cfRule type="cellIs" dxfId="29789" priority="16463" stopIfTrue="1" operator="equal">
      <formula>"Towel"</formula>
    </cfRule>
    <cfRule type="cellIs" dxfId="29788" priority="16464" stopIfTrue="1" operator="equal">
      <formula>"Napkin Hs"</formula>
    </cfRule>
  </conditionalFormatting>
  <conditionalFormatting sqref="C33">
    <cfRule type="cellIs" dxfId="29787" priority="16455" stopIfTrue="1" operator="equal">
      <formula>"Towel"</formula>
    </cfRule>
    <cfRule type="cellIs" dxfId="29786" priority="16456" stopIfTrue="1" operator="equal">
      <formula>"Napkin Hs"</formula>
    </cfRule>
  </conditionalFormatting>
  <conditionalFormatting sqref="C33">
    <cfRule type="cellIs" dxfId="29785" priority="16453" stopIfTrue="1" operator="equal">
      <formula>"Towel"</formula>
    </cfRule>
    <cfRule type="cellIs" dxfId="29784" priority="16454" stopIfTrue="1" operator="equal">
      <formula>"Napkin Hs"</formula>
    </cfRule>
  </conditionalFormatting>
  <conditionalFormatting sqref="C33">
    <cfRule type="cellIs" dxfId="29783" priority="16451" stopIfTrue="1" operator="equal">
      <formula>"Towel"</formula>
    </cfRule>
    <cfRule type="cellIs" dxfId="29782" priority="16452" stopIfTrue="1" operator="equal">
      <formula>"Napkin Hs"</formula>
    </cfRule>
  </conditionalFormatting>
  <conditionalFormatting sqref="C33">
    <cfRule type="cellIs" dxfId="29781" priority="16449" stopIfTrue="1" operator="equal">
      <formula>"Towel"</formula>
    </cfRule>
    <cfRule type="cellIs" dxfId="29780" priority="16450" stopIfTrue="1" operator="equal">
      <formula>"Napkin Hs"</formula>
    </cfRule>
  </conditionalFormatting>
  <conditionalFormatting sqref="C33">
    <cfRule type="cellIs" dxfId="29779" priority="16447" stopIfTrue="1" operator="equal">
      <formula>"Towel"</formula>
    </cfRule>
    <cfRule type="cellIs" dxfId="29778" priority="16448" stopIfTrue="1" operator="equal">
      <formula>"Napkin Hs"</formula>
    </cfRule>
  </conditionalFormatting>
  <conditionalFormatting sqref="C33">
    <cfRule type="cellIs" dxfId="29777" priority="16445" stopIfTrue="1" operator="equal">
      <formula>"Towel"</formula>
    </cfRule>
    <cfRule type="cellIs" dxfId="29776" priority="16446" stopIfTrue="1" operator="equal">
      <formula>"Napkin Hs"</formula>
    </cfRule>
  </conditionalFormatting>
  <conditionalFormatting sqref="C33">
    <cfRule type="cellIs" dxfId="29775" priority="16443" stopIfTrue="1" operator="equal">
      <formula>"Towel"</formula>
    </cfRule>
    <cfRule type="cellIs" dxfId="29774" priority="16444" stopIfTrue="1" operator="equal">
      <formula>"Napkin Hs"</formula>
    </cfRule>
  </conditionalFormatting>
  <conditionalFormatting sqref="C33">
    <cfRule type="cellIs" dxfId="29773" priority="16441" stopIfTrue="1" operator="equal">
      <formula>"Towel"</formula>
    </cfRule>
    <cfRule type="cellIs" dxfId="29772" priority="16442" stopIfTrue="1" operator="equal">
      <formula>"Napkin Hs"</formula>
    </cfRule>
  </conditionalFormatting>
  <conditionalFormatting sqref="C33">
    <cfRule type="cellIs" dxfId="29771" priority="16439" stopIfTrue="1" operator="equal">
      <formula>"Towel"</formula>
    </cfRule>
    <cfRule type="cellIs" dxfId="29770" priority="16440" stopIfTrue="1" operator="equal">
      <formula>"Napkin Hs"</formula>
    </cfRule>
  </conditionalFormatting>
  <conditionalFormatting sqref="C33">
    <cfRule type="cellIs" dxfId="29769" priority="16437" stopIfTrue="1" operator="equal">
      <formula>"Towel"</formula>
    </cfRule>
    <cfRule type="cellIs" dxfId="29768" priority="16438" stopIfTrue="1" operator="equal">
      <formula>"Napkin Hs"</formula>
    </cfRule>
  </conditionalFormatting>
  <conditionalFormatting sqref="C33">
    <cfRule type="cellIs" dxfId="29767" priority="16431" stopIfTrue="1" operator="equal">
      <formula>"Towel"</formula>
    </cfRule>
    <cfRule type="cellIs" dxfId="29766" priority="16432" stopIfTrue="1" operator="equal">
      <formula>"Napkin Hs"</formula>
    </cfRule>
  </conditionalFormatting>
  <conditionalFormatting sqref="C33">
    <cfRule type="cellIs" dxfId="29765" priority="16425" stopIfTrue="1" operator="equal">
      <formula>"Towel"</formula>
    </cfRule>
    <cfRule type="cellIs" dxfId="29764" priority="16426" stopIfTrue="1" operator="equal">
      <formula>"Napkin Hs"</formula>
    </cfRule>
  </conditionalFormatting>
  <conditionalFormatting sqref="C33">
    <cfRule type="cellIs" dxfId="29763" priority="16424" stopIfTrue="1" operator="equal">
      <formula>"Napkin Hs"</formula>
    </cfRule>
  </conditionalFormatting>
  <conditionalFormatting sqref="C33">
    <cfRule type="cellIs" dxfId="29762" priority="16423" stopIfTrue="1" operator="equal">
      <formula>"Towel"</formula>
    </cfRule>
  </conditionalFormatting>
  <conditionalFormatting sqref="C33">
    <cfRule type="cellIs" dxfId="29761" priority="16422" stopIfTrue="1" operator="equal">
      <formula>"Napkin Hs"</formula>
    </cfRule>
  </conditionalFormatting>
  <conditionalFormatting sqref="C33">
    <cfRule type="cellIs" dxfId="29760" priority="16419" stopIfTrue="1" operator="equal">
      <formula>"Towel"</formula>
    </cfRule>
    <cfRule type="cellIs" dxfId="29759" priority="16420" stopIfTrue="1" operator="equal">
      <formula>"Napkin Hs"</formula>
    </cfRule>
  </conditionalFormatting>
  <conditionalFormatting sqref="C33">
    <cfRule type="cellIs" dxfId="29758" priority="16421" stopIfTrue="1" operator="equal">
      <formula>"Towel"</formula>
    </cfRule>
  </conditionalFormatting>
  <conditionalFormatting sqref="C33">
    <cfRule type="cellIs" dxfId="29757" priority="16539" stopIfTrue="1" operator="equal">
      <formula>"Towel"</formula>
    </cfRule>
    <cfRule type="cellIs" dxfId="29756" priority="16540" stopIfTrue="1" operator="equal">
      <formula>"Napkin Hs"</formula>
    </cfRule>
  </conditionalFormatting>
  <conditionalFormatting sqref="C33">
    <cfRule type="cellIs" dxfId="29755" priority="16538" stopIfTrue="1" operator="equal">
      <formula>"Napkin Hs"</formula>
    </cfRule>
  </conditionalFormatting>
  <conditionalFormatting sqref="C33">
    <cfRule type="cellIs" dxfId="29754" priority="16537" stopIfTrue="1" operator="equal">
      <formula>"Towel"</formula>
    </cfRule>
  </conditionalFormatting>
  <conditionalFormatting sqref="C33">
    <cfRule type="cellIs" dxfId="29753" priority="16536" stopIfTrue="1" operator="equal">
      <formula>"Napkin Hs"</formula>
    </cfRule>
  </conditionalFormatting>
  <conditionalFormatting sqref="C33">
    <cfRule type="cellIs" dxfId="29752" priority="16533" stopIfTrue="1" operator="equal">
      <formula>"Towel"</formula>
    </cfRule>
    <cfRule type="cellIs" dxfId="29751" priority="16534" stopIfTrue="1" operator="equal">
      <formula>"Napkin Hs"</formula>
    </cfRule>
  </conditionalFormatting>
  <conditionalFormatting sqref="C33">
    <cfRule type="cellIs" dxfId="29750" priority="16535" stopIfTrue="1" operator="equal">
      <formula>"Towel"</formula>
    </cfRule>
  </conditionalFormatting>
  <conditionalFormatting sqref="C33">
    <cfRule type="cellIs" dxfId="29749" priority="16543" stopIfTrue="1" operator="equal">
      <formula>"Towel"</formula>
    </cfRule>
    <cfRule type="cellIs" dxfId="29748" priority="16544" stopIfTrue="1" operator="equal">
      <formula>"Napkin Hs"</formula>
    </cfRule>
  </conditionalFormatting>
  <conditionalFormatting sqref="C33">
    <cfRule type="cellIs" dxfId="29747" priority="16541" stopIfTrue="1" operator="equal">
      <formula>"Towel"</formula>
    </cfRule>
    <cfRule type="cellIs" dxfId="29746" priority="16542" stopIfTrue="1" operator="equal">
      <formula>"Napkin Hs"</formula>
    </cfRule>
  </conditionalFormatting>
  <conditionalFormatting sqref="C33">
    <cfRule type="cellIs" dxfId="29745" priority="16513" stopIfTrue="1" operator="equal">
      <formula>"Towel"</formula>
    </cfRule>
    <cfRule type="cellIs" dxfId="29744" priority="16514" stopIfTrue="1" operator="equal">
      <formula>"Napkin Hs"</formula>
    </cfRule>
  </conditionalFormatting>
  <conditionalFormatting sqref="C33">
    <cfRule type="cellIs" dxfId="29743" priority="16511" stopIfTrue="1" operator="equal">
      <formula>"Towel"</formula>
    </cfRule>
    <cfRule type="cellIs" dxfId="29742" priority="16512" stopIfTrue="1" operator="equal">
      <formula>"Napkin Hs"</formula>
    </cfRule>
  </conditionalFormatting>
  <conditionalFormatting sqref="C33">
    <cfRule type="cellIs" dxfId="29741" priority="16490" stopIfTrue="1" operator="equal">
      <formula>"Napkin Hs"</formula>
    </cfRule>
  </conditionalFormatting>
  <conditionalFormatting sqref="C33">
    <cfRule type="cellIs" dxfId="29740" priority="16489" stopIfTrue="1" operator="equal">
      <formula>"Towel"</formula>
    </cfRule>
  </conditionalFormatting>
  <conditionalFormatting sqref="C33">
    <cfRule type="cellIs" dxfId="29739" priority="16488" stopIfTrue="1" operator="equal">
      <formula>"Napkin Hs"</formula>
    </cfRule>
  </conditionalFormatting>
  <conditionalFormatting sqref="C33">
    <cfRule type="cellIs" dxfId="29738" priority="16487" stopIfTrue="1" operator="equal">
      <formula>"Towel"</formula>
    </cfRule>
  </conditionalFormatting>
  <conditionalFormatting sqref="C33">
    <cfRule type="cellIs" dxfId="29737" priority="16484" stopIfTrue="1" operator="equal">
      <formula>"Napkin Hs"</formula>
    </cfRule>
  </conditionalFormatting>
  <conditionalFormatting sqref="C33">
    <cfRule type="cellIs" dxfId="29736" priority="16483" stopIfTrue="1" operator="equal">
      <formula>"Towel"</formula>
    </cfRule>
  </conditionalFormatting>
  <conditionalFormatting sqref="C33">
    <cfRule type="cellIs" dxfId="29735" priority="16482" stopIfTrue="1" operator="equal">
      <formula>"Napkin Hs"</formula>
    </cfRule>
  </conditionalFormatting>
  <conditionalFormatting sqref="C33">
    <cfRule type="cellIs" dxfId="29734" priority="16481" stopIfTrue="1" operator="equal">
      <formula>"Towel"</formula>
    </cfRule>
  </conditionalFormatting>
  <conditionalFormatting sqref="C33">
    <cfRule type="cellIs" dxfId="29733" priority="16477" stopIfTrue="1" operator="equal">
      <formula>"Towel"</formula>
    </cfRule>
    <cfRule type="cellIs" dxfId="29732" priority="16478" stopIfTrue="1" operator="equal">
      <formula>"Napkin Hs"</formula>
    </cfRule>
  </conditionalFormatting>
  <conditionalFormatting sqref="C33">
    <cfRule type="cellIs" dxfId="29731" priority="16475" stopIfTrue="1" operator="equal">
      <formula>"Towel"</formula>
    </cfRule>
    <cfRule type="cellIs" dxfId="29730" priority="16476" stopIfTrue="1" operator="equal">
      <formula>"Napkin Hs"</formula>
    </cfRule>
  </conditionalFormatting>
  <conditionalFormatting sqref="C33">
    <cfRule type="cellIs" dxfId="29729" priority="16459" stopIfTrue="1" operator="equal">
      <formula>"Towel"</formula>
    </cfRule>
    <cfRule type="cellIs" dxfId="29728" priority="16460" stopIfTrue="1" operator="equal">
      <formula>"Napkin Hs"</formula>
    </cfRule>
  </conditionalFormatting>
  <conditionalFormatting sqref="C33">
    <cfRule type="cellIs" dxfId="29727" priority="16457" stopIfTrue="1" operator="equal">
      <formula>"Towel"</formula>
    </cfRule>
    <cfRule type="cellIs" dxfId="29726" priority="16458" stopIfTrue="1" operator="equal">
      <formula>"Napkin Hs"</formula>
    </cfRule>
  </conditionalFormatting>
  <conditionalFormatting sqref="C33">
    <cfRule type="cellIs" dxfId="29725" priority="16436" stopIfTrue="1" operator="equal">
      <formula>"Napkin Hs"</formula>
    </cfRule>
  </conditionalFormatting>
  <conditionalFormatting sqref="C33">
    <cfRule type="cellIs" dxfId="29724" priority="16435" stopIfTrue="1" operator="equal">
      <formula>"Towel"</formula>
    </cfRule>
  </conditionalFormatting>
  <conditionalFormatting sqref="C33">
    <cfRule type="cellIs" dxfId="29723" priority="16434" stopIfTrue="1" operator="equal">
      <formula>"Napkin Hs"</formula>
    </cfRule>
  </conditionalFormatting>
  <conditionalFormatting sqref="C33">
    <cfRule type="cellIs" dxfId="29722" priority="16433" stopIfTrue="1" operator="equal">
      <formula>"Towel"</formula>
    </cfRule>
  </conditionalFormatting>
  <conditionalFormatting sqref="C33">
    <cfRule type="cellIs" dxfId="29721" priority="16430" stopIfTrue="1" operator="equal">
      <formula>"Napkin Hs"</formula>
    </cfRule>
  </conditionalFormatting>
  <conditionalFormatting sqref="C33">
    <cfRule type="cellIs" dxfId="29720" priority="16429" stopIfTrue="1" operator="equal">
      <formula>"Towel"</formula>
    </cfRule>
  </conditionalFormatting>
  <conditionalFormatting sqref="C33">
    <cfRule type="cellIs" dxfId="29719" priority="16428" stopIfTrue="1" operator="equal">
      <formula>"Napkin Hs"</formula>
    </cfRule>
  </conditionalFormatting>
  <conditionalFormatting sqref="C33">
    <cfRule type="cellIs" dxfId="29718" priority="16427" stopIfTrue="1" operator="equal">
      <formula>"Towel"</formula>
    </cfRule>
  </conditionalFormatting>
  <conditionalFormatting sqref="B33:C33">
    <cfRule type="cellIs" dxfId="29717" priority="16418" stopIfTrue="1" operator="equal">
      <formula>"Napkin Hs"</formula>
    </cfRule>
  </conditionalFormatting>
  <conditionalFormatting sqref="B33:C33">
    <cfRule type="cellIs" dxfId="29716" priority="16417" stopIfTrue="1" operator="equal">
      <formula>"Towel"</formula>
    </cfRule>
  </conditionalFormatting>
  <conditionalFormatting sqref="C33">
    <cfRule type="cellIs" dxfId="29715" priority="16416" stopIfTrue="1" operator="equal">
      <formula>"Napkin Hs"</formula>
    </cfRule>
  </conditionalFormatting>
  <conditionalFormatting sqref="C33">
    <cfRule type="cellIs" dxfId="29714" priority="16413" stopIfTrue="1" operator="equal">
      <formula>"Towel"</formula>
    </cfRule>
    <cfRule type="cellIs" dxfId="29713" priority="16414" stopIfTrue="1" operator="equal">
      <formula>"Napkin Hs"</formula>
    </cfRule>
  </conditionalFormatting>
  <conditionalFormatting sqref="C33">
    <cfRule type="cellIs" dxfId="29712" priority="16415" stopIfTrue="1" operator="equal">
      <formula>"Towel"</formula>
    </cfRule>
  </conditionalFormatting>
  <conditionalFormatting sqref="C34:C36">
    <cfRule type="cellIs" dxfId="29711" priority="16399" stopIfTrue="1" operator="equal">
      <formula>"Towel"</formula>
    </cfRule>
    <cfRule type="cellIs" dxfId="29710" priority="16400" stopIfTrue="1" operator="equal">
      <formula>"Napkin Hs"</formula>
    </cfRule>
  </conditionalFormatting>
  <conditionalFormatting sqref="C34:C36">
    <cfRule type="cellIs" dxfId="29709" priority="16397" stopIfTrue="1" operator="equal">
      <formula>"Towel"</formula>
    </cfRule>
    <cfRule type="cellIs" dxfId="29708" priority="16398" stopIfTrue="1" operator="equal">
      <formula>"Napkin Hs"</formula>
    </cfRule>
  </conditionalFormatting>
  <conditionalFormatting sqref="C34:C36">
    <cfRule type="cellIs" dxfId="29707" priority="16395" stopIfTrue="1" operator="equal">
      <formula>"Towel"</formula>
    </cfRule>
    <cfRule type="cellIs" dxfId="29706" priority="16396" stopIfTrue="1" operator="equal">
      <formula>"Napkin Hs"</formula>
    </cfRule>
  </conditionalFormatting>
  <conditionalFormatting sqref="C34:C36">
    <cfRule type="cellIs" dxfId="29705" priority="16394" stopIfTrue="1" operator="equal">
      <formula>"Napkin Hs"</formula>
    </cfRule>
  </conditionalFormatting>
  <conditionalFormatting sqref="C34:C36">
    <cfRule type="cellIs" dxfId="29704" priority="16393" stopIfTrue="1" operator="equal">
      <formula>"Towel"</formula>
    </cfRule>
  </conditionalFormatting>
  <conditionalFormatting sqref="C34:C36">
    <cfRule type="cellIs" dxfId="29703" priority="16392" stopIfTrue="1" operator="equal">
      <formula>"Napkin Hs"</formula>
    </cfRule>
  </conditionalFormatting>
  <conditionalFormatting sqref="C34:C36">
    <cfRule type="cellIs" dxfId="29702" priority="16391" stopIfTrue="1" operator="equal">
      <formula>"Towel"</formula>
    </cfRule>
  </conditionalFormatting>
  <conditionalFormatting sqref="C34:C36">
    <cfRule type="cellIs" dxfId="29701" priority="16389" stopIfTrue="1" operator="equal">
      <formula>"Towel"</formula>
    </cfRule>
    <cfRule type="cellIs" dxfId="29700" priority="16390" stopIfTrue="1" operator="equal">
      <formula>"Napkin Hs"</formula>
    </cfRule>
  </conditionalFormatting>
  <conditionalFormatting sqref="C34:C36">
    <cfRule type="cellIs" dxfId="29699" priority="16387" stopIfTrue="1" operator="equal">
      <formula>"Towel"</formula>
    </cfRule>
    <cfRule type="cellIs" dxfId="29698" priority="16388" stopIfTrue="1" operator="equal">
      <formula>"Napkin Hs"</formula>
    </cfRule>
  </conditionalFormatting>
  <conditionalFormatting sqref="C34:C36">
    <cfRule type="cellIs" dxfId="29697" priority="16383" stopIfTrue="1" operator="equal">
      <formula>"Towel"</formula>
    </cfRule>
    <cfRule type="cellIs" dxfId="29696" priority="16384" stopIfTrue="1" operator="equal">
      <formula>"Napkin Hs"</formula>
    </cfRule>
  </conditionalFormatting>
  <conditionalFormatting sqref="C34:C36">
    <cfRule type="cellIs" dxfId="29695" priority="16385" stopIfTrue="1" operator="equal">
      <formula>"Towel"</formula>
    </cfRule>
    <cfRule type="cellIs" dxfId="29694" priority="16386" stopIfTrue="1" operator="equal">
      <formula>"Napkin Hs"</formula>
    </cfRule>
  </conditionalFormatting>
  <conditionalFormatting sqref="C34:C36">
    <cfRule type="cellIs" dxfId="29693" priority="16377" stopIfTrue="1" operator="equal">
      <formula>"Towel"</formula>
    </cfRule>
    <cfRule type="cellIs" dxfId="29692" priority="16378" stopIfTrue="1" operator="equal">
      <formula>"Napkin Hs"</formula>
    </cfRule>
  </conditionalFormatting>
  <conditionalFormatting sqref="C34:C36">
    <cfRule type="cellIs" dxfId="29691" priority="16375" stopIfTrue="1" operator="equal">
      <formula>"Towel"</formula>
    </cfRule>
    <cfRule type="cellIs" dxfId="29690" priority="16376" stopIfTrue="1" operator="equal">
      <formula>"Napkin Hs"</formula>
    </cfRule>
  </conditionalFormatting>
  <conditionalFormatting sqref="C34:C36">
    <cfRule type="cellIs" dxfId="29689" priority="16373" stopIfTrue="1" operator="equal">
      <formula>"Towel"</formula>
    </cfRule>
    <cfRule type="cellIs" dxfId="29688" priority="16374" stopIfTrue="1" operator="equal">
      <formula>"Napkin Hs"</formula>
    </cfRule>
  </conditionalFormatting>
  <conditionalFormatting sqref="C34:C36">
    <cfRule type="cellIs" dxfId="29687" priority="16371" stopIfTrue="1" operator="equal">
      <formula>"Towel"</formula>
    </cfRule>
    <cfRule type="cellIs" dxfId="29686" priority="16372" stopIfTrue="1" operator="equal">
      <formula>"Napkin Hs"</formula>
    </cfRule>
  </conditionalFormatting>
  <conditionalFormatting sqref="C34:C36">
    <cfRule type="cellIs" dxfId="29685" priority="16369" stopIfTrue="1" operator="equal">
      <formula>"Towel"</formula>
    </cfRule>
    <cfRule type="cellIs" dxfId="29684" priority="16370" stopIfTrue="1" operator="equal">
      <formula>"Napkin Hs"</formula>
    </cfRule>
  </conditionalFormatting>
  <conditionalFormatting sqref="C34:C36">
    <cfRule type="cellIs" dxfId="29683" priority="16367" stopIfTrue="1" operator="equal">
      <formula>"Towel"</formula>
    </cfRule>
    <cfRule type="cellIs" dxfId="29682" priority="16368" stopIfTrue="1" operator="equal">
      <formula>"Napkin Hs"</formula>
    </cfRule>
  </conditionalFormatting>
  <conditionalFormatting sqref="C34:C36">
    <cfRule type="cellIs" dxfId="29681" priority="16365" stopIfTrue="1" operator="equal">
      <formula>"Towel"</formula>
    </cfRule>
    <cfRule type="cellIs" dxfId="29680" priority="16366" stopIfTrue="1" operator="equal">
      <formula>"Napkin Hs"</formula>
    </cfRule>
  </conditionalFormatting>
  <conditionalFormatting sqref="C34:C36">
    <cfRule type="cellIs" dxfId="29679" priority="16363" stopIfTrue="1" operator="equal">
      <formula>"Towel"</formula>
    </cfRule>
    <cfRule type="cellIs" dxfId="29678" priority="16364" stopIfTrue="1" operator="equal">
      <formula>"Napkin Hs"</formula>
    </cfRule>
  </conditionalFormatting>
  <conditionalFormatting sqref="C34:C36">
    <cfRule type="cellIs" dxfId="29677" priority="16361" stopIfTrue="1" operator="equal">
      <formula>"Towel"</formula>
    </cfRule>
    <cfRule type="cellIs" dxfId="29676" priority="16362" stopIfTrue="1" operator="equal">
      <formula>"Napkin Hs"</formula>
    </cfRule>
  </conditionalFormatting>
  <conditionalFormatting sqref="C34:C36">
    <cfRule type="cellIs" dxfId="29675" priority="16359" stopIfTrue="1" operator="equal">
      <formula>"Towel"</formula>
    </cfRule>
    <cfRule type="cellIs" dxfId="29674" priority="16360" stopIfTrue="1" operator="equal">
      <formula>"Napkin Hs"</formula>
    </cfRule>
  </conditionalFormatting>
  <conditionalFormatting sqref="C34:C36">
    <cfRule type="cellIs" dxfId="29673" priority="16353" stopIfTrue="1" operator="equal">
      <formula>"Towel"</formula>
    </cfRule>
    <cfRule type="cellIs" dxfId="29672" priority="16354" stopIfTrue="1" operator="equal">
      <formula>"Napkin Hs"</formula>
    </cfRule>
  </conditionalFormatting>
  <conditionalFormatting sqref="C34:C36">
    <cfRule type="cellIs" dxfId="29671" priority="16347" stopIfTrue="1" operator="equal">
      <formula>"Towel"</formula>
    </cfRule>
    <cfRule type="cellIs" dxfId="29670" priority="16348" stopIfTrue="1" operator="equal">
      <formula>"Napkin Hs"</formula>
    </cfRule>
  </conditionalFormatting>
  <conditionalFormatting sqref="C34:C36">
    <cfRule type="cellIs" dxfId="29669" priority="16341" stopIfTrue="1" operator="equal">
      <formula>"Towel"</formula>
    </cfRule>
    <cfRule type="cellIs" dxfId="29668" priority="16342" stopIfTrue="1" operator="equal">
      <formula>"Napkin Hs"</formula>
    </cfRule>
  </conditionalFormatting>
  <conditionalFormatting sqref="C34:C36">
    <cfRule type="cellIs" dxfId="29667" priority="16340" stopIfTrue="1" operator="equal">
      <formula>"Napkin Hs"</formula>
    </cfRule>
  </conditionalFormatting>
  <conditionalFormatting sqref="C34:C36">
    <cfRule type="cellIs" dxfId="29666" priority="16339" stopIfTrue="1" operator="equal">
      <formula>"Towel"</formula>
    </cfRule>
  </conditionalFormatting>
  <conditionalFormatting sqref="C34:C36">
    <cfRule type="cellIs" dxfId="29665" priority="16338" stopIfTrue="1" operator="equal">
      <formula>"Napkin Hs"</formula>
    </cfRule>
  </conditionalFormatting>
  <conditionalFormatting sqref="C34:C36">
    <cfRule type="cellIs" dxfId="29664" priority="16337" stopIfTrue="1" operator="equal">
      <formula>"Towel"</formula>
    </cfRule>
  </conditionalFormatting>
  <conditionalFormatting sqref="C34:C36">
    <cfRule type="cellIs" dxfId="29663" priority="16335" stopIfTrue="1" operator="equal">
      <formula>"Towel"</formula>
    </cfRule>
    <cfRule type="cellIs" dxfId="29662" priority="16336" stopIfTrue="1" operator="equal">
      <formula>"Napkin Hs"</formula>
    </cfRule>
  </conditionalFormatting>
  <conditionalFormatting sqref="C34:C36">
    <cfRule type="cellIs" dxfId="29661" priority="16333" stopIfTrue="1" operator="equal">
      <formula>"Towel"</formula>
    </cfRule>
    <cfRule type="cellIs" dxfId="29660" priority="16334" stopIfTrue="1" operator="equal">
      <formula>"Napkin Hs"</formula>
    </cfRule>
  </conditionalFormatting>
  <conditionalFormatting sqref="C34:C36">
    <cfRule type="cellIs" dxfId="29659" priority="16329" stopIfTrue="1" operator="equal">
      <formula>"Towel"</formula>
    </cfRule>
    <cfRule type="cellIs" dxfId="29658" priority="16330" stopIfTrue="1" operator="equal">
      <formula>"Napkin Hs"</formula>
    </cfRule>
  </conditionalFormatting>
  <conditionalFormatting sqref="C34:C36">
    <cfRule type="cellIs" dxfId="29657" priority="16331" stopIfTrue="1" operator="equal">
      <formula>"Towel"</formula>
    </cfRule>
    <cfRule type="cellIs" dxfId="29656" priority="16332" stopIfTrue="1" operator="equal">
      <formula>"Napkin Hs"</formula>
    </cfRule>
  </conditionalFormatting>
  <conditionalFormatting sqref="C34:C36">
    <cfRule type="cellIs" dxfId="29655" priority="16323" stopIfTrue="1" operator="equal">
      <formula>"Towel"</formula>
    </cfRule>
    <cfRule type="cellIs" dxfId="29654" priority="16324" stopIfTrue="1" operator="equal">
      <formula>"Napkin Hs"</formula>
    </cfRule>
  </conditionalFormatting>
  <conditionalFormatting sqref="C34:C36">
    <cfRule type="cellIs" dxfId="29653" priority="16321" stopIfTrue="1" operator="equal">
      <formula>"Towel"</formula>
    </cfRule>
    <cfRule type="cellIs" dxfId="29652" priority="16322" stopIfTrue="1" operator="equal">
      <formula>"Napkin Hs"</formula>
    </cfRule>
  </conditionalFormatting>
  <conditionalFormatting sqref="C34:C36">
    <cfRule type="cellIs" dxfId="29651" priority="16319" stopIfTrue="1" operator="equal">
      <formula>"Towel"</formula>
    </cfRule>
    <cfRule type="cellIs" dxfId="29650" priority="16320" stopIfTrue="1" operator="equal">
      <formula>"Napkin Hs"</formula>
    </cfRule>
  </conditionalFormatting>
  <conditionalFormatting sqref="C34:C36">
    <cfRule type="cellIs" dxfId="29649" priority="16317" stopIfTrue="1" operator="equal">
      <formula>"Towel"</formula>
    </cfRule>
    <cfRule type="cellIs" dxfId="29648" priority="16318" stopIfTrue="1" operator="equal">
      <formula>"Napkin Hs"</formula>
    </cfRule>
  </conditionalFormatting>
  <conditionalFormatting sqref="C34:C36">
    <cfRule type="cellIs" dxfId="29647" priority="16315" stopIfTrue="1" operator="equal">
      <formula>"Towel"</formula>
    </cfRule>
    <cfRule type="cellIs" dxfId="29646" priority="16316" stopIfTrue="1" operator="equal">
      <formula>"Napkin Hs"</formula>
    </cfRule>
  </conditionalFormatting>
  <conditionalFormatting sqref="C34:C36">
    <cfRule type="cellIs" dxfId="29645" priority="16313" stopIfTrue="1" operator="equal">
      <formula>"Towel"</formula>
    </cfRule>
    <cfRule type="cellIs" dxfId="29644" priority="16314" stopIfTrue="1" operator="equal">
      <formula>"Napkin Hs"</formula>
    </cfRule>
  </conditionalFormatting>
  <conditionalFormatting sqref="C34:C36">
    <cfRule type="cellIs" dxfId="29643" priority="16311" stopIfTrue="1" operator="equal">
      <formula>"Towel"</formula>
    </cfRule>
    <cfRule type="cellIs" dxfId="29642" priority="16312" stopIfTrue="1" operator="equal">
      <formula>"Napkin Hs"</formula>
    </cfRule>
  </conditionalFormatting>
  <conditionalFormatting sqref="C34:C36">
    <cfRule type="cellIs" dxfId="29641" priority="16309" stopIfTrue="1" operator="equal">
      <formula>"Towel"</formula>
    </cfRule>
    <cfRule type="cellIs" dxfId="29640" priority="16310" stopIfTrue="1" operator="equal">
      <formula>"Napkin Hs"</formula>
    </cfRule>
  </conditionalFormatting>
  <conditionalFormatting sqref="C34:C36">
    <cfRule type="cellIs" dxfId="29639" priority="16307" stopIfTrue="1" operator="equal">
      <formula>"Towel"</formula>
    </cfRule>
    <cfRule type="cellIs" dxfId="29638" priority="16308" stopIfTrue="1" operator="equal">
      <formula>"Napkin Hs"</formula>
    </cfRule>
  </conditionalFormatting>
  <conditionalFormatting sqref="C34:C36">
    <cfRule type="cellIs" dxfId="29637" priority="16305" stopIfTrue="1" operator="equal">
      <formula>"Towel"</formula>
    </cfRule>
    <cfRule type="cellIs" dxfId="29636" priority="16306" stopIfTrue="1" operator="equal">
      <formula>"Napkin Hs"</formula>
    </cfRule>
  </conditionalFormatting>
  <conditionalFormatting sqref="C34:C36">
    <cfRule type="cellIs" dxfId="29635" priority="16299" stopIfTrue="1" operator="equal">
      <formula>"Towel"</formula>
    </cfRule>
    <cfRule type="cellIs" dxfId="29634" priority="16300" stopIfTrue="1" operator="equal">
      <formula>"Napkin Hs"</formula>
    </cfRule>
  </conditionalFormatting>
  <conditionalFormatting sqref="C34:C36">
    <cfRule type="cellIs" dxfId="29633" priority="16293" stopIfTrue="1" operator="equal">
      <formula>"Towel"</formula>
    </cfRule>
    <cfRule type="cellIs" dxfId="29632" priority="16294" stopIfTrue="1" operator="equal">
      <formula>"Napkin Hs"</formula>
    </cfRule>
  </conditionalFormatting>
  <conditionalFormatting sqref="C34:C36">
    <cfRule type="cellIs" dxfId="29631" priority="16292" stopIfTrue="1" operator="equal">
      <formula>"Napkin Hs"</formula>
    </cfRule>
  </conditionalFormatting>
  <conditionalFormatting sqref="C34:C36">
    <cfRule type="cellIs" dxfId="29630" priority="16291" stopIfTrue="1" operator="equal">
      <formula>"Towel"</formula>
    </cfRule>
  </conditionalFormatting>
  <conditionalFormatting sqref="C34:C36">
    <cfRule type="cellIs" dxfId="29629" priority="16290" stopIfTrue="1" operator="equal">
      <formula>"Napkin Hs"</formula>
    </cfRule>
  </conditionalFormatting>
  <conditionalFormatting sqref="C34:C36">
    <cfRule type="cellIs" dxfId="29628" priority="16287" stopIfTrue="1" operator="equal">
      <formula>"Towel"</formula>
    </cfRule>
    <cfRule type="cellIs" dxfId="29627" priority="16288" stopIfTrue="1" operator="equal">
      <formula>"Napkin Hs"</formula>
    </cfRule>
  </conditionalFormatting>
  <conditionalFormatting sqref="C34:C36">
    <cfRule type="cellIs" dxfId="29626" priority="16289" stopIfTrue="1" operator="equal">
      <formula>"Towel"</formula>
    </cfRule>
  </conditionalFormatting>
  <conditionalFormatting sqref="C34:C36">
    <cfRule type="cellIs" dxfId="29625" priority="16407" stopIfTrue="1" operator="equal">
      <formula>"Towel"</formula>
    </cfRule>
    <cfRule type="cellIs" dxfId="29624" priority="16408" stopIfTrue="1" operator="equal">
      <formula>"Napkin Hs"</formula>
    </cfRule>
  </conditionalFormatting>
  <conditionalFormatting sqref="C34:C36">
    <cfRule type="cellIs" dxfId="29623" priority="16406" stopIfTrue="1" operator="equal">
      <formula>"Napkin Hs"</formula>
    </cfRule>
  </conditionalFormatting>
  <conditionalFormatting sqref="C34:C36">
    <cfRule type="cellIs" dxfId="29622" priority="16405" stopIfTrue="1" operator="equal">
      <formula>"Towel"</formula>
    </cfRule>
  </conditionalFormatting>
  <conditionalFormatting sqref="C34:C36">
    <cfRule type="cellIs" dxfId="29621" priority="16404" stopIfTrue="1" operator="equal">
      <formula>"Napkin Hs"</formula>
    </cfRule>
  </conditionalFormatting>
  <conditionalFormatting sqref="C34:C36">
    <cfRule type="cellIs" dxfId="29620" priority="16401" stopIfTrue="1" operator="equal">
      <formula>"Towel"</formula>
    </cfRule>
    <cfRule type="cellIs" dxfId="29619" priority="16402" stopIfTrue="1" operator="equal">
      <formula>"Napkin Hs"</formula>
    </cfRule>
  </conditionalFormatting>
  <conditionalFormatting sqref="C34:C36">
    <cfRule type="cellIs" dxfId="29618" priority="16403" stopIfTrue="1" operator="equal">
      <formula>"Towel"</formula>
    </cfRule>
  </conditionalFormatting>
  <conditionalFormatting sqref="C34:C36">
    <cfRule type="cellIs" dxfId="29617" priority="16411" stopIfTrue="1" operator="equal">
      <formula>"Towel"</formula>
    </cfRule>
    <cfRule type="cellIs" dxfId="29616" priority="16412" stopIfTrue="1" operator="equal">
      <formula>"Napkin Hs"</formula>
    </cfRule>
  </conditionalFormatting>
  <conditionalFormatting sqref="C34:C36">
    <cfRule type="cellIs" dxfId="29615" priority="16409" stopIfTrue="1" operator="equal">
      <formula>"Towel"</formula>
    </cfRule>
    <cfRule type="cellIs" dxfId="29614" priority="16410" stopIfTrue="1" operator="equal">
      <formula>"Napkin Hs"</formula>
    </cfRule>
  </conditionalFormatting>
  <conditionalFormatting sqref="C34:C36">
    <cfRule type="cellIs" dxfId="29613" priority="16381" stopIfTrue="1" operator="equal">
      <formula>"Towel"</formula>
    </cfRule>
    <cfRule type="cellIs" dxfId="29612" priority="16382" stopIfTrue="1" operator="equal">
      <formula>"Napkin Hs"</formula>
    </cfRule>
  </conditionalFormatting>
  <conditionalFormatting sqref="C34:C36">
    <cfRule type="cellIs" dxfId="29611" priority="16379" stopIfTrue="1" operator="equal">
      <formula>"Towel"</formula>
    </cfRule>
    <cfRule type="cellIs" dxfId="29610" priority="16380" stopIfTrue="1" operator="equal">
      <formula>"Napkin Hs"</formula>
    </cfRule>
  </conditionalFormatting>
  <conditionalFormatting sqref="C34:C36">
    <cfRule type="cellIs" dxfId="29609" priority="16358" stopIfTrue="1" operator="equal">
      <formula>"Napkin Hs"</formula>
    </cfRule>
  </conditionalFormatting>
  <conditionalFormatting sqref="C34:C36">
    <cfRule type="cellIs" dxfId="29608" priority="16357" stopIfTrue="1" operator="equal">
      <formula>"Towel"</formula>
    </cfRule>
  </conditionalFormatting>
  <conditionalFormatting sqref="C34:C36">
    <cfRule type="cellIs" dxfId="29607" priority="16356" stopIfTrue="1" operator="equal">
      <formula>"Napkin Hs"</formula>
    </cfRule>
  </conditionalFormatting>
  <conditionalFormatting sqref="C34:C36">
    <cfRule type="cellIs" dxfId="29606" priority="16355" stopIfTrue="1" operator="equal">
      <formula>"Towel"</formula>
    </cfRule>
  </conditionalFormatting>
  <conditionalFormatting sqref="C34:C36">
    <cfRule type="cellIs" dxfId="29605" priority="16352" stopIfTrue="1" operator="equal">
      <formula>"Napkin Hs"</formula>
    </cfRule>
  </conditionalFormatting>
  <conditionalFormatting sqref="C34:C36">
    <cfRule type="cellIs" dxfId="29604" priority="16351" stopIfTrue="1" operator="equal">
      <formula>"Towel"</formula>
    </cfRule>
  </conditionalFormatting>
  <conditionalFormatting sqref="C34:C36">
    <cfRule type="cellIs" dxfId="29603" priority="16350" stopIfTrue="1" operator="equal">
      <formula>"Napkin Hs"</formula>
    </cfRule>
  </conditionalFormatting>
  <conditionalFormatting sqref="C34:C36">
    <cfRule type="cellIs" dxfId="29602" priority="16349" stopIfTrue="1" operator="equal">
      <formula>"Towel"</formula>
    </cfRule>
  </conditionalFormatting>
  <conditionalFormatting sqref="C34:C36">
    <cfRule type="cellIs" dxfId="29601" priority="16345" stopIfTrue="1" operator="equal">
      <formula>"Towel"</formula>
    </cfRule>
    <cfRule type="cellIs" dxfId="29600" priority="16346" stopIfTrue="1" operator="equal">
      <formula>"Napkin Hs"</formula>
    </cfRule>
  </conditionalFormatting>
  <conditionalFormatting sqref="C34:C36">
    <cfRule type="cellIs" dxfId="29599" priority="16343" stopIfTrue="1" operator="equal">
      <formula>"Towel"</formula>
    </cfRule>
    <cfRule type="cellIs" dxfId="29598" priority="16344" stopIfTrue="1" operator="equal">
      <formula>"Napkin Hs"</formula>
    </cfRule>
  </conditionalFormatting>
  <conditionalFormatting sqref="C34:C36">
    <cfRule type="cellIs" dxfId="29597" priority="16327" stopIfTrue="1" operator="equal">
      <formula>"Towel"</formula>
    </cfRule>
    <cfRule type="cellIs" dxfId="29596" priority="16328" stopIfTrue="1" operator="equal">
      <formula>"Napkin Hs"</formula>
    </cfRule>
  </conditionalFormatting>
  <conditionalFormatting sqref="C34:C36">
    <cfRule type="cellIs" dxfId="29595" priority="16325" stopIfTrue="1" operator="equal">
      <formula>"Towel"</formula>
    </cfRule>
    <cfRule type="cellIs" dxfId="29594" priority="16326" stopIfTrue="1" operator="equal">
      <formula>"Napkin Hs"</formula>
    </cfRule>
  </conditionalFormatting>
  <conditionalFormatting sqref="C34:C36">
    <cfRule type="cellIs" dxfId="29593" priority="16304" stopIfTrue="1" operator="equal">
      <formula>"Napkin Hs"</formula>
    </cfRule>
  </conditionalFormatting>
  <conditionalFormatting sqref="C34:C36">
    <cfRule type="cellIs" dxfId="29592" priority="16303" stopIfTrue="1" operator="equal">
      <formula>"Towel"</formula>
    </cfRule>
  </conditionalFormatting>
  <conditionalFormatting sqref="C34:C36">
    <cfRule type="cellIs" dxfId="29591" priority="16302" stopIfTrue="1" operator="equal">
      <formula>"Napkin Hs"</formula>
    </cfRule>
  </conditionalFormatting>
  <conditionalFormatting sqref="C34:C36">
    <cfRule type="cellIs" dxfId="29590" priority="16301" stopIfTrue="1" operator="equal">
      <formula>"Towel"</formula>
    </cfRule>
  </conditionalFormatting>
  <conditionalFormatting sqref="C34:C36">
    <cfRule type="cellIs" dxfId="29589" priority="16298" stopIfTrue="1" operator="equal">
      <formula>"Napkin Hs"</formula>
    </cfRule>
  </conditionalFormatting>
  <conditionalFormatting sqref="C34:C36">
    <cfRule type="cellIs" dxfId="29588" priority="16297" stopIfTrue="1" operator="equal">
      <formula>"Towel"</formula>
    </cfRule>
  </conditionalFormatting>
  <conditionalFormatting sqref="C34:C36">
    <cfRule type="cellIs" dxfId="29587" priority="16296" stopIfTrue="1" operator="equal">
      <formula>"Napkin Hs"</formula>
    </cfRule>
  </conditionalFormatting>
  <conditionalFormatting sqref="C34:C36">
    <cfRule type="cellIs" dxfId="29586" priority="16295" stopIfTrue="1" operator="equal">
      <formula>"Towel"</formula>
    </cfRule>
  </conditionalFormatting>
  <conditionalFormatting sqref="B34:C36">
    <cfRule type="cellIs" dxfId="29585" priority="16286" stopIfTrue="1" operator="equal">
      <formula>"Napkin Hs"</formula>
    </cfRule>
  </conditionalFormatting>
  <conditionalFormatting sqref="B34:C36">
    <cfRule type="cellIs" dxfId="29584" priority="16285" stopIfTrue="1" operator="equal">
      <formula>"Towel"</formula>
    </cfRule>
  </conditionalFormatting>
  <conditionalFormatting sqref="C34:C36">
    <cfRule type="cellIs" dxfId="29583" priority="16284" stopIfTrue="1" operator="equal">
      <formula>"Napkin Hs"</formula>
    </cfRule>
  </conditionalFormatting>
  <conditionalFormatting sqref="C34:C36">
    <cfRule type="cellIs" dxfId="29582" priority="16281" stopIfTrue="1" operator="equal">
      <formula>"Towel"</formula>
    </cfRule>
    <cfRule type="cellIs" dxfId="29581" priority="16282" stopIfTrue="1" operator="equal">
      <formula>"Napkin Hs"</formula>
    </cfRule>
  </conditionalFormatting>
  <conditionalFormatting sqref="C34:C36">
    <cfRule type="cellIs" dxfId="29580" priority="16283" stopIfTrue="1" operator="equal">
      <formula>"Towel"</formula>
    </cfRule>
  </conditionalFormatting>
  <conditionalFormatting sqref="B42:C42">
    <cfRule type="cellIs" dxfId="29579" priority="16279" stopIfTrue="1" operator="equal">
      <formula>"Towel"</formula>
    </cfRule>
    <cfRule type="cellIs" dxfId="29578" priority="16280" stopIfTrue="1" operator="equal">
      <formula>"Napkin Hs"</formula>
    </cfRule>
  </conditionalFormatting>
  <conditionalFormatting sqref="C42">
    <cfRule type="cellIs" dxfId="29577" priority="16271" stopIfTrue="1" operator="equal">
      <formula>"Towel"</formula>
    </cfRule>
    <cfRule type="cellIs" dxfId="29576" priority="16272" stopIfTrue="1" operator="equal">
      <formula>"Napkin Hs"</formula>
    </cfRule>
  </conditionalFormatting>
  <conditionalFormatting sqref="C42">
    <cfRule type="cellIs" dxfId="29575" priority="16277" stopIfTrue="1" operator="equal">
      <formula>"Towel"</formula>
    </cfRule>
    <cfRule type="cellIs" dxfId="29574" priority="16278" stopIfTrue="1" operator="equal">
      <formula>"Napkin Hs"</formula>
    </cfRule>
  </conditionalFormatting>
  <conditionalFormatting sqref="C42">
    <cfRule type="cellIs" dxfId="29573" priority="16275" stopIfTrue="1" operator="equal">
      <formula>"Towel"</formula>
    </cfRule>
    <cfRule type="cellIs" dxfId="29572" priority="16276" stopIfTrue="1" operator="equal">
      <formula>"Napkin Hs"</formula>
    </cfRule>
  </conditionalFormatting>
  <conditionalFormatting sqref="B42:C42">
    <cfRule type="cellIs" dxfId="29571" priority="16273" stopIfTrue="1" operator="equal">
      <formula>"Towel"</formula>
    </cfRule>
    <cfRule type="cellIs" dxfId="29570" priority="16274" stopIfTrue="1" operator="equal">
      <formula>"Napkin Hs"</formula>
    </cfRule>
  </conditionalFormatting>
  <conditionalFormatting sqref="C42">
    <cfRule type="cellIs" dxfId="29569" priority="16269" stopIfTrue="1" operator="equal">
      <formula>"Towel"</formula>
    </cfRule>
    <cfRule type="cellIs" dxfId="29568" priority="16270" stopIfTrue="1" operator="equal">
      <formula>"Napkin Hs"</formula>
    </cfRule>
  </conditionalFormatting>
  <conditionalFormatting sqref="B42:C42">
    <cfRule type="cellIs" dxfId="29567" priority="16268" stopIfTrue="1" operator="equal">
      <formula>"Napkin Hs"</formula>
    </cfRule>
  </conditionalFormatting>
  <conditionalFormatting sqref="B42:C42">
    <cfRule type="cellIs" dxfId="29566" priority="16267" stopIfTrue="1" operator="equal">
      <formula>"Towel"</formula>
    </cfRule>
  </conditionalFormatting>
  <conditionalFormatting sqref="C42">
    <cfRule type="cellIs" dxfId="29565" priority="16266" stopIfTrue="1" operator="equal">
      <formula>"Napkin Hs"</formula>
    </cfRule>
  </conditionalFormatting>
  <conditionalFormatting sqref="C42">
    <cfRule type="cellIs" dxfId="29564" priority="16263" stopIfTrue="1" operator="equal">
      <formula>"Towel"</formula>
    </cfRule>
    <cfRule type="cellIs" dxfId="29563" priority="16264" stopIfTrue="1" operator="equal">
      <formula>"Napkin Hs"</formula>
    </cfRule>
  </conditionalFormatting>
  <conditionalFormatting sqref="C42">
    <cfRule type="cellIs" dxfId="29562" priority="16265" stopIfTrue="1" operator="equal">
      <formula>"Towel"</formula>
    </cfRule>
  </conditionalFormatting>
  <conditionalFormatting sqref="C39">
    <cfRule type="cellIs" dxfId="29561" priority="16117" stopIfTrue="1" operator="equal">
      <formula>"Towel"</formula>
    </cfRule>
    <cfRule type="cellIs" dxfId="29560" priority="16118" stopIfTrue="1" operator="equal">
      <formula>"Napkin Hs"</formula>
    </cfRule>
  </conditionalFormatting>
  <conditionalFormatting sqref="C39">
    <cfRule type="cellIs" dxfId="29559" priority="16115" stopIfTrue="1" operator="equal">
      <formula>"Towel"</formula>
    </cfRule>
    <cfRule type="cellIs" dxfId="29558" priority="16116" stopIfTrue="1" operator="equal">
      <formula>"Napkin Hs"</formula>
    </cfRule>
  </conditionalFormatting>
  <conditionalFormatting sqref="C39">
    <cfRule type="cellIs" dxfId="29557" priority="16113" stopIfTrue="1" operator="equal">
      <formula>"Towel"</formula>
    </cfRule>
    <cfRule type="cellIs" dxfId="29556" priority="16114" stopIfTrue="1" operator="equal">
      <formula>"Napkin Hs"</formula>
    </cfRule>
  </conditionalFormatting>
  <conditionalFormatting sqref="C39">
    <cfRule type="cellIs" dxfId="29555" priority="16112" stopIfTrue="1" operator="equal">
      <formula>"Napkin Hs"</formula>
    </cfRule>
  </conditionalFormatting>
  <conditionalFormatting sqref="C39">
    <cfRule type="cellIs" dxfId="29554" priority="16111" stopIfTrue="1" operator="equal">
      <formula>"Towel"</formula>
    </cfRule>
  </conditionalFormatting>
  <conditionalFormatting sqref="C39">
    <cfRule type="cellIs" dxfId="29553" priority="16110" stopIfTrue="1" operator="equal">
      <formula>"Napkin Hs"</formula>
    </cfRule>
  </conditionalFormatting>
  <conditionalFormatting sqref="C39">
    <cfRule type="cellIs" dxfId="29552" priority="16109" stopIfTrue="1" operator="equal">
      <formula>"Towel"</formula>
    </cfRule>
  </conditionalFormatting>
  <conditionalFormatting sqref="C39">
    <cfRule type="cellIs" dxfId="29551" priority="16107" stopIfTrue="1" operator="equal">
      <formula>"Towel"</formula>
    </cfRule>
    <cfRule type="cellIs" dxfId="29550" priority="16108" stopIfTrue="1" operator="equal">
      <formula>"Napkin Hs"</formula>
    </cfRule>
  </conditionalFormatting>
  <conditionalFormatting sqref="C39">
    <cfRule type="cellIs" dxfId="29549" priority="16105" stopIfTrue="1" operator="equal">
      <formula>"Towel"</formula>
    </cfRule>
    <cfRule type="cellIs" dxfId="29548" priority="16106" stopIfTrue="1" operator="equal">
      <formula>"Napkin Hs"</formula>
    </cfRule>
  </conditionalFormatting>
  <conditionalFormatting sqref="C39">
    <cfRule type="cellIs" dxfId="29547" priority="16101" stopIfTrue="1" operator="equal">
      <formula>"Towel"</formula>
    </cfRule>
    <cfRule type="cellIs" dxfId="29546" priority="16102" stopIfTrue="1" operator="equal">
      <formula>"Napkin Hs"</formula>
    </cfRule>
  </conditionalFormatting>
  <conditionalFormatting sqref="C39">
    <cfRule type="cellIs" dxfId="29545" priority="16103" stopIfTrue="1" operator="equal">
      <formula>"Towel"</formula>
    </cfRule>
    <cfRule type="cellIs" dxfId="29544" priority="16104" stopIfTrue="1" operator="equal">
      <formula>"Napkin Hs"</formula>
    </cfRule>
  </conditionalFormatting>
  <conditionalFormatting sqref="C39">
    <cfRule type="cellIs" dxfId="29543" priority="16095" stopIfTrue="1" operator="equal">
      <formula>"Towel"</formula>
    </cfRule>
    <cfRule type="cellIs" dxfId="29542" priority="16096" stopIfTrue="1" operator="equal">
      <formula>"Napkin Hs"</formula>
    </cfRule>
  </conditionalFormatting>
  <conditionalFormatting sqref="C39">
    <cfRule type="cellIs" dxfId="29541" priority="16093" stopIfTrue="1" operator="equal">
      <formula>"Towel"</formula>
    </cfRule>
    <cfRule type="cellIs" dxfId="29540" priority="16094" stopIfTrue="1" operator="equal">
      <formula>"Napkin Hs"</formula>
    </cfRule>
  </conditionalFormatting>
  <conditionalFormatting sqref="C39">
    <cfRule type="cellIs" dxfId="29539" priority="16091" stopIfTrue="1" operator="equal">
      <formula>"Towel"</formula>
    </cfRule>
    <cfRule type="cellIs" dxfId="29538" priority="16092" stopIfTrue="1" operator="equal">
      <formula>"Napkin Hs"</formula>
    </cfRule>
  </conditionalFormatting>
  <conditionalFormatting sqref="C39">
    <cfRule type="cellIs" dxfId="29537" priority="16089" stopIfTrue="1" operator="equal">
      <formula>"Towel"</formula>
    </cfRule>
    <cfRule type="cellIs" dxfId="29536" priority="16090" stopIfTrue="1" operator="equal">
      <formula>"Napkin Hs"</formula>
    </cfRule>
  </conditionalFormatting>
  <conditionalFormatting sqref="C39">
    <cfRule type="cellIs" dxfId="29535" priority="16087" stopIfTrue="1" operator="equal">
      <formula>"Towel"</formula>
    </cfRule>
    <cfRule type="cellIs" dxfId="29534" priority="16088" stopIfTrue="1" operator="equal">
      <formula>"Napkin Hs"</formula>
    </cfRule>
  </conditionalFormatting>
  <conditionalFormatting sqref="C39">
    <cfRule type="cellIs" dxfId="29533" priority="16085" stopIfTrue="1" operator="equal">
      <formula>"Towel"</formula>
    </cfRule>
    <cfRule type="cellIs" dxfId="29532" priority="16086" stopIfTrue="1" operator="equal">
      <formula>"Napkin Hs"</formula>
    </cfRule>
  </conditionalFormatting>
  <conditionalFormatting sqref="C39">
    <cfRule type="cellIs" dxfId="29531" priority="16083" stopIfTrue="1" operator="equal">
      <formula>"Towel"</formula>
    </cfRule>
    <cfRule type="cellIs" dxfId="29530" priority="16084" stopIfTrue="1" operator="equal">
      <formula>"Napkin Hs"</formula>
    </cfRule>
  </conditionalFormatting>
  <conditionalFormatting sqref="C39">
    <cfRule type="cellIs" dxfId="29529" priority="16081" stopIfTrue="1" operator="equal">
      <formula>"Towel"</formula>
    </cfRule>
    <cfRule type="cellIs" dxfId="29528" priority="16082" stopIfTrue="1" operator="equal">
      <formula>"Napkin Hs"</formula>
    </cfRule>
  </conditionalFormatting>
  <conditionalFormatting sqref="C39">
    <cfRule type="cellIs" dxfId="29527" priority="16079" stopIfTrue="1" operator="equal">
      <formula>"Towel"</formula>
    </cfRule>
    <cfRule type="cellIs" dxfId="29526" priority="16080" stopIfTrue="1" operator="equal">
      <formula>"Napkin Hs"</formula>
    </cfRule>
  </conditionalFormatting>
  <conditionalFormatting sqref="C39">
    <cfRule type="cellIs" dxfId="29525" priority="16077" stopIfTrue="1" operator="equal">
      <formula>"Towel"</formula>
    </cfRule>
    <cfRule type="cellIs" dxfId="29524" priority="16078" stopIfTrue="1" operator="equal">
      <formula>"Napkin Hs"</formula>
    </cfRule>
  </conditionalFormatting>
  <conditionalFormatting sqref="C39">
    <cfRule type="cellIs" dxfId="29523" priority="16071" stopIfTrue="1" operator="equal">
      <formula>"Towel"</formula>
    </cfRule>
    <cfRule type="cellIs" dxfId="29522" priority="16072" stopIfTrue="1" operator="equal">
      <formula>"Napkin Hs"</formula>
    </cfRule>
  </conditionalFormatting>
  <conditionalFormatting sqref="C39">
    <cfRule type="cellIs" dxfId="29521" priority="16065" stopIfTrue="1" operator="equal">
      <formula>"Towel"</formula>
    </cfRule>
    <cfRule type="cellIs" dxfId="29520" priority="16066" stopIfTrue="1" operator="equal">
      <formula>"Napkin Hs"</formula>
    </cfRule>
  </conditionalFormatting>
  <conditionalFormatting sqref="C39">
    <cfRule type="cellIs" dxfId="29519" priority="16059" stopIfTrue="1" operator="equal">
      <formula>"Towel"</formula>
    </cfRule>
    <cfRule type="cellIs" dxfId="29518" priority="16060" stopIfTrue="1" operator="equal">
      <formula>"Napkin Hs"</formula>
    </cfRule>
  </conditionalFormatting>
  <conditionalFormatting sqref="C39">
    <cfRule type="cellIs" dxfId="29517" priority="16058" stopIfTrue="1" operator="equal">
      <formula>"Napkin Hs"</formula>
    </cfRule>
  </conditionalFormatting>
  <conditionalFormatting sqref="C39">
    <cfRule type="cellIs" dxfId="29516" priority="16057" stopIfTrue="1" operator="equal">
      <formula>"Towel"</formula>
    </cfRule>
  </conditionalFormatting>
  <conditionalFormatting sqref="C39">
    <cfRule type="cellIs" dxfId="29515" priority="16056" stopIfTrue="1" operator="equal">
      <formula>"Napkin Hs"</formula>
    </cfRule>
  </conditionalFormatting>
  <conditionalFormatting sqref="C39">
    <cfRule type="cellIs" dxfId="29514" priority="16055" stopIfTrue="1" operator="equal">
      <formula>"Towel"</formula>
    </cfRule>
  </conditionalFormatting>
  <conditionalFormatting sqref="C39">
    <cfRule type="cellIs" dxfId="29513" priority="16053" stopIfTrue="1" operator="equal">
      <formula>"Towel"</formula>
    </cfRule>
    <cfRule type="cellIs" dxfId="29512" priority="16054" stopIfTrue="1" operator="equal">
      <formula>"Napkin Hs"</formula>
    </cfRule>
  </conditionalFormatting>
  <conditionalFormatting sqref="C39">
    <cfRule type="cellIs" dxfId="29511" priority="16051" stopIfTrue="1" operator="equal">
      <formula>"Towel"</formula>
    </cfRule>
    <cfRule type="cellIs" dxfId="29510" priority="16052" stopIfTrue="1" operator="equal">
      <formula>"Napkin Hs"</formula>
    </cfRule>
  </conditionalFormatting>
  <conditionalFormatting sqref="C39">
    <cfRule type="cellIs" dxfId="29509" priority="16047" stopIfTrue="1" operator="equal">
      <formula>"Towel"</formula>
    </cfRule>
    <cfRule type="cellIs" dxfId="29508" priority="16048" stopIfTrue="1" operator="equal">
      <formula>"Napkin Hs"</formula>
    </cfRule>
  </conditionalFormatting>
  <conditionalFormatting sqref="C39">
    <cfRule type="cellIs" dxfId="29507" priority="16049" stopIfTrue="1" operator="equal">
      <formula>"Towel"</formula>
    </cfRule>
    <cfRule type="cellIs" dxfId="29506" priority="16050" stopIfTrue="1" operator="equal">
      <formula>"Napkin Hs"</formula>
    </cfRule>
  </conditionalFormatting>
  <conditionalFormatting sqref="C39">
    <cfRule type="cellIs" dxfId="29505" priority="16041" stopIfTrue="1" operator="equal">
      <formula>"Towel"</formula>
    </cfRule>
    <cfRule type="cellIs" dxfId="29504" priority="16042" stopIfTrue="1" operator="equal">
      <formula>"Napkin Hs"</formula>
    </cfRule>
  </conditionalFormatting>
  <conditionalFormatting sqref="C39">
    <cfRule type="cellIs" dxfId="29503" priority="16039" stopIfTrue="1" operator="equal">
      <formula>"Towel"</formula>
    </cfRule>
    <cfRule type="cellIs" dxfId="29502" priority="16040" stopIfTrue="1" operator="equal">
      <formula>"Napkin Hs"</formula>
    </cfRule>
  </conditionalFormatting>
  <conditionalFormatting sqref="C39">
    <cfRule type="cellIs" dxfId="29501" priority="16037" stopIfTrue="1" operator="equal">
      <formula>"Towel"</formula>
    </cfRule>
    <cfRule type="cellIs" dxfId="29500" priority="16038" stopIfTrue="1" operator="equal">
      <formula>"Napkin Hs"</formula>
    </cfRule>
  </conditionalFormatting>
  <conditionalFormatting sqref="C39">
    <cfRule type="cellIs" dxfId="29499" priority="16035" stopIfTrue="1" operator="equal">
      <formula>"Towel"</formula>
    </cfRule>
    <cfRule type="cellIs" dxfId="29498" priority="16036" stopIfTrue="1" operator="equal">
      <formula>"Napkin Hs"</formula>
    </cfRule>
  </conditionalFormatting>
  <conditionalFormatting sqref="C39">
    <cfRule type="cellIs" dxfId="29497" priority="16033" stopIfTrue="1" operator="equal">
      <formula>"Towel"</formula>
    </cfRule>
    <cfRule type="cellIs" dxfId="29496" priority="16034" stopIfTrue="1" operator="equal">
      <formula>"Napkin Hs"</formula>
    </cfRule>
  </conditionalFormatting>
  <conditionalFormatting sqref="C39">
    <cfRule type="cellIs" dxfId="29495" priority="16031" stopIfTrue="1" operator="equal">
      <formula>"Towel"</formula>
    </cfRule>
    <cfRule type="cellIs" dxfId="29494" priority="16032" stopIfTrue="1" operator="equal">
      <formula>"Napkin Hs"</formula>
    </cfRule>
  </conditionalFormatting>
  <conditionalFormatting sqref="C39">
    <cfRule type="cellIs" dxfId="29493" priority="16029" stopIfTrue="1" operator="equal">
      <formula>"Towel"</formula>
    </cfRule>
    <cfRule type="cellIs" dxfId="29492" priority="16030" stopIfTrue="1" operator="equal">
      <formula>"Napkin Hs"</formula>
    </cfRule>
  </conditionalFormatting>
  <conditionalFormatting sqref="C39">
    <cfRule type="cellIs" dxfId="29491" priority="16027" stopIfTrue="1" operator="equal">
      <formula>"Towel"</formula>
    </cfRule>
    <cfRule type="cellIs" dxfId="29490" priority="16028" stopIfTrue="1" operator="equal">
      <formula>"Napkin Hs"</formula>
    </cfRule>
  </conditionalFormatting>
  <conditionalFormatting sqref="C39">
    <cfRule type="cellIs" dxfId="29489" priority="16025" stopIfTrue="1" operator="equal">
      <formula>"Towel"</formula>
    </cfRule>
    <cfRule type="cellIs" dxfId="29488" priority="16026" stopIfTrue="1" operator="equal">
      <formula>"Napkin Hs"</formula>
    </cfRule>
  </conditionalFormatting>
  <conditionalFormatting sqref="C39">
    <cfRule type="cellIs" dxfId="29487" priority="16023" stopIfTrue="1" operator="equal">
      <formula>"Towel"</formula>
    </cfRule>
    <cfRule type="cellIs" dxfId="29486" priority="16024" stopIfTrue="1" operator="equal">
      <formula>"Napkin Hs"</formula>
    </cfRule>
  </conditionalFormatting>
  <conditionalFormatting sqref="C39">
    <cfRule type="cellIs" dxfId="29485" priority="16017" stopIfTrue="1" operator="equal">
      <formula>"Towel"</formula>
    </cfRule>
    <cfRule type="cellIs" dxfId="29484" priority="16018" stopIfTrue="1" operator="equal">
      <formula>"Napkin Hs"</formula>
    </cfRule>
  </conditionalFormatting>
  <conditionalFormatting sqref="C39">
    <cfRule type="cellIs" dxfId="29483" priority="16011" stopIfTrue="1" operator="equal">
      <formula>"Towel"</formula>
    </cfRule>
    <cfRule type="cellIs" dxfId="29482" priority="16012" stopIfTrue="1" operator="equal">
      <formula>"Napkin Hs"</formula>
    </cfRule>
  </conditionalFormatting>
  <conditionalFormatting sqref="C39">
    <cfRule type="cellIs" dxfId="29481" priority="16010" stopIfTrue="1" operator="equal">
      <formula>"Napkin Hs"</formula>
    </cfRule>
  </conditionalFormatting>
  <conditionalFormatting sqref="C39">
    <cfRule type="cellIs" dxfId="29480" priority="16009" stopIfTrue="1" operator="equal">
      <formula>"Towel"</formula>
    </cfRule>
  </conditionalFormatting>
  <conditionalFormatting sqref="C39">
    <cfRule type="cellIs" dxfId="29479" priority="16008" stopIfTrue="1" operator="equal">
      <formula>"Napkin Hs"</formula>
    </cfRule>
  </conditionalFormatting>
  <conditionalFormatting sqref="C39">
    <cfRule type="cellIs" dxfId="29478" priority="16005" stopIfTrue="1" operator="equal">
      <formula>"Towel"</formula>
    </cfRule>
    <cfRule type="cellIs" dxfId="29477" priority="16006" stopIfTrue="1" operator="equal">
      <formula>"Napkin Hs"</formula>
    </cfRule>
  </conditionalFormatting>
  <conditionalFormatting sqref="C39">
    <cfRule type="cellIs" dxfId="29476" priority="16007" stopIfTrue="1" operator="equal">
      <formula>"Towel"</formula>
    </cfRule>
  </conditionalFormatting>
  <conditionalFormatting sqref="C39">
    <cfRule type="cellIs" dxfId="29475" priority="16125" stopIfTrue="1" operator="equal">
      <formula>"Towel"</formula>
    </cfRule>
    <cfRule type="cellIs" dxfId="29474" priority="16126" stopIfTrue="1" operator="equal">
      <formula>"Napkin Hs"</formula>
    </cfRule>
  </conditionalFormatting>
  <conditionalFormatting sqref="C39">
    <cfRule type="cellIs" dxfId="29473" priority="16124" stopIfTrue="1" operator="equal">
      <formula>"Napkin Hs"</formula>
    </cfRule>
  </conditionalFormatting>
  <conditionalFormatting sqref="C39">
    <cfRule type="cellIs" dxfId="29472" priority="16123" stopIfTrue="1" operator="equal">
      <formula>"Towel"</formula>
    </cfRule>
  </conditionalFormatting>
  <conditionalFormatting sqref="C39">
    <cfRule type="cellIs" dxfId="29471" priority="16122" stopIfTrue="1" operator="equal">
      <formula>"Napkin Hs"</formula>
    </cfRule>
  </conditionalFormatting>
  <conditionalFormatting sqref="C39">
    <cfRule type="cellIs" dxfId="29470" priority="16119" stopIfTrue="1" operator="equal">
      <formula>"Towel"</formula>
    </cfRule>
    <cfRule type="cellIs" dxfId="29469" priority="16120" stopIfTrue="1" operator="equal">
      <formula>"Napkin Hs"</formula>
    </cfRule>
  </conditionalFormatting>
  <conditionalFormatting sqref="C39">
    <cfRule type="cellIs" dxfId="29468" priority="16121" stopIfTrue="1" operator="equal">
      <formula>"Towel"</formula>
    </cfRule>
  </conditionalFormatting>
  <conditionalFormatting sqref="C39">
    <cfRule type="cellIs" dxfId="29467" priority="16129" stopIfTrue="1" operator="equal">
      <formula>"Towel"</formula>
    </cfRule>
    <cfRule type="cellIs" dxfId="29466" priority="16130" stopIfTrue="1" operator="equal">
      <formula>"Napkin Hs"</formula>
    </cfRule>
  </conditionalFormatting>
  <conditionalFormatting sqref="C39">
    <cfRule type="cellIs" dxfId="29465" priority="16127" stopIfTrue="1" operator="equal">
      <formula>"Towel"</formula>
    </cfRule>
    <cfRule type="cellIs" dxfId="29464" priority="16128" stopIfTrue="1" operator="equal">
      <formula>"Napkin Hs"</formula>
    </cfRule>
  </conditionalFormatting>
  <conditionalFormatting sqref="C39">
    <cfRule type="cellIs" dxfId="29463" priority="16099" stopIfTrue="1" operator="equal">
      <formula>"Towel"</formula>
    </cfRule>
    <cfRule type="cellIs" dxfId="29462" priority="16100" stopIfTrue="1" operator="equal">
      <formula>"Napkin Hs"</formula>
    </cfRule>
  </conditionalFormatting>
  <conditionalFormatting sqref="C39">
    <cfRule type="cellIs" dxfId="29461" priority="16097" stopIfTrue="1" operator="equal">
      <formula>"Towel"</formula>
    </cfRule>
    <cfRule type="cellIs" dxfId="29460" priority="16098" stopIfTrue="1" operator="equal">
      <formula>"Napkin Hs"</formula>
    </cfRule>
  </conditionalFormatting>
  <conditionalFormatting sqref="C39">
    <cfRule type="cellIs" dxfId="29459" priority="16076" stopIfTrue="1" operator="equal">
      <formula>"Napkin Hs"</formula>
    </cfRule>
  </conditionalFormatting>
  <conditionalFormatting sqref="C39">
    <cfRule type="cellIs" dxfId="29458" priority="16075" stopIfTrue="1" operator="equal">
      <formula>"Towel"</formula>
    </cfRule>
  </conditionalFormatting>
  <conditionalFormatting sqref="C39">
    <cfRule type="cellIs" dxfId="29457" priority="16074" stopIfTrue="1" operator="equal">
      <formula>"Napkin Hs"</formula>
    </cfRule>
  </conditionalFormatting>
  <conditionalFormatting sqref="C39">
    <cfRule type="cellIs" dxfId="29456" priority="16073" stopIfTrue="1" operator="equal">
      <formula>"Towel"</formula>
    </cfRule>
  </conditionalFormatting>
  <conditionalFormatting sqref="C39">
    <cfRule type="cellIs" dxfId="29455" priority="16070" stopIfTrue="1" operator="equal">
      <formula>"Napkin Hs"</formula>
    </cfRule>
  </conditionalFormatting>
  <conditionalFormatting sqref="C39">
    <cfRule type="cellIs" dxfId="29454" priority="16069" stopIfTrue="1" operator="equal">
      <formula>"Towel"</formula>
    </cfRule>
  </conditionalFormatting>
  <conditionalFormatting sqref="C39">
    <cfRule type="cellIs" dxfId="29453" priority="16068" stopIfTrue="1" operator="equal">
      <formula>"Napkin Hs"</formula>
    </cfRule>
  </conditionalFormatting>
  <conditionalFormatting sqref="C39">
    <cfRule type="cellIs" dxfId="29452" priority="16067" stopIfTrue="1" operator="equal">
      <formula>"Towel"</formula>
    </cfRule>
  </conditionalFormatting>
  <conditionalFormatting sqref="C39">
    <cfRule type="cellIs" dxfId="29451" priority="16063" stopIfTrue="1" operator="equal">
      <formula>"Towel"</formula>
    </cfRule>
    <cfRule type="cellIs" dxfId="29450" priority="16064" stopIfTrue="1" operator="equal">
      <formula>"Napkin Hs"</formula>
    </cfRule>
  </conditionalFormatting>
  <conditionalFormatting sqref="C39">
    <cfRule type="cellIs" dxfId="29449" priority="16061" stopIfTrue="1" operator="equal">
      <formula>"Towel"</formula>
    </cfRule>
    <cfRule type="cellIs" dxfId="29448" priority="16062" stopIfTrue="1" operator="equal">
      <formula>"Napkin Hs"</formula>
    </cfRule>
  </conditionalFormatting>
  <conditionalFormatting sqref="C39">
    <cfRule type="cellIs" dxfId="29447" priority="16045" stopIfTrue="1" operator="equal">
      <formula>"Towel"</formula>
    </cfRule>
    <cfRule type="cellIs" dxfId="29446" priority="16046" stopIfTrue="1" operator="equal">
      <formula>"Napkin Hs"</formula>
    </cfRule>
  </conditionalFormatting>
  <conditionalFormatting sqref="C39">
    <cfRule type="cellIs" dxfId="29445" priority="16043" stopIfTrue="1" operator="equal">
      <formula>"Towel"</formula>
    </cfRule>
    <cfRule type="cellIs" dxfId="29444" priority="16044" stopIfTrue="1" operator="equal">
      <formula>"Napkin Hs"</formula>
    </cfRule>
  </conditionalFormatting>
  <conditionalFormatting sqref="C39">
    <cfRule type="cellIs" dxfId="29443" priority="16022" stopIfTrue="1" operator="equal">
      <formula>"Napkin Hs"</formula>
    </cfRule>
  </conditionalFormatting>
  <conditionalFormatting sqref="C39">
    <cfRule type="cellIs" dxfId="29442" priority="16021" stopIfTrue="1" operator="equal">
      <formula>"Towel"</formula>
    </cfRule>
  </conditionalFormatting>
  <conditionalFormatting sqref="C39">
    <cfRule type="cellIs" dxfId="29441" priority="16020" stopIfTrue="1" operator="equal">
      <formula>"Napkin Hs"</formula>
    </cfRule>
  </conditionalFormatting>
  <conditionalFormatting sqref="C39">
    <cfRule type="cellIs" dxfId="29440" priority="16019" stopIfTrue="1" operator="equal">
      <formula>"Towel"</formula>
    </cfRule>
  </conditionalFormatting>
  <conditionalFormatting sqref="C39">
    <cfRule type="cellIs" dxfId="29439" priority="16016" stopIfTrue="1" operator="equal">
      <formula>"Napkin Hs"</formula>
    </cfRule>
  </conditionalFormatting>
  <conditionalFormatting sqref="C39">
    <cfRule type="cellIs" dxfId="29438" priority="16015" stopIfTrue="1" operator="equal">
      <formula>"Towel"</formula>
    </cfRule>
  </conditionalFormatting>
  <conditionalFormatting sqref="C39">
    <cfRule type="cellIs" dxfId="29437" priority="16014" stopIfTrue="1" operator="equal">
      <formula>"Napkin Hs"</formula>
    </cfRule>
  </conditionalFormatting>
  <conditionalFormatting sqref="C39">
    <cfRule type="cellIs" dxfId="29436" priority="16013" stopIfTrue="1" operator="equal">
      <formula>"Towel"</formula>
    </cfRule>
  </conditionalFormatting>
  <conditionalFormatting sqref="B39:C39">
    <cfRule type="cellIs" dxfId="29435" priority="16004" stopIfTrue="1" operator="equal">
      <formula>"Napkin Hs"</formula>
    </cfRule>
  </conditionalFormatting>
  <conditionalFormatting sqref="B39:C39">
    <cfRule type="cellIs" dxfId="29434" priority="16003" stopIfTrue="1" operator="equal">
      <formula>"Towel"</formula>
    </cfRule>
  </conditionalFormatting>
  <conditionalFormatting sqref="C39">
    <cfRule type="cellIs" dxfId="29433" priority="16002" stopIfTrue="1" operator="equal">
      <formula>"Napkin Hs"</formula>
    </cfRule>
  </conditionalFormatting>
  <conditionalFormatting sqref="C39">
    <cfRule type="cellIs" dxfId="29432" priority="15999" stopIfTrue="1" operator="equal">
      <formula>"Towel"</formula>
    </cfRule>
    <cfRule type="cellIs" dxfId="29431" priority="16000" stopIfTrue="1" operator="equal">
      <formula>"Napkin Hs"</formula>
    </cfRule>
  </conditionalFormatting>
  <conditionalFormatting sqref="C39">
    <cfRule type="cellIs" dxfId="29430" priority="16001" stopIfTrue="1" operator="equal">
      <formula>"Towel"</formula>
    </cfRule>
  </conditionalFormatting>
  <conditionalFormatting sqref="C38">
    <cfRule type="cellIs" dxfId="29429" priority="15985" stopIfTrue="1" operator="equal">
      <formula>"Towel"</formula>
    </cfRule>
    <cfRule type="cellIs" dxfId="29428" priority="15986" stopIfTrue="1" operator="equal">
      <formula>"Napkin Hs"</formula>
    </cfRule>
  </conditionalFormatting>
  <conditionalFormatting sqref="C38">
    <cfRule type="cellIs" dxfId="29427" priority="15983" stopIfTrue="1" operator="equal">
      <formula>"Towel"</formula>
    </cfRule>
    <cfRule type="cellIs" dxfId="29426" priority="15984" stopIfTrue="1" operator="equal">
      <formula>"Napkin Hs"</formula>
    </cfRule>
  </conditionalFormatting>
  <conditionalFormatting sqref="C38">
    <cfRule type="cellIs" dxfId="29425" priority="15981" stopIfTrue="1" operator="equal">
      <formula>"Towel"</formula>
    </cfRule>
    <cfRule type="cellIs" dxfId="29424" priority="15982" stopIfTrue="1" operator="equal">
      <formula>"Napkin Hs"</formula>
    </cfRule>
  </conditionalFormatting>
  <conditionalFormatting sqref="C38">
    <cfRule type="cellIs" dxfId="29423" priority="15980" stopIfTrue="1" operator="equal">
      <formula>"Napkin Hs"</formula>
    </cfRule>
  </conditionalFormatting>
  <conditionalFormatting sqref="C38">
    <cfRule type="cellIs" dxfId="29422" priority="15979" stopIfTrue="1" operator="equal">
      <formula>"Towel"</formula>
    </cfRule>
  </conditionalFormatting>
  <conditionalFormatting sqref="C38">
    <cfRule type="cellIs" dxfId="29421" priority="15978" stopIfTrue="1" operator="equal">
      <formula>"Napkin Hs"</formula>
    </cfRule>
  </conditionalFormatting>
  <conditionalFormatting sqref="C38">
    <cfRule type="cellIs" dxfId="29420" priority="15977" stopIfTrue="1" operator="equal">
      <formula>"Towel"</formula>
    </cfRule>
  </conditionalFormatting>
  <conditionalFormatting sqref="C38">
    <cfRule type="cellIs" dxfId="29419" priority="15975" stopIfTrue="1" operator="equal">
      <formula>"Towel"</formula>
    </cfRule>
    <cfRule type="cellIs" dxfId="29418" priority="15976" stopIfTrue="1" operator="equal">
      <formula>"Napkin Hs"</formula>
    </cfRule>
  </conditionalFormatting>
  <conditionalFormatting sqref="C38">
    <cfRule type="cellIs" dxfId="29417" priority="15973" stopIfTrue="1" operator="equal">
      <formula>"Towel"</formula>
    </cfRule>
    <cfRule type="cellIs" dxfId="29416" priority="15974" stopIfTrue="1" operator="equal">
      <formula>"Napkin Hs"</formula>
    </cfRule>
  </conditionalFormatting>
  <conditionalFormatting sqref="C38">
    <cfRule type="cellIs" dxfId="29415" priority="15969" stopIfTrue="1" operator="equal">
      <formula>"Towel"</formula>
    </cfRule>
    <cfRule type="cellIs" dxfId="29414" priority="15970" stopIfTrue="1" operator="equal">
      <formula>"Napkin Hs"</formula>
    </cfRule>
  </conditionalFormatting>
  <conditionalFormatting sqref="C38">
    <cfRule type="cellIs" dxfId="29413" priority="15971" stopIfTrue="1" operator="equal">
      <formula>"Towel"</formula>
    </cfRule>
    <cfRule type="cellIs" dxfId="29412" priority="15972" stopIfTrue="1" operator="equal">
      <formula>"Napkin Hs"</formula>
    </cfRule>
  </conditionalFormatting>
  <conditionalFormatting sqref="C38">
    <cfRule type="cellIs" dxfId="29411" priority="15963" stopIfTrue="1" operator="equal">
      <formula>"Towel"</formula>
    </cfRule>
    <cfRule type="cellIs" dxfId="29410" priority="15964" stopIfTrue="1" operator="equal">
      <formula>"Napkin Hs"</formula>
    </cfRule>
  </conditionalFormatting>
  <conditionalFormatting sqref="C38">
    <cfRule type="cellIs" dxfId="29409" priority="15961" stopIfTrue="1" operator="equal">
      <formula>"Towel"</formula>
    </cfRule>
    <cfRule type="cellIs" dxfId="29408" priority="15962" stopIfTrue="1" operator="equal">
      <formula>"Napkin Hs"</formula>
    </cfRule>
  </conditionalFormatting>
  <conditionalFormatting sqref="C38">
    <cfRule type="cellIs" dxfId="29407" priority="15959" stopIfTrue="1" operator="equal">
      <formula>"Towel"</formula>
    </cfRule>
    <cfRule type="cellIs" dxfId="29406" priority="15960" stopIfTrue="1" operator="equal">
      <formula>"Napkin Hs"</formula>
    </cfRule>
  </conditionalFormatting>
  <conditionalFormatting sqref="C38">
    <cfRule type="cellIs" dxfId="29405" priority="15957" stopIfTrue="1" operator="equal">
      <formula>"Towel"</formula>
    </cfRule>
    <cfRule type="cellIs" dxfId="29404" priority="15958" stopIfTrue="1" operator="equal">
      <formula>"Napkin Hs"</formula>
    </cfRule>
  </conditionalFormatting>
  <conditionalFormatting sqref="C38">
    <cfRule type="cellIs" dxfId="29403" priority="15955" stopIfTrue="1" operator="equal">
      <formula>"Towel"</formula>
    </cfRule>
    <cfRule type="cellIs" dxfId="29402" priority="15956" stopIfTrue="1" operator="equal">
      <formula>"Napkin Hs"</formula>
    </cfRule>
  </conditionalFormatting>
  <conditionalFormatting sqref="C38">
    <cfRule type="cellIs" dxfId="29401" priority="15953" stopIfTrue="1" operator="equal">
      <formula>"Towel"</formula>
    </cfRule>
    <cfRule type="cellIs" dxfId="29400" priority="15954" stopIfTrue="1" operator="equal">
      <formula>"Napkin Hs"</formula>
    </cfRule>
  </conditionalFormatting>
  <conditionalFormatting sqref="C38">
    <cfRule type="cellIs" dxfId="29399" priority="15951" stopIfTrue="1" operator="equal">
      <formula>"Towel"</formula>
    </cfRule>
    <cfRule type="cellIs" dxfId="29398" priority="15952" stopIfTrue="1" operator="equal">
      <formula>"Napkin Hs"</formula>
    </cfRule>
  </conditionalFormatting>
  <conditionalFormatting sqref="C38">
    <cfRule type="cellIs" dxfId="29397" priority="15949" stopIfTrue="1" operator="equal">
      <formula>"Towel"</formula>
    </cfRule>
    <cfRule type="cellIs" dxfId="29396" priority="15950" stopIfTrue="1" operator="equal">
      <formula>"Napkin Hs"</formula>
    </cfRule>
  </conditionalFormatting>
  <conditionalFormatting sqref="C38">
    <cfRule type="cellIs" dxfId="29395" priority="15947" stopIfTrue="1" operator="equal">
      <formula>"Towel"</formula>
    </cfRule>
    <cfRule type="cellIs" dxfId="29394" priority="15948" stopIfTrue="1" operator="equal">
      <formula>"Napkin Hs"</formula>
    </cfRule>
  </conditionalFormatting>
  <conditionalFormatting sqref="C38">
    <cfRule type="cellIs" dxfId="29393" priority="15945" stopIfTrue="1" operator="equal">
      <formula>"Towel"</formula>
    </cfRule>
    <cfRule type="cellIs" dxfId="29392" priority="15946" stopIfTrue="1" operator="equal">
      <formula>"Napkin Hs"</formula>
    </cfRule>
  </conditionalFormatting>
  <conditionalFormatting sqref="C38">
    <cfRule type="cellIs" dxfId="29391" priority="15939" stopIfTrue="1" operator="equal">
      <formula>"Towel"</formula>
    </cfRule>
    <cfRule type="cellIs" dxfId="29390" priority="15940" stopIfTrue="1" operator="equal">
      <formula>"Napkin Hs"</formula>
    </cfRule>
  </conditionalFormatting>
  <conditionalFormatting sqref="C38">
    <cfRule type="cellIs" dxfId="29389" priority="15933" stopIfTrue="1" operator="equal">
      <formula>"Towel"</formula>
    </cfRule>
    <cfRule type="cellIs" dxfId="29388" priority="15934" stopIfTrue="1" operator="equal">
      <formula>"Napkin Hs"</formula>
    </cfRule>
  </conditionalFormatting>
  <conditionalFormatting sqref="C38">
    <cfRule type="cellIs" dxfId="29387" priority="15927" stopIfTrue="1" operator="equal">
      <formula>"Towel"</formula>
    </cfRule>
    <cfRule type="cellIs" dxfId="29386" priority="15928" stopIfTrue="1" operator="equal">
      <formula>"Napkin Hs"</formula>
    </cfRule>
  </conditionalFormatting>
  <conditionalFormatting sqref="C38">
    <cfRule type="cellIs" dxfId="29385" priority="15926" stopIfTrue="1" operator="equal">
      <formula>"Napkin Hs"</formula>
    </cfRule>
  </conditionalFormatting>
  <conditionalFormatting sqref="C38">
    <cfRule type="cellIs" dxfId="29384" priority="15925" stopIfTrue="1" operator="equal">
      <formula>"Towel"</formula>
    </cfRule>
  </conditionalFormatting>
  <conditionalFormatting sqref="C38">
    <cfRule type="cellIs" dxfId="29383" priority="15924" stopIfTrue="1" operator="equal">
      <formula>"Napkin Hs"</formula>
    </cfRule>
  </conditionalFormatting>
  <conditionalFormatting sqref="C38">
    <cfRule type="cellIs" dxfId="29382" priority="15923" stopIfTrue="1" operator="equal">
      <formula>"Towel"</formula>
    </cfRule>
  </conditionalFormatting>
  <conditionalFormatting sqref="C38">
    <cfRule type="cellIs" dxfId="29381" priority="15921" stopIfTrue="1" operator="equal">
      <formula>"Towel"</formula>
    </cfRule>
    <cfRule type="cellIs" dxfId="29380" priority="15922" stopIfTrue="1" operator="equal">
      <formula>"Napkin Hs"</formula>
    </cfRule>
  </conditionalFormatting>
  <conditionalFormatting sqref="C38">
    <cfRule type="cellIs" dxfId="29379" priority="15919" stopIfTrue="1" operator="equal">
      <formula>"Towel"</formula>
    </cfRule>
    <cfRule type="cellIs" dxfId="29378" priority="15920" stopIfTrue="1" operator="equal">
      <formula>"Napkin Hs"</formula>
    </cfRule>
  </conditionalFormatting>
  <conditionalFormatting sqref="C38">
    <cfRule type="cellIs" dxfId="29377" priority="15915" stopIfTrue="1" operator="equal">
      <formula>"Towel"</formula>
    </cfRule>
    <cfRule type="cellIs" dxfId="29376" priority="15916" stopIfTrue="1" operator="equal">
      <formula>"Napkin Hs"</formula>
    </cfRule>
  </conditionalFormatting>
  <conditionalFormatting sqref="C38">
    <cfRule type="cellIs" dxfId="29375" priority="15917" stopIfTrue="1" operator="equal">
      <formula>"Towel"</formula>
    </cfRule>
    <cfRule type="cellIs" dxfId="29374" priority="15918" stopIfTrue="1" operator="equal">
      <formula>"Napkin Hs"</formula>
    </cfRule>
  </conditionalFormatting>
  <conditionalFormatting sqref="C38">
    <cfRule type="cellIs" dxfId="29373" priority="15909" stopIfTrue="1" operator="equal">
      <formula>"Towel"</formula>
    </cfRule>
    <cfRule type="cellIs" dxfId="29372" priority="15910" stopIfTrue="1" operator="equal">
      <formula>"Napkin Hs"</formula>
    </cfRule>
  </conditionalFormatting>
  <conditionalFormatting sqref="C38">
    <cfRule type="cellIs" dxfId="29371" priority="15907" stopIfTrue="1" operator="equal">
      <formula>"Towel"</formula>
    </cfRule>
    <cfRule type="cellIs" dxfId="29370" priority="15908" stopIfTrue="1" operator="equal">
      <formula>"Napkin Hs"</formula>
    </cfRule>
  </conditionalFormatting>
  <conditionalFormatting sqref="C38">
    <cfRule type="cellIs" dxfId="29369" priority="15905" stopIfTrue="1" operator="equal">
      <formula>"Towel"</formula>
    </cfRule>
    <cfRule type="cellIs" dxfId="29368" priority="15906" stopIfTrue="1" operator="equal">
      <formula>"Napkin Hs"</formula>
    </cfRule>
  </conditionalFormatting>
  <conditionalFormatting sqref="C38">
    <cfRule type="cellIs" dxfId="29367" priority="15903" stopIfTrue="1" operator="equal">
      <formula>"Towel"</formula>
    </cfRule>
    <cfRule type="cellIs" dxfId="29366" priority="15904" stopIfTrue="1" operator="equal">
      <formula>"Napkin Hs"</formula>
    </cfRule>
  </conditionalFormatting>
  <conditionalFormatting sqref="C38">
    <cfRule type="cellIs" dxfId="29365" priority="15901" stopIfTrue="1" operator="equal">
      <formula>"Towel"</formula>
    </cfRule>
    <cfRule type="cellIs" dxfId="29364" priority="15902" stopIfTrue="1" operator="equal">
      <formula>"Napkin Hs"</formula>
    </cfRule>
  </conditionalFormatting>
  <conditionalFormatting sqref="C38">
    <cfRule type="cellIs" dxfId="29363" priority="15899" stopIfTrue="1" operator="equal">
      <formula>"Towel"</formula>
    </cfRule>
    <cfRule type="cellIs" dxfId="29362" priority="15900" stopIfTrue="1" operator="equal">
      <formula>"Napkin Hs"</formula>
    </cfRule>
  </conditionalFormatting>
  <conditionalFormatting sqref="C38">
    <cfRule type="cellIs" dxfId="29361" priority="15897" stopIfTrue="1" operator="equal">
      <formula>"Towel"</formula>
    </cfRule>
    <cfRule type="cellIs" dxfId="29360" priority="15898" stopIfTrue="1" operator="equal">
      <formula>"Napkin Hs"</formula>
    </cfRule>
  </conditionalFormatting>
  <conditionalFormatting sqref="C38">
    <cfRule type="cellIs" dxfId="29359" priority="15895" stopIfTrue="1" operator="equal">
      <formula>"Towel"</formula>
    </cfRule>
    <cfRule type="cellIs" dxfId="29358" priority="15896" stopIfTrue="1" operator="equal">
      <formula>"Napkin Hs"</formula>
    </cfRule>
  </conditionalFormatting>
  <conditionalFormatting sqref="C38">
    <cfRule type="cellIs" dxfId="29357" priority="15893" stopIfTrue="1" operator="equal">
      <formula>"Towel"</formula>
    </cfRule>
    <cfRule type="cellIs" dxfId="29356" priority="15894" stopIfTrue="1" operator="equal">
      <formula>"Napkin Hs"</formula>
    </cfRule>
  </conditionalFormatting>
  <conditionalFormatting sqref="C38">
    <cfRule type="cellIs" dxfId="29355" priority="15891" stopIfTrue="1" operator="equal">
      <formula>"Towel"</formula>
    </cfRule>
    <cfRule type="cellIs" dxfId="29354" priority="15892" stopIfTrue="1" operator="equal">
      <formula>"Napkin Hs"</formula>
    </cfRule>
  </conditionalFormatting>
  <conditionalFormatting sqref="C38">
    <cfRule type="cellIs" dxfId="29353" priority="15885" stopIfTrue="1" operator="equal">
      <formula>"Towel"</formula>
    </cfRule>
    <cfRule type="cellIs" dxfId="29352" priority="15886" stopIfTrue="1" operator="equal">
      <formula>"Napkin Hs"</formula>
    </cfRule>
  </conditionalFormatting>
  <conditionalFormatting sqref="C38">
    <cfRule type="cellIs" dxfId="29351" priority="15879" stopIfTrue="1" operator="equal">
      <formula>"Towel"</formula>
    </cfRule>
    <cfRule type="cellIs" dxfId="29350" priority="15880" stopIfTrue="1" operator="equal">
      <formula>"Napkin Hs"</formula>
    </cfRule>
  </conditionalFormatting>
  <conditionalFormatting sqref="C38">
    <cfRule type="cellIs" dxfId="29349" priority="15878" stopIfTrue="1" operator="equal">
      <formula>"Napkin Hs"</formula>
    </cfRule>
  </conditionalFormatting>
  <conditionalFormatting sqref="C38">
    <cfRule type="cellIs" dxfId="29348" priority="15877" stopIfTrue="1" operator="equal">
      <formula>"Towel"</formula>
    </cfRule>
  </conditionalFormatting>
  <conditionalFormatting sqref="C38">
    <cfRule type="cellIs" dxfId="29347" priority="15876" stopIfTrue="1" operator="equal">
      <formula>"Napkin Hs"</formula>
    </cfRule>
  </conditionalFormatting>
  <conditionalFormatting sqref="C38">
    <cfRule type="cellIs" dxfId="29346" priority="15873" stopIfTrue="1" operator="equal">
      <formula>"Towel"</formula>
    </cfRule>
    <cfRule type="cellIs" dxfId="29345" priority="15874" stopIfTrue="1" operator="equal">
      <formula>"Napkin Hs"</formula>
    </cfRule>
  </conditionalFormatting>
  <conditionalFormatting sqref="C38">
    <cfRule type="cellIs" dxfId="29344" priority="15875" stopIfTrue="1" operator="equal">
      <formula>"Towel"</formula>
    </cfRule>
  </conditionalFormatting>
  <conditionalFormatting sqref="C38">
    <cfRule type="cellIs" dxfId="29343" priority="15993" stopIfTrue="1" operator="equal">
      <formula>"Towel"</formula>
    </cfRule>
    <cfRule type="cellIs" dxfId="29342" priority="15994" stopIfTrue="1" operator="equal">
      <formula>"Napkin Hs"</formula>
    </cfRule>
  </conditionalFormatting>
  <conditionalFormatting sqref="C38">
    <cfRule type="cellIs" dxfId="29341" priority="15992" stopIfTrue="1" operator="equal">
      <formula>"Napkin Hs"</formula>
    </cfRule>
  </conditionalFormatting>
  <conditionalFormatting sqref="C38">
    <cfRule type="cellIs" dxfId="29340" priority="15991" stopIfTrue="1" operator="equal">
      <formula>"Towel"</formula>
    </cfRule>
  </conditionalFormatting>
  <conditionalFormatting sqref="C38">
    <cfRule type="cellIs" dxfId="29339" priority="15990" stopIfTrue="1" operator="equal">
      <formula>"Napkin Hs"</formula>
    </cfRule>
  </conditionalFormatting>
  <conditionalFormatting sqref="C38">
    <cfRule type="cellIs" dxfId="29338" priority="15987" stopIfTrue="1" operator="equal">
      <formula>"Towel"</formula>
    </cfRule>
    <cfRule type="cellIs" dxfId="29337" priority="15988" stopIfTrue="1" operator="equal">
      <formula>"Napkin Hs"</formula>
    </cfRule>
  </conditionalFormatting>
  <conditionalFormatting sqref="C38">
    <cfRule type="cellIs" dxfId="29336" priority="15989" stopIfTrue="1" operator="equal">
      <formula>"Towel"</formula>
    </cfRule>
  </conditionalFormatting>
  <conditionalFormatting sqref="C38">
    <cfRule type="cellIs" dxfId="29335" priority="15997" stopIfTrue="1" operator="equal">
      <formula>"Towel"</formula>
    </cfRule>
    <cfRule type="cellIs" dxfId="29334" priority="15998" stopIfTrue="1" operator="equal">
      <formula>"Napkin Hs"</formula>
    </cfRule>
  </conditionalFormatting>
  <conditionalFormatting sqref="C38">
    <cfRule type="cellIs" dxfId="29333" priority="15995" stopIfTrue="1" operator="equal">
      <formula>"Towel"</formula>
    </cfRule>
    <cfRule type="cellIs" dxfId="29332" priority="15996" stopIfTrue="1" operator="equal">
      <formula>"Napkin Hs"</formula>
    </cfRule>
  </conditionalFormatting>
  <conditionalFormatting sqref="C38">
    <cfRule type="cellIs" dxfId="29331" priority="15967" stopIfTrue="1" operator="equal">
      <formula>"Towel"</formula>
    </cfRule>
    <cfRule type="cellIs" dxfId="29330" priority="15968" stopIfTrue="1" operator="equal">
      <formula>"Napkin Hs"</formula>
    </cfRule>
  </conditionalFormatting>
  <conditionalFormatting sqref="C38">
    <cfRule type="cellIs" dxfId="29329" priority="15965" stopIfTrue="1" operator="equal">
      <formula>"Towel"</formula>
    </cfRule>
    <cfRule type="cellIs" dxfId="29328" priority="15966" stopIfTrue="1" operator="equal">
      <formula>"Napkin Hs"</formula>
    </cfRule>
  </conditionalFormatting>
  <conditionalFormatting sqref="C38">
    <cfRule type="cellIs" dxfId="29327" priority="15944" stopIfTrue="1" operator="equal">
      <formula>"Napkin Hs"</formula>
    </cfRule>
  </conditionalFormatting>
  <conditionalFormatting sqref="C38">
    <cfRule type="cellIs" dxfId="29326" priority="15943" stopIfTrue="1" operator="equal">
      <formula>"Towel"</formula>
    </cfRule>
  </conditionalFormatting>
  <conditionalFormatting sqref="C38">
    <cfRule type="cellIs" dxfId="29325" priority="15942" stopIfTrue="1" operator="equal">
      <formula>"Napkin Hs"</formula>
    </cfRule>
  </conditionalFormatting>
  <conditionalFormatting sqref="C38">
    <cfRule type="cellIs" dxfId="29324" priority="15941" stopIfTrue="1" operator="equal">
      <formula>"Towel"</formula>
    </cfRule>
  </conditionalFormatting>
  <conditionalFormatting sqref="C38">
    <cfRule type="cellIs" dxfId="29323" priority="15938" stopIfTrue="1" operator="equal">
      <formula>"Napkin Hs"</formula>
    </cfRule>
  </conditionalFormatting>
  <conditionalFormatting sqref="C38">
    <cfRule type="cellIs" dxfId="29322" priority="15937" stopIfTrue="1" operator="equal">
      <formula>"Towel"</formula>
    </cfRule>
  </conditionalFormatting>
  <conditionalFormatting sqref="C38">
    <cfRule type="cellIs" dxfId="29321" priority="15936" stopIfTrue="1" operator="equal">
      <formula>"Napkin Hs"</formula>
    </cfRule>
  </conditionalFormatting>
  <conditionalFormatting sqref="C38">
    <cfRule type="cellIs" dxfId="29320" priority="15935" stopIfTrue="1" operator="equal">
      <formula>"Towel"</formula>
    </cfRule>
  </conditionalFormatting>
  <conditionalFormatting sqref="C38">
    <cfRule type="cellIs" dxfId="29319" priority="15931" stopIfTrue="1" operator="equal">
      <formula>"Towel"</formula>
    </cfRule>
    <cfRule type="cellIs" dxfId="29318" priority="15932" stopIfTrue="1" operator="equal">
      <formula>"Napkin Hs"</formula>
    </cfRule>
  </conditionalFormatting>
  <conditionalFormatting sqref="C38">
    <cfRule type="cellIs" dxfId="29317" priority="15929" stopIfTrue="1" operator="equal">
      <formula>"Towel"</formula>
    </cfRule>
    <cfRule type="cellIs" dxfId="29316" priority="15930" stopIfTrue="1" operator="equal">
      <formula>"Napkin Hs"</formula>
    </cfRule>
  </conditionalFormatting>
  <conditionalFormatting sqref="C38">
    <cfRule type="cellIs" dxfId="29315" priority="15913" stopIfTrue="1" operator="equal">
      <formula>"Towel"</formula>
    </cfRule>
    <cfRule type="cellIs" dxfId="29314" priority="15914" stopIfTrue="1" operator="equal">
      <formula>"Napkin Hs"</formula>
    </cfRule>
  </conditionalFormatting>
  <conditionalFormatting sqref="C38">
    <cfRule type="cellIs" dxfId="29313" priority="15911" stopIfTrue="1" operator="equal">
      <formula>"Towel"</formula>
    </cfRule>
    <cfRule type="cellIs" dxfId="29312" priority="15912" stopIfTrue="1" operator="equal">
      <formula>"Napkin Hs"</formula>
    </cfRule>
  </conditionalFormatting>
  <conditionalFormatting sqref="C38">
    <cfRule type="cellIs" dxfId="29311" priority="15890" stopIfTrue="1" operator="equal">
      <formula>"Napkin Hs"</formula>
    </cfRule>
  </conditionalFormatting>
  <conditionalFormatting sqref="C38">
    <cfRule type="cellIs" dxfId="29310" priority="15889" stopIfTrue="1" operator="equal">
      <formula>"Towel"</formula>
    </cfRule>
  </conditionalFormatting>
  <conditionalFormatting sqref="C38">
    <cfRule type="cellIs" dxfId="29309" priority="15888" stopIfTrue="1" operator="equal">
      <formula>"Napkin Hs"</formula>
    </cfRule>
  </conditionalFormatting>
  <conditionalFormatting sqref="C38">
    <cfRule type="cellIs" dxfId="29308" priority="15887" stopIfTrue="1" operator="equal">
      <formula>"Towel"</formula>
    </cfRule>
  </conditionalFormatting>
  <conditionalFormatting sqref="C38">
    <cfRule type="cellIs" dxfId="29307" priority="15884" stopIfTrue="1" operator="equal">
      <formula>"Napkin Hs"</formula>
    </cfRule>
  </conditionalFormatting>
  <conditionalFormatting sqref="C38">
    <cfRule type="cellIs" dxfId="29306" priority="15883" stopIfTrue="1" operator="equal">
      <formula>"Towel"</formula>
    </cfRule>
  </conditionalFormatting>
  <conditionalFormatting sqref="C38">
    <cfRule type="cellIs" dxfId="29305" priority="15882" stopIfTrue="1" operator="equal">
      <formula>"Napkin Hs"</formula>
    </cfRule>
  </conditionalFormatting>
  <conditionalFormatting sqref="C38">
    <cfRule type="cellIs" dxfId="29304" priority="15881" stopIfTrue="1" operator="equal">
      <formula>"Towel"</formula>
    </cfRule>
  </conditionalFormatting>
  <conditionalFormatting sqref="B38:C38">
    <cfRule type="cellIs" dxfId="29303" priority="15872" stopIfTrue="1" operator="equal">
      <formula>"Napkin Hs"</formula>
    </cfRule>
  </conditionalFormatting>
  <conditionalFormatting sqref="B38:C38">
    <cfRule type="cellIs" dxfId="29302" priority="15871" stopIfTrue="1" operator="equal">
      <formula>"Towel"</formula>
    </cfRule>
  </conditionalFormatting>
  <conditionalFormatting sqref="C38">
    <cfRule type="cellIs" dxfId="29301" priority="15870" stopIfTrue="1" operator="equal">
      <formula>"Napkin Hs"</formula>
    </cfRule>
  </conditionalFormatting>
  <conditionalFormatting sqref="C38">
    <cfRule type="cellIs" dxfId="29300" priority="15867" stopIfTrue="1" operator="equal">
      <formula>"Towel"</formula>
    </cfRule>
    <cfRule type="cellIs" dxfId="29299" priority="15868" stopIfTrue="1" operator="equal">
      <formula>"Napkin Hs"</formula>
    </cfRule>
  </conditionalFormatting>
  <conditionalFormatting sqref="C38">
    <cfRule type="cellIs" dxfId="29298" priority="15869" stopIfTrue="1" operator="equal">
      <formula>"Towel"</formula>
    </cfRule>
  </conditionalFormatting>
  <conditionalFormatting sqref="C40:C41">
    <cfRule type="cellIs" dxfId="29297" priority="15783" stopIfTrue="1" operator="equal">
      <formula>"Towel"</formula>
    </cfRule>
    <cfRule type="cellIs" dxfId="29296" priority="15784" stopIfTrue="1" operator="equal">
      <formula>"Napkin Hs"</formula>
    </cfRule>
  </conditionalFormatting>
  <conditionalFormatting sqref="C40:C41">
    <cfRule type="cellIs" dxfId="29295" priority="15777" stopIfTrue="1" operator="equal">
      <formula>"Towel"</formula>
    </cfRule>
    <cfRule type="cellIs" dxfId="29294" priority="15778" stopIfTrue="1" operator="equal">
      <formula>"Napkin Hs"</formula>
    </cfRule>
  </conditionalFormatting>
  <conditionalFormatting sqref="C40:C41">
    <cfRule type="cellIs" dxfId="29293" priority="15758" stopIfTrue="1" operator="equal">
      <formula>"Napkin Hs"</formula>
    </cfRule>
  </conditionalFormatting>
  <conditionalFormatting sqref="C40:C41">
    <cfRule type="cellIs" dxfId="29292" priority="15757" stopIfTrue="1" operator="equal">
      <formula>"Towel"</formula>
    </cfRule>
  </conditionalFormatting>
  <conditionalFormatting sqref="C40:C41">
    <cfRule type="cellIs" dxfId="29291" priority="15756" stopIfTrue="1" operator="equal">
      <formula>"Napkin Hs"</formula>
    </cfRule>
  </conditionalFormatting>
  <conditionalFormatting sqref="C40:C41">
    <cfRule type="cellIs" dxfId="29290" priority="15753" stopIfTrue="1" operator="equal">
      <formula>"Towel"</formula>
    </cfRule>
    <cfRule type="cellIs" dxfId="29289" priority="15754" stopIfTrue="1" operator="equal">
      <formula>"Napkin Hs"</formula>
    </cfRule>
  </conditionalFormatting>
  <conditionalFormatting sqref="C40:C41">
    <cfRule type="cellIs" dxfId="29288" priority="15755" stopIfTrue="1" operator="equal">
      <formula>"Towel"</formula>
    </cfRule>
  </conditionalFormatting>
  <conditionalFormatting sqref="C40:C41">
    <cfRule type="cellIs" dxfId="29287" priority="15752" stopIfTrue="1" operator="equal">
      <formula>"Napkin Hs"</formula>
    </cfRule>
  </conditionalFormatting>
  <conditionalFormatting sqref="C40:C41">
    <cfRule type="cellIs" dxfId="29286" priority="15751" stopIfTrue="1" operator="equal">
      <formula>"Towel"</formula>
    </cfRule>
  </conditionalFormatting>
  <conditionalFormatting sqref="C40:C41">
    <cfRule type="cellIs" dxfId="29285" priority="15750" stopIfTrue="1" operator="equal">
      <formula>"Napkin Hs"</formula>
    </cfRule>
  </conditionalFormatting>
  <conditionalFormatting sqref="C40:C41">
    <cfRule type="cellIs" dxfId="29284" priority="15747" stopIfTrue="1" operator="equal">
      <formula>"Towel"</formula>
    </cfRule>
    <cfRule type="cellIs" dxfId="29283" priority="15748" stopIfTrue="1" operator="equal">
      <formula>"Napkin Hs"</formula>
    </cfRule>
  </conditionalFormatting>
  <conditionalFormatting sqref="C40:C41">
    <cfRule type="cellIs" dxfId="29282" priority="15749" stopIfTrue="1" operator="equal">
      <formula>"Towel"</formula>
    </cfRule>
  </conditionalFormatting>
  <conditionalFormatting sqref="C40:C41">
    <cfRule type="cellIs" dxfId="29281" priority="15853" stopIfTrue="1" operator="equal">
      <formula>"Towel"</formula>
    </cfRule>
    <cfRule type="cellIs" dxfId="29280" priority="15854" stopIfTrue="1" operator="equal">
      <formula>"Napkin Hs"</formula>
    </cfRule>
  </conditionalFormatting>
  <conditionalFormatting sqref="C40:C41">
    <cfRule type="cellIs" dxfId="29279" priority="15851" stopIfTrue="1" operator="equal">
      <formula>"Towel"</formula>
    </cfRule>
    <cfRule type="cellIs" dxfId="29278" priority="15852" stopIfTrue="1" operator="equal">
      <formula>"Napkin Hs"</formula>
    </cfRule>
  </conditionalFormatting>
  <conditionalFormatting sqref="C40:C41">
    <cfRule type="cellIs" dxfId="29277" priority="15849" stopIfTrue="1" operator="equal">
      <formula>"Towel"</formula>
    </cfRule>
    <cfRule type="cellIs" dxfId="29276" priority="15850" stopIfTrue="1" operator="equal">
      <formula>"Napkin Hs"</formula>
    </cfRule>
  </conditionalFormatting>
  <conditionalFormatting sqref="C40:C41">
    <cfRule type="cellIs" dxfId="29275" priority="15848" stopIfTrue="1" operator="equal">
      <formula>"Napkin Hs"</formula>
    </cfRule>
  </conditionalFormatting>
  <conditionalFormatting sqref="C40:C41">
    <cfRule type="cellIs" dxfId="29274" priority="15847" stopIfTrue="1" operator="equal">
      <formula>"Towel"</formula>
    </cfRule>
  </conditionalFormatting>
  <conditionalFormatting sqref="C40:C41">
    <cfRule type="cellIs" dxfId="29273" priority="15846" stopIfTrue="1" operator="equal">
      <formula>"Napkin Hs"</formula>
    </cfRule>
  </conditionalFormatting>
  <conditionalFormatting sqref="C40:C41">
    <cfRule type="cellIs" dxfId="29272" priority="15845" stopIfTrue="1" operator="equal">
      <formula>"Towel"</formula>
    </cfRule>
  </conditionalFormatting>
  <conditionalFormatting sqref="C40:C41">
    <cfRule type="cellIs" dxfId="29271" priority="15843" stopIfTrue="1" operator="equal">
      <formula>"Towel"</formula>
    </cfRule>
    <cfRule type="cellIs" dxfId="29270" priority="15844" stopIfTrue="1" operator="equal">
      <formula>"Napkin Hs"</formula>
    </cfRule>
  </conditionalFormatting>
  <conditionalFormatting sqref="C40:C41">
    <cfRule type="cellIs" dxfId="29269" priority="15841" stopIfTrue="1" operator="equal">
      <formula>"Towel"</formula>
    </cfRule>
    <cfRule type="cellIs" dxfId="29268" priority="15842" stopIfTrue="1" operator="equal">
      <formula>"Napkin Hs"</formula>
    </cfRule>
  </conditionalFormatting>
  <conditionalFormatting sqref="C40:C41">
    <cfRule type="cellIs" dxfId="29267" priority="15837" stopIfTrue="1" operator="equal">
      <formula>"Towel"</formula>
    </cfRule>
    <cfRule type="cellIs" dxfId="29266" priority="15838" stopIfTrue="1" operator="equal">
      <formula>"Napkin Hs"</formula>
    </cfRule>
  </conditionalFormatting>
  <conditionalFormatting sqref="C40:C41">
    <cfRule type="cellIs" dxfId="29265" priority="15839" stopIfTrue="1" operator="equal">
      <formula>"Towel"</formula>
    </cfRule>
    <cfRule type="cellIs" dxfId="29264" priority="15840" stopIfTrue="1" operator="equal">
      <formula>"Napkin Hs"</formula>
    </cfRule>
  </conditionalFormatting>
  <conditionalFormatting sqref="C40:C41">
    <cfRule type="cellIs" dxfId="29263" priority="15831" stopIfTrue="1" operator="equal">
      <formula>"Towel"</formula>
    </cfRule>
    <cfRule type="cellIs" dxfId="29262" priority="15832" stopIfTrue="1" operator="equal">
      <formula>"Napkin Hs"</formula>
    </cfRule>
  </conditionalFormatting>
  <conditionalFormatting sqref="C40:C41">
    <cfRule type="cellIs" dxfId="29261" priority="15829" stopIfTrue="1" operator="equal">
      <formula>"Towel"</formula>
    </cfRule>
    <cfRule type="cellIs" dxfId="29260" priority="15830" stopIfTrue="1" operator="equal">
      <formula>"Napkin Hs"</formula>
    </cfRule>
  </conditionalFormatting>
  <conditionalFormatting sqref="C40:C41">
    <cfRule type="cellIs" dxfId="29259" priority="15827" stopIfTrue="1" operator="equal">
      <formula>"Towel"</formula>
    </cfRule>
    <cfRule type="cellIs" dxfId="29258" priority="15828" stopIfTrue="1" operator="equal">
      <formula>"Napkin Hs"</formula>
    </cfRule>
  </conditionalFormatting>
  <conditionalFormatting sqref="C40:C41">
    <cfRule type="cellIs" dxfId="29257" priority="15825" stopIfTrue="1" operator="equal">
      <formula>"Towel"</formula>
    </cfRule>
    <cfRule type="cellIs" dxfId="29256" priority="15826" stopIfTrue="1" operator="equal">
      <formula>"Napkin Hs"</formula>
    </cfRule>
  </conditionalFormatting>
  <conditionalFormatting sqref="C40:C41">
    <cfRule type="cellIs" dxfId="29255" priority="15823" stopIfTrue="1" operator="equal">
      <formula>"Towel"</formula>
    </cfRule>
    <cfRule type="cellIs" dxfId="29254" priority="15824" stopIfTrue="1" operator="equal">
      <formula>"Napkin Hs"</formula>
    </cfRule>
  </conditionalFormatting>
  <conditionalFormatting sqref="C40:C41">
    <cfRule type="cellIs" dxfId="29253" priority="15821" stopIfTrue="1" operator="equal">
      <formula>"Towel"</formula>
    </cfRule>
    <cfRule type="cellIs" dxfId="29252" priority="15822" stopIfTrue="1" operator="equal">
      <formula>"Napkin Hs"</formula>
    </cfRule>
  </conditionalFormatting>
  <conditionalFormatting sqref="C40:C41">
    <cfRule type="cellIs" dxfId="29251" priority="15819" stopIfTrue="1" operator="equal">
      <formula>"Towel"</formula>
    </cfRule>
    <cfRule type="cellIs" dxfId="29250" priority="15820" stopIfTrue="1" operator="equal">
      <formula>"Napkin Hs"</formula>
    </cfRule>
  </conditionalFormatting>
  <conditionalFormatting sqref="C40:C41">
    <cfRule type="cellIs" dxfId="29249" priority="15817" stopIfTrue="1" operator="equal">
      <formula>"Towel"</formula>
    </cfRule>
    <cfRule type="cellIs" dxfId="29248" priority="15818" stopIfTrue="1" operator="equal">
      <formula>"Napkin Hs"</formula>
    </cfRule>
  </conditionalFormatting>
  <conditionalFormatting sqref="C40:C41">
    <cfRule type="cellIs" dxfId="29247" priority="15815" stopIfTrue="1" operator="equal">
      <formula>"Towel"</formula>
    </cfRule>
    <cfRule type="cellIs" dxfId="29246" priority="15816" stopIfTrue="1" operator="equal">
      <formula>"Napkin Hs"</formula>
    </cfRule>
  </conditionalFormatting>
  <conditionalFormatting sqref="C40:C41">
    <cfRule type="cellIs" dxfId="29245" priority="15813" stopIfTrue="1" operator="equal">
      <formula>"Towel"</formula>
    </cfRule>
    <cfRule type="cellIs" dxfId="29244" priority="15814" stopIfTrue="1" operator="equal">
      <formula>"Napkin Hs"</formula>
    </cfRule>
  </conditionalFormatting>
  <conditionalFormatting sqref="C40:C41">
    <cfRule type="cellIs" dxfId="29243" priority="15807" stopIfTrue="1" operator="equal">
      <formula>"Towel"</formula>
    </cfRule>
    <cfRule type="cellIs" dxfId="29242" priority="15808" stopIfTrue="1" operator="equal">
      <formula>"Napkin Hs"</formula>
    </cfRule>
  </conditionalFormatting>
  <conditionalFormatting sqref="C40:C41">
    <cfRule type="cellIs" dxfId="29241" priority="15801" stopIfTrue="1" operator="equal">
      <formula>"Towel"</formula>
    </cfRule>
    <cfRule type="cellIs" dxfId="29240" priority="15802" stopIfTrue="1" operator="equal">
      <formula>"Napkin Hs"</formula>
    </cfRule>
  </conditionalFormatting>
  <conditionalFormatting sqref="C40:C41">
    <cfRule type="cellIs" dxfId="29239" priority="15795" stopIfTrue="1" operator="equal">
      <formula>"Towel"</formula>
    </cfRule>
    <cfRule type="cellIs" dxfId="29238" priority="15796" stopIfTrue="1" operator="equal">
      <formula>"Napkin Hs"</formula>
    </cfRule>
  </conditionalFormatting>
  <conditionalFormatting sqref="C40:C41">
    <cfRule type="cellIs" dxfId="29237" priority="15794" stopIfTrue="1" operator="equal">
      <formula>"Napkin Hs"</formula>
    </cfRule>
  </conditionalFormatting>
  <conditionalFormatting sqref="C40:C41">
    <cfRule type="cellIs" dxfId="29236" priority="15793" stopIfTrue="1" operator="equal">
      <formula>"Towel"</formula>
    </cfRule>
  </conditionalFormatting>
  <conditionalFormatting sqref="C40:C41">
    <cfRule type="cellIs" dxfId="29235" priority="15792" stopIfTrue="1" operator="equal">
      <formula>"Napkin Hs"</formula>
    </cfRule>
  </conditionalFormatting>
  <conditionalFormatting sqref="C40:C41">
    <cfRule type="cellIs" dxfId="29234" priority="15791" stopIfTrue="1" operator="equal">
      <formula>"Towel"</formula>
    </cfRule>
  </conditionalFormatting>
  <conditionalFormatting sqref="C40:C41">
    <cfRule type="cellIs" dxfId="29233" priority="15789" stopIfTrue="1" operator="equal">
      <formula>"Towel"</formula>
    </cfRule>
    <cfRule type="cellIs" dxfId="29232" priority="15790" stopIfTrue="1" operator="equal">
      <formula>"Napkin Hs"</formula>
    </cfRule>
  </conditionalFormatting>
  <conditionalFormatting sqref="C40:C41">
    <cfRule type="cellIs" dxfId="29231" priority="15787" stopIfTrue="1" operator="equal">
      <formula>"Towel"</formula>
    </cfRule>
    <cfRule type="cellIs" dxfId="29230" priority="15788" stopIfTrue="1" operator="equal">
      <formula>"Napkin Hs"</formula>
    </cfRule>
  </conditionalFormatting>
  <conditionalFormatting sqref="C40:C41">
    <cfRule type="cellIs" dxfId="29229" priority="15785" stopIfTrue="1" operator="equal">
      <formula>"Towel"</formula>
    </cfRule>
    <cfRule type="cellIs" dxfId="29228" priority="15786" stopIfTrue="1" operator="equal">
      <formula>"Napkin Hs"</formula>
    </cfRule>
  </conditionalFormatting>
  <conditionalFormatting sqref="C40:C41">
    <cfRule type="cellIs" dxfId="29227" priority="15775" stopIfTrue="1" operator="equal">
      <formula>"Towel"</formula>
    </cfRule>
    <cfRule type="cellIs" dxfId="29226" priority="15776" stopIfTrue="1" operator="equal">
      <formula>"Napkin Hs"</formula>
    </cfRule>
  </conditionalFormatting>
  <conditionalFormatting sqref="C40:C41">
    <cfRule type="cellIs" dxfId="29225" priority="15773" stopIfTrue="1" operator="equal">
      <formula>"Towel"</formula>
    </cfRule>
    <cfRule type="cellIs" dxfId="29224" priority="15774" stopIfTrue="1" operator="equal">
      <formula>"Napkin Hs"</formula>
    </cfRule>
  </conditionalFormatting>
  <conditionalFormatting sqref="C40:C41">
    <cfRule type="cellIs" dxfId="29223" priority="15771" stopIfTrue="1" operator="equal">
      <formula>"Towel"</formula>
    </cfRule>
    <cfRule type="cellIs" dxfId="29222" priority="15772" stopIfTrue="1" operator="equal">
      <formula>"Napkin Hs"</formula>
    </cfRule>
  </conditionalFormatting>
  <conditionalFormatting sqref="C40:C41">
    <cfRule type="cellIs" dxfId="29221" priority="15769" stopIfTrue="1" operator="equal">
      <formula>"Towel"</formula>
    </cfRule>
    <cfRule type="cellIs" dxfId="29220" priority="15770" stopIfTrue="1" operator="equal">
      <formula>"Napkin Hs"</formula>
    </cfRule>
  </conditionalFormatting>
  <conditionalFormatting sqref="C40:C41">
    <cfRule type="cellIs" dxfId="29219" priority="15767" stopIfTrue="1" operator="equal">
      <formula>"Towel"</formula>
    </cfRule>
    <cfRule type="cellIs" dxfId="29218" priority="15768" stopIfTrue="1" operator="equal">
      <formula>"Napkin Hs"</formula>
    </cfRule>
  </conditionalFormatting>
  <conditionalFormatting sqref="C40:C41">
    <cfRule type="cellIs" dxfId="29217" priority="15765" stopIfTrue="1" operator="equal">
      <formula>"Towel"</formula>
    </cfRule>
    <cfRule type="cellIs" dxfId="29216" priority="15766" stopIfTrue="1" operator="equal">
      <formula>"Napkin Hs"</formula>
    </cfRule>
  </conditionalFormatting>
  <conditionalFormatting sqref="C40:C41">
    <cfRule type="cellIs" dxfId="29215" priority="15763" stopIfTrue="1" operator="equal">
      <formula>"Towel"</formula>
    </cfRule>
    <cfRule type="cellIs" dxfId="29214" priority="15764" stopIfTrue="1" operator="equal">
      <formula>"Napkin Hs"</formula>
    </cfRule>
  </conditionalFormatting>
  <conditionalFormatting sqref="C40:C41">
    <cfRule type="cellIs" dxfId="29213" priority="15761" stopIfTrue="1" operator="equal">
      <formula>"Towel"</formula>
    </cfRule>
    <cfRule type="cellIs" dxfId="29212" priority="15762" stopIfTrue="1" operator="equal">
      <formula>"Napkin Hs"</formula>
    </cfRule>
  </conditionalFormatting>
  <conditionalFormatting sqref="C40:C41">
    <cfRule type="cellIs" dxfId="29211" priority="15759" stopIfTrue="1" operator="equal">
      <formula>"Towel"</formula>
    </cfRule>
    <cfRule type="cellIs" dxfId="29210" priority="15760" stopIfTrue="1" operator="equal">
      <formula>"Napkin Hs"</formula>
    </cfRule>
  </conditionalFormatting>
  <conditionalFormatting sqref="C40:C41">
    <cfRule type="cellIs" dxfId="29209" priority="15746" stopIfTrue="1" operator="equal">
      <formula>"Napkin Hs"</formula>
    </cfRule>
  </conditionalFormatting>
  <conditionalFormatting sqref="C40:C41">
    <cfRule type="cellIs" dxfId="29208" priority="15745" stopIfTrue="1" operator="equal">
      <formula>"Towel"</formula>
    </cfRule>
  </conditionalFormatting>
  <conditionalFormatting sqref="C40:C41">
    <cfRule type="cellIs" dxfId="29207" priority="15744" stopIfTrue="1" operator="equal">
      <formula>"Napkin Hs"</formula>
    </cfRule>
  </conditionalFormatting>
  <conditionalFormatting sqref="C40:C41">
    <cfRule type="cellIs" dxfId="29206" priority="15741" stopIfTrue="1" operator="equal">
      <formula>"Towel"</formula>
    </cfRule>
    <cfRule type="cellIs" dxfId="29205" priority="15742" stopIfTrue="1" operator="equal">
      <formula>"Napkin Hs"</formula>
    </cfRule>
  </conditionalFormatting>
  <conditionalFormatting sqref="C40:C41">
    <cfRule type="cellIs" dxfId="29204" priority="15743" stopIfTrue="1" operator="equal">
      <formula>"Towel"</formula>
    </cfRule>
  </conditionalFormatting>
  <conditionalFormatting sqref="C40:C41">
    <cfRule type="cellIs" dxfId="29203" priority="15861" stopIfTrue="1" operator="equal">
      <formula>"Towel"</formula>
    </cfRule>
    <cfRule type="cellIs" dxfId="29202" priority="15862" stopIfTrue="1" operator="equal">
      <formula>"Napkin Hs"</formula>
    </cfRule>
  </conditionalFormatting>
  <conditionalFormatting sqref="C40:C41">
    <cfRule type="cellIs" dxfId="29201" priority="15860" stopIfTrue="1" operator="equal">
      <formula>"Napkin Hs"</formula>
    </cfRule>
  </conditionalFormatting>
  <conditionalFormatting sqref="C40:C41">
    <cfRule type="cellIs" dxfId="29200" priority="15859" stopIfTrue="1" operator="equal">
      <formula>"Towel"</formula>
    </cfRule>
  </conditionalFormatting>
  <conditionalFormatting sqref="C40:C41">
    <cfRule type="cellIs" dxfId="29199" priority="15858" stopIfTrue="1" operator="equal">
      <formula>"Napkin Hs"</formula>
    </cfRule>
  </conditionalFormatting>
  <conditionalFormatting sqref="C40:C41">
    <cfRule type="cellIs" dxfId="29198" priority="15855" stopIfTrue="1" operator="equal">
      <formula>"Towel"</formula>
    </cfRule>
    <cfRule type="cellIs" dxfId="29197" priority="15856" stopIfTrue="1" operator="equal">
      <formula>"Napkin Hs"</formula>
    </cfRule>
  </conditionalFormatting>
  <conditionalFormatting sqref="C40:C41">
    <cfRule type="cellIs" dxfId="29196" priority="15857" stopIfTrue="1" operator="equal">
      <formula>"Towel"</formula>
    </cfRule>
  </conditionalFormatting>
  <conditionalFormatting sqref="C40:C41">
    <cfRule type="cellIs" dxfId="29195" priority="15865" stopIfTrue="1" operator="equal">
      <formula>"Towel"</formula>
    </cfRule>
    <cfRule type="cellIs" dxfId="29194" priority="15866" stopIfTrue="1" operator="equal">
      <formula>"Napkin Hs"</formula>
    </cfRule>
  </conditionalFormatting>
  <conditionalFormatting sqref="C40:C41">
    <cfRule type="cellIs" dxfId="29193" priority="15863" stopIfTrue="1" operator="equal">
      <formula>"Towel"</formula>
    </cfRule>
    <cfRule type="cellIs" dxfId="29192" priority="15864" stopIfTrue="1" operator="equal">
      <formula>"Napkin Hs"</formula>
    </cfRule>
  </conditionalFormatting>
  <conditionalFormatting sqref="C40:C41">
    <cfRule type="cellIs" dxfId="29191" priority="15835" stopIfTrue="1" operator="equal">
      <formula>"Towel"</formula>
    </cfRule>
    <cfRule type="cellIs" dxfId="29190" priority="15836" stopIfTrue="1" operator="equal">
      <formula>"Napkin Hs"</formula>
    </cfRule>
  </conditionalFormatting>
  <conditionalFormatting sqref="C40:C41">
    <cfRule type="cellIs" dxfId="29189" priority="15833" stopIfTrue="1" operator="equal">
      <formula>"Towel"</formula>
    </cfRule>
    <cfRule type="cellIs" dxfId="29188" priority="15834" stopIfTrue="1" operator="equal">
      <formula>"Napkin Hs"</formula>
    </cfRule>
  </conditionalFormatting>
  <conditionalFormatting sqref="C40:C41">
    <cfRule type="cellIs" dxfId="29187" priority="15812" stopIfTrue="1" operator="equal">
      <formula>"Napkin Hs"</formula>
    </cfRule>
  </conditionalFormatting>
  <conditionalFormatting sqref="C40:C41">
    <cfRule type="cellIs" dxfId="29186" priority="15811" stopIfTrue="1" operator="equal">
      <formula>"Towel"</formula>
    </cfRule>
  </conditionalFormatting>
  <conditionalFormatting sqref="C40:C41">
    <cfRule type="cellIs" dxfId="29185" priority="15810" stopIfTrue="1" operator="equal">
      <formula>"Napkin Hs"</formula>
    </cfRule>
  </conditionalFormatting>
  <conditionalFormatting sqref="C40:C41">
    <cfRule type="cellIs" dxfId="29184" priority="15809" stopIfTrue="1" operator="equal">
      <formula>"Towel"</formula>
    </cfRule>
  </conditionalFormatting>
  <conditionalFormatting sqref="C40:C41">
    <cfRule type="cellIs" dxfId="29183" priority="15806" stopIfTrue="1" operator="equal">
      <formula>"Napkin Hs"</formula>
    </cfRule>
  </conditionalFormatting>
  <conditionalFormatting sqref="C40:C41">
    <cfRule type="cellIs" dxfId="29182" priority="15805" stopIfTrue="1" operator="equal">
      <formula>"Towel"</formula>
    </cfRule>
  </conditionalFormatting>
  <conditionalFormatting sqref="C40:C41">
    <cfRule type="cellIs" dxfId="29181" priority="15804" stopIfTrue="1" operator="equal">
      <formula>"Napkin Hs"</formula>
    </cfRule>
  </conditionalFormatting>
  <conditionalFormatting sqref="C40:C41">
    <cfRule type="cellIs" dxfId="29180" priority="15803" stopIfTrue="1" operator="equal">
      <formula>"Towel"</formula>
    </cfRule>
  </conditionalFormatting>
  <conditionalFormatting sqref="C40:C41">
    <cfRule type="cellIs" dxfId="29179" priority="15799" stopIfTrue="1" operator="equal">
      <formula>"Towel"</formula>
    </cfRule>
    <cfRule type="cellIs" dxfId="29178" priority="15800" stopIfTrue="1" operator="equal">
      <formula>"Napkin Hs"</formula>
    </cfRule>
  </conditionalFormatting>
  <conditionalFormatting sqref="C40:C41">
    <cfRule type="cellIs" dxfId="29177" priority="15797" stopIfTrue="1" operator="equal">
      <formula>"Towel"</formula>
    </cfRule>
    <cfRule type="cellIs" dxfId="29176" priority="15798" stopIfTrue="1" operator="equal">
      <formula>"Napkin Hs"</formula>
    </cfRule>
  </conditionalFormatting>
  <conditionalFormatting sqref="C40:C41">
    <cfRule type="cellIs" dxfId="29175" priority="15781" stopIfTrue="1" operator="equal">
      <formula>"Towel"</formula>
    </cfRule>
    <cfRule type="cellIs" dxfId="29174" priority="15782" stopIfTrue="1" operator="equal">
      <formula>"Napkin Hs"</formula>
    </cfRule>
  </conditionalFormatting>
  <conditionalFormatting sqref="C40:C41">
    <cfRule type="cellIs" dxfId="29173" priority="15779" stopIfTrue="1" operator="equal">
      <formula>"Towel"</formula>
    </cfRule>
    <cfRule type="cellIs" dxfId="29172" priority="15780" stopIfTrue="1" operator="equal">
      <formula>"Napkin Hs"</formula>
    </cfRule>
  </conditionalFormatting>
  <conditionalFormatting sqref="B40:C41">
    <cfRule type="cellIs" dxfId="29171" priority="15740" stopIfTrue="1" operator="equal">
      <formula>"Napkin Hs"</formula>
    </cfRule>
  </conditionalFormatting>
  <conditionalFormatting sqref="B40:C41">
    <cfRule type="cellIs" dxfId="29170" priority="15739" stopIfTrue="1" operator="equal">
      <formula>"Towel"</formula>
    </cfRule>
  </conditionalFormatting>
  <conditionalFormatting sqref="C40:C41">
    <cfRule type="cellIs" dxfId="29169" priority="15738" stopIfTrue="1" operator="equal">
      <formula>"Napkin Hs"</formula>
    </cfRule>
  </conditionalFormatting>
  <conditionalFormatting sqref="C40:C41">
    <cfRule type="cellIs" dxfId="29168" priority="15735" stopIfTrue="1" operator="equal">
      <formula>"Towel"</formula>
    </cfRule>
    <cfRule type="cellIs" dxfId="29167" priority="15736" stopIfTrue="1" operator="equal">
      <formula>"Napkin Hs"</formula>
    </cfRule>
  </conditionalFormatting>
  <conditionalFormatting sqref="C40:C41">
    <cfRule type="cellIs" dxfId="29166" priority="15737" stopIfTrue="1" operator="equal">
      <formula>"Towel"</formula>
    </cfRule>
  </conditionalFormatting>
  <conditionalFormatting sqref="B51:C51">
    <cfRule type="cellIs" dxfId="29165" priority="15733" stopIfTrue="1" operator="equal">
      <formula>"Towel"</formula>
    </cfRule>
    <cfRule type="cellIs" dxfId="29164" priority="15734" stopIfTrue="1" operator="equal">
      <formula>"Napkin Hs"</formula>
    </cfRule>
  </conditionalFormatting>
  <conditionalFormatting sqref="C51">
    <cfRule type="cellIs" dxfId="29163" priority="15727" stopIfTrue="1" operator="equal">
      <formula>"Towel"</formula>
    </cfRule>
    <cfRule type="cellIs" dxfId="29162" priority="15728" stopIfTrue="1" operator="equal">
      <formula>"Napkin Hs"</formula>
    </cfRule>
  </conditionalFormatting>
  <conditionalFormatting sqref="C51">
    <cfRule type="cellIs" dxfId="29161" priority="15731" stopIfTrue="1" operator="equal">
      <formula>"Towel"</formula>
    </cfRule>
    <cfRule type="cellIs" dxfId="29160" priority="15732" stopIfTrue="1" operator="equal">
      <formula>"Napkin Hs"</formula>
    </cfRule>
  </conditionalFormatting>
  <conditionalFormatting sqref="B51:C51">
    <cfRule type="cellIs" dxfId="29159" priority="15723" stopIfTrue="1" operator="equal">
      <formula>"Towel"</formula>
    </cfRule>
    <cfRule type="cellIs" dxfId="29158" priority="15724" stopIfTrue="1" operator="equal">
      <formula>"Napkin Hs"</formula>
    </cfRule>
  </conditionalFormatting>
  <conditionalFormatting sqref="C51">
    <cfRule type="cellIs" dxfId="29157" priority="15717" stopIfTrue="1" operator="equal">
      <formula>"Towel"</formula>
    </cfRule>
    <cfRule type="cellIs" dxfId="29156" priority="15718" stopIfTrue="1" operator="equal">
      <formula>"Napkin Hs"</formula>
    </cfRule>
  </conditionalFormatting>
  <conditionalFormatting sqref="C51">
    <cfRule type="cellIs" dxfId="29155" priority="15721" stopIfTrue="1" operator="equal">
      <formula>"Towel"</formula>
    </cfRule>
    <cfRule type="cellIs" dxfId="29154" priority="15722" stopIfTrue="1" operator="equal">
      <formula>"Napkin Hs"</formula>
    </cfRule>
  </conditionalFormatting>
  <conditionalFormatting sqref="B51:C51">
    <cfRule type="cellIs" dxfId="29153" priority="15709" stopIfTrue="1" operator="equal">
      <formula>"Towel"</formula>
    </cfRule>
    <cfRule type="cellIs" dxfId="29152" priority="15710" stopIfTrue="1" operator="equal">
      <formula>"Napkin Hs"</formula>
    </cfRule>
  </conditionalFormatting>
  <conditionalFormatting sqref="C51">
    <cfRule type="cellIs" dxfId="29151" priority="15707" stopIfTrue="1" operator="equal">
      <formula>"Towel"</formula>
    </cfRule>
    <cfRule type="cellIs" dxfId="29150" priority="15708" stopIfTrue="1" operator="equal">
      <formula>"Napkin Hs"</formula>
    </cfRule>
  </conditionalFormatting>
  <conditionalFormatting sqref="C51">
    <cfRule type="cellIs" dxfId="29149" priority="15705" stopIfTrue="1" operator="equal">
      <formula>"Towel"</formula>
    </cfRule>
    <cfRule type="cellIs" dxfId="29148" priority="15706" stopIfTrue="1" operator="equal">
      <formula>"Napkin Hs"</formula>
    </cfRule>
  </conditionalFormatting>
  <conditionalFormatting sqref="B51:C51">
    <cfRule type="cellIs" dxfId="29147" priority="15704" stopIfTrue="1" operator="equal">
      <formula>"Napkin Hs"</formula>
    </cfRule>
  </conditionalFormatting>
  <conditionalFormatting sqref="B51:C51">
    <cfRule type="cellIs" dxfId="29146" priority="15703" stopIfTrue="1" operator="equal">
      <formula>"Towel"</formula>
    </cfRule>
  </conditionalFormatting>
  <conditionalFormatting sqref="C51">
    <cfRule type="cellIs" dxfId="29145" priority="15702" stopIfTrue="1" operator="equal">
      <formula>"Napkin Hs"</formula>
    </cfRule>
  </conditionalFormatting>
  <conditionalFormatting sqref="C51">
    <cfRule type="cellIs" dxfId="29144" priority="15701" stopIfTrue="1" operator="equal">
      <formula>"Towel"</formula>
    </cfRule>
  </conditionalFormatting>
  <conditionalFormatting sqref="C51">
    <cfRule type="cellIs" dxfId="29143" priority="15697" stopIfTrue="1" operator="equal">
      <formula>"Towel"</formula>
    </cfRule>
    <cfRule type="cellIs" dxfId="29142" priority="15698" stopIfTrue="1" operator="equal">
      <formula>"Napkin Hs"</formula>
    </cfRule>
  </conditionalFormatting>
  <conditionalFormatting sqref="C51">
    <cfRule type="cellIs" dxfId="29141" priority="15693" stopIfTrue="1" operator="equal">
      <formula>"Towel"</formula>
    </cfRule>
    <cfRule type="cellIs" dxfId="29140" priority="15694" stopIfTrue="1" operator="equal">
      <formula>"Napkin Hs"</formula>
    </cfRule>
  </conditionalFormatting>
  <conditionalFormatting sqref="C44">
    <cfRule type="cellIs" dxfId="29139" priority="15613" stopIfTrue="1" operator="equal">
      <formula>"Towel"</formula>
    </cfRule>
    <cfRule type="cellIs" dxfId="29138" priority="15614" stopIfTrue="1" operator="equal">
      <formula>"Napkin Hs"</formula>
    </cfRule>
  </conditionalFormatting>
  <conditionalFormatting sqref="C44">
    <cfRule type="cellIs" dxfId="29137" priority="15611" stopIfTrue="1" operator="equal">
      <formula>"Towel"</formula>
    </cfRule>
    <cfRule type="cellIs" dxfId="29136" priority="15612" stopIfTrue="1" operator="equal">
      <formula>"Napkin Hs"</formula>
    </cfRule>
  </conditionalFormatting>
  <conditionalFormatting sqref="C44">
    <cfRule type="cellIs" dxfId="29135" priority="15609" stopIfTrue="1" operator="equal">
      <formula>"Towel"</formula>
    </cfRule>
    <cfRule type="cellIs" dxfId="29134" priority="15610" stopIfTrue="1" operator="equal">
      <formula>"Napkin Hs"</formula>
    </cfRule>
  </conditionalFormatting>
  <conditionalFormatting sqref="C44">
    <cfRule type="cellIs" dxfId="29133" priority="15608" stopIfTrue="1" operator="equal">
      <formula>"Napkin Hs"</formula>
    </cfRule>
  </conditionalFormatting>
  <conditionalFormatting sqref="C44">
    <cfRule type="cellIs" dxfId="29132" priority="15607" stopIfTrue="1" operator="equal">
      <formula>"Towel"</formula>
    </cfRule>
  </conditionalFormatting>
  <conditionalFormatting sqref="C44">
    <cfRule type="cellIs" dxfId="29131" priority="15606" stopIfTrue="1" operator="equal">
      <formula>"Napkin Hs"</formula>
    </cfRule>
  </conditionalFormatting>
  <conditionalFormatting sqref="C44">
    <cfRule type="cellIs" dxfId="29130" priority="15605" stopIfTrue="1" operator="equal">
      <formula>"Towel"</formula>
    </cfRule>
  </conditionalFormatting>
  <conditionalFormatting sqref="C44">
    <cfRule type="cellIs" dxfId="29129" priority="15603" stopIfTrue="1" operator="equal">
      <formula>"Towel"</formula>
    </cfRule>
    <cfRule type="cellIs" dxfId="29128" priority="15604" stopIfTrue="1" operator="equal">
      <formula>"Napkin Hs"</formula>
    </cfRule>
  </conditionalFormatting>
  <conditionalFormatting sqref="C44">
    <cfRule type="cellIs" dxfId="29127" priority="15601" stopIfTrue="1" operator="equal">
      <formula>"Towel"</formula>
    </cfRule>
    <cfRule type="cellIs" dxfId="29126" priority="15602" stopIfTrue="1" operator="equal">
      <formula>"Napkin Hs"</formula>
    </cfRule>
  </conditionalFormatting>
  <conditionalFormatting sqref="C44">
    <cfRule type="cellIs" dxfId="29125" priority="15597" stopIfTrue="1" operator="equal">
      <formula>"Towel"</formula>
    </cfRule>
    <cfRule type="cellIs" dxfId="29124" priority="15598" stopIfTrue="1" operator="equal">
      <formula>"Napkin Hs"</formula>
    </cfRule>
  </conditionalFormatting>
  <conditionalFormatting sqref="C44">
    <cfRule type="cellIs" dxfId="29123" priority="15599" stopIfTrue="1" operator="equal">
      <formula>"Towel"</formula>
    </cfRule>
    <cfRule type="cellIs" dxfId="29122" priority="15600" stopIfTrue="1" operator="equal">
      <formula>"Napkin Hs"</formula>
    </cfRule>
  </conditionalFormatting>
  <conditionalFormatting sqref="C44">
    <cfRule type="cellIs" dxfId="29121" priority="15591" stopIfTrue="1" operator="equal">
      <formula>"Towel"</formula>
    </cfRule>
    <cfRule type="cellIs" dxfId="29120" priority="15592" stopIfTrue="1" operator="equal">
      <formula>"Napkin Hs"</formula>
    </cfRule>
  </conditionalFormatting>
  <conditionalFormatting sqref="C44">
    <cfRule type="cellIs" dxfId="29119" priority="15589" stopIfTrue="1" operator="equal">
      <formula>"Towel"</formula>
    </cfRule>
    <cfRule type="cellIs" dxfId="29118" priority="15590" stopIfTrue="1" operator="equal">
      <formula>"Napkin Hs"</formula>
    </cfRule>
  </conditionalFormatting>
  <conditionalFormatting sqref="C44">
    <cfRule type="cellIs" dxfId="29117" priority="15587" stopIfTrue="1" operator="equal">
      <formula>"Towel"</formula>
    </cfRule>
    <cfRule type="cellIs" dxfId="29116" priority="15588" stopIfTrue="1" operator="equal">
      <formula>"Napkin Hs"</formula>
    </cfRule>
  </conditionalFormatting>
  <conditionalFormatting sqref="C44">
    <cfRule type="cellIs" dxfId="29115" priority="15585" stopIfTrue="1" operator="equal">
      <formula>"Towel"</formula>
    </cfRule>
    <cfRule type="cellIs" dxfId="29114" priority="15586" stopIfTrue="1" operator="equal">
      <formula>"Napkin Hs"</formula>
    </cfRule>
  </conditionalFormatting>
  <conditionalFormatting sqref="C44">
    <cfRule type="cellIs" dxfId="29113" priority="15583" stopIfTrue="1" operator="equal">
      <formula>"Towel"</formula>
    </cfRule>
    <cfRule type="cellIs" dxfId="29112" priority="15584" stopIfTrue="1" operator="equal">
      <formula>"Napkin Hs"</formula>
    </cfRule>
  </conditionalFormatting>
  <conditionalFormatting sqref="C44">
    <cfRule type="cellIs" dxfId="29111" priority="15581" stopIfTrue="1" operator="equal">
      <formula>"Towel"</formula>
    </cfRule>
    <cfRule type="cellIs" dxfId="29110" priority="15582" stopIfTrue="1" operator="equal">
      <formula>"Napkin Hs"</formula>
    </cfRule>
  </conditionalFormatting>
  <conditionalFormatting sqref="C44">
    <cfRule type="cellIs" dxfId="29109" priority="15579" stopIfTrue="1" operator="equal">
      <formula>"Towel"</formula>
    </cfRule>
    <cfRule type="cellIs" dxfId="29108" priority="15580" stopIfTrue="1" operator="equal">
      <formula>"Napkin Hs"</formula>
    </cfRule>
  </conditionalFormatting>
  <conditionalFormatting sqref="C44">
    <cfRule type="cellIs" dxfId="29107" priority="15577" stopIfTrue="1" operator="equal">
      <formula>"Towel"</formula>
    </cfRule>
    <cfRule type="cellIs" dxfId="29106" priority="15578" stopIfTrue="1" operator="equal">
      <formula>"Napkin Hs"</formula>
    </cfRule>
  </conditionalFormatting>
  <conditionalFormatting sqref="C44">
    <cfRule type="cellIs" dxfId="29105" priority="15575" stopIfTrue="1" operator="equal">
      <formula>"Towel"</formula>
    </cfRule>
    <cfRule type="cellIs" dxfId="29104" priority="15576" stopIfTrue="1" operator="equal">
      <formula>"Napkin Hs"</formula>
    </cfRule>
  </conditionalFormatting>
  <conditionalFormatting sqref="C44">
    <cfRule type="cellIs" dxfId="29103" priority="15573" stopIfTrue="1" operator="equal">
      <formula>"Towel"</formula>
    </cfRule>
    <cfRule type="cellIs" dxfId="29102" priority="15574" stopIfTrue="1" operator="equal">
      <formula>"Napkin Hs"</formula>
    </cfRule>
  </conditionalFormatting>
  <conditionalFormatting sqref="C44">
    <cfRule type="cellIs" dxfId="29101" priority="15567" stopIfTrue="1" operator="equal">
      <formula>"Towel"</formula>
    </cfRule>
    <cfRule type="cellIs" dxfId="29100" priority="15568" stopIfTrue="1" operator="equal">
      <formula>"Napkin Hs"</formula>
    </cfRule>
  </conditionalFormatting>
  <conditionalFormatting sqref="C44">
    <cfRule type="cellIs" dxfId="29099" priority="15561" stopIfTrue="1" operator="equal">
      <formula>"Towel"</formula>
    </cfRule>
    <cfRule type="cellIs" dxfId="29098" priority="15562" stopIfTrue="1" operator="equal">
      <formula>"Napkin Hs"</formula>
    </cfRule>
  </conditionalFormatting>
  <conditionalFormatting sqref="C44">
    <cfRule type="cellIs" dxfId="29097" priority="15555" stopIfTrue="1" operator="equal">
      <formula>"Towel"</formula>
    </cfRule>
    <cfRule type="cellIs" dxfId="29096" priority="15556" stopIfTrue="1" operator="equal">
      <formula>"Napkin Hs"</formula>
    </cfRule>
  </conditionalFormatting>
  <conditionalFormatting sqref="C44">
    <cfRule type="cellIs" dxfId="29095" priority="15554" stopIfTrue="1" operator="equal">
      <formula>"Napkin Hs"</formula>
    </cfRule>
  </conditionalFormatting>
  <conditionalFormatting sqref="C44">
    <cfRule type="cellIs" dxfId="29094" priority="15553" stopIfTrue="1" operator="equal">
      <formula>"Towel"</formula>
    </cfRule>
  </conditionalFormatting>
  <conditionalFormatting sqref="C44">
    <cfRule type="cellIs" dxfId="29093" priority="15552" stopIfTrue="1" operator="equal">
      <formula>"Napkin Hs"</formula>
    </cfRule>
  </conditionalFormatting>
  <conditionalFormatting sqref="C44">
    <cfRule type="cellIs" dxfId="29092" priority="15551" stopIfTrue="1" operator="equal">
      <formula>"Towel"</formula>
    </cfRule>
  </conditionalFormatting>
  <conditionalFormatting sqref="C44">
    <cfRule type="cellIs" dxfId="29091" priority="15549" stopIfTrue="1" operator="equal">
      <formula>"Towel"</formula>
    </cfRule>
    <cfRule type="cellIs" dxfId="29090" priority="15550" stopIfTrue="1" operator="equal">
      <formula>"Napkin Hs"</formula>
    </cfRule>
  </conditionalFormatting>
  <conditionalFormatting sqref="C44">
    <cfRule type="cellIs" dxfId="29089" priority="15547" stopIfTrue="1" operator="equal">
      <formula>"Towel"</formula>
    </cfRule>
    <cfRule type="cellIs" dxfId="29088" priority="15548" stopIfTrue="1" operator="equal">
      <formula>"Napkin Hs"</formula>
    </cfRule>
  </conditionalFormatting>
  <conditionalFormatting sqref="C44">
    <cfRule type="cellIs" dxfId="29087" priority="15543" stopIfTrue="1" operator="equal">
      <formula>"Towel"</formula>
    </cfRule>
    <cfRule type="cellIs" dxfId="29086" priority="15544" stopIfTrue="1" operator="equal">
      <formula>"Napkin Hs"</formula>
    </cfRule>
  </conditionalFormatting>
  <conditionalFormatting sqref="C44">
    <cfRule type="cellIs" dxfId="29085" priority="15545" stopIfTrue="1" operator="equal">
      <formula>"Towel"</formula>
    </cfRule>
    <cfRule type="cellIs" dxfId="29084" priority="15546" stopIfTrue="1" operator="equal">
      <formula>"Napkin Hs"</formula>
    </cfRule>
  </conditionalFormatting>
  <conditionalFormatting sqref="C44">
    <cfRule type="cellIs" dxfId="29083" priority="15537" stopIfTrue="1" operator="equal">
      <formula>"Towel"</formula>
    </cfRule>
    <cfRule type="cellIs" dxfId="29082" priority="15538" stopIfTrue="1" operator="equal">
      <formula>"Napkin Hs"</formula>
    </cfRule>
  </conditionalFormatting>
  <conditionalFormatting sqref="C44">
    <cfRule type="cellIs" dxfId="29081" priority="15535" stopIfTrue="1" operator="equal">
      <formula>"Towel"</formula>
    </cfRule>
    <cfRule type="cellIs" dxfId="29080" priority="15536" stopIfTrue="1" operator="equal">
      <formula>"Napkin Hs"</formula>
    </cfRule>
  </conditionalFormatting>
  <conditionalFormatting sqref="C44">
    <cfRule type="cellIs" dxfId="29079" priority="15533" stopIfTrue="1" operator="equal">
      <formula>"Towel"</formula>
    </cfRule>
    <cfRule type="cellIs" dxfId="29078" priority="15534" stopIfTrue="1" operator="equal">
      <formula>"Napkin Hs"</formula>
    </cfRule>
  </conditionalFormatting>
  <conditionalFormatting sqref="C44">
    <cfRule type="cellIs" dxfId="29077" priority="15531" stopIfTrue="1" operator="equal">
      <formula>"Towel"</formula>
    </cfRule>
    <cfRule type="cellIs" dxfId="29076" priority="15532" stopIfTrue="1" operator="equal">
      <formula>"Napkin Hs"</formula>
    </cfRule>
  </conditionalFormatting>
  <conditionalFormatting sqref="C44">
    <cfRule type="cellIs" dxfId="29075" priority="15529" stopIfTrue="1" operator="equal">
      <formula>"Towel"</formula>
    </cfRule>
    <cfRule type="cellIs" dxfId="29074" priority="15530" stopIfTrue="1" operator="equal">
      <formula>"Napkin Hs"</formula>
    </cfRule>
  </conditionalFormatting>
  <conditionalFormatting sqref="C44">
    <cfRule type="cellIs" dxfId="29073" priority="15527" stopIfTrue="1" operator="equal">
      <formula>"Towel"</formula>
    </cfRule>
    <cfRule type="cellIs" dxfId="29072" priority="15528" stopIfTrue="1" operator="equal">
      <formula>"Napkin Hs"</formula>
    </cfRule>
  </conditionalFormatting>
  <conditionalFormatting sqref="C44">
    <cfRule type="cellIs" dxfId="29071" priority="15525" stopIfTrue="1" operator="equal">
      <formula>"Towel"</formula>
    </cfRule>
    <cfRule type="cellIs" dxfId="29070" priority="15526" stopIfTrue="1" operator="equal">
      <formula>"Napkin Hs"</formula>
    </cfRule>
  </conditionalFormatting>
  <conditionalFormatting sqref="C44">
    <cfRule type="cellIs" dxfId="29069" priority="15523" stopIfTrue="1" operator="equal">
      <formula>"Towel"</formula>
    </cfRule>
    <cfRule type="cellIs" dxfId="29068" priority="15524" stopIfTrue="1" operator="equal">
      <formula>"Napkin Hs"</formula>
    </cfRule>
  </conditionalFormatting>
  <conditionalFormatting sqref="C44">
    <cfRule type="cellIs" dxfId="29067" priority="15521" stopIfTrue="1" operator="equal">
      <formula>"Towel"</formula>
    </cfRule>
    <cfRule type="cellIs" dxfId="29066" priority="15522" stopIfTrue="1" operator="equal">
      <formula>"Napkin Hs"</formula>
    </cfRule>
  </conditionalFormatting>
  <conditionalFormatting sqref="C44">
    <cfRule type="cellIs" dxfId="29065" priority="15519" stopIfTrue="1" operator="equal">
      <formula>"Towel"</formula>
    </cfRule>
    <cfRule type="cellIs" dxfId="29064" priority="15520" stopIfTrue="1" operator="equal">
      <formula>"Napkin Hs"</formula>
    </cfRule>
  </conditionalFormatting>
  <conditionalFormatting sqref="C44">
    <cfRule type="cellIs" dxfId="29063" priority="15513" stopIfTrue="1" operator="equal">
      <formula>"Towel"</formula>
    </cfRule>
    <cfRule type="cellIs" dxfId="29062" priority="15514" stopIfTrue="1" operator="equal">
      <formula>"Napkin Hs"</formula>
    </cfRule>
  </conditionalFormatting>
  <conditionalFormatting sqref="C44">
    <cfRule type="cellIs" dxfId="29061" priority="15507" stopIfTrue="1" operator="equal">
      <formula>"Towel"</formula>
    </cfRule>
    <cfRule type="cellIs" dxfId="29060" priority="15508" stopIfTrue="1" operator="equal">
      <formula>"Napkin Hs"</formula>
    </cfRule>
  </conditionalFormatting>
  <conditionalFormatting sqref="C44">
    <cfRule type="cellIs" dxfId="29059" priority="15506" stopIfTrue="1" operator="equal">
      <formula>"Napkin Hs"</formula>
    </cfRule>
  </conditionalFormatting>
  <conditionalFormatting sqref="C44">
    <cfRule type="cellIs" dxfId="29058" priority="15505" stopIfTrue="1" operator="equal">
      <formula>"Towel"</formula>
    </cfRule>
  </conditionalFormatting>
  <conditionalFormatting sqref="C44">
    <cfRule type="cellIs" dxfId="29057" priority="15504" stopIfTrue="1" operator="equal">
      <formula>"Napkin Hs"</formula>
    </cfRule>
  </conditionalFormatting>
  <conditionalFormatting sqref="C44">
    <cfRule type="cellIs" dxfId="29056" priority="15501" stopIfTrue="1" operator="equal">
      <formula>"Towel"</formula>
    </cfRule>
    <cfRule type="cellIs" dxfId="29055" priority="15502" stopIfTrue="1" operator="equal">
      <formula>"Napkin Hs"</formula>
    </cfRule>
  </conditionalFormatting>
  <conditionalFormatting sqref="C44">
    <cfRule type="cellIs" dxfId="29054" priority="15503" stopIfTrue="1" operator="equal">
      <formula>"Towel"</formula>
    </cfRule>
  </conditionalFormatting>
  <conditionalFormatting sqref="C44">
    <cfRule type="cellIs" dxfId="29053" priority="15621" stopIfTrue="1" operator="equal">
      <formula>"Towel"</formula>
    </cfRule>
    <cfRule type="cellIs" dxfId="29052" priority="15622" stopIfTrue="1" operator="equal">
      <formula>"Napkin Hs"</formula>
    </cfRule>
  </conditionalFormatting>
  <conditionalFormatting sqref="C44">
    <cfRule type="cellIs" dxfId="29051" priority="15620" stopIfTrue="1" operator="equal">
      <formula>"Napkin Hs"</formula>
    </cfRule>
  </conditionalFormatting>
  <conditionalFormatting sqref="C44">
    <cfRule type="cellIs" dxfId="29050" priority="15619" stopIfTrue="1" operator="equal">
      <formula>"Towel"</formula>
    </cfRule>
  </conditionalFormatting>
  <conditionalFormatting sqref="C44">
    <cfRule type="cellIs" dxfId="29049" priority="15618" stopIfTrue="1" operator="equal">
      <formula>"Napkin Hs"</formula>
    </cfRule>
  </conditionalFormatting>
  <conditionalFormatting sqref="C44">
    <cfRule type="cellIs" dxfId="29048" priority="15615" stopIfTrue="1" operator="equal">
      <formula>"Towel"</formula>
    </cfRule>
    <cfRule type="cellIs" dxfId="29047" priority="15616" stopIfTrue="1" operator="equal">
      <formula>"Napkin Hs"</formula>
    </cfRule>
  </conditionalFormatting>
  <conditionalFormatting sqref="C44">
    <cfRule type="cellIs" dxfId="29046" priority="15617" stopIfTrue="1" operator="equal">
      <formula>"Towel"</formula>
    </cfRule>
  </conditionalFormatting>
  <conditionalFormatting sqref="C44">
    <cfRule type="cellIs" dxfId="29045" priority="15625" stopIfTrue="1" operator="equal">
      <formula>"Towel"</formula>
    </cfRule>
    <cfRule type="cellIs" dxfId="29044" priority="15626" stopIfTrue="1" operator="equal">
      <formula>"Napkin Hs"</formula>
    </cfRule>
  </conditionalFormatting>
  <conditionalFormatting sqref="C44">
    <cfRule type="cellIs" dxfId="29043" priority="15623" stopIfTrue="1" operator="equal">
      <formula>"Towel"</formula>
    </cfRule>
    <cfRule type="cellIs" dxfId="29042" priority="15624" stopIfTrue="1" operator="equal">
      <formula>"Napkin Hs"</formula>
    </cfRule>
  </conditionalFormatting>
  <conditionalFormatting sqref="C44">
    <cfRule type="cellIs" dxfId="29041" priority="15595" stopIfTrue="1" operator="equal">
      <formula>"Towel"</formula>
    </cfRule>
    <cfRule type="cellIs" dxfId="29040" priority="15596" stopIfTrue="1" operator="equal">
      <formula>"Napkin Hs"</formula>
    </cfRule>
  </conditionalFormatting>
  <conditionalFormatting sqref="C44">
    <cfRule type="cellIs" dxfId="29039" priority="15593" stopIfTrue="1" operator="equal">
      <formula>"Towel"</formula>
    </cfRule>
    <cfRule type="cellIs" dxfId="29038" priority="15594" stopIfTrue="1" operator="equal">
      <formula>"Napkin Hs"</formula>
    </cfRule>
  </conditionalFormatting>
  <conditionalFormatting sqref="C44">
    <cfRule type="cellIs" dxfId="29037" priority="15572" stopIfTrue="1" operator="equal">
      <formula>"Napkin Hs"</formula>
    </cfRule>
  </conditionalFormatting>
  <conditionalFormatting sqref="C44">
    <cfRule type="cellIs" dxfId="29036" priority="15571" stopIfTrue="1" operator="equal">
      <formula>"Towel"</formula>
    </cfRule>
  </conditionalFormatting>
  <conditionalFormatting sqref="C44">
    <cfRule type="cellIs" dxfId="29035" priority="15570" stopIfTrue="1" operator="equal">
      <formula>"Napkin Hs"</formula>
    </cfRule>
  </conditionalFormatting>
  <conditionalFormatting sqref="C44">
    <cfRule type="cellIs" dxfId="29034" priority="15569" stopIfTrue="1" operator="equal">
      <formula>"Towel"</formula>
    </cfRule>
  </conditionalFormatting>
  <conditionalFormatting sqref="C44">
    <cfRule type="cellIs" dxfId="29033" priority="15566" stopIfTrue="1" operator="equal">
      <formula>"Napkin Hs"</formula>
    </cfRule>
  </conditionalFormatting>
  <conditionalFormatting sqref="C44">
    <cfRule type="cellIs" dxfId="29032" priority="15565" stopIfTrue="1" operator="equal">
      <formula>"Towel"</formula>
    </cfRule>
  </conditionalFormatting>
  <conditionalFormatting sqref="C44">
    <cfRule type="cellIs" dxfId="29031" priority="15564" stopIfTrue="1" operator="equal">
      <formula>"Napkin Hs"</formula>
    </cfRule>
  </conditionalFormatting>
  <conditionalFormatting sqref="C44">
    <cfRule type="cellIs" dxfId="29030" priority="15563" stopIfTrue="1" operator="equal">
      <formula>"Towel"</formula>
    </cfRule>
  </conditionalFormatting>
  <conditionalFormatting sqref="C44">
    <cfRule type="cellIs" dxfId="29029" priority="15559" stopIfTrue="1" operator="equal">
      <formula>"Towel"</formula>
    </cfRule>
    <cfRule type="cellIs" dxfId="29028" priority="15560" stopIfTrue="1" operator="equal">
      <formula>"Napkin Hs"</formula>
    </cfRule>
  </conditionalFormatting>
  <conditionalFormatting sqref="C44">
    <cfRule type="cellIs" dxfId="29027" priority="15557" stopIfTrue="1" operator="equal">
      <formula>"Towel"</formula>
    </cfRule>
    <cfRule type="cellIs" dxfId="29026" priority="15558" stopIfTrue="1" operator="equal">
      <formula>"Napkin Hs"</formula>
    </cfRule>
  </conditionalFormatting>
  <conditionalFormatting sqref="C44">
    <cfRule type="cellIs" dxfId="29025" priority="15541" stopIfTrue="1" operator="equal">
      <formula>"Towel"</formula>
    </cfRule>
    <cfRule type="cellIs" dxfId="29024" priority="15542" stopIfTrue="1" operator="equal">
      <formula>"Napkin Hs"</formula>
    </cfRule>
  </conditionalFormatting>
  <conditionalFormatting sqref="C44">
    <cfRule type="cellIs" dxfId="29023" priority="15539" stopIfTrue="1" operator="equal">
      <formula>"Towel"</formula>
    </cfRule>
    <cfRule type="cellIs" dxfId="29022" priority="15540" stopIfTrue="1" operator="equal">
      <formula>"Napkin Hs"</formula>
    </cfRule>
  </conditionalFormatting>
  <conditionalFormatting sqref="C44">
    <cfRule type="cellIs" dxfId="29021" priority="15518" stopIfTrue="1" operator="equal">
      <formula>"Napkin Hs"</formula>
    </cfRule>
  </conditionalFormatting>
  <conditionalFormatting sqref="C44">
    <cfRule type="cellIs" dxfId="29020" priority="15517" stopIfTrue="1" operator="equal">
      <formula>"Towel"</formula>
    </cfRule>
  </conditionalFormatting>
  <conditionalFormatting sqref="C44">
    <cfRule type="cellIs" dxfId="29019" priority="15516" stopIfTrue="1" operator="equal">
      <formula>"Napkin Hs"</formula>
    </cfRule>
  </conditionalFormatting>
  <conditionalFormatting sqref="C44">
    <cfRule type="cellIs" dxfId="29018" priority="15515" stopIfTrue="1" operator="equal">
      <formula>"Towel"</formula>
    </cfRule>
  </conditionalFormatting>
  <conditionalFormatting sqref="C44">
    <cfRule type="cellIs" dxfId="29017" priority="15512" stopIfTrue="1" operator="equal">
      <formula>"Napkin Hs"</formula>
    </cfRule>
  </conditionalFormatting>
  <conditionalFormatting sqref="C44">
    <cfRule type="cellIs" dxfId="29016" priority="15511" stopIfTrue="1" operator="equal">
      <formula>"Towel"</formula>
    </cfRule>
  </conditionalFormatting>
  <conditionalFormatting sqref="C44">
    <cfRule type="cellIs" dxfId="29015" priority="15510" stopIfTrue="1" operator="equal">
      <formula>"Napkin Hs"</formula>
    </cfRule>
  </conditionalFormatting>
  <conditionalFormatting sqref="C44">
    <cfRule type="cellIs" dxfId="29014" priority="15509" stopIfTrue="1" operator="equal">
      <formula>"Towel"</formula>
    </cfRule>
  </conditionalFormatting>
  <conditionalFormatting sqref="B44:C44">
    <cfRule type="cellIs" dxfId="29013" priority="15500" stopIfTrue="1" operator="equal">
      <formula>"Napkin Hs"</formula>
    </cfRule>
  </conditionalFormatting>
  <conditionalFormatting sqref="B44:C44">
    <cfRule type="cellIs" dxfId="29012" priority="15499" stopIfTrue="1" operator="equal">
      <formula>"Towel"</formula>
    </cfRule>
  </conditionalFormatting>
  <conditionalFormatting sqref="C44">
    <cfRule type="cellIs" dxfId="29011" priority="15498" stopIfTrue="1" operator="equal">
      <formula>"Napkin Hs"</formula>
    </cfRule>
  </conditionalFormatting>
  <conditionalFormatting sqref="C44">
    <cfRule type="cellIs" dxfId="29010" priority="15495" stopIfTrue="1" operator="equal">
      <formula>"Towel"</formula>
    </cfRule>
    <cfRule type="cellIs" dxfId="29009" priority="15496" stopIfTrue="1" operator="equal">
      <formula>"Napkin Hs"</formula>
    </cfRule>
  </conditionalFormatting>
  <conditionalFormatting sqref="C44">
    <cfRule type="cellIs" dxfId="29008" priority="15497" stopIfTrue="1" operator="equal">
      <formula>"Towel"</formula>
    </cfRule>
  </conditionalFormatting>
  <conditionalFormatting sqref="C45:C46">
    <cfRule type="cellIs" dxfId="29007" priority="15279" stopIfTrue="1" operator="equal">
      <formula>"Towel"</formula>
    </cfRule>
    <cfRule type="cellIs" dxfId="29006" priority="15280" stopIfTrue="1" operator="equal">
      <formula>"Napkin Hs"</formula>
    </cfRule>
  </conditionalFormatting>
  <conditionalFormatting sqref="C45:C46">
    <cfRule type="cellIs" dxfId="29005" priority="15273" stopIfTrue="1" operator="equal">
      <formula>"Towel"</formula>
    </cfRule>
    <cfRule type="cellIs" dxfId="29004" priority="15274" stopIfTrue="1" operator="equal">
      <formula>"Napkin Hs"</formula>
    </cfRule>
  </conditionalFormatting>
  <conditionalFormatting sqref="C45:C46">
    <cfRule type="cellIs" dxfId="29003" priority="15254" stopIfTrue="1" operator="equal">
      <formula>"Napkin Hs"</formula>
    </cfRule>
  </conditionalFormatting>
  <conditionalFormatting sqref="C45:C46">
    <cfRule type="cellIs" dxfId="29002" priority="15253" stopIfTrue="1" operator="equal">
      <formula>"Towel"</formula>
    </cfRule>
  </conditionalFormatting>
  <conditionalFormatting sqref="C45:C46">
    <cfRule type="cellIs" dxfId="29001" priority="15252" stopIfTrue="1" operator="equal">
      <formula>"Napkin Hs"</formula>
    </cfRule>
  </conditionalFormatting>
  <conditionalFormatting sqref="C45:C46">
    <cfRule type="cellIs" dxfId="29000" priority="15249" stopIfTrue="1" operator="equal">
      <formula>"Towel"</formula>
    </cfRule>
    <cfRule type="cellIs" dxfId="28999" priority="15250" stopIfTrue="1" operator="equal">
      <formula>"Napkin Hs"</formula>
    </cfRule>
  </conditionalFormatting>
  <conditionalFormatting sqref="C45:C46">
    <cfRule type="cellIs" dxfId="28998" priority="15251" stopIfTrue="1" operator="equal">
      <formula>"Towel"</formula>
    </cfRule>
  </conditionalFormatting>
  <conditionalFormatting sqref="C45:C46">
    <cfRule type="cellIs" dxfId="28997" priority="15248" stopIfTrue="1" operator="equal">
      <formula>"Napkin Hs"</formula>
    </cfRule>
  </conditionalFormatting>
  <conditionalFormatting sqref="C45:C46">
    <cfRule type="cellIs" dxfId="28996" priority="15247" stopIfTrue="1" operator="equal">
      <formula>"Towel"</formula>
    </cfRule>
  </conditionalFormatting>
  <conditionalFormatting sqref="C45:C46">
    <cfRule type="cellIs" dxfId="28995" priority="15246" stopIfTrue="1" operator="equal">
      <formula>"Napkin Hs"</formula>
    </cfRule>
  </conditionalFormatting>
  <conditionalFormatting sqref="C45:C46">
    <cfRule type="cellIs" dxfId="28994" priority="15243" stopIfTrue="1" operator="equal">
      <formula>"Towel"</formula>
    </cfRule>
    <cfRule type="cellIs" dxfId="28993" priority="15244" stopIfTrue="1" operator="equal">
      <formula>"Napkin Hs"</formula>
    </cfRule>
  </conditionalFormatting>
  <conditionalFormatting sqref="C45:C46">
    <cfRule type="cellIs" dxfId="28992" priority="15245" stopIfTrue="1" operator="equal">
      <formula>"Towel"</formula>
    </cfRule>
  </conditionalFormatting>
  <conditionalFormatting sqref="C45:C46">
    <cfRule type="cellIs" dxfId="28991" priority="15349" stopIfTrue="1" operator="equal">
      <formula>"Towel"</formula>
    </cfRule>
    <cfRule type="cellIs" dxfId="28990" priority="15350" stopIfTrue="1" operator="equal">
      <formula>"Napkin Hs"</formula>
    </cfRule>
  </conditionalFormatting>
  <conditionalFormatting sqref="C45:C46">
    <cfRule type="cellIs" dxfId="28989" priority="15347" stopIfTrue="1" operator="equal">
      <formula>"Towel"</formula>
    </cfRule>
    <cfRule type="cellIs" dxfId="28988" priority="15348" stopIfTrue="1" operator="equal">
      <formula>"Napkin Hs"</formula>
    </cfRule>
  </conditionalFormatting>
  <conditionalFormatting sqref="C45:C46">
    <cfRule type="cellIs" dxfId="28987" priority="15345" stopIfTrue="1" operator="equal">
      <formula>"Towel"</formula>
    </cfRule>
    <cfRule type="cellIs" dxfId="28986" priority="15346" stopIfTrue="1" operator="equal">
      <formula>"Napkin Hs"</formula>
    </cfRule>
  </conditionalFormatting>
  <conditionalFormatting sqref="C45:C46">
    <cfRule type="cellIs" dxfId="28985" priority="15344" stopIfTrue="1" operator="equal">
      <formula>"Napkin Hs"</formula>
    </cfRule>
  </conditionalFormatting>
  <conditionalFormatting sqref="C45:C46">
    <cfRule type="cellIs" dxfId="28984" priority="15343" stopIfTrue="1" operator="equal">
      <formula>"Towel"</formula>
    </cfRule>
  </conditionalFormatting>
  <conditionalFormatting sqref="C45:C46">
    <cfRule type="cellIs" dxfId="28983" priority="15342" stopIfTrue="1" operator="equal">
      <formula>"Napkin Hs"</formula>
    </cfRule>
  </conditionalFormatting>
  <conditionalFormatting sqref="C45:C46">
    <cfRule type="cellIs" dxfId="28982" priority="15341" stopIfTrue="1" operator="equal">
      <formula>"Towel"</formula>
    </cfRule>
  </conditionalFormatting>
  <conditionalFormatting sqref="C45:C46">
    <cfRule type="cellIs" dxfId="28981" priority="15339" stopIfTrue="1" operator="equal">
      <formula>"Towel"</formula>
    </cfRule>
    <cfRule type="cellIs" dxfId="28980" priority="15340" stopIfTrue="1" operator="equal">
      <formula>"Napkin Hs"</formula>
    </cfRule>
  </conditionalFormatting>
  <conditionalFormatting sqref="C45:C46">
    <cfRule type="cellIs" dxfId="28979" priority="15337" stopIfTrue="1" operator="equal">
      <formula>"Towel"</formula>
    </cfRule>
    <cfRule type="cellIs" dxfId="28978" priority="15338" stopIfTrue="1" operator="equal">
      <formula>"Napkin Hs"</formula>
    </cfRule>
  </conditionalFormatting>
  <conditionalFormatting sqref="C45:C46">
    <cfRule type="cellIs" dxfId="28977" priority="15333" stopIfTrue="1" operator="equal">
      <formula>"Towel"</formula>
    </cfRule>
    <cfRule type="cellIs" dxfId="28976" priority="15334" stopIfTrue="1" operator="equal">
      <formula>"Napkin Hs"</formula>
    </cfRule>
  </conditionalFormatting>
  <conditionalFormatting sqref="C45:C46">
    <cfRule type="cellIs" dxfId="28975" priority="15335" stopIfTrue="1" operator="equal">
      <formula>"Towel"</formula>
    </cfRule>
    <cfRule type="cellIs" dxfId="28974" priority="15336" stopIfTrue="1" operator="equal">
      <formula>"Napkin Hs"</formula>
    </cfRule>
  </conditionalFormatting>
  <conditionalFormatting sqref="C45:C46">
    <cfRule type="cellIs" dxfId="28973" priority="15327" stopIfTrue="1" operator="equal">
      <formula>"Towel"</formula>
    </cfRule>
    <cfRule type="cellIs" dxfId="28972" priority="15328" stopIfTrue="1" operator="equal">
      <formula>"Napkin Hs"</formula>
    </cfRule>
  </conditionalFormatting>
  <conditionalFormatting sqref="C45:C46">
    <cfRule type="cellIs" dxfId="28971" priority="15325" stopIfTrue="1" operator="equal">
      <formula>"Towel"</formula>
    </cfRule>
    <cfRule type="cellIs" dxfId="28970" priority="15326" stopIfTrue="1" operator="equal">
      <formula>"Napkin Hs"</formula>
    </cfRule>
  </conditionalFormatting>
  <conditionalFormatting sqref="C45:C46">
    <cfRule type="cellIs" dxfId="28969" priority="15323" stopIfTrue="1" operator="equal">
      <formula>"Towel"</formula>
    </cfRule>
    <cfRule type="cellIs" dxfId="28968" priority="15324" stopIfTrue="1" operator="equal">
      <formula>"Napkin Hs"</formula>
    </cfRule>
  </conditionalFormatting>
  <conditionalFormatting sqref="C45:C46">
    <cfRule type="cellIs" dxfId="28967" priority="15321" stopIfTrue="1" operator="equal">
      <formula>"Towel"</formula>
    </cfRule>
    <cfRule type="cellIs" dxfId="28966" priority="15322" stopIfTrue="1" operator="equal">
      <formula>"Napkin Hs"</formula>
    </cfRule>
  </conditionalFormatting>
  <conditionalFormatting sqref="C45:C46">
    <cfRule type="cellIs" dxfId="28965" priority="15319" stopIfTrue="1" operator="equal">
      <formula>"Towel"</formula>
    </cfRule>
    <cfRule type="cellIs" dxfId="28964" priority="15320" stopIfTrue="1" operator="equal">
      <formula>"Napkin Hs"</formula>
    </cfRule>
  </conditionalFormatting>
  <conditionalFormatting sqref="C45:C46">
    <cfRule type="cellIs" dxfId="28963" priority="15317" stopIfTrue="1" operator="equal">
      <formula>"Towel"</formula>
    </cfRule>
    <cfRule type="cellIs" dxfId="28962" priority="15318" stopIfTrue="1" operator="equal">
      <formula>"Napkin Hs"</formula>
    </cfRule>
  </conditionalFormatting>
  <conditionalFormatting sqref="C45:C46">
    <cfRule type="cellIs" dxfId="28961" priority="15315" stopIfTrue="1" operator="equal">
      <formula>"Towel"</formula>
    </cfRule>
    <cfRule type="cellIs" dxfId="28960" priority="15316" stopIfTrue="1" operator="equal">
      <formula>"Napkin Hs"</formula>
    </cfRule>
  </conditionalFormatting>
  <conditionalFormatting sqref="C45:C46">
    <cfRule type="cellIs" dxfId="28959" priority="15313" stopIfTrue="1" operator="equal">
      <formula>"Towel"</formula>
    </cfRule>
    <cfRule type="cellIs" dxfId="28958" priority="15314" stopIfTrue="1" operator="equal">
      <formula>"Napkin Hs"</formula>
    </cfRule>
  </conditionalFormatting>
  <conditionalFormatting sqref="C45:C46">
    <cfRule type="cellIs" dxfId="28957" priority="15311" stopIfTrue="1" operator="equal">
      <formula>"Towel"</formula>
    </cfRule>
    <cfRule type="cellIs" dxfId="28956" priority="15312" stopIfTrue="1" operator="equal">
      <formula>"Napkin Hs"</formula>
    </cfRule>
  </conditionalFormatting>
  <conditionalFormatting sqref="C45:C46">
    <cfRule type="cellIs" dxfId="28955" priority="15309" stopIfTrue="1" operator="equal">
      <formula>"Towel"</formula>
    </cfRule>
    <cfRule type="cellIs" dxfId="28954" priority="15310" stopIfTrue="1" operator="equal">
      <formula>"Napkin Hs"</formula>
    </cfRule>
  </conditionalFormatting>
  <conditionalFormatting sqref="C45:C46">
    <cfRule type="cellIs" dxfId="28953" priority="15303" stopIfTrue="1" operator="equal">
      <formula>"Towel"</formula>
    </cfRule>
    <cfRule type="cellIs" dxfId="28952" priority="15304" stopIfTrue="1" operator="equal">
      <formula>"Napkin Hs"</formula>
    </cfRule>
  </conditionalFormatting>
  <conditionalFormatting sqref="C45:C46">
    <cfRule type="cellIs" dxfId="28951" priority="15297" stopIfTrue="1" operator="equal">
      <formula>"Towel"</formula>
    </cfRule>
    <cfRule type="cellIs" dxfId="28950" priority="15298" stopIfTrue="1" operator="equal">
      <formula>"Napkin Hs"</formula>
    </cfRule>
  </conditionalFormatting>
  <conditionalFormatting sqref="C45:C46">
    <cfRule type="cellIs" dxfId="28949" priority="15291" stopIfTrue="1" operator="equal">
      <formula>"Towel"</formula>
    </cfRule>
    <cfRule type="cellIs" dxfId="28948" priority="15292" stopIfTrue="1" operator="equal">
      <formula>"Napkin Hs"</formula>
    </cfRule>
  </conditionalFormatting>
  <conditionalFormatting sqref="C45:C46">
    <cfRule type="cellIs" dxfId="28947" priority="15290" stopIfTrue="1" operator="equal">
      <formula>"Napkin Hs"</formula>
    </cfRule>
  </conditionalFormatting>
  <conditionalFormatting sqref="C45:C46">
    <cfRule type="cellIs" dxfId="28946" priority="15289" stopIfTrue="1" operator="equal">
      <formula>"Towel"</formula>
    </cfRule>
  </conditionalFormatting>
  <conditionalFormatting sqref="C45:C46">
    <cfRule type="cellIs" dxfId="28945" priority="15288" stopIfTrue="1" operator="equal">
      <formula>"Napkin Hs"</formula>
    </cfRule>
  </conditionalFormatting>
  <conditionalFormatting sqref="C45:C46">
    <cfRule type="cellIs" dxfId="28944" priority="15287" stopIfTrue="1" operator="equal">
      <formula>"Towel"</formula>
    </cfRule>
  </conditionalFormatting>
  <conditionalFormatting sqref="C45:C46">
    <cfRule type="cellIs" dxfId="28943" priority="15285" stopIfTrue="1" operator="equal">
      <formula>"Towel"</formula>
    </cfRule>
    <cfRule type="cellIs" dxfId="28942" priority="15286" stopIfTrue="1" operator="equal">
      <formula>"Napkin Hs"</formula>
    </cfRule>
  </conditionalFormatting>
  <conditionalFormatting sqref="C45:C46">
    <cfRule type="cellIs" dxfId="28941" priority="15283" stopIfTrue="1" operator="equal">
      <formula>"Towel"</formula>
    </cfRule>
    <cfRule type="cellIs" dxfId="28940" priority="15284" stopIfTrue="1" operator="equal">
      <formula>"Napkin Hs"</formula>
    </cfRule>
  </conditionalFormatting>
  <conditionalFormatting sqref="C45:C46">
    <cfRule type="cellIs" dxfId="28939" priority="15281" stopIfTrue="1" operator="equal">
      <formula>"Towel"</formula>
    </cfRule>
    <cfRule type="cellIs" dxfId="28938" priority="15282" stopIfTrue="1" operator="equal">
      <formula>"Napkin Hs"</formula>
    </cfRule>
  </conditionalFormatting>
  <conditionalFormatting sqref="C45:C46">
    <cfRule type="cellIs" dxfId="28937" priority="15271" stopIfTrue="1" operator="equal">
      <formula>"Towel"</formula>
    </cfRule>
    <cfRule type="cellIs" dxfId="28936" priority="15272" stopIfTrue="1" operator="equal">
      <formula>"Napkin Hs"</formula>
    </cfRule>
  </conditionalFormatting>
  <conditionalFormatting sqref="C45:C46">
    <cfRule type="cellIs" dxfId="28935" priority="15269" stopIfTrue="1" operator="equal">
      <formula>"Towel"</formula>
    </cfRule>
    <cfRule type="cellIs" dxfId="28934" priority="15270" stopIfTrue="1" operator="equal">
      <formula>"Napkin Hs"</formula>
    </cfRule>
  </conditionalFormatting>
  <conditionalFormatting sqref="C45:C46">
    <cfRule type="cellIs" dxfId="28933" priority="15267" stopIfTrue="1" operator="equal">
      <formula>"Towel"</formula>
    </cfRule>
    <cfRule type="cellIs" dxfId="28932" priority="15268" stopIfTrue="1" operator="equal">
      <formula>"Napkin Hs"</formula>
    </cfRule>
  </conditionalFormatting>
  <conditionalFormatting sqref="C45:C46">
    <cfRule type="cellIs" dxfId="28931" priority="15265" stopIfTrue="1" operator="equal">
      <formula>"Towel"</formula>
    </cfRule>
    <cfRule type="cellIs" dxfId="28930" priority="15266" stopIfTrue="1" operator="equal">
      <formula>"Napkin Hs"</formula>
    </cfRule>
  </conditionalFormatting>
  <conditionalFormatting sqref="C45:C46">
    <cfRule type="cellIs" dxfId="28929" priority="15263" stopIfTrue="1" operator="equal">
      <formula>"Towel"</formula>
    </cfRule>
    <cfRule type="cellIs" dxfId="28928" priority="15264" stopIfTrue="1" operator="equal">
      <formula>"Napkin Hs"</formula>
    </cfRule>
  </conditionalFormatting>
  <conditionalFormatting sqref="C45:C46">
    <cfRule type="cellIs" dxfId="28927" priority="15261" stopIfTrue="1" operator="equal">
      <formula>"Towel"</formula>
    </cfRule>
    <cfRule type="cellIs" dxfId="28926" priority="15262" stopIfTrue="1" operator="equal">
      <formula>"Napkin Hs"</formula>
    </cfRule>
  </conditionalFormatting>
  <conditionalFormatting sqref="C45:C46">
    <cfRule type="cellIs" dxfId="28925" priority="15259" stopIfTrue="1" operator="equal">
      <formula>"Towel"</formula>
    </cfRule>
    <cfRule type="cellIs" dxfId="28924" priority="15260" stopIfTrue="1" operator="equal">
      <formula>"Napkin Hs"</formula>
    </cfRule>
  </conditionalFormatting>
  <conditionalFormatting sqref="C45:C46">
    <cfRule type="cellIs" dxfId="28923" priority="15257" stopIfTrue="1" operator="equal">
      <formula>"Towel"</formula>
    </cfRule>
    <cfRule type="cellIs" dxfId="28922" priority="15258" stopIfTrue="1" operator="equal">
      <formula>"Napkin Hs"</formula>
    </cfRule>
  </conditionalFormatting>
  <conditionalFormatting sqref="C45:C46">
    <cfRule type="cellIs" dxfId="28921" priority="15255" stopIfTrue="1" operator="equal">
      <formula>"Towel"</formula>
    </cfRule>
    <cfRule type="cellIs" dxfId="28920" priority="15256" stopIfTrue="1" operator="equal">
      <formula>"Napkin Hs"</formula>
    </cfRule>
  </conditionalFormatting>
  <conditionalFormatting sqref="C45:C46">
    <cfRule type="cellIs" dxfId="28919" priority="15242" stopIfTrue="1" operator="equal">
      <formula>"Napkin Hs"</formula>
    </cfRule>
  </conditionalFormatting>
  <conditionalFormatting sqref="C45:C46">
    <cfRule type="cellIs" dxfId="28918" priority="15241" stopIfTrue="1" operator="equal">
      <formula>"Towel"</formula>
    </cfRule>
  </conditionalFormatting>
  <conditionalFormatting sqref="C45:C46">
    <cfRule type="cellIs" dxfId="28917" priority="15240" stopIfTrue="1" operator="equal">
      <formula>"Napkin Hs"</formula>
    </cfRule>
  </conditionalFormatting>
  <conditionalFormatting sqref="C45:C46">
    <cfRule type="cellIs" dxfId="28916" priority="15237" stopIfTrue="1" operator="equal">
      <formula>"Towel"</formula>
    </cfRule>
    <cfRule type="cellIs" dxfId="28915" priority="15238" stopIfTrue="1" operator="equal">
      <formula>"Napkin Hs"</formula>
    </cfRule>
  </conditionalFormatting>
  <conditionalFormatting sqref="C45:C46">
    <cfRule type="cellIs" dxfId="28914" priority="15239" stopIfTrue="1" operator="equal">
      <formula>"Towel"</formula>
    </cfRule>
  </conditionalFormatting>
  <conditionalFormatting sqref="C45:C46">
    <cfRule type="cellIs" dxfId="28913" priority="15357" stopIfTrue="1" operator="equal">
      <formula>"Towel"</formula>
    </cfRule>
    <cfRule type="cellIs" dxfId="28912" priority="15358" stopIfTrue="1" operator="equal">
      <formula>"Napkin Hs"</formula>
    </cfRule>
  </conditionalFormatting>
  <conditionalFormatting sqref="C45:C46">
    <cfRule type="cellIs" dxfId="28911" priority="15356" stopIfTrue="1" operator="equal">
      <formula>"Napkin Hs"</formula>
    </cfRule>
  </conditionalFormatting>
  <conditionalFormatting sqref="C45:C46">
    <cfRule type="cellIs" dxfId="28910" priority="15355" stopIfTrue="1" operator="equal">
      <formula>"Towel"</formula>
    </cfRule>
  </conditionalFormatting>
  <conditionalFormatting sqref="C45:C46">
    <cfRule type="cellIs" dxfId="28909" priority="15354" stopIfTrue="1" operator="equal">
      <formula>"Napkin Hs"</formula>
    </cfRule>
  </conditionalFormatting>
  <conditionalFormatting sqref="C45:C46">
    <cfRule type="cellIs" dxfId="28908" priority="15351" stopIfTrue="1" operator="equal">
      <formula>"Towel"</formula>
    </cfRule>
    <cfRule type="cellIs" dxfId="28907" priority="15352" stopIfTrue="1" operator="equal">
      <formula>"Napkin Hs"</formula>
    </cfRule>
  </conditionalFormatting>
  <conditionalFormatting sqref="C45:C46">
    <cfRule type="cellIs" dxfId="28906" priority="15353" stopIfTrue="1" operator="equal">
      <formula>"Towel"</formula>
    </cfRule>
  </conditionalFormatting>
  <conditionalFormatting sqref="C45:C46">
    <cfRule type="cellIs" dxfId="28905" priority="15361" stopIfTrue="1" operator="equal">
      <formula>"Towel"</formula>
    </cfRule>
    <cfRule type="cellIs" dxfId="28904" priority="15362" stopIfTrue="1" operator="equal">
      <formula>"Napkin Hs"</formula>
    </cfRule>
  </conditionalFormatting>
  <conditionalFormatting sqref="C45:C46">
    <cfRule type="cellIs" dxfId="28903" priority="15359" stopIfTrue="1" operator="equal">
      <formula>"Towel"</formula>
    </cfRule>
    <cfRule type="cellIs" dxfId="28902" priority="15360" stopIfTrue="1" operator="equal">
      <formula>"Napkin Hs"</formula>
    </cfRule>
  </conditionalFormatting>
  <conditionalFormatting sqref="C45:C46">
    <cfRule type="cellIs" dxfId="28901" priority="15331" stopIfTrue="1" operator="equal">
      <formula>"Towel"</formula>
    </cfRule>
    <cfRule type="cellIs" dxfId="28900" priority="15332" stopIfTrue="1" operator="equal">
      <formula>"Napkin Hs"</formula>
    </cfRule>
  </conditionalFormatting>
  <conditionalFormatting sqref="C45:C46">
    <cfRule type="cellIs" dxfId="28899" priority="15329" stopIfTrue="1" operator="equal">
      <formula>"Towel"</formula>
    </cfRule>
    <cfRule type="cellIs" dxfId="28898" priority="15330" stopIfTrue="1" operator="equal">
      <formula>"Napkin Hs"</formula>
    </cfRule>
  </conditionalFormatting>
  <conditionalFormatting sqref="C45:C46">
    <cfRule type="cellIs" dxfId="28897" priority="15308" stopIfTrue="1" operator="equal">
      <formula>"Napkin Hs"</formula>
    </cfRule>
  </conditionalFormatting>
  <conditionalFormatting sqref="C45:C46">
    <cfRule type="cellIs" dxfId="28896" priority="15307" stopIfTrue="1" operator="equal">
      <formula>"Towel"</formula>
    </cfRule>
  </conditionalFormatting>
  <conditionalFormatting sqref="C45:C46">
    <cfRule type="cellIs" dxfId="28895" priority="15306" stopIfTrue="1" operator="equal">
      <formula>"Napkin Hs"</formula>
    </cfRule>
  </conditionalFormatting>
  <conditionalFormatting sqref="C45:C46">
    <cfRule type="cellIs" dxfId="28894" priority="15305" stopIfTrue="1" operator="equal">
      <formula>"Towel"</formula>
    </cfRule>
  </conditionalFormatting>
  <conditionalFormatting sqref="C45:C46">
    <cfRule type="cellIs" dxfId="28893" priority="15302" stopIfTrue="1" operator="equal">
      <formula>"Napkin Hs"</formula>
    </cfRule>
  </conditionalFormatting>
  <conditionalFormatting sqref="C45:C46">
    <cfRule type="cellIs" dxfId="28892" priority="15301" stopIfTrue="1" operator="equal">
      <formula>"Towel"</formula>
    </cfRule>
  </conditionalFormatting>
  <conditionalFormatting sqref="C45:C46">
    <cfRule type="cellIs" dxfId="28891" priority="15300" stopIfTrue="1" operator="equal">
      <formula>"Napkin Hs"</formula>
    </cfRule>
  </conditionalFormatting>
  <conditionalFormatting sqref="C45:C46">
    <cfRule type="cellIs" dxfId="28890" priority="15299" stopIfTrue="1" operator="equal">
      <formula>"Towel"</formula>
    </cfRule>
  </conditionalFormatting>
  <conditionalFormatting sqref="C45:C46">
    <cfRule type="cellIs" dxfId="28889" priority="15295" stopIfTrue="1" operator="equal">
      <formula>"Towel"</formula>
    </cfRule>
    <cfRule type="cellIs" dxfId="28888" priority="15296" stopIfTrue="1" operator="equal">
      <formula>"Napkin Hs"</formula>
    </cfRule>
  </conditionalFormatting>
  <conditionalFormatting sqref="C45:C46">
    <cfRule type="cellIs" dxfId="28887" priority="15293" stopIfTrue="1" operator="equal">
      <formula>"Towel"</formula>
    </cfRule>
    <cfRule type="cellIs" dxfId="28886" priority="15294" stopIfTrue="1" operator="equal">
      <formula>"Napkin Hs"</formula>
    </cfRule>
  </conditionalFormatting>
  <conditionalFormatting sqref="C45:C46">
    <cfRule type="cellIs" dxfId="28885" priority="15277" stopIfTrue="1" operator="equal">
      <formula>"Towel"</formula>
    </cfRule>
    <cfRule type="cellIs" dxfId="28884" priority="15278" stopIfTrue="1" operator="equal">
      <formula>"Napkin Hs"</formula>
    </cfRule>
  </conditionalFormatting>
  <conditionalFormatting sqref="C45:C46">
    <cfRule type="cellIs" dxfId="28883" priority="15275" stopIfTrue="1" operator="equal">
      <formula>"Towel"</formula>
    </cfRule>
    <cfRule type="cellIs" dxfId="28882" priority="15276" stopIfTrue="1" operator="equal">
      <formula>"Napkin Hs"</formula>
    </cfRule>
  </conditionalFormatting>
  <conditionalFormatting sqref="B45:C46">
    <cfRule type="cellIs" dxfId="28881" priority="15236" stopIfTrue="1" operator="equal">
      <formula>"Napkin Hs"</formula>
    </cfRule>
  </conditionalFormatting>
  <conditionalFormatting sqref="B45:C46">
    <cfRule type="cellIs" dxfId="28880" priority="15235" stopIfTrue="1" operator="equal">
      <formula>"Towel"</formula>
    </cfRule>
  </conditionalFormatting>
  <conditionalFormatting sqref="C45:C46">
    <cfRule type="cellIs" dxfId="28879" priority="15234" stopIfTrue="1" operator="equal">
      <formula>"Napkin Hs"</formula>
    </cfRule>
  </conditionalFormatting>
  <conditionalFormatting sqref="C45:C46">
    <cfRule type="cellIs" dxfId="28878" priority="15231" stopIfTrue="1" operator="equal">
      <formula>"Towel"</formula>
    </cfRule>
    <cfRule type="cellIs" dxfId="28877" priority="15232" stopIfTrue="1" operator="equal">
      <formula>"Napkin Hs"</formula>
    </cfRule>
  </conditionalFormatting>
  <conditionalFormatting sqref="C45:C46">
    <cfRule type="cellIs" dxfId="28876" priority="15233" stopIfTrue="1" operator="equal">
      <formula>"Towel"</formula>
    </cfRule>
  </conditionalFormatting>
  <conditionalFormatting sqref="B43:C43">
    <cfRule type="cellIs" dxfId="28875" priority="15229" stopIfTrue="1" operator="equal">
      <formula>"Towel"</formula>
    </cfRule>
    <cfRule type="cellIs" dxfId="28874" priority="15230" stopIfTrue="1" operator="equal">
      <formula>"Napkin Hs"</formula>
    </cfRule>
  </conditionalFormatting>
  <conditionalFormatting sqref="C43">
    <cfRule type="cellIs" dxfId="28873" priority="15225" stopIfTrue="1" operator="equal">
      <formula>"Towel"</formula>
    </cfRule>
    <cfRule type="cellIs" dxfId="28872" priority="15226" stopIfTrue="1" operator="equal">
      <formula>"Napkin Hs"</formula>
    </cfRule>
  </conditionalFormatting>
  <conditionalFormatting sqref="C43">
    <cfRule type="cellIs" dxfId="28871" priority="15227" stopIfTrue="1" operator="equal">
      <formula>"Towel"</formula>
    </cfRule>
    <cfRule type="cellIs" dxfId="28870" priority="15228" stopIfTrue="1" operator="equal">
      <formula>"Napkin Hs"</formula>
    </cfRule>
  </conditionalFormatting>
  <conditionalFormatting sqref="B43:C43">
    <cfRule type="cellIs" dxfId="28869" priority="15223" stopIfTrue="1" operator="equal">
      <formula>"Towel"</formula>
    </cfRule>
    <cfRule type="cellIs" dxfId="28868" priority="15224" stopIfTrue="1" operator="equal">
      <formula>"Napkin Hs"</formula>
    </cfRule>
  </conditionalFormatting>
  <conditionalFormatting sqref="C43">
    <cfRule type="cellIs" dxfId="28867" priority="15219" stopIfTrue="1" operator="equal">
      <formula>"Towel"</formula>
    </cfRule>
    <cfRule type="cellIs" dxfId="28866" priority="15220" stopIfTrue="1" operator="equal">
      <formula>"Napkin Hs"</formula>
    </cfRule>
  </conditionalFormatting>
  <conditionalFormatting sqref="C43">
    <cfRule type="cellIs" dxfId="28865" priority="15221" stopIfTrue="1" operator="equal">
      <formula>"Towel"</formula>
    </cfRule>
    <cfRule type="cellIs" dxfId="28864" priority="15222" stopIfTrue="1" operator="equal">
      <formula>"Napkin Hs"</formula>
    </cfRule>
  </conditionalFormatting>
  <conditionalFormatting sqref="B43:C43">
    <cfRule type="cellIs" dxfId="28863" priority="15217" stopIfTrue="1" operator="equal">
      <formula>"Towel"</formula>
    </cfRule>
    <cfRule type="cellIs" dxfId="28862" priority="15218" stopIfTrue="1" operator="equal">
      <formula>"Napkin Hs"</formula>
    </cfRule>
  </conditionalFormatting>
  <conditionalFormatting sqref="C43">
    <cfRule type="cellIs" dxfId="28861" priority="15215" stopIfTrue="1" operator="equal">
      <formula>"Towel"</formula>
    </cfRule>
    <cfRule type="cellIs" dxfId="28860" priority="15216" stopIfTrue="1" operator="equal">
      <formula>"Napkin Hs"</formula>
    </cfRule>
  </conditionalFormatting>
  <conditionalFormatting sqref="C43">
    <cfRule type="cellIs" dxfId="28859" priority="15213" stopIfTrue="1" operator="equal">
      <formula>"Towel"</formula>
    </cfRule>
    <cfRule type="cellIs" dxfId="28858" priority="15214" stopIfTrue="1" operator="equal">
      <formula>"Napkin Hs"</formula>
    </cfRule>
  </conditionalFormatting>
  <conditionalFormatting sqref="B43:C43">
    <cfRule type="cellIs" dxfId="28857" priority="15212" stopIfTrue="1" operator="equal">
      <formula>"Napkin Hs"</formula>
    </cfRule>
  </conditionalFormatting>
  <conditionalFormatting sqref="B43:C43">
    <cfRule type="cellIs" dxfId="28856" priority="15211" stopIfTrue="1" operator="equal">
      <formula>"Towel"</formula>
    </cfRule>
  </conditionalFormatting>
  <conditionalFormatting sqref="C43">
    <cfRule type="cellIs" dxfId="28855" priority="15210" stopIfTrue="1" operator="equal">
      <formula>"Napkin Hs"</formula>
    </cfRule>
  </conditionalFormatting>
  <conditionalFormatting sqref="C43">
    <cfRule type="cellIs" dxfId="28854" priority="15209" stopIfTrue="1" operator="equal">
      <formula>"Towel"</formula>
    </cfRule>
  </conditionalFormatting>
  <conditionalFormatting sqref="C43">
    <cfRule type="cellIs" dxfId="28853" priority="15207" stopIfTrue="1" operator="equal">
      <formula>"Towel"</formula>
    </cfRule>
    <cfRule type="cellIs" dxfId="28852" priority="15208" stopIfTrue="1" operator="equal">
      <formula>"Napkin Hs"</formula>
    </cfRule>
  </conditionalFormatting>
  <conditionalFormatting sqref="C43">
    <cfRule type="cellIs" dxfId="28851" priority="15205" stopIfTrue="1" operator="equal">
      <formula>"Towel"</formula>
    </cfRule>
    <cfRule type="cellIs" dxfId="28850" priority="15206" stopIfTrue="1" operator="equal">
      <formula>"Napkin Hs"</formula>
    </cfRule>
  </conditionalFormatting>
  <conditionalFormatting sqref="C43">
    <cfRule type="cellIs" dxfId="28849" priority="15121" stopIfTrue="1" operator="equal">
      <formula>"Towel"</formula>
    </cfRule>
    <cfRule type="cellIs" dxfId="28848" priority="15122" stopIfTrue="1" operator="equal">
      <formula>"Napkin Hs"</formula>
    </cfRule>
  </conditionalFormatting>
  <conditionalFormatting sqref="C43">
    <cfRule type="cellIs" dxfId="28847" priority="15115" stopIfTrue="1" operator="equal">
      <formula>"Towel"</formula>
    </cfRule>
    <cfRule type="cellIs" dxfId="28846" priority="15116" stopIfTrue="1" operator="equal">
      <formula>"Napkin Hs"</formula>
    </cfRule>
  </conditionalFormatting>
  <conditionalFormatting sqref="C43">
    <cfRule type="cellIs" dxfId="28845" priority="15096" stopIfTrue="1" operator="equal">
      <formula>"Napkin Hs"</formula>
    </cfRule>
  </conditionalFormatting>
  <conditionalFormatting sqref="C43">
    <cfRule type="cellIs" dxfId="28844" priority="15095" stopIfTrue="1" operator="equal">
      <formula>"Towel"</formula>
    </cfRule>
  </conditionalFormatting>
  <conditionalFormatting sqref="C43">
    <cfRule type="cellIs" dxfId="28843" priority="15094" stopIfTrue="1" operator="equal">
      <formula>"Napkin Hs"</formula>
    </cfRule>
  </conditionalFormatting>
  <conditionalFormatting sqref="C43">
    <cfRule type="cellIs" dxfId="28842" priority="15091" stopIfTrue="1" operator="equal">
      <formula>"Towel"</formula>
    </cfRule>
    <cfRule type="cellIs" dxfId="28841" priority="15092" stopIfTrue="1" operator="equal">
      <formula>"Napkin Hs"</formula>
    </cfRule>
  </conditionalFormatting>
  <conditionalFormatting sqref="C43">
    <cfRule type="cellIs" dxfId="28840" priority="15093" stopIfTrue="1" operator="equal">
      <formula>"Towel"</formula>
    </cfRule>
  </conditionalFormatting>
  <conditionalFormatting sqref="C43">
    <cfRule type="cellIs" dxfId="28839" priority="15090" stopIfTrue="1" operator="equal">
      <formula>"Napkin Hs"</formula>
    </cfRule>
  </conditionalFormatting>
  <conditionalFormatting sqref="C43">
    <cfRule type="cellIs" dxfId="28838" priority="15089" stopIfTrue="1" operator="equal">
      <formula>"Towel"</formula>
    </cfRule>
  </conditionalFormatting>
  <conditionalFormatting sqref="C43">
    <cfRule type="cellIs" dxfId="28837" priority="15088" stopIfTrue="1" operator="equal">
      <formula>"Napkin Hs"</formula>
    </cfRule>
  </conditionalFormatting>
  <conditionalFormatting sqref="C43">
    <cfRule type="cellIs" dxfId="28836" priority="15085" stopIfTrue="1" operator="equal">
      <formula>"Towel"</formula>
    </cfRule>
    <cfRule type="cellIs" dxfId="28835" priority="15086" stopIfTrue="1" operator="equal">
      <formula>"Napkin Hs"</formula>
    </cfRule>
  </conditionalFormatting>
  <conditionalFormatting sqref="C43">
    <cfRule type="cellIs" dxfId="28834" priority="15087" stopIfTrue="1" operator="equal">
      <formula>"Towel"</formula>
    </cfRule>
  </conditionalFormatting>
  <conditionalFormatting sqref="C43">
    <cfRule type="cellIs" dxfId="28833" priority="15191" stopIfTrue="1" operator="equal">
      <formula>"Towel"</formula>
    </cfRule>
    <cfRule type="cellIs" dxfId="28832" priority="15192" stopIfTrue="1" operator="equal">
      <formula>"Napkin Hs"</formula>
    </cfRule>
  </conditionalFormatting>
  <conditionalFormatting sqref="C43">
    <cfRule type="cellIs" dxfId="28831" priority="15189" stopIfTrue="1" operator="equal">
      <formula>"Towel"</formula>
    </cfRule>
    <cfRule type="cellIs" dxfId="28830" priority="15190" stopIfTrue="1" operator="equal">
      <formula>"Napkin Hs"</formula>
    </cfRule>
  </conditionalFormatting>
  <conditionalFormatting sqref="C43">
    <cfRule type="cellIs" dxfId="28829" priority="15187" stopIfTrue="1" operator="equal">
      <formula>"Towel"</formula>
    </cfRule>
    <cfRule type="cellIs" dxfId="28828" priority="15188" stopIfTrue="1" operator="equal">
      <formula>"Napkin Hs"</formula>
    </cfRule>
  </conditionalFormatting>
  <conditionalFormatting sqref="C43">
    <cfRule type="cellIs" dxfId="28827" priority="15186" stopIfTrue="1" operator="equal">
      <formula>"Napkin Hs"</formula>
    </cfRule>
  </conditionalFormatting>
  <conditionalFormatting sqref="C43">
    <cfRule type="cellIs" dxfId="28826" priority="15185" stopIfTrue="1" operator="equal">
      <formula>"Towel"</formula>
    </cfRule>
  </conditionalFormatting>
  <conditionalFormatting sqref="C43">
    <cfRule type="cellIs" dxfId="28825" priority="15184" stopIfTrue="1" operator="equal">
      <formula>"Napkin Hs"</formula>
    </cfRule>
  </conditionalFormatting>
  <conditionalFormatting sqref="C43">
    <cfRule type="cellIs" dxfId="28824" priority="15183" stopIfTrue="1" operator="equal">
      <formula>"Towel"</formula>
    </cfRule>
  </conditionalFormatting>
  <conditionalFormatting sqref="C43">
    <cfRule type="cellIs" dxfId="28823" priority="15181" stopIfTrue="1" operator="equal">
      <formula>"Towel"</formula>
    </cfRule>
    <cfRule type="cellIs" dxfId="28822" priority="15182" stopIfTrue="1" operator="equal">
      <formula>"Napkin Hs"</formula>
    </cfRule>
  </conditionalFormatting>
  <conditionalFormatting sqref="C43">
    <cfRule type="cellIs" dxfId="28821" priority="15179" stopIfTrue="1" operator="equal">
      <formula>"Towel"</formula>
    </cfRule>
    <cfRule type="cellIs" dxfId="28820" priority="15180" stopIfTrue="1" operator="equal">
      <formula>"Napkin Hs"</formula>
    </cfRule>
  </conditionalFormatting>
  <conditionalFormatting sqref="C43">
    <cfRule type="cellIs" dxfId="28819" priority="15175" stopIfTrue="1" operator="equal">
      <formula>"Towel"</formula>
    </cfRule>
    <cfRule type="cellIs" dxfId="28818" priority="15176" stopIfTrue="1" operator="equal">
      <formula>"Napkin Hs"</formula>
    </cfRule>
  </conditionalFormatting>
  <conditionalFormatting sqref="C43">
    <cfRule type="cellIs" dxfId="28817" priority="15177" stopIfTrue="1" operator="equal">
      <formula>"Towel"</formula>
    </cfRule>
    <cfRule type="cellIs" dxfId="28816" priority="15178" stopIfTrue="1" operator="equal">
      <formula>"Napkin Hs"</formula>
    </cfRule>
  </conditionalFormatting>
  <conditionalFormatting sqref="C43">
    <cfRule type="cellIs" dxfId="28815" priority="15169" stopIfTrue="1" operator="equal">
      <formula>"Towel"</formula>
    </cfRule>
    <cfRule type="cellIs" dxfId="28814" priority="15170" stopIfTrue="1" operator="equal">
      <formula>"Napkin Hs"</formula>
    </cfRule>
  </conditionalFormatting>
  <conditionalFormatting sqref="C43">
    <cfRule type="cellIs" dxfId="28813" priority="15167" stopIfTrue="1" operator="equal">
      <formula>"Towel"</formula>
    </cfRule>
    <cfRule type="cellIs" dxfId="28812" priority="15168" stopIfTrue="1" operator="equal">
      <formula>"Napkin Hs"</formula>
    </cfRule>
  </conditionalFormatting>
  <conditionalFormatting sqref="C43">
    <cfRule type="cellIs" dxfId="28811" priority="15165" stopIfTrue="1" operator="equal">
      <formula>"Towel"</formula>
    </cfRule>
    <cfRule type="cellIs" dxfId="28810" priority="15166" stopIfTrue="1" operator="equal">
      <formula>"Napkin Hs"</formula>
    </cfRule>
  </conditionalFormatting>
  <conditionalFormatting sqref="C43">
    <cfRule type="cellIs" dxfId="28809" priority="15163" stopIfTrue="1" operator="equal">
      <formula>"Towel"</formula>
    </cfRule>
    <cfRule type="cellIs" dxfId="28808" priority="15164" stopIfTrue="1" operator="equal">
      <formula>"Napkin Hs"</formula>
    </cfRule>
  </conditionalFormatting>
  <conditionalFormatting sqref="C43">
    <cfRule type="cellIs" dxfId="28807" priority="15161" stopIfTrue="1" operator="equal">
      <formula>"Towel"</formula>
    </cfRule>
    <cfRule type="cellIs" dxfId="28806" priority="15162" stopIfTrue="1" operator="equal">
      <formula>"Napkin Hs"</formula>
    </cfRule>
  </conditionalFormatting>
  <conditionalFormatting sqref="C43">
    <cfRule type="cellIs" dxfId="28805" priority="15159" stopIfTrue="1" operator="equal">
      <formula>"Towel"</formula>
    </cfRule>
    <cfRule type="cellIs" dxfId="28804" priority="15160" stopIfTrue="1" operator="equal">
      <formula>"Napkin Hs"</formula>
    </cfRule>
  </conditionalFormatting>
  <conditionalFormatting sqref="C43">
    <cfRule type="cellIs" dxfId="28803" priority="15157" stopIfTrue="1" operator="equal">
      <formula>"Towel"</formula>
    </cfRule>
    <cfRule type="cellIs" dxfId="28802" priority="15158" stopIfTrue="1" operator="equal">
      <formula>"Napkin Hs"</formula>
    </cfRule>
  </conditionalFormatting>
  <conditionalFormatting sqref="C43">
    <cfRule type="cellIs" dxfId="28801" priority="15155" stopIfTrue="1" operator="equal">
      <formula>"Towel"</formula>
    </cfRule>
    <cfRule type="cellIs" dxfId="28800" priority="15156" stopIfTrue="1" operator="equal">
      <formula>"Napkin Hs"</formula>
    </cfRule>
  </conditionalFormatting>
  <conditionalFormatting sqref="C43">
    <cfRule type="cellIs" dxfId="28799" priority="15153" stopIfTrue="1" operator="equal">
      <formula>"Towel"</formula>
    </cfRule>
    <cfRule type="cellIs" dxfId="28798" priority="15154" stopIfTrue="1" operator="equal">
      <formula>"Napkin Hs"</formula>
    </cfRule>
  </conditionalFormatting>
  <conditionalFormatting sqref="C43">
    <cfRule type="cellIs" dxfId="28797" priority="15151" stopIfTrue="1" operator="equal">
      <formula>"Towel"</formula>
    </cfRule>
    <cfRule type="cellIs" dxfId="28796" priority="15152" stopIfTrue="1" operator="equal">
      <formula>"Napkin Hs"</formula>
    </cfRule>
  </conditionalFormatting>
  <conditionalFormatting sqref="C43">
    <cfRule type="cellIs" dxfId="28795" priority="15145" stopIfTrue="1" operator="equal">
      <formula>"Towel"</formula>
    </cfRule>
    <cfRule type="cellIs" dxfId="28794" priority="15146" stopIfTrue="1" operator="equal">
      <formula>"Napkin Hs"</formula>
    </cfRule>
  </conditionalFormatting>
  <conditionalFormatting sqref="C43">
    <cfRule type="cellIs" dxfId="28793" priority="15139" stopIfTrue="1" operator="equal">
      <formula>"Towel"</formula>
    </cfRule>
    <cfRule type="cellIs" dxfId="28792" priority="15140" stopIfTrue="1" operator="equal">
      <formula>"Napkin Hs"</formula>
    </cfRule>
  </conditionalFormatting>
  <conditionalFormatting sqref="C43">
    <cfRule type="cellIs" dxfId="28791" priority="15133" stopIfTrue="1" operator="equal">
      <formula>"Towel"</formula>
    </cfRule>
    <cfRule type="cellIs" dxfId="28790" priority="15134" stopIfTrue="1" operator="equal">
      <formula>"Napkin Hs"</formula>
    </cfRule>
  </conditionalFormatting>
  <conditionalFormatting sqref="C43">
    <cfRule type="cellIs" dxfId="28789" priority="15132" stopIfTrue="1" operator="equal">
      <formula>"Napkin Hs"</formula>
    </cfRule>
  </conditionalFormatting>
  <conditionalFormatting sqref="C43">
    <cfRule type="cellIs" dxfId="28788" priority="15131" stopIfTrue="1" operator="equal">
      <formula>"Towel"</formula>
    </cfRule>
  </conditionalFormatting>
  <conditionalFormatting sqref="C43">
    <cfRule type="cellIs" dxfId="28787" priority="15130" stopIfTrue="1" operator="equal">
      <formula>"Napkin Hs"</formula>
    </cfRule>
  </conditionalFormatting>
  <conditionalFormatting sqref="C43">
    <cfRule type="cellIs" dxfId="28786" priority="15129" stopIfTrue="1" operator="equal">
      <formula>"Towel"</formula>
    </cfRule>
  </conditionalFormatting>
  <conditionalFormatting sqref="C43">
    <cfRule type="cellIs" dxfId="28785" priority="15127" stopIfTrue="1" operator="equal">
      <formula>"Towel"</formula>
    </cfRule>
    <cfRule type="cellIs" dxfId="28784" priority="15128" stopIfTrue="1" operator="equal">
      <formula>"Napkin Hs"</formula>
    </cfRule>
  </conditionalFormatting>
  <conditionalFormatting sqref="C43">
    <cfRule type="cellIs" dxfId="28783" priority="15125" stopIfTrue="1" operator="equal">
      <formula>"Towel"</formula>
    </cfRule>
    <cfRule type="cellIs" dxfId="28782" priority="15126" stopIfTrue="1" operator="equal">
      <formula>"Napkin Hs"</formula>
    </cfRule>
  </conditionalFormatting>
  <conditionalFormatting sqref="C43">
    <cfRule type="cellIs" dxfId="28781" priority="15123" stopIfTrue="1" operator="equal">
      <formula>"Towel"</formula>
    </cfRule>
    <cfRule type="cellIs" dxfId="28780" priority="15124" stopIfTrue="1" operator="equal">
      <formula>"Napkin Hs"</formula>
    </cfRule>
  </conditionalFormatting>
  <conditionalFormatting sqref="C43">
    <cfRule type="cellIs" dxfId="28779" priority="15113" stopIfTrue="1" operator="equal">
      <formula>"Towel"</formula>
    </cfRule>
    <cfRule type="cellIs" dxfId="28778" priority="15114" stopIfTrue="1" operator="equal">
      <formula>"Napkin Hs"</formula>
    </cfRule>
  </conditionalFormatting>
  <conditionalFormatting sqref="C43">
    <cfRule type="cellIs" dxfId="28777" priority="15111" stopIfTrue="1" operator="equal">
      <formula>"Towel"</formula>
    </cfRule>
    <cfRule type="cellIs" dxfId="28776" priority="15112" stopIfTrue="1" operator="equal">
      <formula>"Napkin Hs"</formula>
    </cfRule>
  </conditionalFormatting>
  <conditionalFormatting sqref="C43">
    <cfRule type="cellIs" dxfId="28775" priority="15109" stopIfTrue="1" operator="equal">
      <formula>"Towel"</formula>
    </cfRule>
    <cfRule type="cellIs" dxfId="28774" priority="15110" stopIfTrue="1" operator="equal">
      <formula>"Napkin Hs"</formula>
    </cfRule>
  </conditionalFormatting>
  <conditionalFormatting sqref="C43">
    <cfRule type="cellIs" dxfId="28773" priority="15107" stopIfTrue="1" operator="equal">
      <formula>"Towel"</formula>
    </cfRule>
    <cfRule type="cellIs" dxfId="28772" priority="15108" stopIfTrue="1" operator="equal">
      <formula>"Napkin Hs"</formula>
    </cfRule>
  </conditionalFormatting>
  <conditionalFormatting sqref="C43">
    <cfRule type="cellIs" dxfId="28771" priority="15105" stopIfTrue="1" operator="equal">
      <formula>"Towel"</formula>
    </cfRule>
    <cfRule type="cellIs" dxfId="28770" priority="15106" stopIfTrue="1" operator="equal">
      <formula>"Napkin Hs"</formula>
    </cfRule>
  </conditionalFormatting>
  <conditionalFormatting sqref="C43">
    <cfRule type="cellIs" dxfId="28769" priority="15103" stopIfTrue="1" operator="equal">
      <formula>"Towel"</formula>
    </cfRule>
    <cfRule type="cellIs" dxfId="28768" priority="15104" stopIfTrue="1" operator="equal">
      <formula>"Napkin Hs"</formula>
    </cfRule>
  </conditionalFormatting>
  <conditionalFormatting sqref="C43">
    <cfRule type="cellIs" dxfId="28767" priority="15101" stopIfTrue="1" operator="equal">
      <formula>"Towel"</formula>
    </cfRule>
    <cfRule type="cellIs" dxfId="28766" priority="15102" stopIfTrue="1" operator="equal">
      <formula>"Napkin Hs"</formula>
    </cfRule>
  </conditionalFormatting>
  <conditionalFormatting sqref="C43">
    <cfRule type="cellIs" dxfId="28765" priority="15099" stopIfTrue="1" operator="equal">
      <formula>"Towel"</formula>
    </cfRule>
    <cfRule type="cellIs" dxfId="28764" priority="15100" stopIfTrue="1" operator="equal">
      <formula>"Napkin Hs"</formula>
    </cfRule>
  </conditionalFormatting>
  <conditionalFormatting sqref="C43">
    <cfRule type="cellIs" dxfId="28763" priority="15097" stopIfTrue="1" operator="equal">
      <formula>"Towel"</formula>
    </cfRule>
    <cfRule type="cellIs" dxfId="28762" priority="15098" stopIfTrue="1" operator="equal">
      <formula>"Napkin Hs"</formula>
    </cfRule>
  </conditionalFormatting>
  <conditionalFormatting sqref="C43">
    <cfRule type="cellIs" dxfId="28761" priority="15084" stopIfTrue="1" operator="equal">
      <formula>"Napkin Hs"</formula>
    </cfRule>
  </conditionalFormatting>
  <conditionalFormatting sqref="C43">
    <cfRule type="cellIs" dxfId="28760" priority="15083" stopIfTrue="1" operator="equal">
      <formula>"Towel"</formula>
    </cfRule>
  </conditionalFormatting>
  <conditionalFormatting sqref="C43">
    <cfRule type="cellIs" dxfId="28759" priority="15082" stopIfTrue="1" operator="equal">
      <formula>"Napkin Hs"</formula>
    </cfRule>
  </conditionalFormatting>
  <conditionalFormatting sqref="C43">
    <cfRule type="cellIs" dxfId="28758" priority="15079" stopIfTrue="1" operator="equal">
      <formula>"Towel"</formula>
    </cfRule>
    <cfRule type="cellIs" dxfId="28757" priority="15080" stopIfTrue="1" operator="equal">
      <formula>"Napkin Hs"</formula>
    </cfRule>
  </conditionalFormatting>
  <conditionalFormatting sqref="C43">
    <cfRule type="cellIs" dxfId="28756" priority="15081" stopIfTrue="1" operator="equal">
      <formula>"Towel"</formula>
    </cfRule>
  </conditionalFormatting>
  <conditionalFormatting sqref="C43">
    <cfRule type="cellIs" dxfId="28755" priority="15199" stopIfTrue="1" operator="equal">
      <formula>"Towel"</formula>
    </cfRule>
    <cfRule type="cellIs" dxfId="28754" priority="15200" stopIfTrue="1" operator="equal">
      <formula>"Napkin Hs"</formula>
    </cfRule>
  </conditionalFormatting>
  <conditionalFormatting sqref="C43">
    <cfRule type="cellIs" dxfId="28753" priority="15198" stopIfTrue="1" operator="equal">
      <formula>"Napkin Hs"</formula>
    </cfRule>
  </conditionalFormatting>
  <conditionalFormatting sqref="C43">
    <cfRule type="cellIs" dxfId="28752" priority="15197" stopIfTrue="1" operator="equal">
      <formula>"Towel"</formula>
    </cfRule>
  </conditionalFormatting>
  <conditionalFormatting sqref="C43">
    <cfRule type="cellIs" dxfId="28751" priority="15196" stopIfTrue="1" operator="equal">
      <formula>"Napkin Hs"</formula>
    </cfRule>
  </conditionalFormatting>
  <conditionalFormatting sqref="C43">
    <cfRule type="cellIs" dxfId="28750" priority="15193" stopIfTrue="1" operator="equal">
      <formula>"Towel"</formula>
    </cfRule>
    <cfRule type="cellIs" dxfId="28749" priority="15194" stopIfTrue="1" operator="equal">
      <formula>"Napkin Hs"</formula>
    </cfRule>
  </conditionalFormatting>
  <conditionalFormatting sqref="C43">
    <cfRule type="cellIs" dxfId="28748" priority="15195" stopIfTrue="1" operator="equal">
      <formula>"Towel"</formula>
    </cfRule>
  </conditionalFormatting>
  <conditionalFormatting sqref="C43">
    <cfRule type="cellIs" dxfId="28747" priority="15203" stopIfTrue="1" operator="equal">
      <formula>"Towel"</formula>
    </cfRule>
    <cfRule type="cellIs" dxfId="28746" priority="15204" stopIfTrue="1" operator="equal">
      <formula>"Napkin Hs"</formula>
    </cfRule>
  </conditionalFormatting>
  <conditionalFormatting sqref="C43">
    <cfRule type="cellIs" dxfId="28745" priority="15201" stopIfTrue="1" operator="equal">
      <formula>"Towel"</formula>
    </cfRule>
    <cfRule type="cellIs" dxfId="28744" priority="15202" stopIfTrue="1" operator="equal">
      <formula>"Napkin Hs"</formula>
    </cfRule>
  </conditionalFormatting>
  <conditionalFormatting sqref="C43">
    <cfRule type="cellIs" dxfId="28743" priority="15173" stopIfTrue="1" operator="equal">
      <formula>"Towel"</formula>
    </cfRule>
    <cfRule type="cellIs" dxfId="28742" priority="15174" stopIfTrue="1" operator="equal">
      <formula>"Napkin Hs"</formula>
    </cfRule>
  </conditionalFormatting>
  <conditionalFormatting sqref="C43">
    <cfRule type="cellIs" dxfId="28741" priority="15171" stopIfTrue="1" operator="equal">
      <formula>"Towel"</formula>
    </cfRule>
    <cfRule type="cellIs" dxfId="28740" priority="15172" stopIfTrue="1" operator="equal">
      <formula>"Napkin Hs"</formula>
    </cfRule>
  </conditionalFormatting>
  <conditionalFormatting sqref="C43">
    <cfRule type="cellIs" dxfId="28739" priority="15150" stopIfTrue="1" operator="equal">
      <formula>"Napkin Hs"</formula>
    </cfRule>
  </conditionalFormatting>
  <conditionalFormatting sqref="C43">
    <cfRule type="cellIs" dxfId="28738" priority="15149" stopIfTrue="1" operator="equal">
      <formula>"Towel"</formula>
    </cfRule>
  </conditionalFormatting>
  <conditionalFormatting sqref="C43">
    <cfRule type="cellIs" dxfId="28737" priority="15148" stopIfTrue="1" operator="equal">
      <formula>"Napkin Hs"</formula>
    </cfRule>
  </conditionalFormatting>
  <conditionalFormatting sqref="C43">
    <cfRule type="cellIs" dxfId="28736" priority="15147" stopIfTrue="1" operator="equal">
      <formula>"Towel"</formula>
    </cfRule>
  </conditionalFormatting>
  <conditionalFormatting sqref="C43">
    <cfRule type="cellIs" dxfId="28735" priority="15144" stopIfTrue="1" operator="equal">
      <formula>"Napkin Hs"</formula>
    </cfRule>
  </conditionalFormatting>
  <conditionalFormatting sqref="C43">
    <cfRule type="cellIs" dxfId="28734" priority="15143" stopIfTrue="1" operator="equal">
      <formula>"Towel"</formula>
    </cfRule>
  </conditionalFormatting>
  <conditionalFormatting sqref="C43">
    <cfRule type="cellIs" dxfId="28733" priority="15142" stopIfTrue="1" operator="equal">
      <formula>"Napkin Hs"</formula>
    </cfRule>
  </conditionalFormatting>
  <conditionalFormatting sqref="C43">
    <cfRule type="cellIs" dxfId="28732" priority="15141" stopIfTrue="1" operator="equal">
      <formula>"Towel"</formula>
    </cfRule>
  </conditionalFormatting>
  <conditionalFormatting sqref="C43">
    <cfRule type="cellIs" dxfId="28731" priority="15137" stopIfTrue="1" operator="equal">
      <formula>"Towel"</formula>
    </cfRule>
    <cfRule type="cellIs" dxfId="28730" priority="15138" stopIfTrue="1" operator="equal">
      <formula>"Napkin Hs"</formula>
    </cfRule>
  </conditionalFormatting>
  <conditionalFormatting sqref="C43">
    <cfRule type="cellIs" dxfId="28729" priority="15135" stopIfTrue="1" operator="equal">
      <formula>"Towel"</formula>
    </cfRule>
    <cfRule type="cellIs" dxfId="28728" priority="15136" stopIfTrue="1" operator="equal">
      <formula>"Napkin Hs"</formula>
    </cfRule>
  </conditionalFormatting>
  <conditionalFormatting sqref="C43">
    <cfRule type="cellIs" dxfId="28727" priority="15119" stopIfTrue="1" operator="equal">
      <formula>"Towel"</formula>
    </cfRule>
    <cfRule type="cellIs" dxfId="28726" priority="15120" stopIfTrue="1" operator="equal">
      <formula>"Napkin Hs"</formula>
    </cfRule>
  </conditionalFormatting>
  <conditionalFormatting sqref="C43">
    <cfRule type="cellIs" dxfId="28725" priority="15117" stopIfTrue="1" operator="equal">
      <formula>"Towel"</formula>
    </cfRule>
    <cfRule type="cellIs" dxfId="28724" priority="15118" stopIfTrue="1" operator="equal">
      <formula>"Napkin Hs"</formula>
    </cfRule>
  </conditionalFormatting>
  <conditionalFormatting sqref="B43:C43">
    <cfRule type="cellIs" dxfId="28723" priority="15078" stopIfTrue="1" operator="equal">
      <formula>"Napkin Hs"</formula>
    </cfRule>
  </conditionalFormatting>
  <conditionalFormatting sqref="B43:C43">
    <cfRule type="cellIs" dxfId="28722" priority="15077" stopIfTrue="1" operator="equal">
      <formula>"Towel"</formula>
    </cfRule>
  </conditionalFormatting>
  <conditionalFormatting sqref="C43">
    <cfRule type="cellIs" dxfId="28721" priority="15076" stopIfTrue="1" operator="equal">
      <formula>"Napkin Hs"</formula>
    </cfRule>
  </conditionalFormatting>
  <conditionalFormatting sqref="C43">
    <cfRule type="cellIs" dxfId="28720" priority="15073" stopIfTrue="1" operator="equal">
      <formula>"Towel"</formula>
    </cfRule>
    <cfRule type="cellIs" dxfId="28719" priority="15074" stopIfTrue="1" operator="equal">
      <formula>"Napkin Hs"</formula>
    </cfRule>
  </conditionalFormatting>
  <conditionalFormatting sqref="C43">
    <cfRule type="cellIs" dxfId="28718" priority="15075" stopIfTrue="1" operator="equal">
      <formula>"Towel"</formula>
    </cfRule>
  </conditionalFormatting>
  <conditionalFormatting sqref="B49:C49">
    <cfRule type="cellIs" dxfId="28717" priority="15067" stopIfTrue="1" operator="equal">
      <formula>"Towel"</formula>
    </cfRule>
    <cfRule type="cellIs" dxfId="28716" priority="15068" stopIfTrue="1" operator="equal">
      <formula>"Napkin Hs"</formula>
    </cfRule>
  </conditionalFormatting>
  <conditionalFormatting sqref="B50:C50">
    <cfRule type="cellIs" dxfId="28715" priority="15071" stopIfTrue="1" operator="equal">
      <formula>"Towel"</formula>
    </cfRule>
    <cfRule type="cellIs" dxfId="28714" priority="15072" stopIfTrue="1" operator="equal">
      <formula>"Napkin Hs"</formula>
    </cfRule>
  </conditionalFormatting>
  <conditionalFormatting sqref="C49">
    <cfRule type="cellIs" dxfId="28713" priority="15063" stopIfTrue="1" operator="equal">
      <formula>"Towel"</formula>
    </cfRule>
    <cfRule type="cellIs" dxfId="28712" priority="15064" stopIfTrue="1" operator="equal">
      <formula>"Napkin Hs"</formula>
    </cfRule>
  </conditionalFormatting>
  <conditionalFormatting sqref="C49:C50">
    <cfRule type="cellIs" dxfId="28711" priority="15065" stopIfTrue="1" operator="equal">
      <formula>"Towel"</formula>
    </cfRule>
    <cfRule type="cellIs" dxfId="28710" priority="15066" stopIfTrue="1" operator="equal">
      <formula>"Napkin Hs"</formula>
    </cfRule>
  </conditionalFormatting>
  <conditionalFormatting sqref="C50">
    <cfRule type="cellIs" dxfId="28709" priority="15069" stopIfTrue="1" operator="equal">
      <formula>"Towel"</formula>
    </cfRule>
    <cfRule type="cellIs" dxfId="28708" priority="15070" stopIfTrue="1" operator="equal">
      <formula>"Napkin Hs"</formula>
    </cfRule>
  </conditionalFormatting>
  <conditionalFormatting sqref="B49:C49">
    <cfRule type="cellIs" dxfId="28707" priority="15057" stopIfTrue="1" operator="equal">
      <formula>"Towel"</formula>
    </cfRule>
    <cfRule type="cellIs" dxfId="28706" priority="15058" stopIfTrue="1" operator="equal">
      <formula>"Napkin Hs"</formula>
    </cfRule>
  </conditionalFormatting>
  <conditionalFormatting sqref="B50:C50">
    <cfRule type="cellIs" dxfId="28705" priority="15061" stopIfTrue="1" operator="equal">
      <formula>"Towel"</formula>
    </cfRule>
    <cfRule type="cellIs" dxfId="28704" priority="15062" stopIfTrue="1" operator="equal">
      <formula>"Napkin Hs"</formula>
    </cfRule>
  </conditionalFormatting>
  <conditionalFormatting sqref="C49:C50">
    <cfRule type="cellIs" dxfId="28703" priority="15055" stopIfTrue="1" operator="equal">
      <formula>"Towel"</formula>
    </cfRule>
    <cfRule type="cellIs" dxfId="28702" priority="15056" stopIfTrue="1" operator="equal">
      <formula>"Napkin Hs"</formula>
    </cfRule>
  </conditionalFormatting>
  <conditionalFormatting sqref="C49">
    <cfRule type="cellIs" dxfId="28701" priority="15053" stopIfTrue="1" operator="equal">
      <formula>"Towel"</formula>
    </cfRule>
    <cfRule type="cellIs" dxfId="28700" priority="15054" stopIfTrue="1" operator="equal">
      <formula>"Napkin Hs"</formula>
    </cfRule>
  </conditionalFormatting>
  <conditionalFormatting sqref="C50">
    <cfRule type="cellIs" dxfId="28699" priority="15059" stopIfTrue="1" operator="equal">
      <formula>"Towel"</formula>
    </cfRule>
    <cfRule type="cellIs" dxfId="28698" priority="15060" stopIfTrue="1" operator="equal">
      <formula>"Napkin Hs"</formula>
    </cfRule>
  </conditionalFormatting>
  <conditionalFormatting sqref="B49:C49">
    <cfRule type="cellIs" dxfId="28697" priority="15051" stopIfTrue="1" operator="equal">
      <formula>"Towel"</formula>
    </cfRule>
    <cfRule type="cellIs" dxfId="28696" priority="15052" stopIfTrue="1" operator="equal">
      <formula>"Napkin Hs"</formula>
    </cfRule>
  </conditionalFormatting>
  <conditionalFormatting sqref="B50:C50">
    <cfRule type="cellIs" dxfId="28695" priority="15047" stopIfTrue="1" operator="equal">
      <formula>"Towel"</formula>
    </cfRule>
    <cfRule type="cellIs" dxfId="28694" priority="15048" stopIfTrue="1" operator="equal">
      <formula>"Napkin Hs"</formula>
    </cfRule>
  </conditionalFormatting>
  <conditionalFormatting sqref="C49">
    <cfRule type="cellIs" dxfId="28693" priority="15049" stopIfTrue="1" operator="equal">
      <formula>"Towel"</formula>
    </cfRule>
    <cfRule type="cellIs" dxfId="28692" priority="15050" stopIfTrue="1" operator="equal">
      <formula>"Napkin Hs"</formula>
    </cfRule>
  </conditionalFormatting>
  <conditionalFormatting sqref="C49:C50">
    <cfRule type="cellIs" dxfId="28691" priority="15045" stopIfTrue="1" operator="equal">
      <formula>"Towel"</formula>
    </cfRule>
    <cfRule type="cellIs" dxfId="28690" priority="15046" stopIfTrue="1" operator="equal">
      <formula>"Napkin Hs"</formula>
    </cfRule>
  </conditionalFormatting>
  <conditionalFormatting sqref="C50">
    <cfRule type="cellIs" dxfId="28689" priority="15043" stopIfTrue="1" operator="equal">
      <formula>"Towel"</formula>
    </cfRule>
    <cfRule type="cellIs" dxfId="28688" priority="15044" stopIfTrue="1" operator="equal">
      <formula>"Napkin Hs"</formula>
    </cfRule>
  </conditionalFormatting>
  <conditionalFormatting sqref="B50:C50">
    <cfRule type="cellIs" dxfId="28687" priority="15042" stopIfTrue="1" operator="equal">
      <formula>"Napkin Hs"</formula>
    </cfRule>
  </conditionalFormatting>
  <conditionalFormatting sqref="B50:C50">
    <cfRule type="cellIs" dxfId="28686" priority="15041" stopIfTrue="1" operator="equal">
      <formula>"Towel"</formula>
    </cfRule>
  </conditionalFormatting>
  <conditionalFormatting sqref="B49:C49">
    <cfRule type="cellIs" dxfId="28685" priority="15037" stopIfTrue="1" operator="equal">
      <formula>"Towel"</formula>
    </cfRule>
    <cfRule type="cellIs" dxfId="28684" priority="15038" stopIfTrue="1" operator="equal">
      <formula>"Napkin Hs"</formula>
    </cfRule>
  </conditionalFormatting>
  <conditionalFormatting sqref="C50">
    <cfRule type="cellIs" dxfId="28683" priority="15040" stopIfTrue="1" operator="equal">
      <formula>"Napkin Hs"</formula>
    </cfRule>
  </conditionalFormatting>
  <conditionalFormatting sqref="C50">
    <cfRule type="cellIs" dxfId="28682" priority="15039" stopIfTrue="1" operator="equal">
      <formula>"Towel"</formula>
    </cfRule>
  </conditionalFormatting>
  <conditionalFormatting sqref="C49:C50">
    <cfRule type="cellIs" dxfId="28681" priority="15035" stopIfTrue="1" operator="equal">
      <formula>"Towel"</formula>
    </cfRule>
    <cfRule type="cellIs" dxfId="28680" priority="15036" stopIfTrue="1" operator="equal">
      <formula>"Napkin Hs"</formula>
    </cfRule>
  </conditionalFormatting>
  <conditionalFormatting sqref="C49">
    <cfRule type="cellIs" dxfId="28679" priority="15033" stopIfTrue="1" operator="equal">
      <formula>"Towel"</formula>
    </cfRule>
    <cfRule type="cellIs" dxfId="28678" priority="15034" stopIfTrue="1" operator="equal">
      <formula>"Napkin Hs"</formula>
    </cfRule>
  </conditionalFormatting>
  <conditionalFormatting sqref="C50">
    <cfRule type="cellIs" dxfId="28677" priority="15031" stopIfTrue="1" operator="equal">
      <formula>"Towel"</formula>
    </cfRule>
    <cfRule type="cellIs" dxfId="28676" priority="15032" stopIfTrue="1" operator="equal">
      <formula>"Napkin Hs"</formula>
    </cfRule>
  </conditionalFormatting>
  <conditionalFormatting sqref="B49:C49">
    <cfRule type="cellIs" dxfId="28675" priority="15030" stopIfTrue="1" operator="equal">
      <formula>"Napkin Hs"</formula>
    </cfRule>
  </conditionalFormatting>
  <conditionalFormatting sqref="B49:C49">
    <cfRule type="cellIs" dxfId="28674" priority="15029" stopIfTrue="1" operator="equal">
      <formula>"Towel"</formula>
    </cfRule>
  </conditionalFormatting>
  <conditionalFormatting sqref="C49">
    <cfRule type="cellIs" dxfId="28673" priority="15028" stopIfTrue="1" operator="equal">
      <formula>"Napkin Hs"</formula>
    </cfRule>
  </conditionalFormatting>
  <conditionalFormatting sqref="C49">
    <cfRule type="cellIs" dxfId="28672" priority="15025" stopIfTrue="1" operator="equal">
      <formula>"Towel"</formula>
    </cfRule>
    <cfRule type="cellIs" dxfId="28671" priority="15026" stopIfTrue="1" operator="equal">
      <formula>"Napkin Hs"</formula>
    </cfRule>
  </conditionalFormatting>
  <conditionalFormatting sqref="C49">
    <cfRule type="cellIs" dxfId="28670" priority="15027" stopIfTrue="1" operator="equal">
      <formula>"Towel"</formula>
    </cfRule>
  </conditionalFormatting>
  <conditionalFormatting sqref="C49:C50">
    <cfRule type="cellIs" dxfId="28669" priority="14767" stopIfTrue="1" operator="equal">
      <formula>"Towel"</formula>
    </cfRule>
    <cfRule type="cellIs" dxfId="28668" priority="14768" stopIfTrue="1" operator="equal">
      <formula>"Napkin Hs"</formula>
    </cfRule>
  </conditionalFormatting>
  <conditionalFormatting sqref="C49:C50">
    <cfRule type="cellIs" dxfId="28667" priority="14761" stopIfTrue="1" operator="equal">
      <formula>"Towel"</formula>
    </cfRule>
    <cfRule type="cellIs" dxfId="28666" priority="14762" stopIfTrue="1" operator="equal">
      <formula>"Napkin Hs"</formula>
    </cfRule>
  </conditionalFormatting>
  <conditionalFormatting sqref="C49:C50">
    <cfRule type="cellIs" dxfId="28665" priority="14742" stopIfTrue="1" operator="equal">
      <formula>"Napkin Hs"</formula>
    </cfRule>
  </conditionalFormatting>
  <conditionalFormatting sqref="C49:C50">
    <cfRule type="cellIs" dxfId="28664" priority="14741" stopIfTrue="1" operator="equal">
      <formula>"Towel"</formula>
    </cfRule>
  </conditionalFormatting>
  <conditionalFormatting sqref="C49:C50">
    <cfRule type="cellIs" dxfId="28663" priority="14740" stopIfTrue="1" operator="equal">
      <formula>"Napkin Hs"</formula>
    </cfRule>
  </conditionalFormatting>
  <conditionalFormatting sqref="C49:C50">
    <cfRule type="cellIs" dxfId="28662" priority="14737" stopIfTrue="1" operator="equal">
      <formula>"Towel"</formula>
    </cfRule>
    <cfRule type="cellIs" dxfId="28661" priority="14738" stopIfTrue="1" operator="equal">
      <formula>"Napkin Hs"</formula>
    </cfRule>
  </conditionalFormatting>
  <conditionalFormatting sqref="C49:C50">
    <cfRule type="cellIs" dxfId="28660" priority="14739" stopIfTrue="1" operator="equal">
      <formula>"Towel"</formula>
    </cfRule>
  </conditionalFormatting>
  <conditionalFormatting sqref="C49:C50">
    <cfRule type="cellIs" dxfId="28659" priority="14736" stopIfTrue="1" operator="equal">
      <formula>"Napkin Hs"</formula>
    </cfRule>
  </conditionalFormatting>
  <conditionalFormatting sqref="C49:C50">
    <cfRule type="cellIs" dxfId="28658" priority="14735" stopIfTrue="1" operator="equal">
      <formula>"Towel"</formula>
    </cfRule>
  </conditionalFormatting>
  <conditionalFormatting sqref="C49:C50">
    <cfRule type="cellIs" dxfId="28657" priority="14734" stopIfTrue="1" operator="equal">
      <formula>"Napkin Hs"</formula>
    </cfRule>
  </conditionalFormatting>
  <conditionalFormatting sqref="C49:C50">
    <cfRule type="cellIs" dxfId="28656" priority="14731" stopIfTrue="1" operator="equal">
      <formula>"Towel"</formula>
    </cfRule>
    <cfRule type="cellIs" dxfId="28655" priority="14732" stopIfTrue="1" operator="equal">
      <formula>"Napkin Hs"</formula>
    </cfRule>
  </conditionalFormatting>
  <conditionalFormatting sqref="C49:C50">
    <cfRule type="cellIs" dxfId="28654" priority="14733" stopIfTrue="1" operator="equal">
      <formula>"Towel"</formula>
    </cfRule>
  </conditionalFormatting>
  <conditionalFormatting sqref="C49:C50">
    <cfRule type="cellIs" dxfId="28653" priority="14837" stopIfTrue="1" operator="equal">
      <formula>"Towel"</formula>
    </cfRule>
    <cfRule type="cellIs" dxfId="28652" priority="14838" stopIfTrue="1" operator="equal">
      <formula>"Napkin Hs"</formula>
    </cfRule>
  </conditionalFormatting>
  <conditionalFormatting sqref="C49:C50">
    <cfRule type="cellIs" dxfId="28651" priority="14835" stopIfTrue="1" operator="equal">
      <formula>"Towel"</formula>
    </cfRule>
    <cfRule type="cellIs" dxfId="28650" priority="14836" stopIfTrue="1" operator="equal">
      <formula>"Napkin Hs"</formula>
    </cfRule>
  </conditionalFormatting>
  <conditionalFormatting sqref="C49:C50">
    <cfRule type="cellIs" dxfId="28649" priority="14833" stopIfTrue="1" operator="equal">
      <formula>"Towel"</formula>
    </cfRule>
    <cfRule type="cellIs" dxfId="28648" priority="14834" stopIfTrue="1" operator="equal">
      <formula>"Napkin Hs"</formula>
    </cfRule>
  </conditionalFormatting>
  <conditionalFormatting sqref="C49:C50">
    <cfRule type="cellIs" dxfId="28647" priority="14832" stopIfTrue="1" operator="equal">
      <formula>"Napkin Hs"</formula>
    </cfRule>
  </conditionalFormatting>
  <conditionalFormatting sqref="C49:C50">
    <cfRule type="cellIs" dxfId="28646" priority="14831" stopIfTrue="1" operator="equal">
      <formula>"Towel"</formula>
    </cfRule>
  </conditionalFormatting>
  <conditionalFormatting sqref="C49:C50">
    <cfRule type="cellIs" dxfId="28645" priority="14830" stopIfTrue="1" operator="equal">
      <formula>"Napkin Hs"</formula>
    </cfRule>
  </conditionalFormatting>
  <conditionalFormatting sqref="C49:C50">
    <cfRule type="cellIs" dxfId="28644" priority="14829" stopIfTrue="1" operator="equal">
      <formula>"Towel"</formula>
    </cfRule>
  </conditionalFormatting>
  <conditionalFormatting sqref="C49:C50">
    <cfRule type="cellIs" dxfId="28643" priority="14827" stopIfTrue="1" operator="equal">
      <formula>"Towel"</formula>
    </cfRule>
    <cfRule type="cellIs" dxfId="28642" priority="14828" stopIfTrue="1" operator="equal">
      <formula>"Napkin Hs"</formula>
    </cfRule>
  </conditionalFormatting>
  <conditionalFormatting sqref="C49:C50">
    <cfRule type="cellIs" dxfId="28641" priority="14825" stopIfTrue="1" operator="equal">
      <formula>"Towel"</formula>
    </cfRule>
    <cfRule type="cellIs" dxfId="28640" priority="14826" stopIfTrue="1" operator="equal">
      <formula>"Napkin Hs"</formula>
    </cfRule>
  </conditionalFormatting>
  <conditionalFormatting sqref="C49:C50">
    <cfRule type="cellIs" dxfId="28639" priority="14821" stopIfTrue="1" operator="equal">
      <formula>"Towel"</formula>
    </cfRule>
    <cfRule type="cellIs" dxfId="28638" priority="14822" stopIfTrue="1" operator="equal">
      <formula>"Napkin Hs"</formula>
    </cfRule>
  </conditionalFormatting>
  <conditionalFormatting sqref="C49:C50">
    <cfRule type="cellIs" dxfId="28637" priority="14823" stopIfTrue="1" operator="equal">
      <formula>"Towel"</formula>
    </cfRule>
    <cfRule type="cellIs" dxfId="28636" priority="14824" stopIfTrue="1" operator="equal">
      <formula>"Napkin Hs"</formula>
    </cfRule>
  </conditionalFormatting>
  <conditionalFormatting sqref="C49:C50">
    <cfRule type="cellIs" dxfId="28635" priority="14815" stopIfTrue="1" operator="equal">
      <formula>"Towel"</formula>
    </cfRule>
    <cfRule type="cellIs" dxfId="28634" priority="14816" stopIfTrue="1" operator="equal">
      <formula>"Napkin Hs"</formula>
    </cfRule>
  </conditionalFormatting>
  <conditionalFormatting sqref="C49:C50">
    <cfRule type="cellIs" dxfId="28633" priority="14813" stopIfTrue="1" operator="equal">
      <formula>"Towel"</formula>
    </cfRule>
    <cfRule type="cellIs" dxfId="28632" priority="14814" stopIfTrue="1" operator="equal">
      <formula>"Napkin Hs"</formula>
    </cfRule>
  </conditionalFormatting>
  <conditionalFormatting sqref="C49:C50">
    <cfRule type="cellIs" dxfId="28631" priority="14811" stopIfTrue="1" operator="equal">
      <formula>"Towel"</formula>
    </cfRule>
    <cfRule type="cellIs" dxfId="28630" priority="14812" stopIfTrue="1" operator="equal">
      <formula>"Napkin Hs"</formula>
    </cfRule>
  </conditionalFormatting>
  <conditionalFormatting sqref="C49:C50">
    <cfRule type="cellIs" dxfId="28629" priority="14809" stopIfTrue="1" operator="equal">
      <formula>"Towel"</formula>
    </cfRule>
    <cfRule type="cellIs" dxfId="28628" priority="14810" stopIfTrue="1" operator="equal">
      <formula>"Napkin Hs"</formula>
    </cfRule>
  </conditionalFormatting>
  <conditionalFormatting sqref="C49:C50">
    <cfRule type="cellIs" dxfId="28627" priority="14807" stopIfTrue="1" operator="equal">
      <formula>"Towel"</formula>
    </cfRule>
    <cfRule type="cellIs" dxfId="28626" priority="14808" stopIfTrue="1" operator="equal">
      <formula>"Napkin Hs"</formula>
    </cfRule>
  </conditionalFormatting>
  <conditionalFormatting sqref="C49:C50">
    <cfRule type="cellIs" dxfId="28625" priority="14805" stopIfTrue="1" operator="equal">
      <formula>"Towel"</formula>
    </cfRule>
    <cfRule type="cellIs" dxfId="28624" priority="14806" stopIfTrue="1" operator="equal">
      <formula>"Napkin Hs"</formula>
    </cfRule>
  </conditionalFormatting>
  <conditionalFormatting sqref="C49:C50">
    <cfRule type="cellIs" dxfId="28623" priority="14803" stopIfTrue="1" operator="equal">
      <formula>"Towel"</formula>
    </cfRule>
    <cfRule type="cellIs" dxfId="28622" priority="14804" stopIfTrue="1" operator="equal">
      <formula>"Napkin Hs"</formula>
    </cfRule>
  </conditionalFormatting>
  <conditionalFormatting sqref="C49:C50">
    <cfRule type="cellIs" dxfId="28621" priority="14801" stopIfTrue="1" operator="equal">
      <formula>"Towel"</formula>
    </cfRule>
    <cfRule type="cellIs" dxfId="28620" priority="14802" stopIfTrue="1" operator="equal">
      <formula>"Napkin Hs"</formula>
    </cfRule>
  </conditionalFormatting>
  <conditionalFormatting sqref="C49:C50">
    <cfRule type="cellIs" dxfId="28619" priority="14799" stopIfTrue="1" operator="equal">
      <formula>"Towel"</formula>
    </cfRule>
    <cfRule type="cellIs" dxfId="28618" priority="14800" stopIfTrue="1" operator="equal">
      <formula>"Napkin Hs"</formula>
    </cfRule>
  </conditionalFormatting>
  <conditionalFormatting sqref="C49:C50">
    <cfRule type="cellIs" dxfId="28617" priority="14797" stopIfTrue="1" operator="equal">
      <formula>"Towel"</formula>
    </cfRule>
    <cfRule type="cellIs" dxfId="28616" priority="14798" stopIfTrue="1" operator="equal">
      <formula>"Napkin Hs"</formula>
    </cfRule>
  </conditionalFormatting>
  <conditionalFormatting sqref="C49:C50">
    <cfRule type="cellIs" dxfId="28615" priority="14791" stopIfTrue="1" operator="equal">
      <formula>"Towel"</formula>
    </cfRule>
    <cfRule type="cellIs" dxfId="28614" priority="14792" stopIfTrue="1" operator="equal">
      <formula>"Napkin Hs"</formula>
    </cfRule>
  </conditionalFormatting>
  <conditionalFormatting sqref="C49:C50">
    <cfRule type="cellIs" dxfId="28613" priority="14785" stopIfTrue="1" operator="equal">
      <formula>"Towel"</formula>
    </cfRule>
    <cfRule type="cellIs" dxfId="28612" priority="14786" stopIfTrue="1" operator="equal">
      <formula>"Napkin Hs"</formula>
    </cfRule>
  </conditionalFormatting>
  <conditionalFormatting sqref="C49:C50">
    <cfRule type="cellIs" dxfId="28611" priority="14779" stopIfTrue="1" operator="equal">
      <formula>"Towel"</formula>
    </cfRule>
    <cfRule type="cellIs" dxfId="28610" priority="14780" stopIfTrue="1" operator="equal">
      <formula>"Napkin Hs"</formula>
    </cfRule>
  </conditionalFormatting>
  <conditionalFormatting sqref="C49:C50">
    <cfRule type="cellIs" dxfId="28609" priority="14778" stopIfTrue="1" operator="equal">
      <formula>"Napkin Hs"</formula>
    </cfRule>
  </conditionalFormatting>
  <conditionalFormatting sqref="C49:C50">
    <cfRule type="cellIs" dxfId="28608" priority="14777" stopIfTrue="1" operator="equal">
      <formula>"Towel"</formula>
    </cfRule>
  </conditionalFormatting>
  <conditionalFormatting sqref="C49:C50">
    <cfRule type="cellIs" dxfId="28607" priority="14776" stopIfTrue="1" operator="equal">
      <formula>"Napkin Hs"</formula>
    </cfRule>
  </conditionalFormatting>
  <conditionalFormatting sqref="C49:C50">
    <cfRule type="cellIs" dxfId="28606" priority="14775" stopIfTrue="1" operator="equal">
      <formula>"Towel"</formula>
    </cfRule>
  </conditionalFormatting>
  <conditionalFormatting sqref="C49:C50">
    <cfRule type="cellIs" dxfId="28605" priority="14773" stopIfTrue="1" operator="equal">
      <formula>"Towel"</formula>
    </cfRule>
    <cfRule type="cellIs" dxfId="28604" priority="14774" stopIfTrue="1" operator="equal">
      <formula>"Napkin Hs"</formula>
    </cfRule>
  </conditionalFormatting>
  <conditionalFormatting sqref="C49:C50">
    <cfRule type="cellIs" dxfId="28603" priority="14771" stopIfTrue="1" operator="equal">
      <formula>"Towel"</formula>
    </cfRule>
    <cfRule type="cellIs" dxfId="28602" priority="14772" stopIfTrue="1" operator="equal">
      <formula>"Napkin Hs"</formula>
    </cfRule>
  </conditionalFormatting>
  <conditionalFormatting sqref="C49:C50">
    <cfRule type="cellIs" dxfId="28601" priority="14769" stopIfTrue="1" operator="equal">
      <formula>"Towel"</formula>
    </cfRule>
    <cfRule type="cellIs" dxfId="28600" priority="14770" stopIfTrue="1" operator="equal">
      <formula>"Napkin Hs"</formula>
    </cfRule>
  </conditionalFormatting>
  <conditionalFormatting sqref="C49:C50">
    <cfRule type="cellIs" dxfId="28599" priority="14759" stopIfTrue="1" operator="equal">
      <formula>"Towel"</formula>
    </cfRule>
    <cfRule type="cellIs" dxfId="28598" priority="14760" stopIfTrue="1" operator="equal">
      <formula>"Napkin Hs"</formula>
    </cfRule>
  </conditionalFormatting>
  <conditionalFormatting sqref="C49:C50">
    <cfRule type="cellIs" dxfId="28597" priority="14757" stopIfTrue="1" operator="equal">
      <formula>"Towel"</formula>
    </cfRule>
    <cfRule type="cellIs" dxfId="28596" priority="14758" stopIfTrue="1" operator="equal">
      <formula>"Napkin Hs"</formula>
    </cfRule>
  </conditionalFormatting>
  <conditionalFormatting sqref="C49:C50">
    <cfRule type="cellIs" dxfId="28595" priority="14755" stopIfTrue="1" operator="equal">
      <formula>"Towel"</formula>
    </cfRule>
    <cfRule type="cellIs" dxfId="28594" priority="14756" stopIfTrue="1" operator="equal">
      <formula>"Napkin Hs"</formula>
    </cfRule>
  </conditionalFormatting>
  <conditionalFormatting sqref="C49:C50">
    <cfRule type="cellIs" dxfId="28593" priority="14753" stopIfTrue="1" operator="equal">
      <formula>"Towel"</formula>
    </cfRule>
    <cfRule type="cellIs" dxfId="28592" priority="14754" stopIfTrue="1" operator="equal">
      <formula>"Napkin Hs"</formula>
    </cfRule>
  </conditionalFormatting>
  <conditionalFormatting sqref="C49:C50">
    <cfRule type="cellIs" dxfId="28591" priority="14751" stopIfTrue="1" operator="equal">
      <formula>"Towel"</formula>
    </cfRule>
    <cfRule type="cellIs" dxfId="28590" priority="14752" stopIfTrue="1" operator="equal">
      <formula>"Napkin Hs"</formula>
    </cfRule>
  </conditionalFormatting>
  <conditionalFormatting sqref="C49:C50">
    <cfRule type="cellIs" dxfId="28589" priority="14749" stopIfTrue="1" operator="equal">
      <formula>"Towel"</formula>
    </cfRule>
    <cfRule type="cellIs" dxfId="28588" priority="14750" stopIfTrue="1" operator="equal">
      <formula>"Napkin Hs"</formula>
    </cfRule>
  </conditionalFormatting>
  <conditionalFormatting sqref="C49:C50">
    <cfRule type="cellIs" dxfId="28587" priority="14747" stopIfTrue="1" operator="equal">
      <formula>"Towel"</formula>
    </cfRule>
    <cfRule type="cellIs" dxfId="28586" priority="14748" stopIfTrue="1" operator="equal">
      <formula>"Napkin Hs"</formula>
    </cfRule>
  </conditionalFormatting>
  <conditionalFormatting sqref="C49:C50">
    <cfRule type="cellIs" dxfId="28585" priority="14745" stopIfTrue="1" operator="equal">
      <formula>"Towel"</formula>
    </cfRule>
    <cfRule type="cellIs" dxfId="28584" priority="14746" stopIfTrue="1" operator="equal">
      <formula>"Napkin Hs"</formula>
    </cfRule>
  </conditionalFormatting>
  <conditionalFormatting sqref="C49:C50">
    <cfRule type="cellIs" dxfId="28583" priority="14743" stopIfTrue="1" operator="equal">
      <formula>"Towel"</formula>
    </cfRule>
    <cfRule type="cellIs" dxfId="28582" priority="14744" stopIfTrue="1" operator="equal">
      <formula>"Napkin Hs"</formula>
    </cfRule>
  </conditionalFormatting>
  <conditionalFormatting sqref="C49:C50">
    <cfRule type="cellIs" dxfId="28581" priority="14730" stopIfTrue="1" operator="equal">
      <formula>"Napkin Hs"</formula>
    </cfRule>
  </conditionalFormatting>
  <conditionalFormatting sqref="C49:C50">
    <cfRule type="cellIs" dxfId="28580" priority="14729" stopIfTrue="1" operator="equal">
      <formula>"Towel"</formula>
    </cfRule>
  </conditionalFormatting>
  <conditionalFormatting sqref="C49:C50">
    <cfRule type="cellIs" dxfId="28579" priority="14728" stopIfTrue="1" operator="equal">
      <formula>"Napkin Hs"</formula>
    </cfRule>
  </conditionalFormatting>
  <conditionalFormatting sqref="C49:C50">
    <cfRule type="cellIs" dxfId="28578" priority="14725" stopIfTrue="1" operator="equal">
      <formula>"Towel"</formula>
    </cfRule>
    <cfRule type="cellIs" dxfId="28577" priority="14726" stopIfTrue="1" operator="equal">
      <formula>"Napkin Hs"</formula>
    </cfRule>
  </conditionalFormatting>
  <conditionalFormatting sqref="C49:C50">
    <cfRule type="cellIs" dxfId="28576" priority="14727" stopIfTrue="1" operator="equal">
      <formula>"Towel"</formula>
    </cfRule>
  </conditionalFormatting>
  <conditionalFormatting sqref="C49:C50">
    <cfRule type="cellIs" dxfId="28575" priority="14845" stopIfTrue="1" operator="equal">
      <formula>"Towel"</formula>
    </cfRule>
    <cfRule type="cellIs" dxfId="28574" priority="14846" stopIfTrue="1" operator="equal">
      <formula>"Napkin Hs"</formula>
    </cfRule>
  </conditionalFormatting>
  <conditionalFormatting sqref="C49:C50">
    <cfRule type="cellIs" dxfId="28573" priority="14844" stopIfTrue="1" operator="equal">
      <formula>"Napkin Hs"</formula>
    </cfRule>
  </conditionalFormatting>
  <conditionalFormatting sqref="C49:C50">
    <cfRule type="cellIs" dxfId="28572" priority="14843" stopIfTrue="1" operator="equal">
      <formula>"Towel"</formula>
    </cfRule>
  </conditionalFormatting>
  <conditionalFormatting sqref="C49:C50">
    <cfRule type="cellIs" dxfId="28571" priority="14842" stopIfTrue="1" operator="equal">
      <formula>"Napkin Hs"</formula>
    </cfRule>
  </conditionalFormatting>
  <conditionalFormatting sqref="C49:C50">
    <cfRule type="cellIs" dxfId="28570" priority="14839" stopIfTrue="1" operator="equal">
      <formula>"Towel"</formula>
    </cfRule>
    <cfRule type="cellIs" dxfId="28569" priority="14840" stopIfTrue="1" operator="equal">
      <formula>"Napkin Hs"</formula>
    </cfRule>
  </conditionalFormatting>
  <conditionalFormatting sqref="C49:C50">
    <cfRule type="cellIs" dxfId="28568" priority="14841" stopIfTrue="1" operator="equal">
      <formula>"Towel"</formula>
    </cfRule>
  </conditionalFormatting>
  <conditionalFormatting sqref="C49:C50">
    <cfRule type="cellIs" dxfId="28567" priority="14849" stopIfTrue="1" operator="equal">
      <formula>"Towel"</formula>
    </cfRule>
    <cfRule type="cellIs" dxfId="28566" priority="14850" stopIfTrue="1" operator="equal">
      <formula>"Napkin Hs"</formula>
    </cfRule>
  </conditionalFormatting>
  <conditionalFormatting sqref="C49:C50">
    <cfRule type="cellIs" dxfId="28565" priority="14847" stopIfTrue="1" operator="equal">
      <formula>"Towel"</formula>
    </cfRule>
    <cfRule type="cellIs" dxfId="28564" priority="14848" stopIfTrue="1" operator="equal">
      <formula>"Napkin Hs"</formula>
    </cfRule>
  </conditionalFormatting>
  <conditionalFormatting sqref="C49:C50">
    <cfRule type="cellIs" dxfId="28563" priority="14819" stopIfTrue="1" operator="equal">
      <formula>"Towel"</formula>
    </cfRule>
    <cfRule type="cellIs" dxfId="28562" priority="14820" stopIfTrue="1" operator="equal">
      <formula>"Napkin Hs"</formula>
    </cfRule>
  </conditionalFormatting>
  <conditionalFormatting sqref="C49:C50">
    <cfRule type="cellIs" dxfId="28561" priority="14817" stopIfTrue="1" operator="equal">
      <formula>"Towel"</formula>
    </cfRule>
    <cfRule type="cellIs" dxfId="28560" priority="14818" stopIfTrue="1" operator="equal">
      <formula>"Napkin Hs"</formula>
    </cfRule>
  </conditionalFormatting>
  <conditionalFormatting sqref="C49:C50">
    <cfRule type="cellIs" dxfId="28559" priority="14796" stopIfTrue="1" operator="equal">
      <formula>"Napkin Hs"</formula>
    </cfRule>
  </conditionalFormatting>
  <conditionalFormatting sqref="C49:C50">
    <cfRule type="cellIs" dxfId="28558" priority="14795" stopIfTrue="1" operator="equal">
      <formula>"Towel"</formula>
    </cfRule>
  </conditionalFormatting>
  <conditionalFormatting sqref="C49:C50">
    <cfRule type="cellIs" dxfId="28557" priority="14794" stopIfTrue="1" operator="equal">
      <formula>"Napkin Hs"</formula>
    </cfRule>
  </conditionalFormatting>
  <conditionalFormatting sqref="C49:C50">
    <cfRule type="cellIs" dxfId="28556" priority="14793" stopIfTrue="1" operator="equal">
      <formula>"Towel"</formula>
    </cfRule>
  </conditionalFormatting>
  <conditionalFormatting sqref="C49:C50">
    <cfRule type="cellIs" dxfId="28555" priority="14790" stopIfTrue="1" operator="equal">
      <formula>"Napkin Hs"</formula>
    </cfRule>
  </conditionalFormatting>
  <conditionalFormatting sqref="C49:C50">
    <cfRule type="cellIs" dxfId="28554" priority="14789" stopIfTrue="1" operator="equal">
      <formula>"Towel"</formula>
    </cfRule>
  </conditionalFormatting>
  <conditionalFormatting sqref="C49:C50">
    <cfRule type="cellIs" dxfId="28553" priority="14788" stopIfTrue="1" operator="equal">
      <formula>"Napkin Hs"</formula>
    </cfRule>
  </conditionalFormatting>
  <conditionalFormatting sqref="C49:C50">
    <cfRule type="cellIs" dxfId="28552" priority="14787" stopIfTrue="1" operator="equal">
      <formula>"Towel"</formula>
    </cfRule>
  </conditionalFormatting>
  <conditionalFormatting sqref="C49:C50">
    <cfRule type="cellIs" dxfId="28551" priority="14783" stopIfTrue="1" operator="equal">
      <formula>"Towel"</formula>
    </cfRule>
    <cfRule type="cellIs" dxfId="28550" priority="14784" stopIfTrue="1" operator="equal">
      <formula>"Napkin Hs"</formula>
    </cfRule>
  </conditionalFormatting>
  <conditionalFormatting sqref="C49:C50">
    <cfRule type="cellIs" dxfId="28549" priority="14781" stopIfTrue="1" operator="equal">
      <formula>"Towel"</formula>
    </cfRule>
    <cfRule type="cellIs" dxfId="28548" priority="14782" stopIfTrue="1" operator="equal">
      <formula>"Napkin Hs"</formula>
    </cfRule>
  </conditionalFormatting>
  <conditionalFormatting sqref="C49:C50">
    <cfRule type="cellIs" dxfId="28547" priority="14765" stopIfTrue="1" operator="equal">
      <formula>"Towel"</formula>
    </cfRule>
    <cfRule type="cellIs" dxfId="28546" priority="14766" stopIfTrue="1" operator="equal">
      <formula>"Napkin Hs"</formula>
    </cfRule>
  </conditionalFormatting>
  <conditionalFormatting sqref="C49:C50">
    <cfRule type="cellIs" dxfId="28545" priority="14763" stopIfTrue="1" operator="equal">
      <formula>"Towel"</formula>
    </cfRule>
    <cfRule type="cellIs" dxfId="28544" priority="14764" stopIfTrue="1" operator="equal">
      <formula>"Napkin Hs"</formula>
    </cfRule>
  </conditionalFormatting>
  <conditionalFormatting sqref="B49:C50">
    <cfRule type="cellIs" dxfId="28543" priority="14724" stopIfTrue="1" operator="equal">
      <formula>"Napkin Hs"</formula>
    </cfRule>
  </conditionalFormatting>
  <conditionalFormatting sqref="B49:C50">
    <cfRule type="cellIs" dxfId="28542" priority="14723" stopIfTrue="1" operator="equal">
      <formula>"Towel"</formula>
    </cfRule>
  </conditionalFormatting>
  <conditionalFormatting sqref="C49:C50">
    <cfRule type="cellIs" dxfId="28541" priority="14722" stopIfTrue="1" operator="equal">
      <formula>"Napkin Hs"</formula>
    </cfRule>
  </conditionalFormatting>
  <conditionalFormatting sqref="C49:C50">
    <cfRule type="cellIs" dxfId="28540" priority="14719" stopIfTrue="1" operator="equal">
      <formula>"Towel"</formula>
    </cfRule>
    <cfRule type="cellIs" dxfId="28539" priority="14720" stopIfTrue="1" operator="equal">
      <formula>"Napkin Hs"</formula>
    </cfRule>
  </conditionalFormatting>
  <conditionalFormatting sqref="C49:C50">
    <cfRule type="cellIs" dxfId="28538" priority="14721" stopIfTrue="1" operator="equal">
      <formula>"Towel"</formula>
    </cfRule>
  </conditionalFormatting>
  <conditionalFormatting sqref="B47:C47">
    <cfRule type="cellIs" dxfId="28537" priority="14717" stopIfTrue="1" operator="equal">
      <formula>"Towel"</formula>
    </cfRule>
    <cfRule type="cellIs" dxfId="28536" priority="14718" stopIfTrue="1" operator="equal">
      <formula>"Napkin Hs"</formula>
    </cfRule>
  </conditionalFormatting>
  <conditionalFormatting sqref="C47">
    <cfRule type="cellIs" dxfId="28535" priority="14713" stopIfTrue="1" operator="equal">
      <formula>"Towel"</formula>
    </cfRule>
    <cfRule type="cellIs" dxfId="28534" priority="14714" stopIfTrue="1" operator="equal">
      <formula>"Napkin Hs"</formula>
    </cfRule>
  </conditionalFormatting>
  <conditionalFormatting sqref="C47">
    <cfRule type="cellIs" dxfId="28533" priority="14715" stopIfTrue="1" operator="equal">
      <formula>"Towel"</formula>
    </cfRule>
    <cfRule type="cellIs" dxfId="28532" priority="14716" stopIfTrue="1" operator="equal">
      <formula>"Napkin Hs"</formula>
    </cfRule>
  </conditionalFormatting>
  <conditionalFormatting sqref="B47:C47">
    <cfRule type="cellIs" dxfId="28531" priority="14711" stopIfTrue="1" operator="equal">
      <formula>"Towel"</formula>
    </cfRule>
    <cfRule type="cellIs" dxfId="28530" priority="14712" stopIfTrue="1" operator="equal">
      <formula>"Napkin Hs"</formula>
    </cfRule>
  </conditionalFormatting>
  <conditionalFormatting sqref="C47">
    <cfRule type="cellIs" dxfId="28529" priority="14707" stopIfTrue="1" operator="equal">
      <formula>"Towel"</formula>
    </cfRule>
    <cfRule type="cellIs" dxfId="28528" priority="14708" stopIfTrue="1" operator="equal">
      <formula>"Napkin Hs"</formula>
    </cfRule>
  </conditionalFormatting>
  <conditionalFormatting sqref="C47">
    <cfRule type="cellIs" dxfId="28527" priority="14709" stopIfTrue="1" operator="equal">
      <formula>"Towel"</formula>
    </cfRule>
    <cfRule type="cellIs" dxfId="28526" priority="14710" stopIfTrue="1" operator="equal">
      <formula>"Napkin Hs"</formula>
    </cfRule>
  </conditionalFormatting>
  <conditionalFormatting sqref="B47:C47">
    <cfRule type="cellIs" dxfId="28525" priority="14705" stopIfTrue="1" operator="equal">
      <formula>"Towel"</formula>
    </cfRule>
    <cfRule type="cellIs" dxfId="28524" priority="14706" stopIfTrue="1" operator="equal">
      <formula>"Napkin Hs"</formula>
    </cfRule>
  </conditionalFormatting>
  <conditionalFormatting sqref="C47">
    <cfRule type="cellIs" dxfId="28523" priority="14703" stopIfTrue="1" operator="equal">
      <formula>"Towel"</formula>
    </cfRule>
    <cfRule type="cellIs" dxfId="28522" priority="14704" stopIfTrue="1" operator="equal">
      <formula>"Napkin Hs"</formula>
    </cfRule>
  </conditionalFormatting>
  <conditionalFormatting sqref="C47">
    <cfRule type="cellIs" dxfId="28521" priority="14701" stopIfTrue="1" operator="equal">
      <formula>"Towel"</formula>
    </cfRule>
    <cfRule type="cellIs" dxfId="28520" priority="14702" stopIfTrue="1" operator="equal">
      <formula>"Napkin Hs"</formula>
    </cfRule>
  </conditionalFormatting>
  <conditionalFormatting sqref="B47:C47">
    <cfRule type="cellIs" dxfId="28519" priority="14700" stopIfTrue="1" operator="equal">
      <formula>"Napkin Hs"</formula>
    </cfRule>
  </conditionalFormatting>
  <conditionalFormatting sqref="B47:C47">
    <cfRule type="cellIs" dxfId="28518" priority="14699" stopIfTrue="1" operator="equal">
      <formula>"Towel"</formula>
    </cfRule>
  </conditionalFormatting>
  <conditionalFormatting sqref="C47">
    <cfRule type="cellIs" dxfId="28517" priority="14698" stopIfTrue="1" operator="equal">
      <formula>"Napkin Hs"</formula>
    </cfRule>
  </conditionalFormatting>
  <conditionalFormatting sqref="C47">
    <cfRule type="cellIs" dxfId="28516" priority="14697" stopIfTrue="1" operator="equal">
      <formula>"Towel"</formula>
    </cfRule>
  </conditionalFormatting>
  <conditionalFormatting sqref="C47">
    <cfRule type="cellIs" dxfId="28515" priority="14695" stopIfTrue="1" operator="equal">
      <formula>"Towel"</formula>
    </cfRule>
    <cfRule type="cellIs" dxfId="28514" priority="14696" stopIfTrue="1" operator="equal">
      <formula>"Napkin Hs"</formula>
    </cfRule>
  </conditionalFormatting>
  <conditionalFormatting sqref="C47">
    <cfRule type="cellIs" dxfId="28513" priority="14693" stopIfTrue="1" operator="equal">
      <formula>"Towel"</formula>
    </cfRule>
    <cfRule type="cellIs" dxfId="28512" priority="14694" stopIfTrue="1" operator="equal">
      <formula>"Napkin Hs"</formula>
    </cfRule>
  </conditionalFormatting>
  <conditionalFormatting sqref="C47">
    <cfRule type="cellIs" dxfId="28511" priority="14609" stopIfTrue="1" operator="equal">
      <formula>"Towel"</formula>
    </cfRule>
    <cfRule type="cellIs" dxfId="28510" priority="14610" stopIfTrue="1" operator="equal">
      <formula>"Napkin Hs"</formula>
    </cfRule>
  </conditionalFormatting>
  <conditionalFormatting sqref="C47">
    <cfRule type="cellIs" dxfId="28509" priority="14603" stopIfTrue="1" operator="equal">
      <formula>"Towel"</formula>
    </cfRule>
    <cfRule type="cellIs" dxfId="28508" priority="14604" stopIfTrue="1" operator="equal">
      <formula>"Napkin Hs"</formula>
    </cfRule>
  </conditionalFormatting>
  <conditionalFormatting sqref="C47">
    <cfRule type="cellIs" dxfId="28507" priority="14584" stopIfTrue="1" operator="equal">
      <formula>"Napkin Hs"</formula>
    </cfRule>
  </conditionalFormatting>
  <conditionalFormatting sqref="C47">
    <cfRule type="cellIs" dxfId="28506" priority="14583" stopIfTrue="1" operator="equal">
      <formula>"Towel"</formula>
    </cfRule>
  </conditionalFormatting>
  <conditionalFormatting sqref="C47">
    <cfRule type="cellIs" dxfId="28505" priority="14582" stopIfTrue="1" operator="equal">
      <formula>"Napkin Hs"</formula>
    </cfRule>
  </conditionalFormatting>
  <conditionalFormatting sqref="C47">
    <cfRule type="cellIs" dxfId="28504" priority="14579" stopIfTrue="1" operator="equal">
      <formula>"Towel"</formula>
    </cfRule>
    <cfRule type="cellIs" dxfId="28503" priority="14580" stopIfTrue="1" operator="equal">
      <formula>"Napkin Hs"</formula>
    </cfRule>
  </conditionalFormatting>
  <conditionalFormatting sqref="C47">
    <cfRule type="cellIs" dxfId="28502" priority="14581" stopIfTrue="1" operator="equal">
      <formula>"Towel"</formula>
    </cfRule>
  </conditionalFormatting>
  <conditionalFormatting sqref="C47">
    <cfRule type="cellIs" dxfId="28501" priority="14578" stopIfTrue="1" operator="equal">
      <formula>"Napkin Hs"</formula>
    </cfRule>
  </conditionalFormatting>
  <conditionalFormatting sqref="C47">
    <cfRule type="cellIs" dxfId="28500" priority="14577" stopIfTrue="1" operator="equal">
      <formula>"Towel"</formula>
    </cfRule>
  </conditionalFormatting>
  <conditionalFormatting sqref="C47">
    <cfRule type="cellIs" dxfId="28499" priority="14576" stopIfTrue="1" operator="equal">
      <formula>"Napkin Hs"</formula>
    </cfRule>
  </conditionalFormatting>
  <conditionalFormatting sqref="C47">
    <cfRule type="cellIs" dxfId="28498" priority="14573" stopIfTrue="1" operator="equal">
      <formula>"Towel"</formula>
    </cfRule>
    <cfRule type="cellIs" dxfId="28497" priority="14574" stopIfTrue="1" operator="equal">
      <formula>"Napkin Hs"</formula>
    </cfRule>
  </conditionalFormatting>
  <conditionalFormatting sqref="C47">
    <cfRule type="cellIs" dxfId="28496" priority="14575" stopIfTrue="1" operator="equal">
      <formula>"Towel"</formula>
    </cfRule>
  </conditionalFormatting>
  <conditionalFormatting sqref="C47">
    <cfRule type="cellIs" dxfId="28495" priority="14679" stopIfTrue="1" operator="equal">
      <formula>"Towel"</formula>
    </cfRule>
    <cfRule type="cellIs" dxfId="28494" priority="14680" stopIfTrue="1" operator="equal">
      <formula>"Napkin Hs"</formula>
    </cfRule>
  </conditionalFormatting>
  <conditionalFormatting sqref="C47">
    <cfRule type="cellIs" dxfId="28493" priority="14677" stopIfTrue="1" operator="equal">
      <formula>"Towel"</formula>
    </cfRule>
    <cfRule type="cellIs" dxfId="28492" priority="14678" stopIfTrue="1" operator="equal">
      <formula>"Napkin Hs"</formula>
    </cfRule>
  </conditionalFormatting>
  <conditionalFormatting sqref="C47">
    <cfRule type="cellIs" dxfId="28491" priority="14675" stopIfTrue="1" operator="equal">
      <formula>"Towel"</formula>
    </cfRule>
    <cfRule type="cellIs" dxfId="28490" priority="14676" stopIfTrue="1" operator="equal">
      <formula>"Napkin Hs"</formula>
    </cfRule>
  </conditionalFormatting>
  <conditionalFormatting sqref="C47">
    <cfRule type="cellIs" dxfId="28489" priority="14674" stopIfTrue="1" operator="equal">
      <formula>"Napkin Hs"</formula>
    </cfRule>
  </conditionalFormatting>
  <conditionalFormatting sqref="C47">
    <cfRule type="cellIs" dxfId="28488" priority="14673" stopIfTrue="1" operator="equal">
      <formula>"Towel"</formula>
    </cfRule>
  </conditionalFormatting>
  <conditionalFormatting sqref="C47">
    <cfRule type="cellIs" dxfId="28487" priority="14672" stopIfTrue="1" operator="equal">
      <formula>"Napkin Hs"</formula>
    </cfRule>
  </conditionalFormatting>
  <conditionalFormatting sqref="C47">
    <cfRule type="cellIs" dxfId="28486" priority="14671" stopIfTrue="1" operator="equal">
      <formula>"Towel"</formula>
    </cfRule>
  </conditionalFormatting>
  <conditionalFormatting sqref="C47">
    <cfRule type="cellIs" dxfId="28485" priority="14669" stopIfTrue="1" operator="equal">
      <formula>"Towel"</formula>
    </cfRule>
    <cfRule type="cellIs" dxfId="28484" priority="14670" stopIfTrue="1" operator="equal">
      <formula>"Napkin Hs"</formula>
    </cfRule>
  </conditionalFormatting>
  <conditionalFormatting sqref="C47">
    <cfRule type="cellIs" dxfId="28483" priority="14667" stopIfTrue="1" operator="equal">
      <formula>"Towel"</formula>
    </cfRule>
    <cfRule type="cellIs" dxfId="28482" priority="14668" stopIfTrue="1" operator="equal">
      <formula>"Napkin Hs"</formula>
    </cfRule>
  </conditionalFormatting>
  <conditionalFormatting sqref="C47">
    <cfRule type="cellIs" dxfId="28481" priority="14663" stopIfTrue="1" operator="equal">
      <formula>"Towel"</formula>
    </cfRule>
    <cfRule type="cellIs" dxfId="28480" priority="14664" stopIfTrue="1" operator="equal">
      <formula>"Napkin Hs"</formula>
    </cfRule>
  </conditionalFormatting>
  <conditionalFormatting sqref="C47">
    <cfRule type="cellIs" dxfId="28479" priority="14665" stopIfTrue="1" operator="equal">
      <formula>"Towel"</formula>
    </cfRule>
    <cfRule type="cellIs" dxfId="28478" priority="14666" stopIfTrue="1" operator="equal">
      <formula>"Napkin Hs"</formula>
    </cfRule>
  </conditionalFormatting>
  <conditionalFormatting sqref="C47">
    <cfRule type="cellIs" dxfId="28477" priority="14657" stopIfTrue="1" operator="equal">
      <formula>"Towel"</formula>
    </cfRule>
    <cfRule type="cellIs" dxfId="28476" priority="14658" stopIfTrue="1" operator="equal">
      <formula>"Napkin Hs"</formula>
    </cfRule>
  </conditionalFormatting>
  <conditionalFormatting sqref="C47">
    <cfRule type="cellIs" dxfId="28475" priority="14655" stopIfTrue="1" operator="equal">
      <formula>"Towel"</formula>
    </cfRule>
    <cfRule type="cellIs" dxfId="28474" priority="14656" stopIfTrue="1" operator="equal">
      <formula>"Napkin Hs"</formula>
    </cfRule>
  </conditionalFormatting>
  <conditionalFormatting sqref="C47">
    <cfRule type="cellIs" dxfId="28473" priority="14653" stopIfTrue="1" operator="equal">
      <formula>"Towel"</formula>
    </cfRule>
    <cfRule type="cellIs" dxfId="28472" priority="14654" stopIfTrue="1" operator="equal">
      <formula>"Napkin Hs"</formula>
    </cfRule>
  </conditionalFormatting>
  <conditionalFormatting sqref="C47">
    <cfRule type="cellIs" dxfId="28471" priority="14651" stopIfTrue="1" operator="equal">
      <formula>"Towel"</formula>
    </cfRule>
    <cfRule type="cellIs" dxfId="28470" priority="14652" stopIfTrue="1" operator="equal">
      <formula>"Napkin Hs"</formula>
    </cfRule>
  </conditionalFormatting>
  <conditionalFormatting sqref="C47">
    <cfRule type="cellIs" dxfId="28469" priority="14649" stopIfTrue="1" operator="equal">
      <formula>"Towel"</formula>
    </cfRule>
    <cfRule type="cellIs" dxfId="28468" priority="14650" stopIfTrue="1" operator="equal">
      <formula>"Napkin Hs"</formula>
    </cfRule>
  </conditionalFormatting>
  <conditionalFormatting sqref="C47">
    <cfRule type="cellIs" dxfId="28467" priority="14647" stopIfTrue="1" operator="equal">
      <formula>"Towel"</formula>
    </cfRule>
    <cfRule type="cellIs" dxfId="28466" priority="14648" stopIfTrue="1" operator="equal">
      <formula>"Napkin Hs"</formula>
    </cfRule>
  </conditionalFormatting>
  <conditionalFormatting sqref="C47">
    <cfRule type="cellIs" dxfId="28465" priority="14645" stopIfTrue="1" operator="equal">
      <formula>"Towel"</formula>
    </cfRule>
    <cfRule type="cellIs" dxfId="28464" priority="14646" stopIfTrue="1" operator="equal">
      <formula>"Napkin Hs"</formula>
    </cfRule>
  </conditionalFormatting>
  <conditionalFormatting sqref="C47">
    <cfRule type="cellIs" dxfId="28463" priority="14643" stopIfTrue="1" operator="equal">
      <formula>"Towel"</formula>
    </cfRule>
    <cfRule type="cellIs" dxfId="28462" priority="14644" stopIfTrue="1" operator="equal">
      <formula>"Napkin Hs"</formula>
    </cfRule>
  </conditionalFormatting>
  <conditionalFormatting sqref="C47">
    <cfRule type="cellIs" dxfId="28461" priority="14641" stopIfTrue="1" operator="equal">
      <formula>"Towel"</formula>
    </cfRule>
    <cfRule type="cellIs" dxfId="28460" priority="14642" stopIfTrue="1" operator="equal">
      <formula>"Napkin Hs"</formula>
    </cfRule>
  </conditionalFormatting>
  <conditionalFormatting sqref="C47">
    <cfRule type="cellIs" dxfId="28459" priority="14639" stopIfTrue="1" operator="equal">
      <formula>"Towel"</formula>
    </cfRule>
    <cfRule type="cellIs" dxfId="28458" priority="14640" stopIfTrue="1" operator="equal">
      <formula>"Napkin Hs"</formula>
    </cfRule>
  </conditionalFormatting>
  <conditionalFormatting sqref="C47">
    <cfRule type="cellIs" dxfId="28457" priority="14633" stopIfTrue="1" operator="equal">
      <formula>"Towel"</formula>
    </cfRule>
    <cfRule type="cellIs" dxfId="28456" priority="14634" stopIfTrue="1" operator="equal">
      <formula>"Napkin Hs"</formula>
    </cfRule>
  </conditionalFormatting>
  <conditionalFormatting sqref="C47">
    <cfRule type="cellIs" dxfId="28455" priority="14627" stopIfTrue="1" operator="equal">
      <formula>"Towel"</formula>
    </cfRule>
    <cfRule type="cellIs" dxfId="28454" priority="14628" stopIfTrue="1" operator="equal">
      <formula>"Napkin Hs"</formula>
    </cfRule>
  </conditionalFormatting>
  <conditionalFormatting sqref="C47">
    <cfRule type="cellIs" dxfId="28453" priority="14621" stopIfTrue="1" operator="equal">
      <formula>"Towel"</formula>
    </cfRule>
    <cfRule type="cellIs" dxfId="28452" priority="14622" stopIfTrue="1" operator="equal">
      <formula>"Napkin Hs"</formula>
    </cfRule>
  </conditionalFormatting>
  <conditionalFormatting sqref="C47">
    <cfRule type="cellIs" dxfId="28451" priority="14620" stopIfTrue="1" operator="equal">
      <formula>"Napkin Hs"</formula>
    </cfRule>
  </conditionalFormatting>
  <conditionalFormatting sqref="C47">
    <cfRule type="cellIs" dxfId="28450" priority="14619" stopIfTrue="1" operator="equal">
      <formula>"Towel"</formula>
    </cfRule>
  </conditionalFormatting>
  <conditionalFormatting sqref="C47">
    <cfRule type="cellIs" dxfId="28449" priority="14618" stopIfTrue="1" operator="equal">
      <formula>"Napkin Hs"</formula>
    </cfRule>
  </conditionalFormatting>
  <conditionalFormatting sqref="C47">
    <cfRule type="cellIs" dxfId="28448" priority="14617" stopIfTrue="1" operator="equal">
      <formula>"Towel"</formula>
    </cfRule>
  </conditionalFormatting>
  <conditionalFormatting sqref="C47">
    <cfRule type="cellIs" dxfId="28447" priority="14615" stopIfTrue="1" operator="equal">
      <formula>"Towel"</formula>
    </cfRule>
    <cfRule type="cellIs" dxfId="28446" priority="14616" stopIfTrue="1" operator="equal">
      <formula>"Napkin Hs"</formula>
    </cfRule>
  </conditionalFormatting>
  <conditionalFormatting sqref="C47">
    <cfRule type="cellIs" dxfId="28445" priority="14613" stopIfTrue="1" operator="equal">
      <formula>"Towel"</formula>
    </cfRule>
    <cfRule type="cellIs" dxfId="28444" priority="14614" stopIfTrue="1" operator="equal">
      <formula>"Napkin Hs"</formula>
    </cfRule>
  </conditionalFormatting>
  <conditionalFormatting sqref="C47">
    <cfRule type="cellIs" dxfId="28443" priority="14611" stopIfTrue="1" operator="equal">
      <formula>"Towel"</formula>
    </cfRule>
    <cfRule type="cellIs" dxfId="28442" priority="14612" stopIfTrue="1" operator="equal">
      <formula>"Napkin Hs"</formula>
    </cfRule>
  </conditionalFormatting>
  <conditionalFormatting sqref="C47">
    <cfRule type="cellIs" dxfId="28441" priority="14601" stopIfTrue="1" operator="equal">
      <formula>"Towel"</formula>
    </cfRule>
    <cfRule type="cellIs" dxfId="28440" priority="14602" stopIfTrue="1" operator="equal">
      <formula>"Napkin Hs"</formula>
    </cfRule>
  </conditionalFormatting>
  <conditionalFormatting sqref="C47">
    <cfRule type="cellIs" dxfId="28439" priority="14599" stopIfTrue="1" operator="equal">
      <formula>"Towel"</formula>
    </cfRule>
    <cfRule type="cellIs" dxfId="28438" priority="14600" stopIfTrue="1" operator="equal">
      <formula>"Napkin Hs"</formula>
    </cfRule>
  </conditionalFormatting>
  <conditionalFormatting sqref="C47">
    <cfRule type="cellIs" dxfId="28437" priority="14597" stopIfTrue="1" operator="equal">
      <formula>"Towel"</formula>
    </cfRule>
    <cfRule type="cellIs" dxfId="28436" priority="14598" stopIfTrue="1" operator="equal">
      <formula>"Napkin Hs"</formula>
    </cfRule>
  </conditionalFormatting>
  <conditionalFormatting sqref="C47">
    <cfRule type="cellIs" dxfId="28435" priority="14595" stopIfTrue="1" operator="equal">
      <formula>"Towel"</formula>
    </cfRule>
    <cfRule type="cellIs" dxfId="28434" priority="14596" stopIfTrue="1" operator="equal">
      <formula>"Napkin Hs"</formula>
    </cfRule>
  </conditionalFormatting>
  <conditionalFormatting sqref="C47">
    <cfRule type="cellIs" dxfId="28433" priority="14593" stopIfTrue="1" operator="equal">
      <formula>"Towel"</formula>
    </cfRule>
    <cfRule type="cellIs" dxfId="28432" priority="14594" stopIfTrue="1" operator="equal">
      <formula>"Napkin Hs"</formula>
    </cfRule>
  </conditionalFormatting>
  <conditionalFormatting sqref="C47">
    <cfRule type="cellIs" dxfId="28431" priority="14591" stopIfTrue="1" operator="equal">
      <formula>"Towel"</formula>
    </cfRule>
    <cfRule type="cellIs" dxfId="28430" priority="14592" stopIfTrue="1" operator="equal">
      <formula>"Napkin Hs"</formula>
    </cfRule>
  </conditionalFormatting>
  <conditionalFormatting sqref="C47">
    <cfRule type="cellIs" dxfId="28429" priority="14589" stopIfTrue="1" operator="equal">
      <formula>"Towel"</formula>
    </cfRule>
    <cfRule type="cellIs" dxfId="28428" priority="14590" stopIfTrue="1" operator="equal">
      <formula>"Napkin Hs"</formula>
    </cfRule>
  </conditionalFormatting>
  <conditionalFormatting sqref="C47">
    <cfRule type="cellIs" dxfId="28427" priority="14587" stopIfTrue="1" operator="equal">
      <formula>"Towel"</formula>
    </cfRule>
    <cfRule type="cellIs" dxfId="28426" priority="14588" stopIfTrue="1" operator="equal">
      <formula>"Napkin Hs"</formula>
    </cfRule>
  </conditionalFormatting>
  <conditionalFormatting sqref="C47">
    <cfRule type="cellIs" dxfId="28425" priority="14585" stopIfTrue="1" operator="equal">
      <formula>"Towel"</formula>
    </cfRule>
    <cfRule type="cellIs" dxfId="28424" priority="14586" stopIfTrue="1" operator="equal">
      <formula>"Napkin Hs"</formula>
    </cfRule>
  </conditionalFormatting>
  <conditionalFormatting sqref="C47">
    <cfRule type="cellIs" dxfId="28423" priority="14572" stopIfTrue="1" operator="equal">
      <formula>"Napkin Hs"</formula>
    </cfRule>
  </conditionalFormatting>
  <conditionalFormatting sqref="C47">
    <cfRule type="cellIs" dxfId="28422" priority="14571" stopIfTrue="1" operator="equal">
      <formula>"Towel"</formula>
    </cfRule>
  </conditionalFormatting>
  <conditionalFormatting sqref="C47">
    <cfRule type="cellIs" dxfId="28421" priority="14570" stopIfTrue="1" operator="equal">
      <formula>"Napkin Hs"</formula>
    </cfRule>
  </conditionalFormatting>
  <conditionalFormatting sqref="C47">
    <cfRule type="cellIs" dxfId="28420" priority="14567" stopIfTrue="1" operator="equal">
      <formula>"Towel"</formula>
    </cfRule>
    <cfRule type="cellIs" dxfId="28419" priority="14568" stopIfTrue="1" operator="equal">
      <formula>"Napkin Hs"</formula>
    </cfRule>
  </conditionalFormatting>
  <conditionalFormatting sqref="C47">
    <cfRule type="cellIs" dxfId="28418" priority="14569" stopIfTrue="1" operator="equal">
      <formula>"Towel"</formula>
    </cfRule>
  </conditionalFormatting>
  <conditionalFormatting sqref="C47">
    <cfRule type="cellIs" dxfId="28417" priority="14687" stopIfTrue="1" operator="equal">
      <formula>"Towel"</formula>
    </cfRule>
    <cfRule type="cellIs" dxfId="28416" priority="14688" stopIfTrue="1" operator="equal">
      <formula>"Napkin Hs"</formula>
    </cfRule>
  </conditionalFormatting>
  <conditionalFormatting sqref="C47">
    <cfRule type="cellIs" dxfId="28415" priority="14686" stopIfTrue="1" operator="equal">
      <formula>"Napkin Hs"</formula>
    </cfRule>
  </conditionalFormatting>
  <conditionalFormatting sqref="C47">
    <cfRule type="cellIs" dxfId="28414" priority="14685" stopIfTrue="1" operator="equal">
      <formula>"Towel"</formula>
    </cfRule>
  </conditionalFormatting>
  <conditionalFormatting sqref="C47">
    <cfRule type="cellIs" dxfId="28413" priority="14684" stopIfTrue="1" operator="equal">
      <formula>"Napkin Hs"</formula>
    </cfRule>
  </conditionalFormatting>
  <conditionalFormatting sqref="C47">
    <cfRule type="cellIs" dxfId="28412" priority="14681" stopIfTrue="1" operator="equal">
      <formula>"Towel"</formula>
    </cfRule>
    <cfRule type="cellIs" dxfId="28411" priority="14682" stopIfTrue="1" operator="equal">
      <formula>"Napkin Hs"</formula>
    </cfRule>
  </conditionalFormatting>
  <conditionalFormatting sqref="C47">
    <cfRule type="cellIs" dxfId="28410" priority="14683" stopIfTrue="1" operator="equal">
      <formula>"Towel"</formula>
    </cfRule>
  </conditionalFormatting>
  <conditionalFormatting sqref="C47">
    <cfRule type="cellIs" dxfId="28409" priority="14691" stopIfTrue="1" operator="equal">
      <formula>"Towel"</formula>
    </cfRule>
    <cfRule type="cellIs" dxfId="28408" priority="14692" stopIfTrue="1" operator="equal">
      <formula>"Napkin Hs"</formula>
    </cfRule>
  </conditionalFormatting>
  <conditionalFormatting sqref="C47">
    <cfRule type="cellIs" dxfId="28407" priority="14689" stopIfTrue="1" operator="equal">
      <formula>"Towel"</formula>
    </cfRule>
    <cfRule type="cellIs" dxfId="28406" priority="14690" stopIfTrue="1" operator="equal">
      <formula>"Napkin Hs"</formula>
    </cfRule>
  </conditionalFormatting>
  <conditionalFormatting sqref="C47">
    <cfRule type="cellIs" dxfId="28405" priority="14661" stopIfTrue="1" operator="equal">
      <formula>"Towel"</formula>
    </cfRule>
    <cfRule type="cellIs" dxfId="28404" priority="14662" stopIfTrue="1" operator="equal">
      <formula>"Napkin Hs"</formula>
    </cfRule>
  </conditionalFormatting>
  <conditionalFormatting sqref="C47">
    <cfRule type="cellIs" dxfId="28403" priority="14659" stopIfTrue="1" operator="equal">
      <formula>"Towel"</formula>
    </cfRule>
    <cfRule type="cellIs" dxfId="28402" priority="14660" stopIfTrue="1" operator="equal">
      <formula>"Napkin Hs"</formula>
    </cfRule>
  </conditionalFormatting>
  <conditionalFormatting sqref="C47">
    <cfRule type="cellIs" dxfId="28401" priority="14638" stopIfTrue="1" operator="equal">
      <formula>"Napkin Hs"</formula>
    </cfRule>
  </conditionalFormatting>
  <conditionalFormatting sqref="C47">
    <cfRule type="cellIs" dxfId="28400" priority="14637" stopIfTrue="1" operator="equal">
      <formula>"Towel"</formula>
    </cfRule>
  </conditionalFormatting>
  <conditionalFormatting sqref="C47">
    <cfRule type="cellIs" dxfId="28399" priority="14636" stopIfTrue="1" operator="equal">
      <formula>"Napkin Hs"</formula>
    </cfRule>
  </conditionalFormatting>
  <conditionalFormatting sqref="C47">
    <cfRule type="cellIs" dxfId="28398" priority="14635" stopIfTrue="1" operator="equal">
      <formula>"Towel"</formula>
    </cfRule>
  </conditionalFormatting>
  <conditionalFormatting sqref="C47">
    <cfRule type="cellIs" dxfId="28397" priority="14632" stopIfTrue="1" operator="equal">
      <formula>"Napkin Hs"</formula>
    </cfRule>
  </conditionalFormatting>
  <conditionalFormatting sqref="C47">
    <cfRule type="cellIs" dxfId="28396" priority="14631" stopIfTrue="1" operator="equal">
      <formula>"Towel"</formula>
    </cfRule>
  </conditionalFormatting>
  <conditionalFormatting sqref="C47">
    <cfRule type="cellIs" dxfId="28395" priority="14630" stopIfTrue="1" operator="equal">
      <formula>"Napkin Hs"</formula>
    </cfRule>
  </conditionalFormatting>
  <conditionalFormatting sqref="C47">
    <cfRule type="cellIs" dxfId="28394" priority="14629" stopIfTrue="1" operator="equal">
      <formula>"Towel"</formula>
    </cfRule>
  </conditionalFormatting>
  <conditionalFormatting sqref="C47">
    <cfRule type="cellIs" dxfId="28393" priority="14625" stopIfTrue="1" operator="equal">
      <formula>"Towel"</formula>
    </cfRule>
    <cfRule type="cellIs" dxfId="28392" priority="14626" stopIfTrue="1" operator="equal">
      <formula>"Napkin Hs"</formula>
    </cfRule>
  </conditionalFormatting>
  <conditionalFormatting sqref="C47">
    <cfRule type="cellIs" dxfId="28391" priority="14623" stopIfTrue="1" operator="equal">
      <formula>"Towel"</formula>
    </cfRule>
    <cfRule type="cellIs" dxfId="28390" priority="14624" stopIfTrue="1" operator="equal">
      <formula>"Napkin Hs"</formula>
    </cfRule>
  </conditionalFormatting>
  <conditionalFormatting sqref="C47">
    <cfRule type="cellIs" dxfId="28389" priority="14607" stopIfTrue="1" operator="equal">
      <formula>"Towel"</formula>
    </cfRule>
    <cfRule type="cellIs" dxfId="28388" priority="14608" stopIfTrue="1" operator="equal">
      <formula>"Napkin Hs"</formula>
    </cfRule>
  </conditionalFormatting>
  <conditionalFormatting sqref="C47">
    <cfRule type="cellIs" dxfId="28387" priority="14605" stopIfTrue="1" operator="equal">
      <formula>"Towel"</formula>
    </cfRule>
    <cfRule type="cellIs" dxfId="28386" priority="14606" stopIfTrue="1" operator="equal">
      <formula>"Napkin Hs"</formula>
    </cfRule>
  </conditionalFormatting>
  <conditionalFormatting sqref="B47:C47">
    <cfRule type="cellIs" dxfId="28385" priority="14566" stopIfTrue="1" operator="equal">
      <formula>"Napkin Hs"</formula>
    </cfRule>
  </conditionalFormatting>
  <conditionalFormatting sqref="B47:C47">
    <cfRule type="cellIs" dxfId="28384" priority="14565" stopIfTrue="1" operator="equal">
      <formula>"Towel"</formula>
    </cfRule>
  </conditionalFormatting>
  <conditionalFormatting sqref="C47">
    <cfRule type="cellIs" dxfId="28383" priority="14564" stopIfTrue="1" operator="equal">
      <formula>"Napkin Hs"</formula>
    </cfRule>
  </conditionalFormatting>
  <conditionalFormatting sqref="C47">
    <cfRule type="cellIs" dxfId="28382" priority="14561" stopIfTrue="1" operator="equal">
      <formula>"Towel"</formula>
    </cfRule>
    <cfRule type="cellIs" dxfId="28381" priority="14562" stopIfTrue="1" operator="equal">
      <formula>"Napkin Hs"</formula>
    </cfRule>
  </conditionalFormatting>
  <conditionalFormatting sqref="C47">
    <cfRule type="cellIs" dxfId="28380" priority="14563" stopIfTrue="1" operator="equal">
      <formula>"Towel"</formula>
    </cfRule>
  </conditionalFormatting>
  <conditionalFormatting sqref="C48">
    <cfRule type="cellIs" dxfId="28379" priority="14477" stopIfTrue="1" operator="equal">
      <formula>"Towel"</formula>
    </cfRule>
    <cfRule type="cellIs" dxfId="28378" priority="14478" stopIfTrue="1" operator="equal">
      <formula>"Napkin Hs"</formula>
    </cfRule>
  </conditionalFormatting>
  <conditionalFormatting sqref="C48">
    <cfRule type="cellIs" dxfId="28377" priority="14471" stopIfTrue="1" operator="equal">
      <formula>"Towel"</formula>
    </cfRule>
    <cfRule type="cellIs" dxfId="28376" priority="14472" stopIfTrue="1" operator="equal">
      <formula>"Napkin Hs"</formula>
    </cfRule>
  </conditionalFormatting>
  <conditionalFormatting sqref="C48">
    <cfRule type="cellIs" dxfId="28375" priority="14452" stopIfTrue="1" operator="equal">
      <formula>"Napkin Hs"</formula>
    </cfRule>
  </conditionalFormatting>
  <conditionalFormatting sqref="C48">
    <cfRule type="cellIs" dxfId="28374" priority="14451" stopIfTrue="1" operator="equal">
      <formula>"Towel"</formula>
    </cfRule>
  </conditionalFormatting>
  <conditionalFormatting sqref="C48">
    <cfRule type="cellIs" dxfId="28373" priority="14450" stopIfTrue="1" operator="equal">
      <formula>"Napkin Hs"</formula>
    </cfRule>
  </conditionalFormatting>
  <conditionalFormatting sqref="C48">
    <cfRule type="cellIs" dxfId="28372" priority="14447" stopIfTrue="1" operator="equal">
      <formula>"Towel"</formula>
    </cfRule>
    <cfRule type="cellIs" dxfId="28371" priority="14448" stopIfTrue="1" operator="equal">
      <formula>"Napkin Hs"</formula>
    </cfRule>
  </conditionalFormatting>
  <conditionalFormatting sqref="C48">
    <cfRule type="cellIs" dxfId="28370" priority="14449" stopIfTrue="1" operator="equal">
      <formula>"Towel"</formula>
    </cfRule>
  </conditionalFormatting>
  <conditionalFormatting sqref="C48">
    <cfRule type="cellIs" dxfId="28369" priority="14446" stopIfTrue="1" operator="equal">
      <formula>"Napkin Hs"</formula>
    </cfRule>
  </conditionalFormatting>
  <conditionalFormatting sqref="C48">
    <cfRule type="cellIs" dxfId="28368" priority="14445" stopIfTrue="1" operator="equal">
      <formula>"Towel"</formula>
    </cfRule>
  </conditionalFormatting>
  <conditionalFormatting sqref="C48">
    <cfRule type="cellIs" dxfId="28367" priority="14444" stopIfTrue="1" operator="equal">
      <formula>"Napkin Hs"</formula>
    </cfRule>
  </conditionalFormatting>
  <conditionalFormatting sqref="C48">
    <cfRule type="cellIs" dxfId="28366" priority="14441" stopIfTrue="1" operator="equal">
      <formula>"Towel"</formula>
    </cfRule>
    <cfRule type="cellIs" dxfId="28365" priority="14442" stopIfTrue="1" operator="equal">
      <formula>"Napkin Hs"</formula>
    </cfRule>
  </conditionalFormatting>
  <conditionalFormatting sqref="C48">
    <cfRule type="cellIs" dxfId="28364" priority="14443" stopIfTrue="1" operator="equal">
      <formula>"Towel"</formula>
    </cfRule>
  </conditionalFormatting>
  <conditionalFormatting sqref="C48">
    <cfRule type="cellIs" dxfId="28363" priority="14547" stopIfTrue="1" operator="equal">
      <formula>"Towel"</formula>
    </cfRule>
    <cfRule type="cellIs" dxfId="28362" priority="14548" stopIfTrue="1" operator="equal">
      <formula>"Napkin Hs"</formula>
    </cfRule>
  </conditionalFormatting>
  <conditionalFormatting sqref="C48">
    <cfRule type="cellIs" dxfId="28361" priority="14545" stopIfTrue="1" operator="equal">
      <formula>"Towel"</formula>
    </cfRule>
    <cfRule type="cellIs" dxfId="28360" priority="14546" stopIfTrue="1" operator="equal">
      <formula>"Napkin Hs"</formula>
    </cfRule>
  </conditionalFormatting>
  <conditionalFormatting sqref="C48">
    <cfRule type="cellIs" dxfId="28359" priority="14543" stopIfTrue="1" operator="equal">
      <formula>"Towel"</formula>
    </cfRule>
    <cfRule type="cellIs" dxfId="28358" priority="14544" stopIfTrue="1" operator="equal">
      <formula>"Napkin Hs"</formula>
    </cfRule>
  </conditionalFormatting>
  <conditionalFormatting sqref="C48">
    <cfRule type="cellIs" dxfId="28357" priority="14542" stopIfTrue="1" operator="equal">
      <formula>"Napkin Hs"</formula>
    </cfRule>
  </conditionalFormatting>
  <conditionalFormatting sqref="C48">
    <cfRule type="cellIs" dxfId="28356" priority="14541" stopIfTrue="1" operator="equal">
      <formula>"Towel"</formula>
    </cfRule>
  </conditionalFormatting>
  <conditionalFormatting sqref="C48">
    <cfRule type="cellIs" dxfId="28355" priority="14540" stopIfTrue="1" operator="equal">
      <formula>"Napkin Hs"</formula>
    </cfRule>
  </conditionalFormatting>
  <conditionalFormatting sqref="C48">
    <cfRule type="cellIs" dxfId="28354" priority="14539" stopIfTrue="1" operator="equal">
      <formula>"Towel"</formula>
    </cfRule>
  </conditionalFormatting>
  <conditionalFormatting sqref="C48">
    <cfRule type="cellIs" dxfId="28353" priority="14537" stopIfTrue="1" operator="equal">
      <formula>"Towel"</formula>
    </cfRule>
    <cfRule type="cellIs" dxfId="28352" priority="14538" stopIfTrue="1" operator="equal">
      <formula>"Napkin Hs"</formula>
    </cfRule>
  </conditionalFormatting>
  <conditionalFormatting sqref="C48">
    <cfRule type="cellIs" dxfId="28351" priority="14535" stopIfTrue="1" operator="equal">
      <formula>"Towel"</formula>
    </cfRule>
    <cfRule type="cellIs" dxfId="28350" priority="14536" stopIfTrue="1" operator="equal">
      <formula>"Napkin Hs"</formula>
    </cfRule>
  </conditionalFormatting>
  <conditionalFormatting sqref="C48">
    <cfRule type="cellIs" dxfId="28349" priority="14531" stopIfTrue="1" operator="equal">
      <formula>"Towel"</formula>
    </cfRule>
    <cfRule type="cellIs" dxfId="28348" priority="14532" stopIfTrue="1" operator="equal">
      <formula>"Napkin Hs"</formula>
    </cfRule>
  </conditionalFormatting>
  <conditionalFormatting sqref="C48">
    <cfRule type="cellIs" dxfId="28347" priority="14533" stopIfTrue="1" operator="equal">
      <formula>"Towel"</formula>
    </cfRule>
    <cfRule type="cellIs" dxfId="28346" priority="14534" stopIfTrue="1" operator="equal">
      <formula>"Napkin Hs"</formula>
    </cfRule>
  </conditionalFormatting>
  <conditionalFormatting sqref="C48">
    <cfRule type="cellIs" dxfId="28345" priority="14525" stopIfTrue="1" operator="equal">
      <formula>"Towel"</formula>
    </cfRule>
    <cfRule type="cellIs" dxfId="28344" priority="14526" stopIfTrue="1" operator="equal">
      <formula>"Napkin Hs"</formula>
    </cfRule>
  </conditionalFormatting>
  <conditionalFormatting sqref="C48">
    <cfRule type="cellIs" dxfId="28343" priority="14523" stopIfTrue="1" operator="equal">
      <formula>"Towel"</formula>
    </cfRule>
    <cfRule type="cellIs" dxfId="28342" priority="14524" stopIfTrue="1" operator="equal">
      <formula>"Napkin Hs"</formula>
    </cfRule>
  </conditionalFormatting>
  <conditionalFormatting sqref="C48">
    <cfRule type="cellIs" dxfId="28341" priority="14521" stopIfTrue="1" operator="equal">
      <formula>"Towel"</formula>
    </cfRule>
    <cfRule type="cellIs" dxfId="28340" priority="14522" stopIfTrue="1" operator="equal">
      <formula>"Napkin Hs"</formula>
    </cfRule>
  </conditionalFormatting>
  <conditionalFormatting sqref="C48">
    <cfRule type="cellIs" dxfId="28339" priority="14519" stopIfTrue="1" operator="equal">
      <formula>"Towel"</formula>
    </cfRule>
    <cfRule type="cellIs" dxfId="28338" priority="14520" stopIfTrue="1" operator="equal">
      <formula>"Napkin Hs"</formula>
    </cfRule>
  </conditionalFormatting>
  <conditionalFormatting sqref="C48">
    <cfRule type="cellIs" dxfId="28337" priority="14517" stopIfTrue="1" operator="equal">
      <formula>"Towel"</formula>
    </cfRule>
    <cfRule type="cellIs" dxfId="28336" priority="14518" stopIfTrue="1" operator="equal">
      <formula>"Napkin Hs"</formula>
    </cfRule>
  </conditionalFormatting>
  <conditionalFormatting sqref="C48">
    <cfRule type="cellIs" dxfId="28335" priority="14515" stopIfTrue="1" operator="equal">
      <formula>"Towel"</formula>
    </cfRule>
    <cfRule type="cellIs" dxfId="28334" priority="14516" stopIfTrue="1" operator="equal">
      <formula>"Napkin Hs"</formula>
    </cfRule>
  </conditionalFormatting>
  <conditionalFormatting sqref="C48">
    <cfRule type="cellIs" dxfId="28333" priority="14513" stopIfTrue="1" operator="equal">
      <formula>"Towel"</formula>
    </cfRule>
    <cfRule type="cellIs" dxfId="28332" priority="14514" stopIfTrue="1" operator="equal">
      <formula>"Napkin Hs"</formula>
    </cfRule>
  </conditionalFormatting>
  <conditionalFormatting sqref="C48">
    <cfRule type="cellIs" dxfId="28331" priority="14511" stopIfTrue="1" operator="equal">
      <formula>"Towel"</formula>
    </cfRule>
    <cfRule type="cellIs" dxfId="28330" priority="14512" stopIfTrue="1" operator="equal">
      <formula>"Napkin Hs"</formula>
    </cfRule>
  </conditionalFormatting>
  <conditionalFormatting sqref="C48">
    <cfRule type="cellIs" dxfId="28329" priority="14509" stopIfTrue="1" operator="equal">
      <formula>"Towel"</formula>
    </cfRule>
    <cfRule type="cellIs" dxfId="28328" priority="14510" stopIfTrue="1" operator="equal">
      <formula>"Napkin Hs"</formula>
    </cfRule>
  </conditionalFormatting>
  <conditionalFormatting sqref="C48">
    <cfRule type="cellIs" dxfId="28327" priority="14507" stopIfTrue="1" operator="equal">
      <formula>"Towel"</formula>
    </cfRule>
    <cfRule type="cellIs" dxfId="28326" priority="14508" stopIfTrue="1" operator="equal">
      <formula>"Napkin Hs"</formula>
    </cfRule>
  </conditionalFormatting>
  <conditionalFormatting sqref="C48">
    <cfRule type="cellIs" dxfId="28325" priority="14501" stopIfTrue="1" operator="equal">
      <formula>"Towel"</formula>
    </cfRule>
    <cfRule type="cellIs" dxfId="28324" priority="14502" stopIfTrue="1" operator="equal">
      <formula>"Napkin Hs"</formula>
    </cfRule>
  </conditionalFormatting>
  <conditionalFormatting sqref="C48">
    <cfRule type="cellIs" dxfId="28323" priority="14495" stopIfTrue="1" operator="equal">
      <formula>"Towel"</formula>
    </cfRule>
    <cfRule type="cellIs" dxfId="28322" priority="14496" stopIfTrue="1" operator="equal">
      <formula>"Napkin Hs"</formula>
    </cfRule>
  </conditionalFormatting>
  <conditionalFormatting sqref="C48">
    <cfRule type="cellIs" dxfId="28321" priority="14489" stopIfTrue="1" operator="equal">
      <formula>"Towel"</formula>
    </cfRule>
    <cfRule type="cellIs" dxfId="28320" priority="14490" stopIfTrue="1" operator="equal">
      <formula>"Napkin Hs"</formula>
    </cfRule>
  </conditionalFormatting>
  <conditionalFormatting sqref="C48">
    <cfRule type="cellIs" dxfId="28319" priority="14488" stopIfTrue="1" operator="equal">
      <formula>"Napkin Hs"</formula>
    </cfRule>
  </conditionalFormatting>
  <conditionalFormatting sqref="C48">
    <cfRule type="cellIs" dxfId="28318" priority="14487" stopIfTrue="1" operator="equal">
      <formula>"Towel"</formula>
    </cfRule>
  </conditionalFormatting>
  <conditionalFormatting sqref="C48">
    <cfRule type="cellIs" dxfId="28317" priority="14486" stopIfTrue="1" operator="equal">
      <formula>"Napkin Hs"</formula>
    </cfRule>
  </conditionalFormatting>
  <conditionalFormatting sqref="C48">
    <cfRule type="cellIs" dxfId="28316" priority="14485" stopIfTrue="1" operator="equal">
      <formula>"Towel"</formula>
    </cfRule>
  </conditionalFormatting>
  <conditionalFormatting sqref="C48">
    <cfRule type="cellIs" dxfId="28315" priority="14483" stopIfTrue="1" operator="equal">
      <formula>"Towel"</formula>
    </cfRule>
    <cfRule type="cellIs" dxfId="28314" priority="14484" stopIfTrue="1" operator="equal">
      <formula>"Napkin Hs"</formula>
    </cfRule>
  </conditionalFormatting>
  <conditionalFormatting sqref="C48">
    <cfRule type="cellIs" dxfId="28313" priority="14481" stopIfTrue="1" operator="equal">
      <formula>"Towel"</formula>
    </cfRule>
    <cfRule type="cellIs" dxfId="28312" priority="14482" stopIfTrue="1" operator="equal">
      <formula>"Napkin Hs"</formula>
    </cfRule>
  </conditionalFormatting>
  <conditionalFormatting sqref="C48">
    <cfRule type="cellIs" dxfId="28311" priority="14479" stopIfTrue="1" operator="equal">
      <formula>"Towel"</formula>
    </cfRule>
    <cfRule type="cellIs" dxfId="28310" priority="14480" stopIfTrue="1" operator="equal">
      <formula>"Napkin Hs"</formula>
    </cfRule>
  </conditionalFormatting>
  <conditionalFormatting sqref="C48">
    <cfRule type="cellIs" dxfId="28309" priority="14469" stopIfTrue="1" operator="equal">
      <formula>"Towel"</formula>
    </cfRule>
    <cfRule type="cellIs" dxfId="28308" priority="14470" stopIfTrue="1" operator="equal">
      <formula>"Napkin Hs"</formula>
    </cfRule>
  </conditionalFormatting>
  <conditionalFormatting sqref="C48">
    <cfRule type="cellIs" dxfId="28307" priority="14467" stopIfTrue="1" operator="equal">
      <formula>"Towel"</formula>
    </cfRule>
    <cfRule type="cellIs" dxfId="28306" priority="14468" stopIfTrue="1" operator="equal">
      <formula>"Napkin Hs"</formula>
    </cfRule>
  </conditionalFormatting>
  <conditionalFormatting sqref="C48">
    <cfRule type="cellIs" dxfId="28305" priority="14465" stopIfTrue="1" operator="equal">
      <formula>"Towel"</formula>
    </cfRule>
    <cfRule type="cellIs" dxfId="28304" priority="14466" stopIfTrue="1" operator="equal">
      <formula>"Napkin Hs"</formula>
    </cfRule>
  </conditionalFormatting>
  <conditionalFormatting sqref="C48">
    <cfRule type="cellIs" dxfId="28303" priority="14463" stopIfTrue="1" operator="equal">
      <formula>"Towel"</formula>
    </cfRule>
    <cfRule type="cellIs" dxfId="28302" priority="14464" stopIfTrue="1" operator="equal">
      <formula>"Napkin Hs"</formula>
    </cfRule>
  </conditionalFormatting>
  <conditionalFormatting sqref="C48">
    <cfRule type="cellIs" dxfId="28301" priority="14461" stopIfTrue="1" operator="equal">
      <formula>"Towel"</formula>
    </cfRule>
    <cfRule type="cellIs" dxfId="28300" priority="14462" stopIfTrue="1" operator="equal">
      <formula>"Napkin Hs"</formula>
    </cfRule>
  </conditionalFormatting>
  <conditionalFormatting sqref="C48">
    <cfRule type="cellIs" dxfId="28299" priority="14459" stopIfTrue="1" operator="equal">
      <formula>"Towel"</formula>
    </cfRule>
    <cfRule type="cellIs" dxfId="28298" priority="14460" stopIfTrue="1" operator="equal">
      <formula>"Napkin Hs"</formula>
    </cfRule>
  </conditionalFormatting>
  <conditionalFormatting sqref="C48">
    <cfRule type="cellIs" dxfId="28297" priority="14457" stopIfTrue="1" operator="equal">
      <formula>"Towel"</formula>
    </cfRule>
    <cfRule type="cellIs" dxfId="28296" priority="14458" stopIfTrue="1" operator="equal">
      <formula>"Napkin Hs"</formula>
    </cfRule>
  </conditionalFormatting>
  <conditionalFormatting sqref="C48">
    <cfRule type="cellIs" dxfId="28295" priority="14455" stopIfTrue="1" operator="equal">
      <formula>"Towel"</formula>
    </cfRule>
    <cfRule type="cellIs" dxfId="28294" priority="14456" stopIfTrue="1" operator="equal">
      <formula>"Napkin Hs"</formula>
    </cfRule>
  </conditionalFormatting>
  <conditionalFormatting sqref="C48">
    <cfRule type="cellIs" dxfId="28293" priority="14453" stopIfTrue="1" operator="equal">
      <formula>"Towel"</formula>
    </cfRule>
    <cfRule type="cellIs" dxfId="28292" priority="14454" stopIfTrue="1" operator="equal">
      <formula>"Napkin Hs"</formula>
    </cfRule>
  </conditionalFormatting>
  <conditionalFormatting sqref="C48">
    <cfRule type="cellIs" dxfId="28291" priority="14440" stopIfTrue="1" operator="equal">
      <formula>"Napkin Hs"</formula>
    </cfRule>
  </conditionalFormatting>
  <conditionalFormatting sqref="C48">
    <cfRule type="cellIs" dxfId="28290" priority="14439" stopIfTrue="1" operator="equal">
      <formula>"Towel"</formula>
    </cfRule>
  </conditionalFormatting>
  <conditionalFormatting sqref="C48">
    <cfRule type="cellIs" dxfId="28289" priority="14438" stopIfTrue="1" operator="equal">
      <formula>"Napkin Hs"</formula>
    </cfRule>
  </conditionalFormatting>
  <conditionalFormatting sqref="C48">
    <cfRule type="cellIs" dxfId="28288" priority="14435" stopIfTrue="1" operator="equal">
      <formula>"Towel"</formula>
    </cfRule>
    <cfRule type="cellIs" dxfId="28287" priority="14436" stopIfTrue="1" operator="equal">
      <formula>"Napkin Hs"</formula>
    </cfRule>
  </conditionalFormatting>
  <conditionalFormatting sqref="C48">
    <cfRule type="cellIs" dxfId="28286" priority="14437" stopIfTrue="1" operator="equal">
      <formula>"Towel"</formula>
    </cfRule>
  </conditionalFormatting>
  <conditionalFormatting sqref="C48">
    <cfRule type="cellIs" dxfId="28285" priority="14555" stopIfTrue="1" operator="equal">
      <formula>"Towel"</formula>
    </cfRule>
    <cfRule type="cellIs" dxfId="28284" priority="14556" stopIfTrue="1" operator="equal">
      <formula>"Napkin Hs"</formula>
    </cfRule>
  </conditionalFormatting>
  <conditionalFormatting sqref="C48">
    <cfRule type="cellIs" dxfId="28283" priority="14554" stopIfTrue="1" operator="equal">
      <formula>"Napkin Hs"</formula>
    </cfRule>
  </conditionalFormatting>
  <conditionalFormatting sqref="C48">
    <cfRule type="cellIs" dxfId="28282" priority="14553" stopIfTrue="1" operator="equal">
      <formula>"Towel"</formula>
    </cfRule>
  </conditionalFormatting>
  <conditionalFormatting sqref="C48">
    <cfRule type="cellIs" dxfId="28281" priority="14552" stopIfTrue="1" operator="equal">
      <formula>"Napkin Hs"</formula>
    </cfRule>
  </conditionalFormatting>
  <conditionalFormatting sqref="C48">
    <cfRule type="cellIs" dxfId="28280" priority="14549" stopIfTrue="1" operator="equal">
      <formula>"Towel"</formula>
    </cfRule>
    <cfRule type="cellIs" dxfId="28279" priority="14550" stopIfTrue="1" operator="equal">
      <formula>"Napkin Hs"</formula>
    </cfRule>
  </conditionalFormatting>
  <conditionalFormatting sqref="C48">
    <cfRule type="cellIs" dxfId="28278" priority="14551" stopIfTrue="1" operator="equal">
      <formula>"Towel"</formula>
    </cfRule>
  </conditionalFormatting>
  <conditionalFormatting sqref="C48">
    <cfRule type="cellIs" dxfId="28277" priority="14559" stopIfTrue="1" operator="equal">
      <formula>"Towel"</formula>
    </cfRule>
    <cfRule type="cellIs" dxfId="28276" priority="14560" stopIfTrue="1" operator="equal">
      <formula>"Napkin Hs"</formula>
    </cfRule>
  </conditionalFormatting>
  <conditionalFormatting sqref="C48">
    <cfRule type="cellIs" dxfId="28275" priority="14557" stopIfTrue="1" operator="equal">
      <formula>"Towel"</formula>
    </cfRule>
    <cfRule type="cellIs" dxfId="28274" priority="14558" stopIfTrue="1" operator="equal">
      <formula>"Napkin Hs"</formula>
    </cfRule>
  </conditionalFormatting>
  <conditionalFormatting sqref="C48">
    <cfRule type="cellIs" dxfId="28273" priority="14529" stopIfTrue="1" operator="equal">
      <formula>"Towel"</formula>
    </cfRule>
    <cfRule type="cellIs" dxfId="28272" priority="14530" stopIfTrue="1" operator="equal">
      <formula>"Napkin Hs"</formula>
    </cfRule>
  </conditionalFormatting>
  <conditionalFormatting sqref="C48">
    <cfRule type="cellIs" dxfId="28271" priority="14527" stopIfTrue="1" operator="equal">
      <formula>"Towel"</formula>
    </cfRule>
    <cfRule type="cellIs" dxfId="28270" priority="14528" stopIfTrue="1" operator="equal">
      <formula>"Napkin Hs"</formula>
    </cfRule>
  </conditionalFormatting>
  <conditionalFormatting sqref="C48">
    <cfRule type="cellIs" dxfId="28269" priority="14506" stopIfTrue="1" operator="equal">
      <formula>"Napkin Hs"</formula>
    </cfRule>
  </conditionalFormatting>
  <conditionalFormatting sqref="C48">
    <cfRule type="cellIs" dxfId="28268" priority="14505" stopIfTrue="1" operator="equal">
      <formula>"Towel"</formula>
    </cfRule>
  </conditionalFormatting>
  <conditionalFormatting sqref="C48">
    <cfRule type="cellIs" dxfId="28267" priority="14504" stopIfTrue="1" operator="equal">
      <formula>"Napkin Hs"</formula>
    </cfRule>
  </conditionalFormatting>
  <conditionalFormatting sqref="C48">
    <cfRule type="cellIs" dxfId="28266" priority="14503" stopIfTrue="1" operator="equal">
      <formula>"Towel"</formula>
    </cfRule>
  </conditionalFormatting>
  <conditionalFormatting sqref="C48">
    <cfRule type="cellIs" dxfId="28265" priority="14500" stopIfTrue="1" operator="equal">
      <formula>"Napkin Hs"</formula>
    </cfRule>
  </conditionalFormatting>
  <conditionalFormatting sqref="C48">
    <cfRule type="cellIs" dxfId="28264" priority="14499" stopIfTrue="1" operator="equal">
      <formula>"Towel"</formula>
    </cfRule>
  </conditionalFormatting>
  <conditionalFormatting sqref="C48">
    <cfRule type="cellIs" dxfId="28263" priority="14498" stopIfTrue="1" operator="equal">
      <formula>"Napkin Hs"</formula>
    </cfRule>
  </conditionalFormatting>
  <conditionalFormatting sqref="C48">
    <cfRule type="cellIs" dxfId="28262" priority="14497" stopIfTrue="1" operator="equal">
      <formula>"Towel"</formula>
    </cfRule>
  </conditionalFormatting>
  <conditionalFormatting sqref="C48">
    <cfRule type="cellIs" dxfId="28261" priority="14493" stopIfTrue="1" operator="equal">
      <formula>"Towel"</formula>
    </cfRule>
    <cfRule type="cellIs" dxfId="28260" priority="14494" stopIfTrue="1" operator="equal">
      <formula>"Napkin Hs"</formula>
    </cfRule>
  </conditionalFormatting>
  <conditionalFormatting sqref="C48">
    <cfRule type="cellIs" dxfId="28259" priority="14491" stopIfTrue="1" operator="equal">
      <formula>"Towel"</formula>
    </cfRule>
    <cfRule type="cellIs" dxfId="28258" priority="14492" stopIfTrue="1" operator="equal">
      <formula>"Napkin Hs"</formula>
    </cfRule>
  </conditionalFormatting>
  <conditionalFormatting sqref="C48">
    <cfRule type="cellIs" dxfId="28257" priority="14475" stopIfTrue="1" operator="equal">
      <formula>"Towel"</formula>
    </cfRule>
    <cfRule type="cellIs" dxfId="28256" priority="14476" stopIfTrue="1" operator="equal">
      <formula>"Napkin Hs"</formula>
    </cfRule>
  </conditionalFormatting>
  <conditionalFormatting sqref="C48">
    <cfRule type="cellIs" dxfId="28255" priority="14473" stopIfTrue="1" operator="equal">
      <formula>"Towel"</formula>
    </cfRule>
    <cfRule type="cellIs" dxfId="28254" priority="14474" stopIfTrue="1" operator="equal">
      <formula>"Napkin Hs"</formula>
    </cfRule>
  </conditionalFormatting>
  <conditionalFormatting sqref="B48:C48">
    <cfRule type="cellIs" dxfId="28253" priority="14434" stopIfTrue="1" operator="equal">
      <formula>"Napkin Hs"</formula>
    </cfRule>
  </conditionalFormatting>
  <conditionalFormatting sqref="B48:C48">
    <cfRule type="cellIs" dxfId="28252" priority="14433" stopIfTrue="1" operator="equal">
      <formula>"Towel"</formula>
    </cfRule>
  </conditionalFormatting>
  <conditionalFormatting sqref="C48">
    <cfRule type="cellIs" dxfId="28251" priority="14432" stopIfTrue="1" operator="equal">
      <formula>"Napkin Hs"</formula>
    </cfRule>
  </conditionalFormatting>
  <conditionalFormatting sqref="C48">
    <cfRule type="cellIs" dxfId="28250" priority="14429" stopIfTrue="1" operator="equal">
      <formula>"Towel"</formula>
    </cfRule>
    <cfRule type="cellIs" dxfId="28249" priority="14430" stopIfTrue="1" operator="equal">
      <formula>"Napkin Hs"</formula>
    </cfRule>
  </conditionalFormatting>
  <conditionalFormatting sqref="C48">
    <cfRule type="cellIs" dxfId="28248" priority="14431" stopIfTrue="1" operator="equal">
      <formula>"Towel"</formula>
    </cfRule>
  </conditionalFormatting>
  <conditionalFormatting sqref="B54:C54">
    <cfRule type="cellIs" dxfId="28247" priority="14365" stopIfTrue="1" operator="equal">
      <formula>"Towel"</formula>
    </cfRule>
    <cfRule type="cellIs" dxfId="28246" priority="14366" stopIfTrue="1" operator="equal">
      <formula>"Napkin Hs"</formula>
    </cfRule>
  </conditionalFormatting>
  <conditionalFormatting sqref="B55:C55">
    <cfRule type="cellIs" dxfId="28245" priority="14369" stopIfTrue="1" operator="equal">
      <formula>"Towel"</formula>
    </cfRule>
    <cfRule type="cellIs" dxfId="28244" priority="14370" stopIfTrue="1" operator="equal">
      <formula>"Napkin Hs"</formula>
    </cfRule>
  </conditionalFormatting>
  <conditionalFormatting sqref="C54">
    <cfRule type="cellIs" dxfId="28243" priority="14361" stopIfTrue="1" operator="equal">
      <formula>"Towel"</formula>
    </cfRule>
    <cfRule type="cellIs" dxfId="28242" priority="14362" stopIfTrue="1" operator="equal">
      <formula>"Napkin Hs"</formula>
    </cfRule>
  </conditionalFormatting>
  <conditionalFormatting sqref="C54:C55">
    <cfRule type="cellIs" dxfId="28241" priority="14363" stopIfTrue="1" operator="equal">
      <formula>"Towel"</formula>
    </cfRule>
    <cfRule type="cellIs" dxfId="28240" priority="14364" stopIfTrue="1" operator="equal">
      <formula>"Napkin Hs"</formula>
    </cfRule>
  </conditionalFormatting>
  <conditionalFormatting sqref="C55">
    <cfRule type="cellIs" dxfId="28239" priority="14367" stopIfTrue="1" operator="equal">
      <formula>"Towel"</formula>
    </cfRule>
    <cfRule type="cellIs" dxfId="28238" priority="14368" stopIfTrue="1" operator="equal">
      <formula>"Napkin Hs"</formula>
    </cfRule>
  </conditionalFormatting>
  <conditionalFormatting sqref="B54:C54">
    <cfRule type="cellIs" dxfId="28237" priority="14355" stopIfTrue="1" operator="equal">
      <formula>"Towel"</formula>
    </cfRule>
    <cfRule type="cellIs" dxfId="28236" priority="14356" stopIfTrue="1" operator="equal">
      <formula>"Napkin Hs"</formula>
    </cfRule>
  </conditionalFormatting>
  <conditionalFormatting sqref="B55:C55">
    <cfRule type="cellIs" dxfId="28235" priority="14359" stopIfTrue="1" operator="equal">
      <formula>"Towel"</formula>
    </cfRule>
    <cfRule type="cellIs" dxfId="28234" priority="14360" stopIfTrue="1" operator="equal">
      <formula>"Napkin Hs"</formula>
    </cfRule>
  </conditionalFormatting>
  <conditionalFormatting sqref="C54:C55">
    <cfRule type="cellIs" dxfId="28233" priority="14353" stopIfTrue="1" operator="equal">
      <formula>"Towel"</formula>
    </cfRule>
    <cfRule type="cellIs" dxfId="28232" priority="14354" stopIfTrue="1" operator="equal">
      <formula>"Napkin Hs"</formula>
    </cfRule>
  </conditionalFormatting>
  <conditionalFormatting sqref="C54">
    <cfRule type="cellIs" dxfId="28231" priority="14351" stopIfTrue="1" operator="equal">
      <formula>"Towel"</formula>
    </cfRule>
    <cfRule type="cellIs" dxfId="28230" priority="14352" stopIfTrue="1" operator="equal">
      <formula>"Napkin Hs"</formula>
    </cfRule>
  </conditionalFormatting>
  <conditionalFormatting sqref="C55">
    <cfRule type="cellIs" dxfId="28229" priority="14357" stopIfTrue="1" operator="equal">
      <formula>"Towel"</formula>
    </cfRule>
    <cfRule type="cellIs" dxfId="28228" priority="14358" stopIfTrue="1" operator="equal">
      <formula>"Napkin Hs"</formula>
    </cfRule>
  </conditionalFormatting>
  <conditionalFormatting sqref="B54:C54">
    <cfRule type="cellIs" dxfId="28227" priority="14349" stopIfTrue="1" operator="equal">
      <formula>"Towel"</formula>
    </cfRule>
    <cfRule type="cellIs" dxfId="28226" priority="14350" stopIfTrue="1" operator="equal">
      <formula>"Napkin Hs"</formula>
    </cfRule>
  </conditionalFormatting>
  <conditionalFormatting sqref="B55:C55">
    <cfRule type="cellIs" dxfId="28225" priority="14345" stopIfTrue="1" operator="equal">
      <formula>"Towel"</formula>
    </cfRule>
    <cfRule type="cellIs" dxfId="28224" priority="14346" stopIfTrue="1" operator="equal">
      <formula>"Napkin Hs"</formula>
    </cfRule>
  </conditionalFormatting>
  <conditionalFormatting sqref="C54">
    <cfRule type="cellIs" dxfId="28223" priority="14347" stopIfTrue="1" operator="equal">
      <formula>"Towel"</formula>
    </cfRule>
    <cfRule type="cellIs" dxfId="28222" priority="14348" stopIfTrue="1" operator="equal">
      <formula>"Napkin Hs"</formula>
    </cfRule>
  </conditionalFormatting>
  <conditionalFormatting sqref="C54:C55">
    <cfRule type="cellIs" dxfId="28221" priority="14343" stopIfTrue="1" operator="equal">
      <formula>"Towel"</formula>
    </cfRule>
    <cfRule type="cellIs" dxfId="28220" priority="14344" stopIfTrue="1" operator="equal">
      <formula>"Napkin Hs"</formula>
    </cfRule>
  </conditionalFormatting>
  <conditionalFormatting sqref="C55">
    <cfRule type="cellIs" dxfId="28219" priority="14341" stopIfTrue="1" operator="equal">
      <formula>"Towel"</formula>
    </cfRule>
    <cfRule type="cellIs" dxfId="28218" priority="14342" stopIfTrue="1" operator="equal">
      <formula>"Napkin Hs"</formula>
    </cfRule>
  </conditionalFormatting>
  <conditionalFormatting sqref="B55:C55">
    <cfRule type="cellIs" dxfId="28217" priority="14340" stopIfTrue="1" operator="equal">
      <formula>"Napkin Hs"</formula>
    </cfRule>
  </conditionalFormatting>
  <conditionalFormatting sqref="B55:C55">
    <cfRule type="cellIs" dxfId="28216" priority="14339" stopIfTrue="1" operator="equal">
      <formula>"Towel"</formula>
    </cfRule>
  </conditionalFormatting>
  <conditionalFormatting sqref="B54:C54">
    <cfRule type="cellIs" dxfId="28215" priority="14335" stopIfTrue="1" operator="equal">
      <formula>"Towel"</formula>
    </cfRule>
    <cfRule type="cellIs" dxfId="28214" priority="14336" stopIfTrue="1" operator="equal">
      <formula>"Napkin Hs"</formula>
    </cfRule>
  </conditionalFormatting>
  <conditionalFormatting sqref="C55">
    <cfRule type="cellIs" dxfId="28213" priority="14338" stopIfTrue="1" operator="equal">
      <formula>"Napkin Hs"</formula>
    </cfRule>
  </conditionalFormatting>
  <conditionalFormatting sqref="C55">
    <cfRule type="cellIs" dxfId="28212" priority="14337" stopIfTrue="1" operator="equal">
      <formula>"Towel"</formula>
    </cfRule>
  </conditionalFormatting>
  <conditionalFormatting sqref="C54:C55">
    <cfRule type="cellIs" dxfId="28211" priority="14333" stopIfTrue="1" operator="equal">
      <formula>"Towel"</formula>
    </cfRule>
    <cfRule type="cellIs" dxfId="28210" priority="14334" stopIfTrue="1" operator="equal">
      <formula>"Napkin Hs"</formula>
    </cfRule>
  </conditionalFormatting>
  <conditionalFormatting sqref="C54">
    <cfRule type="cellIs" dxfId="28209" priority="14331" stopIfTrue="1" operator="equal">
      <formula>"Towel"</formula>
    </cfRule>
    <cfRule type="cellIs" dxfId="28208" priority="14332" stopIfTrue="1" operator="equal">
      <formula>"Napkin Hs"</formula>
    </cfRule>
  </conditionalFormatting>
  <conditionalFormatting sqref="C55">
    <cfRule type="cellIs" dxfId="28207" priority="14329" stopIfTrue="1" operator="equal">
      <formula>"Towel"</formula>
    </cfRule>
    <cfRule type="cellIs" dxfId="28206" priority="14330" stopIfTrue="1" operator="equal">
      <formula>"Napkin Hs"</formula>
    </cfRule>
  </conditionalFormatting>
  <conditionalFormatting sqref="B54:C54">
    <cfRule type="cellIs" dxfId="28205" priority="14328" stopIfTrue="1" operator="equal">
      <formula>"Napkin Hs"</formula>
    </cfRule>
  </conditionalFormatting>
  <conditionalFormatting sqref="B54:C54">
    <cfRule type="cellIs" dxfId="28204" priority="14327" stopIfTrue="1" operator="equal">
      <formula>"Towel"</formula>
    </cfRule>
  </conditionalFormatting>
  <conditionalFormatting sqref="C54">
    <cfRule type="cellIs" dxfId="28203" priority="14326" stopIfTrue="1" operator="equal">
      <formula>"Napkin Hs"</formula>
    </cfRule>
  </conditionalFormatting>
  <conditionalFormatting sqref="C54">
    <cfRule type="cellIs" dxfId="28202" priority="14323" stopIfTrue="1" operator="equal">
      <formula>"Towel"</formula>
    </cfRule>
    <cfRule type="cellIs" dxfId="28201" priority="14324" stopIfTrue="1" operator="equal">
      <formula>"Napkin Hs"</formula>
    </cfRule>
  </conditionalFormatting>
  <conditionalFormatting sqref="C54">
    <cfRule type="cellIs" dxfId="28200" priority="14325" stopIfTrue="1" operator="equal">
      <formula>"Towel"</formula>
    </cfRule>
  </conditionalFormatting>
  <conditionalFormatting sqref="C54:C55">
    <cfRule type="cellIs" dxfId="28199" priority="14239" stopIfTrue="1" operator="equal">
      <formula>"Towel"</formula>
    </cfRule>
    <cfRule type="cellIs" dxfId="28198" priority="14240" stopIfTrue="1" operator="equal">
      <formula>"Napkin Hs"</formula>
    </cfRule>
  </conditionalFormatting>
  <conditionalFormatting sqref="C54:C55">
    <cfRule type="cellIs" dxfId="28197" priority="14233" stopIfTrue="1" operator="equal">
      <formula>"Towel"</formula>
    </cfRule>
    <cfRule type="cellIs" dxfId="28196" priority="14234" stopIfTrue="1" operator="equal">
      <formula>"Napkin Hs"</formula>
    </cfRule>
  </conditionalFormatting>
  <conditionalFormatting sqref="C54:C55">
    <cfRule type="cellIs" dxfId="28195" priority="14214" stopIfTrue="1" operator="equal">
      <formula>"Napkin Hs"</formula>
    </cfRule>
  </conditionalFormatting>
  <conditionalFormatting sqref="C54:C55">
    <cfRule type="cellIs" dxfId="28194" priority="14213" stopIfTrue="1" operator="equal">
      <formula>"Towel"</formula>
    </cfRule>
  </conditionalFormatting>
  <conditionalFormatting sqref="C54:C55">
    <cfRule type="cellIs" dxfId="28193" priority="14212" stopIfTrue="1" operator="equal">
      <formula>"Napkin Hs"</formula>
    </cfRule>
  </conditionalFormatting>
  <conditionalFormatting sqref="C54:C55">
    <cfRule type="cellIs" dxfId="28192" priority="14209" stopIfTrue="1" operator="equal">
      <formula>"Towel"</formula>
    </cfRule>
    <cfRule type="cellIs" dxfId="28191" priority="14210" stopIfTrue="1" operator="equal">
      <formula>"Napkin Hs"</formula>
    </cfRule>
  </conditionalFormatting>
  <conditionalFormatting sqref="C54:C55">
    <cfRule type="cellIs" dxfId="28190" priority="14211" stopIfTrue="1" operator="equal">
      <formula>"Towel"</formula>
    </cfRule>
  </conditionalFormatting>
  <conditionalFormatting sqref="C54:C55">
    <cfRule type="cellIs" dxfId="28189" priority="14208" stopIfTrue="1" operator="equal">
      <formula>"Napkin Hs"</formula>
    </cfRule>
  </conditionalFormatting>
  <conditionalFormatting sqref="C54:C55">
    <cfRule type="cellIs" dxfId="28188" priority="14207" stopIfTrue="1" operator="equal">
      <formula>"Towel"</formula>
    </cfRule>
  </conditionalFormatting>
  <conditionalFormatting sqref="C54:C55">
    <cfRule type="cellIs" dxfId="28187" priority="14206" stopIfTrue="1" operator="equal">
      <formula>"Napkin Hs"</formula>
    </cfRule>
  </conditionalFormatting>
  <conditionalFormatting sqref="C54:C55">
    <cfRule type="cellIs" dxfId="28186" priority="14203" stopIfTrue="1" operator="equal">
      <formula>"Towel"</formula>
    </cfRule>
    <cfRule type="cellIs" dxfId="28185" priority="14204" stopIfTrue="1" operator="equal">
      <formula>"Napkin Hs"</formula>
    </cfRule>
  </conditionalFormatting>
  <conditionalFormatting sqref="C54:C55">
    <cfRule type="cellIs" dxfId="28184" priority="14205" stopIfTrue="1" operator="equal">
      <formula>"Towel"</formula>
    </cfRule>
  </conditionalFormatting>
  <conditionalFormatting sqref="C54:C55">
    <cfRule type="cellIs" dxfId="28183" priority="14309" stopIfTrue="1" operator="equal">
      <formula>"Towel"</formula>
    </cfRule>
    <cfRule type="cellIs" dxfId="28182" priority="14310" stopIfTrue="1" operator="equal">
      <formula>"Napkin Hs"</formula>
    </cfRule>
  </conditionalFormatting>
  <conditionalFormatting sqref="C54:C55">
    <cfRule type="cellIs" dxfId="28181" priority="14307" stopIfTrue="1" operator="equal">
      <formula>"Towel"</formula>
    </cfRule>
    <cfRule type="cellIs" dxfId="28180" priority="14308" stopIfTrue="1" operator="equal">
      <formula>"Napkin Hs"</formula>
    </cfRule>
  </conditionalFormatting>
  <conditionalFormatting sqref="C54:C55">
    <cfRule type="cellIs" dxfId="28179" priority="14305" stopIfTrue="1" operator="equal">
      <formula>"Towel"</formula>
    </cfRule>
    <cfRule type="cellIs" dxfId="28178" priority="14306" stopIfTrue="1" operator="equal">
      <formula>"Napkin Hs"</formula>
    </cfRule>
  </conditionalFormatting>
  <conditionalFormatting sqref="C54:C55">
    <cfRule type="cellIs" dxfId="28177" priority="14304" stopIfTrue="1" operator="equal">
      <formula>"Napkin Hs"</formula>
    </cfRule>
  </conditionalFormatting>
  <conditionalFormatting sqref="C54:C55">
    <cfRule type="cellIs" dxfId="28176" priority="14303" stopIfTrue="1" operator="equal">
      <formula>"Towel"</formula>
    </cfRule>
  </conditionalFormatting>
  <conditionalFormatting sqref="C54:C55">
    <cfRule type="cellIs" dxfId="28175" priority="14302" stopIfTrue="1" operator="equal">
      <formula>"Napkin Hs"</formula>
    </cfRule>
  </conditionalFormatting>
  <conditionalFormatting sqref="C54:C55">
    <cfRule type="cellIs" dxfId="28174" priority="14301" stopIfTrue="1" operator="equal">
      <formula>"Towel"</formula>
    </cfRule>
  </conditionalFormatting>
  <conditionalFormatting sqref="C54:C55">
    <cfRule type="cellIs" dxfId="28173" priority="14299" stopIfTrue="1" operator="equal">
      <formula>"Towel"</formula>
    </cfRule>
    <cfRule type="cellIs" dxfId="28172" priority="14300" stopIfTrue="1" operator="equal">
      <formula>"Napkin Hs"</formula>
    </cfRule>
  </conditionalFormatting>
  <conditionalFormatting sqref="C54:C55">
    <cfRule type="cellIs" dxfId="28171" priority="14297" stopIfTrue="1" operator="equal">
      <formula>"Towel"</formula>
    </cfRule>
    <cfRule type="cellIs" dxfId="28170" priority="14298" stopIfTrue="1" operator="equal">
      <formula>"Napkin Hs"</formula>
    </cfRule>
  </conditionalFormatting>
  <conditionalFormatting sqref="C54:C55">
    <cfRule type="cellIs" dxfId="28169" priority="14293" stopIfTrue="1" operator="equal">
      <formula>"Towel"</formula>
    </cfRule>
    <cfRule type="cellIs" dxfId="28168" priority="14294" stopIfTrue="1" operator="equal">
      <formula>"Napkin Hs"</formula>
    </cfRule>
  </conditionalFormatting>
  <conditionalFormatting sqref="C54:C55">
    <cfRule type="cellIs" dxfId="28167" priority="14295" stopIfTrue="1" operator="equal">
      <formula>"Towel"</formula>
    </cfRule>
    <cfRule type="cellIs" dxfId="28166" priority="14296" stopIfTrue="1" operator="equal">
      <formula>"Napkin Hs"</formula>
    </cfRule>
  </conditionalFormatting>
  <conditionalFormatting sqref="C54:C55">
    <cfRule type="cellIs" dxfId="28165" priority="14287" stopIfTrue="1" operator="equal">
      <formula>"Towel"</formula>
    </cfRule>
    <cfRule type="cellIs" dxfId="28164" priority="14288" stopIfTrue="1" operator="equal">
      <formula>"Napkin Hs"</formula>
    </cfRule>
  </conditionalFormatting>
  <conditionalFormatting sqref="C54:C55">
    <cfRule type="cellIs" dxfId="28163" priority="14285" stopIfTrue="1" operator="equal">
      <formula>"Towel"</formula>
    </cfRule>
    <cfRule type="cellIs" dxfId="28162" priority="14286" stopIfTrue="1" operator="equal">
      <formula>"Napkin Hs"</formula>
    </cfRule>
  </conditionalFormatting>
  <conditionalFormatting sqref="C54:C55">
    <cfRule type="cellIs" dxfId="28161" priority="14283" stopIfTrue="1" operator="equal">
      <formula>"Towel"</formula>
    </cfRule>
    <cfRule type="cellIs" dxfId="28160" priority="14284" stopIfTrue="1" operator="equal">
      <formula>"Napkin Hs"</formula>
    </cfRule>
  </conditionalFormatting>
  <conditionalFormatting sqref="C54:C55">
    <cfRule type="cellIs" dxfId="28159" priority="14281" stopIfTrue="1" operator="equal">
      <formula>"Towel"</formula>
    </cfRule>
    <cfRule type="cellIs" dxfId="28158" priority="14282" stopIfTrue="1" operator="equal">
      <formula>"Napkin Hs"</formula>
    </cfRule>
  </conditionalFormatting>
  <conditionalFormatting sqref="C54:C55">
    <cfRule type="cellIs" dxfId="28157" priority="14279" stopIfTrue="1" operator="equal">
      <formula>"Towel"</formula>
    </cfRule>
    <cfRule type="cellIs" dxfId="28156" priority="14280" stopIfTrue="1" operator="equal">
      <formula>"Napkin Hs"</formula>
    </cfRule>
  </conditionalFormatting>
  <conditionalFormatting sqref="C54:C55">
    <cfRule type="cellIs" dxfId="28155" priority="14277" stopIfTrue="1" operator="equal">
      <formula>"Towel"</formula>
    </cfRule>
    <cfRule type="cellIs" dxfId="28154" priority="14278" stopIfTrue="1" operator="equal">
      <formula>"Napkin Hs"</formula>
    </cfRule>
  </conditionalFormatting>
  <conditionalFormatting sqref="C54:C55">
    <cfRule type="cellIs" dxfId="28153" priority="14275" stopIfTrue="1" operator="equal">
      <formula>"Towel"</formula>
    </cfRule>
    <cfRule type="cellIs" dxfId="28152" priority="14276" stopIfTrue="1" operator="equal">
      <formula>"Napkin Hs"</formula>
    </cfRule>
  </conditionalFormatting>
  <conditionalFormatting sqref="C54:C55">
    <cfRule type="cellIs" dxfId="28151" priority="14273" stopIfTrue="1" operator="equal">
      <formula>"Towel"</formula>
    </cfRule>
    <cfRule type="cellIs" dxfId="28150" priority="14274" stopIfTrue="1" operator="equal">
      <formula>"Napkin Hs"</formula>
    </cfRule>
  </conditionalFormatting>
  <conditionalFormatting sqref="C54:C55">
    <cfRule type="cellIs" dxfId="28149" priority="14271" stopIfTrue="1" operator="equal">
      <formula>"Towel"</formula>
    </cfRule>
    <cfRule type="cellIs" dxfId="28148" priority="14272" stopIfTrue="1" operator="equal">
      <formula>"Napkin Hs"</formula>
    </cfRule>
  </conditionalFormatting>
  <conditionalFormatting sqref="C54:C55">
    <cfRule type="cellIs" dxfId="28147" priority="14269" stopIfTrue="1" operator="equal">
      <formula>"Towel"</formula>
    </cfRule>
    <cfRule type="cellIs" dxfId="28146" priority="14270" stopIfTrue="1" operator="equal">
      <formula>"Napkin Hs"</formula>
    </cfRule>
  </conditionalFormatting>
  <conditionalFormatting sqref="C54:C55">
    <cfRule type="cellIs" dxfId="28145" priority="14263" stopIfTrue="1" operator="equal">
      <formula>"Towel"</formula>
    </cfRule>
    <cfRule type="cellIs" dxfId="28144" priority="14264" stopIfTrue="1" operator="equal">
      <formula>"Napkin Hs"</formula>
    </cfRule>
  </conditionalFormatting>
  <conditionalFormatting sqref="C54:C55">
    <cfRule type="cellIs" dxfId="28143" priority="14257" stopIfTrue="1" operator="equal">
      <formula>"Towel"</formula>
    </cfRule>
    <cfRule type="cellIs" dxfId="28142" priority="14258" stopIfTrue="1" operator="equal">
      <formula>"Napkin Hs"</formula>
    </cfRule>
  </conditionalFormatting>
  <conditionalFormatting sqref="C54:C55">
    <cfRule type="cellIs" dxfId="28141" priority="14251" stopIfTrue="1" operator="equal">
      <formula>"Towel"</formula>
    </cfRule>
    <cfRule type="cellIs" dxfId="28140" priority="14252" stopIfTrue="1" operator="equal">
      <formula>"Napkin Hs"</formula>
    </cfRule>
  </conditionalFormatting>
  <conditionalFormatting sqref="C54:C55">
    <cfRule type="cellIs" dxfId="28139" priority="14250" stopIfTrue="1" operator="equal">
      <formula>"Napkin Hs"</formula>
    </cfRule>
  </conditionalFormatting>
  <conditionalFormatting sqref="C54:C55">
    <cfRule type="cellIs" dxfId="28138" priority="14249" stopIfTrue="1" operator="equal">
      <formula>"Towel"</formula>
    </cfRule>
  </conditionalFormatting>
  <conditionalFormatting sqref="C54:C55">
    <cfRule type="cellIs" dxfId="28137" priority="14248" stopIfTrue="1" operator="equal">
      <formula>"Napkin Hs"</formula>
    </cfRule>
  </conditionalFormatting>
  <conditionalFormatting sqref="C54:C55">
    <cfRule type="cellIs" dxfId="28136" priority="14247" stopIfTrue="1" operator="equal">
      <formula>"Towel"</formula>
    </cfRule>
  </conditionalFormatting>
  <conditionalFormatting sqref="C54:C55">
    <cfRule type="cellIs" dxfId="28135" priority="14245" stopIfTrue="1" operator="equal">
      <formula>"Towel"</formula>
    </cfRule>
    <cfRule type="cellIs" dxfId="28134" priority="14246" stopIfTrue="1" operator="equal">
      <formula>"Napkin Hs"</formula>
    </cfRule>
  </conditionalFormatting>
  <conditionalFormatting sqref="C54:C55">
    <cfRule type="cellIs" dxfId="28133" priority="14243" stopIfTrue="1" operator="equal">
      <formula>"Towel"</formula>
    </cfRule>
    <cfRule type="cellIs" dxfId="28132" priority="14244" stopIfTrue="1" operator="equal">
      <formula>"Napkin Hs"</formula>
    </cfRule>
  </conditionalFormatting>
  <conditionalFormatting sqref="C54:C55">
    <cfRule type="cellIs" dxfId="28131" priority="14241" stopIfTrue="1" operator="equal">
      <formula>"Towel"</formula>
    </cfRule>
    <cfRule type="cellIs" dxfId="28130" priority="14242" stopIfTrue="1" operator="equal">
      <formula>"Napkin Hs"</formula>
    </cfRule>
  </conditionalFormatting>
  <conditionalFormatting sqref="C54:C55">
    <cfRule type="cellIs" dxfId="28129" priority="14231" stopIfTrue="1" operator="equal">
      <formula>"Towel"</formula>
    </cfRule>
    <cfRule type="cellIs" dxfId="28128" priority="14232" stopIfTrue="1" operator="equal">
      <formula>"Napkin Hs"</formula>
    </cfRule>
  </conditionalFormatting>
  <conditionalFormatting sqref="C54:C55">
    <cfRule type="cellIs" dxfId="28127" priority="14229" stopIfTrue="1" operator="equal">
      <formula>"Towel"</formula>
    </cfRule>
    <cfRule type="cellIs" dxfId="28126" priority="14230" stopIfTrue="1" operator="equal">
      <formula>"Napkin Hs"</formula>
    </cfRule>
  </conditionalFormatting>
  <conditionalFormatting sqref="C54:C55">
    <cfRule type="cellIs" dxfId="28125" priority="14227" stopIfTrue="1" operator="equal">
      <formula>"Towel"</formula>
    </cfRule>
    <cfRule type="cellIs" dxfId="28124" priority="14228" stopIfTrue="1" operator="equal">
      <formula>"Napkin Hs"</formula>
    </cfRule>
  </conditionalFormatting>
  <conditionalFormatting sqref="C54:C55">
    <cfRule type="cellIs" dxfId="28123" priority="14225" stopIfTrue="1" operator="equal">
      <formula>"Towel"</formula>
    </cfRule>
    <cfRule type="cellIs" dxfId="28122" priority="14226" stopIfTrue="1" operator="equal">
      <formula>"Napkin Hs"</formula>
    </cfRule>
  </conditionalFormatting>
  <conditionalFormatting sqref="C54:C55">
    <cfRule type="cellIs" dxfId="28121" priority="14223" stopIfTrue="1" operator="equal">
      <formula>"Towel"</formula>
    </cfRule>
    <cfRule type="cellIs" dxfId="28120" priority="14224" stopIfTrue="1" operator="equal">
      <formula>"Napkin Hs"</formula>
    </cfRule>
  </conditionalFormatting>
  <conditionalFormatting sqref="C54:C55">
    <cfRule type="cellIs" dxfId="28119" priority="14221" stopIfTrue="1" operator="equal">
      <formula>"Towel"</formula>
    </cfRule>
    <cfRule type="cellIs" dxfId="28118" priority="14222" stopIfTrue="1" operator="equal">
      <formula>"Napkin Hs"</formula>
    </cfRule>
  </conditionalFormatting>
  <conditionalFormatting sqref="C54:C55">
    <cfRule type="cellIs" dxfId="28117" priority="14219" stopIfTrue="1" operator="equal">
      <formula>"Towel"</formula>
    </cfRule>
    <cfRule type="cellIs" dxfId="28116" priority="14220" stopIfTrue="1" operator="equal">
      <formula>"Napkin Hs"</formula>
    </cfRule>
  </conditionalFormatting>
  <conditionalFormatting sqref="C54:C55">
    <cfRule type="cellIs" dxfId="28115" priority="14217" stopIfTrue="1" operator="equal">
      <formula>"Towel"</formula>
    </cfRule>
    <cfRule type="cellIs" dxfId="28114" priority="14218" stopIfTrue="1" operator="equal">
      <formula>"Napkin Hs"</formula>
    </cfRule>
  </conditionalFormatting>
  <conditionalFormatting sqref="C54:C55">
    <cfRule type="cellIs" dxfId="28113" priority="14215" stopIfTrue="1" operator="equal">
      <formula>"Towel"</formula>
    </cfRule>
    <cfRule type="cellIs" dxfId="28112" priority="14216" stopIfTrue="1" operator="equal">
      <formula>"Napkin Hs"</formula>
    </cfRule>
  </conditionalFormatting>
  <conditionalFormatting sqref="C54:C55">
    <cfRule type="cellIs" dxfId="28111" priority="14202" stopIfTrue="1" operator="equal">
      <formula>"Napkin Hs"</formula>
    </cfRule>
  </conditionalFormatting>
  <conditionalFormatting sqref="C54:C55">
    <cfRule type="cellIs" dxfId="28110" priority="14201" stopIfTrue="1" operator="equal">
      <formula>"Towel"</formula>
    </cfRule>
  </conditionalFormatting>
  <conditionalFormatting sqref="C54:C55">
    <cfRule type="cellIs" dxfId="28109" priority="14200" stopIfTrue="1" operator="equal">
      <formula>"Napkin Hs"</formula>
    </cfRule>
  </conditionalFormatting>
  <conditionalFormatting sqref="C54:C55">
    <cfRule type="cellIs" dxfId="28108" priority="14197" stopIfTrue="1" operator="equal">
      <formula>"Towel"</formula>
    </cfRule>
    <cfRule type="cellIs" dxfId="28107" priority="14198" stopIfTrue="1" operator="equal">
      <formula>"Napkin Hs"</formula>
    </cfRule>
  </conditionalFormatting>
  <conditionalFormatting sqref="C54:C55">
    <cfRule type="cellIs" dxfId="28106" priority="14199" stopIfTrue="1" operator="equal">
      <formula>"Towel"</formula>
    </cfRule>
  </conditionalFormatting>
  <conditionalFormatting sqref="C54:C55">
    <cfRule type="cellIs" dxfId="28105" priority="14317" stopIfTrue="1" operator="equal">
      <formula>"Towel"</formula>
    </cfRule>
    <cfRule type="cellIs" dxfId="28104" priority="14318" stopIfTrue="1" operator="equal">
      <formula>"Napkin Hs"</formula>
    </cfRule>
  </conditionalFormatting>
  <conditionalFormatting sqref="C54:C55">
    <cfRule type="cellIs" dxfId="28103" priority="14316" stopIfTrue="1" operator="equal">
      <formula>"Napkin Hs"</formula>
    </cfRule>
  </conditionalFormatting>
  <conditionalFormatting sqref="C54:C55">
    <cfRule type="cellIs" dxfId="28102" priority="14315" stopIfTrue="1" operator="equal">
      <formula>"Towel"</formula>
    </cfRule>
  </conditionalFormatting>
  <conditionalFormatting sqref="C54:C55">
    <cfRule type="cellIs" dxfId="28101" priority="14314" stopIfTrue="1" operator="equal">
      <formula>"Napkin Hs"</formula>
    </cfRule>
  </conditionalFormatting>
  <conditionalFormatting sqref="C54:C55">
    <cfRule type="cellIs" dxfId="28100" priority="14311" stopIfTrue="1" operator="equal">
      <formula>"Towel"</formula>
    </cfRule>
    <cfRule type="cellIs" dxfId="28099" priority="14312" stopIfTrue="1" operator="equal">
      <formula>"Napkin Hs"</formula>
    </cfRule>
  </conditionalFormatting>
  <conditionalFormatting sqref="C54:C55">
    <cfRule type="cellIs" dxfId="28098" priority="14313" stopIfTrue="1" operator="equal">
      <formula>"Towel"</formula>
    </cfRule>
  </conditionalFormatting>
  <conditionalFormatting sqref="C54:C55">
    <cfRule type="cellIs" dxfId="28097" priority="14321" stopIfTrue="1" operator="equal">
      <formula>"Towel"</formula>
    </cfRule>
    <cfRule type="cellIs" dxfId="28096" priority="14322" stopIfTrue="1" operator="equal">
      <formula>"Napkin Hs"</formula>
    </cfRule>
  </conditionalFormatting>
  <conditionalFormatting sqref="C54:C55">
    <cfRule type="cellIs" dxfId="28095" priority="14319" stopIfTrue="1" operator="equal">
      <formula>"Towel"</formula>
    </cfRule>
    <cfRule type="cellIs" dxfId="28094" priority="14320" stopIfTrue="1" operator="equal">
      <formula>"Napkin Hs"</formula>
    </cfRule>
  </conditionalFormatting>
  <conditionalFormatting sqref="C54:C55">
    <cfRule type="cellIs" dxfId="28093" priority="14291" stopIfTrue="1" operator="equal">
      <formula>"Towel"</formula>
    </cfRule>
    <cfRule type="cellIs" dxfId="28092" priority="14292" stopIfTrue="1" operator="equal">
      <formula>"Napkin Hs"</formula>
    </cfRule>
  </conditionalFormatting>
  <conditionalFormatting sqref="C54:C55">
    <cfRule type="cellIs" dxfId="28091" priority="14289" stopIfTrue="1" operator="equal">
      <formula>"Towel"</formula>
    </cfRule>
    <cfRule type="cellIs" dxfId="28090" priority="14290" stopIfTrue="1" operator="equal">
      <formula>"Napkin Hs"</formula>
    </cfRule>
  </conditionalFormatting>
  <conditionalFormatting sqref="C54:C55">
    <cfRule type="cellIs" dxfId="28089" priority="14268" stopIfTrue="1" operator="equal">
      <formula>"Napkin Hs"</formula>
    </cfRule>
  </conditionalFormatting>
  <conditionalFormatting sqref="C54:C55">
    <cfRule type="cellIs" dxfId="28088" priority="14267" stopIfTrue="1" operator="equal">
      <formula>"Towel"</formula>
    </cfRule>
  </conditionalFormatting>
  <conditionalFormatting sqref="C54:C55">
    <cfRule type="cellIs" dxfId="28087" priority="14266" stopIfTrue="1" operator="equal">
      <formula>"Napkin Hs"</formula>
    </cfRule>
  </conditionalFormatting>
  <conditionalFormatting sqref="C54:C55">
    <cfRule type="cellIs" dxfId="28086" priority="14265" stopIfTrue="1" operator="equal">
      <formula>"Towel"</formula>
    </cfRule>
  </conditionalFormatting>
  <conditionalFormatting sqref="C54:C55">
    <cfRule type="cellIs" dxfId="28085" priority="14262" stopIfTrue="1" operator="equal">
      <formula>"Napkin Hs"</formula>
    </cfRule>
  </conditionalFormatting>
  <conditionalFormatting sqref="C54:C55">
    <cfRule type="cellIs" dxfId="28084" priority="14261" stopIfTrue="1" operator="equal">
      <formula>"Towel"</formula>
    </cfRule>
  </conditionalFormatting>
  <conditionalFormatting sqref="C54:C55">
    <cfRule type="cellIs" dxfId="28083" priority="14260" stopIfTrue="1" operator="equal">
      <formula>"Napkin Hs"</formula>
    </cfRule>
  </conditionalFormatting>
  <conditionalFormatting sqref="C54:C55">
    <cfRule type="cellIs" dxfId="28082" priority="14259" stopIfTrue="1" operator="equal">
      <formula>"Towel"</formula>
    </cfRule>
  </conditionalFormatting>
  <conditionalFormatting sqref="C54:C55">
    <cfRule type="cellIs" dxfId="28081" priority="14255" stopIfTrue="1" operator="equal">
      <formula>"Towel"</formula>
    </cfRule>
    <cfRule type="cellIs" dxfId="28080" priority="14256" stopIfTrue="1" operator="equal">
      <formula>"Napkin Hs"</formula>
    </cfRule>
  </conditionalFormatting>
  <conditionalFormatting sqref="C54:C55">
    <cfRule type="cellIs" dxfId="28079" priority="14253" stopIfTrue="1" operator="equal">
      <formula>"Towel"</formula>
    </cfRule>
    <cfRule type="cellIs" dxfId="28078" priority="14254" stopIfTrue="1" operator="equal">
      <formula>"Napkin Hs"</formula>
    </cfRule>
  </conditionalFormatting>
  <conditionalFormatting sqref="C54:C55">
    <cfRule type="cellIs" dxfId="28077" priority="14237" stopIfTrue="1" operator="equal">
      <formula>"Towel"</formula>
    </cfRule>
    <cfRule type="cellIs" dxfId="28076" priority="14238" stopIfTrue="1" operator="equal">
      <formula>"Napkin Hs"</formula>
    </cfRule>
  </conditionalFormatting>
  <conditionalFormatting sqref="C54:C55">
    <cfRule type="cellIs" dxfId="28075" priority="14235" stopIfTrue="1" operator="equal">
      <formula>"Towel"</formula>
    </cfRule>
    <cfRule type="cellIs" dxfId="28074" priority="14236" stopIfTrue="1" operator="equal">
      <formula>"Napkin Hs"</formula>
    </cfRule>
  </conditionalFormatting>
  <conditionalFormatting sqref="B54:C55">
    <cfRule type="cellIs" dxfId="28073" priority="14196" stopIfTrue="1" operator="equal">
      <formula>"Napkin Hs"</formula>
    </cfRule>
  </conditionalFormatting>
  <conditionalFormatting sqref="B54:C55">
    <cfRule type="cellIs" dxfId="28072" priority="14195" stopIfTrue="1" operator="equal">
      <formula>"Towel"</formula>
    </cfRule>
  </conditionalFormatting>
  <conditionalFormatting sqref="C54:C55">
    <cfRule type="cellIs" dxfId="28071" priority="14194" stopIfTrue="1" operator="equal">
      <formula>"Napkin Hs"</formula>
    </cfRule>
  </conditionalFormatting>
  <conditionalFormatting sqref="C54:C55">
    <cfRule type="cellIs" dxfId="28070" priority="14191" stopIfTrue="1" operator="equal">
      <formula>"Towel"</formula>
    </cfRule>
    <cfRule type="cellIs" dxfId="28069" priority="14192" stopIfTrue="1" operator="equal">
      <formula>"Napkin Hs"</formula>
    </cfRule>
  </conditionalFormatting>
  <conditionalFormatting sqref="C54:C55">
    <cfRule type="cellIs" dxfId="28068" priority="14193" stopIfTrue="1" operator="equal">
      <formula>"Towel"</formula>
    </cfRule>
  </conditionalFormatting>
  <conditionalFormatting sqref="B52:C52">
    <cfRule type="cellIs" dxfId="28067" priority="14189" stopIfTrue="1" operator="equal">
      <formula>"Towel"</formula>
    </cfRule>
    <cfRule type="cellIs" dxfId="28066" priority="14190" stopIfTrue="1" operator="equal">
      <formula>"Napkin Hs"</formula>
    </cfRule>
  </conditionalFormatting>
  <conditionalFormatting sqref="C52">
    <cfRule type="cellIs" dxfId="28065" priority="14185" stopIfTrue="1" operator="equal">
      <formula>"Towel"</formula>
    </cfRule>
    <cfRule type="cellIs" dxfId="28064" priority="14186" stopIfTrue="1" operator="equal">
      <formula>"Napkin Hs"</formula>
    </cfRule>
  </conditionalFormatting>
  <conditionalFormatting sqref="C52">
    <cfRule type="cellIs" dxfId="28063" priority="14187" stopIfTrue="1" operator="equal">
      <formula>"Towel"</formula>
    </cfRule>
    <cfRule type="cellIs" dxfId="28062" priority="14188" stopIfTrue="1" operator="equal">
      <formula>"Napkin Hs"</formula>
    </cfRule>
  </conditionalFormatting>
  <conditionalFormatting sqref="B52:C52">
    <cfRule type="cellIs" dxfId="28061" priority="14183" stopIfTrue="1" operator="equal">
      <formula>"Towel"</formula>
    </cfRule>
    <cfRule type="cellIs" dxfId="28060" priority="14184" stopIfTrue="1" operator="equal">
      <formula>"Napkin Hs"</formula>
    </cfRule>
  </conditionalFormatting>
  <conditionalFormatting sqref="C52">
    <cfRule type="cellIs" dxfId="28059" priority="14179" stopIfTrue="1" operator="equal">
      <formula>"Towel"</formula>
    </cfRule>
    <cfRule type="cellIs" dxfId="28058" priority="14180" stopIfTrue="1" operator="equal">
      <formula>"Napkin Hs"</formula>
    </cfRule>
  </conditionalFormatting>
  <conditionalFormatting sqref="C52">
    <cfRule type="cellIs" dxfId="28057" priority="14181" stopIfTrue="1" operator="equal">
      <formula>"Towel"</formula>
    </cfRule>
    <cfRule type="cellIs" dxfId="28056" priority="14182" stopIfTrue="1" operator="equal">
      <formula>"Napkin Hs"</formula>
    </cfRule>
  </conditionalFormatting>
  <conditionalFormatting sqref="B52:C52">
    <cfRule type="cellIs" dxfId="28055" priority="14177" stopIfTrue="1" operator="equal">
      <formula>"Towel"</formula>
    </cfRule>
    <cfRule type="cellIs" dxfId="28054" priority="14178" stopIfTrue="1" operator="equal">
      <formula>"Napkin Hs"</formula>
    </cfRule>
  </conditionalFormatting>
  <conditionalFormatting sqref="C52">
    <cfRule type="cellIs" dxfId="28053" priority="14175" stopIfTrue="1" operator="equal">
      <formula>"Towel"</formula>
    </cfRule>
    <cfRule type="cellIs" dxfId="28052" priority="14176" stopIfTrue="1" operator="equal">
      <formula>"Napkin Hs"</formula>
    </cfRule>
  </conditionalFormatting>
  <conditionalFormatting sqref="C52">
    <cfRule type="cellIs" dxfId="28051" priority="14173" stopIfTrue="1" operator="equal">
      <formula>"Towel"</formula>
    </cfRule>
    <cfRule type="cellIs" dxfId="28050" priority="14174" stopIfTrue="1" operator="equal">
      <formula>"Napkin Hs"</formula>
    </cfRule>
  </conditionalFormatting>
  <conditionalFormatting sqref="B52:C52">
    <cfRule type="cellIs" dxfId="28049" priority="14172" stopIfTrue="1" operator="equal">
      <formula>"Napkin Hs"</formula>
    </cfRule>
  </conditionalFormatting>
  <conditionalFormatting sqref="B52:C52">
    <cfRule type="cellIs" dxfId="28048" priority="14171" stopIfTrue="1" operator="equal">
      <formula>"Towel"</formula>
    </cfRule>
  </conditionalFormatting>
  <conditionalFormatting sqref="C52">
    <cfRule type="cellIs" dxfId="28047" priority="14170" stopIfTrue="1" operator="equal">
      <formula>"Napkin Hs"</formula>
    </cfRule>
  </conditionalFormatting>
  <conditionalFormatting sqref="C52">
    <cfRule type="cellIs" dxfId="28046" priority="14169" stopIfTrue="1" operator="equal">
      <formula>"Towel"</formula>
    </cfRule>
  </conditionalFormatting>
  <conditionalFormatting sqref="C52">
    <cfRule type="cellIs" dxfId="28045" priority="14167" stopIfTrue="1" operator="equal">
      <formula>"Towel"</formula>
    </cfRule>
    <cfRule type="cellIs" dxfId="28044" priority="14168" stopIfTrue="1" operator="equal">
      <formula>"Napkin Hs"</formula>
    </cfRule>
  </conditionalFormatting>
  <conditionalFormatting sqref="C52">
    <cfRule type="cellIs" dxfId="28043" priority="14165" stopIfTrue="1" operator="equal">
      <formula>"Towel"</formula>
    </cfRule>
    <cfRule type="cellIs" dxfId="28042" priority="14166" stopIfTrue="1" operator="equal">
      <formula>"Napkin Hs"</formula>
    </cfRule>
  </conditionalFormatting>
  <conditionalFormatting sqref="C52">
    <cfRule type="cellIs" dxfId="28041" priority="14081" stopIfTrue="1" operator="equal">
      <formula>"Towel"</formula>
    </cfRule>
    <cfRule type="cellIs" dxfId="28040" priority="14082" stopIfTrue="1" operator="equal">
      <formula>"Napkin Hs"</formula>
    </cfRule>
  </conditionalFormatting>
  <conditionalFormatting sqref="C52">
    <cfRule type="cellIs" dxfId="28039" priority="14075" stopIfTrue="1" operator="equal">
      <formula>"Towel"</formula>
    </cfRule>
    <cfRule type="cellIs" dxfId="28038" priority="14076" stopIfTrue="1" operator="equal">
      <formula>"Napkin Hs"</formula>
    </cfRule>
  </conditionalFormatting>
  <conditionalFormatting sqref="C52">
    <cfRule type="cellIs" dxfId="28037" priority="14056" stopIfTrue="1" operator="equal">
      <formula>"Napkin Hs"</formula>
    </cfRule>
  </conditionalFormatting>
  <conditionalFormatting sqref="C52">
    <cfRule type="cellIs" dxfId="28036" priority="14055" stopIfTrue="1" operator="equal">
      <formula>"Towel"</formula>
    </cfRule>
  </conditionalFormatting>
  <conditionalFormatting sqref="C52">
    <cfRule type="cellIs" dxfId="28035" priority="14054" stopIfTrue="1" operator="equal">
      <formula>"Napkin Hs"</formula>
    </cfRule>
  </conditionalFormatting>
  <conditionalFormatting sqref="C52">
    <cfRule type="cellIs" dxfId="28034" priority="14051" stopIfTrue="1" operator="equal">
      <formula>"Towel"</formula>
    </cfRule>
    <cfRule type="cellIs" dxfId="28033" priority="14052" stopIfTrue="1" operator="equal">
      <formula>"Napkin Hs"</formula>
    </cfRule>
  </conditionalFormatting>
  <conditionalFormatting sqref="C52">
    <cfRule type="cellIs" dxfId="28032" priority="14053" stopIfTrue="1" operator="equal">
      <formula>"Towel"</formula>
    </cfRule>
  </conditionalFormatting>
  <conditionalFormatting sqref="C52">
    <cfRule type="cellIs" dxfId="28031" priority="14050" stopIfTrue="1" operator="equal">
      <formula>"Napkin Hs"</formula>
    </cfRule>
  </conditionalFormatting>
  <conditionalFormatting sqref="C52">
    <cfRule type="cellIs" dxfId="28030" priority="14049" stopIfTrue="1" operator="equal">
      <formula>"Towel"</formula>
    </cfRule>
  </conditionalFormatting>
  <conditionalFormatting sqref="C52">
    <cfRule type="cellIs" dxfId="28029" priority="14048" stopIfTrue="1" operator="equal">
      <formula>"Napkin Hs"</formula>
    </cfRule>
  </conditionalFormatting>
  <conditionalFormatting sqref="C52">
    <cfRule type="cellIs" dxfId="28028" priority="14045" stopIfTrue="1" operator="equal">
      <formula>"Towel"</formula>
    </cfRule>
    <cfRule type="cellIs" dxfId="28027" priority="14046" stopIfTrue="1" operator="equal">
      <formula>"Napkin Hs"</formula>
    </cfRule>
  </conditionalFormatting>
  <conditionalFormatting sqref="C52">
    <cfRule type="cellIs" dxfId="28026" priority="14047" stopIfTrue="1" operator="equal">
      <formula>"Towel"</formula>
    </cfRule>
  </conditionalFormatting>
  <conditionalFormatting sqref="C52">
    <cfRule type="cellIs" dxfId="28025" priority="14151" stopIfTrue="1" operator="equal">
      <formula>"Towel"</formula>
    </cfRule>
    <cfRule type="cellIs" dxfId="28024" priority="14152" stopIfTrue="1" operator="equal">
      <formula>"Napkin Hs"</formula>
    </cfRule>
  </conditionalFormatting>
  <conditionalFormatting sqref="C52">
    <cfRule type="cellIs" dxfId="28023" priority="14149" stopIfTrue="1" operator="equal">
      <formula>"Towel"</formula>
    </cfRule>
    <cfRule type="cellIs" dxfId="28022" priority="14150" stopIfTrue="1" operator="equal">
      <formula>"Napkin Hs"</formula>
    </cfRule>
  </conditionalFormatting>
  <conditionalFormatting sqref="C52">
    <cfRule type="cellIs" dxfId="28021" priority="14147" stopIfTrue="1" operator="equal">
      <formula>"Towel"</formula>
    </cfRule>
    <cfRule type="cellIs" dxfId="28020" priority="14148" stopIfTrue="1" operator="equal">
      <formula>"Napkin Hs"</formula>
    </cfRule>
  </conditionalFormatting>
  <conditionalFormatting sqref="C52">
    <cfRule type="cellIs" dxfId="28019" priority="14146" stopIfTrue="1" operator="equal">
      <formula>"Napkin Hs"</formula>
    </cfRule>
  </conditionalFormatting>
  <conditionalFormatting sqref="C52">
    <cfRule type="cellIs" dxfId="28018" priority="14145" stopIfTrue="1" operator="equal">
      <formula>"Towel"</formula>
    </cfRule>
  </conditionalFormatting>
  <conditionalFormatting sqref="C52">
    <cfRule type="cellIs" dxfId="28017" priority="14144" stopIfTrue="1" operator="equal">
      <formula>"Napkin Hs"</formula>
    </cfRule>
  </conditionalFormatting>
  <conditionalFormatting sqref="C52">
    <cfRule type="cellIs" dxfId="28016" priority="14143" stopIfTrue="1" operator="equal">
      <formula>"Towel"</formula>
    </cfRule>
  </conditionalFormatting>
  <conditionalFormatting sqref="C52">
    <cfRule type="cellIs" dxfId="28015" priority="14141" stopIfTrue="1" operator="equal">
      <formula>"Towel"</formula>
    </cfRule>
    <cfRule type="cellIs" dxfId="28014" priority="14142" stopIfTrue="1" operator="equal">
      <formula>"Napkin Hs"</formula>
    </cfRule>
  </conditionalFormatting>
  <conditionalFormatting sqref="C52">
    <cfRule type="cellIs" dxfId="28013" priority="14139" stopIfTrue="1" operator="equal">
      <formula>"Towel"</formula>
    </cfRule>
    <cfRule type="cellIs" dxfId="28012" priority="14140" stopIfTrue="1" operator="equal">
      <formula>"Napkin Hs"</formula>
    </cfRule>
  </conditionalFormatting>
  <conditionalFormatting sqref="C52">
    <cfRule type="cellIs" dxfId="28011" priority="14135" stopIfTrue="1" operator="equal">
      <formula>"Towel"</formula>
    </cfRule>
    <cfRule type="cellIs" dxfId="28010" priority="14136" stopIfTrue="1" operator="equal">
      <formula>"Napkin Hs"</formula>
    </cfRule>
  </conditionalFormatting>
  <conditionalFormatting sqref="C52">
    <cfRule type="cellIs" dxfId="28009" priority="14137" stopIfTrue="1" operator="equal">
      <formula>"Towel"</formula>
    </cfRule>
    <cfRule type="cellIs" dxfId="28008" priority="14138" stopIfTrue="1" operator="equal">
      <formula>"Napkin Hs"</formula>
    </cfRule>
  </conditionalFormatting>
  <conditionalFormatting sqref="C52">
    <cfRule type="cellIs" dxfId="28007" priority="14129" stopIfTrue="1" operator="equal">
      <formula>"Towel"</formula>
    </cfRule>
    <cfRule type="cellIs" dxfId="28006" priority="14130" stopIfTrue="1" operator="equal">
      <formula>"Napkin Hs"</formula>
    </cfRule>
  </conditionalFormatting>
  <conditionalFormatting sqref="C52">
    <cfRule type="cellIs" dxfId="28005" priority="14127" stopIfTrue="1" operator="equal">
      <formula>"Towel"</formula>
    </cfRule>
    <cfRule type="cellIs" dxfId="28004" priority="14128" stopIfTrue="1" operator="equal">
      <formula>"Napkin Hs"</formula>
    </cfRule>
  </conditionalFormatting>
  <conditionalFormatting sqref="C52">
    <cfRule type="cellIs" dxfId="28003" priority="14125" stopIfTrue="1" operator="equal">
      <formula>"Towel"</formula>
    </cfRule>
    <cfRule type="cellIs" dxfId="28002" priority="14126" stopIfTrue="1" operator="equal">
      <formula>"Napkin Hs"</formula>
    </cfRule>
  </conditionalFormatting>
  <conditionalFormatting sqref="C52">
    <cfRule type="cellIs" dxfId="28001" priority="14123" stopIfTrue="1" operator="equal">
      <formula>"Towel"</formula>
    </cfRule>
    <cfRule type="cellIs" dxfId="28000" priority="14124" stopIfTrue="1" operator="equal">
      <formula>"Napkin Hs"</formula>
    </cfRule>
  </conditionalFormatting>
  <conditionalFormatting sqref="C52">
    <cfRule type="cellIs" dxfId="27999" priority="14121" stopIfTrue="1" operator="equal">
      <formula>"Towel"</formula>
    </cfRule>
    <cfRule type="cellIs" dxfId="27998" priority="14122" stopIfTrue="1" operator="equal">
      <formula>"Napkin Hs"</formula>
    </cfRule>
  </conditionalFormatting>
  <conditionalFormatting sqref="C52">
    <cfRule type="cellIs" dxfId="27997" priority="14119" stopIfTrue="1" operator="equal">
      <formula>"Towel"</formula>
    </cfRule>
    <cfRule type="cellIs" dxfId="27996" priority="14120" stopIfTrue="1" operator="equal">
      <formula>"Napkin Hs"</formula>
    </cfRule>
  </conditionalFormatting>
  <conditionalFormatting sqref="C52">
    <cfRule type="cellIs" dxfId="27995" priority="14117" stopIfTrue="1" operator="equal">
      <formula>"Towel"</formula>
    </cfRule>
    <cfRule type="cellIs" dxfId="27994" priority="14118" stopIfTrue="1" operator="equal">
      <formula>"Napkin Hs"</formula>
    </cfRule>
  </conditionalFormatting>
  <conditionalFormatting sqref="C52">
    <cfRule type="cellIs" dxfId="27993" priority="14115" stopIfTrue="1" operator="equal">
      <formula>"Towel"</formula>
    </cfRule>
    <cfRule type="cellIs" dxfId="27992" priority="14116" stopIfTrue="1" operator="equal">
      <formula>"Napkin Hs"</formula>
    </cfRule>
  </conditionalFormatting>
  <conditionalFormatting sqref="C52">
    <cfRule type="cellIs" dxfId="27991" priority="14113" stopIfTrue="1" operator="equal">
      <formula>"Towel"</formula>
    </cfRule>
    <cfRule type="cellIs" dxfId="27990" priority="14114" stopIfTrue="1" operator="equal">
      <formula>"Napkin Hs"</formula>
    </cfRule>
  </conditionalFormatting>
  <conditionalFormatting sqref="C52">
    <cfRule type="cellIs" dxfId="27989" priority="14111" stopIfTrue="1" operator="equal">
      <formula>"Towel"</formula>
    </cfRule>
    <cfRule type="cellIs" dxfId="27988" priority="14112" stopIfTrue="1" operator="equal">
      <formula>"Napkin Hs"</formula>
    </cfRule>
  </conditionalFormatting>
  <conditionalFormatting sqref="C52">
    <cfRule type="cellIs" dxfId="27987" priority="14105" stopIfTrue="1" operator="equal">
      <formula>"Towel"</formula>
    </cfRule>
    <cfRule type="cellIs" dxfId="27986" priority="14106" stopIfTrue="1" operator="equal">
      <formula>"Napkin Hs"</formula>
    </cfRule>
  </conditionalFormatting>
  <conditionalFormatting sqref="C52">
    <cfRule type="cellIs" dxfId="27985" priority="14099" stopIfTrue="1" operator="equal">
      <formula>"Towel"</formula>
    </cfRule>
    <cfRule type="cellIs" dxfId="27984" priority="14100" stopIfTrue="1" operator="equal">
      <formula>"Napkin Hs"</formula>
    </cfRule>
  </conditionalFormatting>
  <conditionalFormatting sqref="C52">
    <cfRule type="cellIs" dxfId="27983" priority="14093" stopIfTrue="1" operator="equal">
      <formula>"Towel"</formula>
    </cfRule>
    <cfRule type="cellIs" dxfId="27982" priority="14094" stopIfTrue="1" operator="equal">
      <formula>"Napkin Hs"</formula>
    </cfRule>
  </conditionalFormatting>
  <conditionalFormatting sqref="C52">
    <cfRule type="cellIs" dxfId="27981" priority="14092" stopIfTrue="1" operator="equal">
      <formula>"Napkin Hs"</formula>
    </cfRule>
  </conditionalFormatting>
  <conditionalFormatting sqref="C52">
    <cfRule type="cellIs" dxfId="27980" priority="14091" stopIfTrue="1" operator="equal">
      <formula>"Towel"</formula>
    </cfRule>
  </conditionalFormatting>
  <conditionalFormatting sqref="C52">
    <cfRule type="cellIs" dxfId="27979" priority="14090" stopIfTrue="1" operator="equal">
      <formula>"Napkin Hs"</formula>
    </cfRule>
  </conditionalFormatting>
  <conditionalFormatting sqref="C52">
    <cfRule type="cellIs" dxfId="27978" priority="14089" stopIfTrue="1" operator="equal">
      <formula>"Towel"</formula>
    </cfRule>
  </conditionalFormatting>
  <conditionalFormatting sqref="C52">
    <cfRule type="cellIs" dxfId="27977" priority="14087" stopIfTrue="1" operator="equal">
      <formula>"Towel"</formula>
    </cfRule>
    <cfRule type="cellIs" dxfId="27976" priority="14088" stopIfTrue="1" operator="equal">
      <formula>"Napkin Hs"</formula>
    </cfRule>
  </conditionalFormatting>
  <conditionalFormatting sqref="C52">
    <cfRule type="cellIs" dxfId="27975" priority="14085" stopIfTrue="1" operator="equal">
      <formula>"Towel"</formula>
    </cfRule>
    <cfRule type="cellIs" dxfId="27974" priority="14086" stopIfTrue="1" operator="equal">
      <formula>"Napkin Hs"</formula>
    </cfRule>
  </conditionalFormatting>
  <conditionalFormatting sqref="C52">
    <cfRule type="cellIs" dxfId="27973" priority="14083" stopIfTrue="1" operator="equal">
      <formula>"Towel"</formula>
    </cfRule>
    <cfRule type="cellIs" dxfId="27972" priority="14084" stopIfTrue="1" operator="equal">
      <formula>"Napkin Hs"</formula>
    </cfRule>
  </conditionalFormatting>
  <conditionalFormatting sqref="C52">
    <cfRule type="cellIs" dxfId="27971" priority="14073" stopIfTrue="1" operator="equal">
      <formula>"Towel"</formula>
    </cfRule>
    <cfRule type="cellIs" dxfId="27970" priority="14074" stopIfTrue="1" operator="equal">
      <formula>"Napkin Hs"</formula>
    </cfRule>
  </conditionalFormatting>
  <conditionalFormatting sqref="C52">
    <cfRule type="cellIs" dxfId="27969" priority="14071" stopIfTrue="1" operator="equal">
      <formula>"Towel"</formula>
    </cfRule>
    <cfRule type="cellIs" dxfId="27968" priority="14072" stopIfTrue="1" operator="equal">
      <formula>"Napkin Hs"</formula>
    </cfRule>
  </conditionalFormatting>
  <conditionalFormatting sqref="C52">
    <cfRule type="cellIs" dxfId="27967" priority="14069" stopIfTrue="1" operator="equal">
      <formula>"Towel"</formula>
    </cfRule>
    <cfRule type="cellIs" dxfId="27966" priority="14070" stopIfTrue="1" operator="equal">
      <formula>"Napkin Hs"</formula>
    </cfRule>
  </conditionalFormatting>
  <conditionalFormatting sqref="C52">
    <cfRule type="cellIs" dxfId="27965" priority="14067" stopIfTrue="1" operator="equal">
      <formula>"Towel"</formula>
    </cfRule>
    <cfRule type="cellIs" dxfId="27964" priority="14068" stopIfTrue="1" operator="equal">
      <formula>"Napkin Hs"</formula>
    </cfRule>
  </conditionalFormatting>
  <conditionalFormatting sqref="C52">
    <cfRule type="cellIs" dxfId="27963" priority="14065" stopIfTrue="1" operator="equal">
      <formula>"Towel"</formula>
    </cfRule>
    <cfRule type="cellIs" dxfId="27962" priority="14066" stopIfTrue="1" operator="equal">
      <formula>"Napkin Hs"</formula>
    </cfRule>
  </conditionalFormatting>
  <conditionalFormatting sqref="C52">
    <cfRule type="cellIs" dxfId="27961" priority="14063" stopIfTrue="1" operator="equal">
      <formula>"Towel"</formula>
    </cfRule>
    <cfRule type="cellIs" dxfId="27960" priority="14064" stopIfTrue="1" operator="equal">
      <formula>"Napkin Hs"</formula>
    </cfRule>
  </conditionalFormatting>
  <conditionalFormatting sqref="C52">
    <cfRule type="cellIs" dxfId="27959" priority="14061" stopIfTrue="1" operator="equal">
      <formula>"Towel"</formula>
    </cfRule>
    <cfRule type="cellIs" dxfId="27958" priority="14062" stopIfTrue="1" operator="equal">
      <formula>"Napkin Hs"</formula>
    </cfRule>
  </conditionalFormatting>
  <conditionalFormatting sqref="C52">
    <cfRule type="cellIs" dxfId="27957" priority="14059" stopIfTrue="1" operator="equal">
      <formula>"Towel"</formula>
    </cfRule>
    <cfRule type="cellIs" dxfId="27956" priority="14060" stopIfTrue="1" operator="equal">
      <formula>"Napkin Hs"</formula>
    </cfRule>
  </conditionalFormatting>
  <conditionalFormatting sqref="C52">
    <cfRule type="cellIs" dxfId="27955" priority="14057" stopIfTrue="1" operator="equal">
      <formula>"Towel"</formula>
    </cfRule>
    <cfRule type="cellIs" dxfId="27954" priority="14058" stopIfTrue="1" operator="equal">
      <formula>"Napkin Hs"</formula>
    </cfRule>
  </conditionalFormatting>
  <conditionalFormatting sqref="C52">
    <cfRule type="cellIs" dxfId="27953" priority="14044" stopIfTrue="1" operator="equal">
      <formula>"Napkin Hs"</formula>
    </cfRule>
  </conditionalFormatting>
  <conditionalFormatting sqref="C52">
    <cfRule type="cellIs" dxfId="27952" priority="14043" stopIfTrue="1" operator="equal">
      <formula>"Towel"</formula>
    </cfRule>
  </conditionalFormatting>
  <conditionalFormatting sqref="C52">
    <cfRule type="cellIs" dxfId="27951" priority="14042" stopIfTrue="1" operator="equal">
      <formula>"Napkin Hs"</formula>
    </cfRule>
  </conditionalFormatting>
  <conditionalFormatting sqref="C52">
    <cfRule type="cellIs" dxfId="27950" priority="14039" stopIfTrue="1" operator="equal">
      <formula>"Towel"</formula>
    </cfRule>
    <cfRule type="cellIs" dxfId="27949" priority="14040" stopIfTrue="1" operator="equal">
      <formula>"Napkin Hs"</formula>
    </cfRule>
  </conditionalFormatting>
  <conditionalFormatting sqref="C52">
    <cfRule type="cellIs" dxfId="27948" priority="14041" stopIfTrue="1" operator="equal">
      <formula>"Towel"</formula>
    </cfRule>
  </conditionalFormatting>
  <conditionalFormatting sqref="C52">
    <cfRule type="cellIs" dxfId="27947" priority="14159" stopIfTrue="1" operator="equal">
      <formula>"Towel"</formula>
    </cfRule>
    <cfRule type="cellIs" dxfId="27946" priority="14160" stopIfTrue="1" operator="equal">
      <formula>"Napkin Hs"</formula>
    </cfRule>
  </conditionalFormatting>
  <conditionalFormatting sqref="C52">
    <cfRule type="cellIs" dxfId="27945" priority="14158" stopIfTrue="1" operator="equal">
      <formula>"Napkin Hs"</formula>
    </cfRule>
  </conditionalFormatting>
  <conditionalFormatting sqref="C52">
    <cfRule type="cellIs" dxfId="27944" priority="14157" stopIfTrue="1" operator="equal">
      <formula>"Towel"</formula>
    </cfRule>
  </conditionalFormatting>
  <conditionalFormatting sqref="C52">
    <cfRule type="cellIs" dxfId="27943" priority="14156" stopIfTrue="1" operator="equal">
      <formula>"Napkin Hs"</formula>
    </cfRule>
  </conditionalFormatting>
  <conditionalFormatting sqref="C52">
    <cfRule type="cellIs" dxfId="27942" priority="14153" stopIfTrue="1" operator="equal">
      <formula>"Towel"</formula>
    </cfRule>
    <cfRule type="cellIs" dxfId="27941" priority="14154" stopIfTrue="1" operator="equal">
      <formula>"Napkin Hs"</formula>
    </cfRule>
  </conditionalFormatting>
  <conditionalFormatting sqref="C52">
    <cfRule type="cellIs" dxfId="27940" priority="14155" stopIfTrue="1" operator="equal">
      <formula>"Towel"</formula>
    </cfRule>
  </conditionalFormatting>
  <conditionalFormatting sqref="C52">
    <cfRule type="cellIs" dxfId="27939" priority="14163" stopIfTrue="1" operator="equal">
      <formula>"Towel"</formula>
    </cfRule>
    <cfRule type="cellIs" dxfId="27938" priority="14164" stopIfTrue="1" operator="equal">
      <formula>"Napkin Hs"</formula>
    </cfRule>
  </conditionalFormatting>
  <conditionalFormatting sqref="C52">
    <cfRule type="cellIs" dxfId="27937" priority="14161" stopIfTrue="1" operator="equal">
      <formula>"Towel"</formula>
    </cfRule>
    <cfRule type="cellIs" dxfId="27936" priority="14162" stopIfTrue="1" operator="equal">
      <formula>"Napkin Hs"</formula>
    </cfRule>
  </conditionalFormatting>
  <conditionalFormatting sqref="C52">
    <cfRule type="cellIs" dxfId="27935" priority="14133" stopIfTrue="1" operator="equal">
      <formula>"Towel"</formula>
    </cfRule>
    <cfRule type="cellIs" dxfId="27934" priority="14134" stopIfTrue="1" operator="equal">
      <formula>"Napkin Hs"</formula>
    </cfRule>
  </conditionalFormatting>
  <conditionalFormatting sqref="C52">
    <cfRule type="cellIs" dxfId="27933" priority="14131" stopIfTrue="1" operator="equal">
      <formula>"Towel"</formula>
    </cfRule>
    <cfRule type="cellIs" dxfId="27932" priority="14132" stopIfTrue="1" operator="equal">
      <formula>"Napkin Hs"</formula>
    </cfRule>
  </conditionalFormatting>
  <conditionalFormatting sqref="C52">
    <cfRule type="cellIs" dxfId="27931" priority="14110" stopIfTrue="1" operator="equal">
      <formula>"Napkin Hs"</formula>
    </cfRule>
  </conditionalFormatting>
  <conditionalFormatting sqref="C52">
    <cfRule type="cellIs" dxfId="27930" priority="14109" stopIfTrue="1" operator="equal">
      <formula>"Towel"</formula>
    </cfRule>
  </conditionalFormatting>
  <conditionalFormatting sqref="C52">
    <cfRule type="cellIs" dxfId="27929" priority="14108" stopIfTrue="1" operator="equal">
      <formula>"Napkin Hs"</formula>
    </cfRule>
  </conditionalFormatting>
  <conditionalFormatting sqref="C52">
    <cfRule type="cellIs" dxfId="27928" priority="14107" stopIfTrue="1" operator="equal">
      <formula>"Towel"</formula>
    </cfRule>
  </conditionalFormatting>
  <conditionalFormatting sqref="C52">
    <cfRule type="cellIs" dxfId="27927" priority="14104" stopIfTrue="1" operator="equal">
      <formula>"Napkin Hs"</formula>
    </cfRule>
  </conditionalFormatting>
  <conditionalFormatting sqref="C52">
    <cfRule type="cellIs" dxfId="27926" priority="14103" stopIfTrue="1" operator="equal">
      <formula>"Towel"</formula>
    </cfRule>
  </conditionalFormatting>
  <conditionalFormatting sqref="C52">
    <cfRule type="cellIs" dxfId="27925" priority="14102" stopIfTrue="1" operator="equal">
      <formula>"Napkin Hs"</formula>
    </cfRule>
  </conditionalFormatting>
  <conditionalFormatting sqref="C52">
    <cfRule type="cellIs" dxfId="27924" priority="14101" stopIfTrue="1" operator="equal">
      <formula>"Towel"</formula>
    </cfRule>
  </conditionalFormatting>
  <conditionalFormatting sqref="C52">
    <cfRule type="cellIs" dxfId="27923" priority="14097" stopIfTrue="1" operator="equal">
      <formula>"Towel"</formula>
    </cfRule>
    <cfRule type="cellIs" dxfId="27922" priority="14098" stopIfTrue="1" operator="equal">
      <formula>"Napkin Hs"</formula>
    </cfRule>
  </conditionalFormatting>
  <conditionalFormatting sqref="C52">
    <cfRule type="cellIs" dxfId="27921" priority="14095" stopIfTrue="1" operator="equal">
      <formula>"Towel"</formula>
    </cfRule>
    <cfRule type="cellIs" dxfId="27920" priority="14096" stopIfTrue="1" operator="equal">
      <formula>"Napkin Hs"</formula>
    </cfRule>
  </conditionalFormatting>
  <conditionalFormatting sqref="C52">
    <cfRule type="cellIs" dxfId="27919" priority="14079" stopIfTrue="1" operator="equal">
      <formula>"Towel"</formula>
    </cfRule>
    <cfRule type="cellIs" dxfId="27918" priority="14080" stopIfTrue="1" operator="equal">
      <formula>"Napkin Hs"</formula>
    </cfRule>
  </conditionalFormatting>
  <conditionalFormatting sqref="C52">
    <cfRule type="cellIs" dxfId="27917" priority="14077" stopIfTrue="1" operator="equal">
      <formula>"Towel"</formula>
    </cfRule>
    <cfRule type="cellIs" dxfId="27916" priority="14078" stopIfTrue="1" operator="equal">
      <formula>"Napkin Hs"</formula>
    </cfRule>
  </conditionalFormatting>
  <conditionalFormatting sqref="B52:C52">
    <cfRule type="cellIs" dxfId="27915" priority="14038" stopIfTrue="1" operator="equal">
      <formula>"Napkin Hs"</formula>
    </cfRule>
  </conditionalFormatting>
  <conditionalFormatting sqref="B52:C52">
    <cfRule type="cellIs" dxfId="27914" priority="14037" stopIfTrue="1" operator="equal">
      <formula>"Towel"</formula>
    </cfRule>
  </conditionalFormatting>
  <conditionalFormatting sqref="C52">
    <cfRule type="cellIs" dxfId="27913" priority="14036" stopIfTrue="1" operator="equal">
      <formula>"Napkin Hs"</formula>
    </cfRule>
  </conditionalFormatting>
  <conditionalFormatting sqref="C52">
    <cfRule type="cellIs" dxfId="27912" priority="14033" stopIfTrue="1" operator="equal">
      <formula>"Towel"</formula>
    </cfRule>
    <cfRule type="cellIs" dxfId="27911" priority="14034" stopIfTrue="1" operator="equal">
      <formula>"Napkin Hs"</formula>
    </cfRule>
  </conditionalFormatting>
  <conditionalFormatting sqref="C52">
    <cfRule type="cellIs" dxfId="27910" priority="14035" stopIfTrue="1" operator="equal">
      <formula>"Towel"</formula>
    </cfRule>
  </conditionalFormatting>
  <conditionalFormatting sqref="C53">
    <cfRule type="cellIs" dxfId="27909" priority="13949" stopIfTrue="1" operator="equal">
      <formula>"Towel"</formula>
    </cfRule>
    <cfRule type="cellIs" dxfId="27908" priority="13950" stopIfTrue="1" operator="equal">
      <formula>"Napkin Hs"</formula>
    </cfRule>
  </conditionalFormatting>
  <conditionalFormatting sqref="C53">
    <cfRule type="cellIs" dxfId="27907" priority="13943" stopIfTrue="1" operator="equal">
      <formula>"Towel"</formula>
    </cfRule>
    <cfRule type="cellIs" dxfId="27906" priority="13944" stopIfTrue="1" operator="equal">
      <formula>"Napkin Hs"</formula>
    </cfRule>
  </conditionalFormatting>
  <conditionalFormatting sqref="C53">
    <cfRule type="cellIs" dxfId="27905" priority="13924" stopIfTrue="1" operator="equal">
      <formula>"Napkin Hs"</formula>
    </cfRule>
  </conditionalFormatting>
  <conditionalFormatting sqref="C53">
    <cfRule type="cellIs" dxfId="27904" priority="13923" stopIfTrue="1" operator="equal">
      <formula>"Towel"</formula>
    </cfRule>
  </conditionalFormatting>
  <conditionalFormatting sqref="C53">
    <cfRule type="cellIs" dxfId="27903" priority="13922" stopIfTrue="1" operator="equal">
      <formula>"Napkin Hs"</formula>
    </cfRule>
  </conditionalFormatting>
  <conditionalFormatting sqref="C53">
    <cfRule type="cellIs" dxfId="27902" priority="13919" stopIfTrue="1" operator="equal">
      <formula>"Towel"</formula>
    </cfRule>
    <cfRule type="cellIs" dxfId="27901" priority="13920" stopIfTrue="1" operator="equal">
      <formula>"Napkin Hs"</formula>
    </cfRule>
  </conditionalFormatting>
  <conditionalFormatting sqref="C53">
    <cfRule type="cellIs" dxfId="27900" priority="13921" stopIfTrue="1" operator="equal">
      <formula>"Towel"</formula>
    </cfRule>
  </conditionalFormatting>
  <conditionalFormatting sqref="C53">
    <cfRule type="cellIs" dxfId="27899" priority="13918" stopIfTrue="1" operator="equal">
      <formula>"Napkin Hs"</formula>
    </cfRule>
  </conditionalFormatting>
  <conditionalFormatting sqref="C53">
    <cfRule type="cellIs" dxfId="27898" priority="13917" stopIfTrue="1" operator="equal">
      <formula>"Towel"</formula>
    </cfRule>
  </conditionalFormatting>
  <conditionalFormatting sqref="C53">
    <cfRule type="cellIs" dxfId="27897" priority="13916" stopIfTrue="1" operator="equal">
      <formula>"Napkin Hs"</formula>
    </cfRule>
  </conditionalFormatting>
  <conditionalFormatting sqref="C53">
    <cfRule type="cellIs" dxfId="27896" priority="13913" stopIfTrue="1" operator="equal">
      <formula>"Towel"</formula>
    </cfRule>
    <cfRule type="cellIs" dxfId="27895" priority="13914" stopIfTrue="1" operator="equal">
      <formula>"Napkin Hs"</formula>
    </cfRule>
  </conditionalFormatting>
  <conditionalFormatting sqref="C53">
    <cfRule type="cellIs" dxfId="27894" priority="13915" stopIfTrue="1" operator="equal">
      <formula>"Towel"</formula>
    </cfRule>
  </conditionalFormatting>
  <conditionalFormatting sqref="C53">
    <cfRule type="cellIs" dxfId="27893" priority="14019" stopIfTrue="1" operator="equal">
      <formula>"Towel"</formula>
    </cfRule>
    <cfRule type="cellIs" dxfId="27892" priority="14020" stopIfTrue="1" operator="equal">
      <formula>"Napkin Hs"</formula>
    </cfRule>
  </conditionalFormatting>
  <conditionalFormatting sqref="C53">
    <cfRule type="cellIs" dxfId="27891" priority="14017" stopIfTrue="1" operator="equal">
      <formula>"Towel"</formula>
    </cfRule>
    <cfRule type="cellIs" dxfId="27890" priority="14018" stopIfTrue="1" operator="equal">
      <formula>"Napkin Hs"</formula>
    </cfRule>
  </conditionalFormatting>
  <conditionalFormatting sqref="C53">
    <cfRule type="cellIs" dxfId="27889" priority="14015" stopIfTrue="1" operator="equal">
      <formula>"Towel"</formula>
    </cfRule>
    <cfRule type="cellIs" dxfId="27888" priority="14016" stopIfTrue="1" operator="equal">
      <formula>"Napkin Hs"</formula>
    </cfRule>
  </conditionalFormatting>
  <conditionalFormatting sqref="C53">
    <cfRule type="cellIs" dxfId="27887" priority="14014" stopIfTrue="1" operator="equal">
      <formula>"Napkin Hs"</formula>
    </cfRule>
  </conditionalFormatting>
  <conditionalFormatting sqref="C53">
    <cfRule type="cellIs" dxfId="27886" priority="14013" stopIfTrue="1" operator="equal">
      <formula>"Towel"</formula>
    </cfRule>
  </conditionalFormatting>
  <conditionalFormatting sqref="C53">
    <cfRule type="cellIs" dxfId="27885" priority="14012" stopIfTrue="1" operator="equal">
      <formula>"Napkin Hs"</formula>
    </cfRule>
  </conditionalFormatting>
  <conditionalFormatting sqref="C53">
    <cfRule type="cellIs" dxfId="27884" priority="14011" stopIfTrue="1" operator="equal">
      <formula>"Towel"</formula>
    </cfRule>
  </conditionalFormatting>
  <conditionalFormatting sqref="C53">
    <cfRule type="cellIs" dxfId="27883" priority="14009" stopIfTrue="1" operator="equal">
      <formula>"Towel"</formula>
    </cfRule>
    <cfRule type="cellIs" dxfId="27882" priority="14010" stopIfTrue="1" operator="equal">
      <formula>"Napkin Hs"</formula>
    </cfRule>
  </conditionalFormatting>
  <conditionalFormatting sqref="C53">
    <cfRule type="cellIs" dxfId="27881" priority="14007" stopIfTrue="1" operator="equal">
      <formula>"Towel"</formula>
    </cfRule>
    <cfRule type="cellIs" dxfId="27880" priority="14008" stopIfTrue="1" operator="equal">
      <formula>"Napkin Hs"</formula>
    </cfRule>
  </conditionalFormatting>
  <conditionalFormatting sqref="C53">
    <cfRule type="cellIs" dxfId="27879" priority="14003" stopIfTrue="1" operator="equal">
      <formula>"Towel"</formula>
    </cfRule>
    <cfRule type="cellIs" dxfId="27878" priority="14004" stopIfTrue="1" operator="equal">
      <formula>"Napkin Hs"</formula>
    </cfRule>
  </conditionalFormatting>
  <conditionalFormatting sqref="C53">
    <cfRule type="cellIs" dxfId="27877" priority="14005" stopIfTrue="1" operator="equal">
      <formula>"Towel"</formula>
    </cfRule>
    <cfRule type="cellIs" dxfId="27876" priority="14006" stopIfTrue="1" operator="equal">
      <formula>"Napkin Hs"</formula>
    </cfRule>
  </conditionalFormatting>
  <conditionalFormatting sqref="C53">
    <cfRule type="cellIs" dxfId="27875" priority="13997" stopIfTrue="1" operator="equal">
      <formula>"Towel"</formula>
    </cfRule>
    <cfRule type="cellIs" dxfId="27874" priority="13998" stopIfTrue="1" operator="equal">
      <formula>"Napkin Hs"</formula>
    </cfRule>
  </conditionalFormatting>
  <conditionalFormatting sqref="C53">
    <cfRule type="cellIs" dxfId="27873" priority="13995" stopIfTrue="1" operator="equal">
      <formula>"Towel"</formula>
    </cfRule>
    <cfRule type="cellIs" dxfId="27872" priority="13996" stopIfTrue="1" operator="equal">
      <formula>"Napkin Hs"</formula>
    </cfRule>
  </conditionalFormatting>
  <conditionalFormatting sqref="C53">
    <cfRule type="cellIs" dxfId="27871" priority="13993" stopIfTrue="1" operator="equal">
      <formula>"Towel"</formula>
    </cfRule>
    <cfRule type="cellIs" dxfId="27870" priority="13994" stopIfTrue="1" operator="equal">
      <formula>"Napkin Hs"</formula>
    </cfRule>
  </conditionalFormatting>
  <conditionalFormatting sqref="C53">
    <cfRule type="cellIs" dxfId="27869" priority="13991" stopIfTrue="1" operator="equal">
      <formula>"Towel"</formula>
    </cfRule>
    <cfRule type="cellIs" dxfId="27868" priority="13992" stopIfTrue="1" operator="equal">
      <formula>"Napkin Hs"</formula>
    </cfRule>
  </conditionalFormatting>
  <conditionalFormatting sqref="C53">
    <cfRule type="cellIs" dxfId="27867" priority="13989" stopIfTrue="1" operator="equal">
      <formula>"Towel"</formula>
    </cfRule>
    <cfRule type="cellIs" dxfId="27866" priority="13990" stopIfTrue="1" operator="equal">
      <formula>"Napkin Hs"</formula>
    </cfRule>
  </conditionalFormatting>
  <conditionalFormatting sqref="C53">
    <cfRule type="cellIs" dxfId="27865" priority="13987" stopIfTrue="1" operator="equal">
      <formula>"Towel"</formula>
    </cfRule>
    <cfRule type="cellIs" dxfId="27864" priority="13988" stopIfTrue="1" operator="equal">
      <formula>"Napkin Hs"</formula>
    </cfRule>
  </conditionalFormatting>
  <conditionalFormatting sqref="C53">
    <cfRule type="cellIs" dxfId="27863" priority="13985" stopIfTrue="1" operator="equal">
      <formula>"Towel"</formula>
    </cfRule>
    <cfRule type="cellIs" dxfId="27862" priority="13986" stopIfTrue="1" operator="equal">
      <formula>"Napkin Hs"</formula>
    </cfRule>
  </conditionalFormatting>
  <conditionalFormatting sqref="C53">
    <cfRule type="cellIs" dxfId="27861" priority="13983" stopIfTrue="1" operator="equal">
      <formula>"Towel"</formula>
    </cfRule>
    <cfRule type="cellIs" dxfId="27860" priority="13984" stopIfTrue="1" operator="equal">
      <formula>"Napkin Hs"</formula>
    </cfRule>
  </conditionalFormatting>
  <conditionalFormatting sqref="C53">
    <cfRule type="cellIs" dxfId="27859" priority="13981" stopIfTrue="1" operator="equal">
      <formula>"Towel"</formula>
    </cfRule>
    <cfRule type="cellIs" dxfId="27858" priority="13982" stopIfTrue="1" operator="equal">
      <formula>"Napkin Hs"</formula>
    </cfRule>
  </conditionalFormatting>
  <conditionalFormatting sqref="C53">
    <cfRule type="cellIs" dxfId="27857" priority="13979" stopIfTrue="1" operator="equal">
      <formula>"Towel"</formula>
    </cfRule>
    <cfRule type="cellIs" dxfId="27856" priority="13980" stopIfTrue="1" operator="equal">
      <formula>"Napkin Hs"</formula>
    </cfRule>
  </conditionalFormatting>
  <conditionalFormatting sqref="C53">
    <cfRule type="cellIs" dxfId="27855" priority="13973" stopIfTrue="1" operator="equal">
      <formula>"Towel"</formula>
    </cfRule>
    <cfRule type="cellIs" dxfId="27854" priority="13974" stopIfTrue="1" operator="equal">
      <formula>"Napkin Hs"</formula>
    </cfRule>
  </conditionalFormatting>
  <conditionalFormatting sqref="C53">
    <cfRule type="cellIs" dxfId="27853" priority="13967" stopIfTrue="1" operator="equal">
      <formula>"Towel"</formula>
    </cfRule>
    <cfRule type="cellIs" dxfId="27852" priority="13968" stopIfTrue="1" operator="equal">
      <formula>"Napkin Hs"</formula>
    </cfRule>
  </conditionalFormatting>
  <conditionalFormatting sqref="C53">
    <cfRule type="cellIs" dxfId="27851" priority="13961" stopIfTrue="1" operator="equal">
      <formula>"Towel"</formula>
    </cfRule>
    <cfRule type="cellIs" dxfId="27850" priority="13962" stopIfTrue="1" operator="equal">
      <formula>"Napkin Hs"</formula>
    </cfRule>
  </conditionalFormatting>
  <conditionalFormatting sqref="C53">
    <cfRule type="cellIs" dxfId="27849" priority="13960" stopIfTrue="1" operator="equal">
      <formula>"Napkin Hs"</formula>
    </cfRule>
  </conditionalFormatting>
  <conditionalFormatting sqref="C53">
    <cfRule type="cellIs" dxfId="27848" priority="13959" stopIfTrue="1" operator="equal">
      <formula>"Towel"</formula>
    </cfRule>
  </conditionalFormatting>
  <conditionalFormatting sqref="C53">
    <cfRule type="cellIs" dxfId="27847" priority="13958" stopIfTrue="1" operator="equal">
      <formula>"Napkin Hs"</formula>
    </cfRule>
  </conditionalFormatting>
  <conditionalFormatting sqref="C53">
    <cfRule type="cellIs" dxfId="27846" priority="13957" stopIfTrue="1" operator="equal">
      <formula>"Towel"</formula>
    </cfRule>
  </conditionalFormatting>
  <conditionalFormatting sqref="C53">
    <cfRule type="cellIs" dxfId="27845" priority="13955" stopIfTrue="1" operator="equal">
      <formula>"Towel"</formula>
    </cfRule>
    <cfRule type="cellIs" dxfId="27844" priority="13956" stopIfTrue="1" operator="equal">
      <formula>"Napkin Hs"</formula>
    </cfRule>
  </conditionalFormatting>
  <conditionalFormatting sqref="C53">
    <cfRule type="cellIs" dxfId="27843" priority="13953" stopIfTrue="1" operator="equal">
      <formula>"Towel"</formula>
    </cfRule>
    <cfRule type="cellIs" dxfId="27842" priority="13954" stopIfTrue="1" operator="equal">
      <formula>"Napkin Hs"</formula>
    </cfRule>
  </conditionalFormatting>
  <conditionalFormatting sqref="C53">
    <cfRule type="cellIs" dxfId="27841" priority="13951" stopIfTrue="1" operator="equal">
      <formula>"Towel"</formula>
    </cfRule>
    <cfRule type="cellIs" dxfId="27840" priority="13952" stopIfTrue="1" operator="equal">
      <formula>"Napkin Hs"</formula>
    </cfRule>
  </conditionalFormatting>
  <conditionalFormatting sqref="C53">
    <cfRule type="cellIs" dxfId="27839" priority="13941" stopIfTrue="1" operator="equal">
      <formula>"Towel"</formula>
    </cfRule>
    <cfRule type="cellIs" dxfId="27838" priority="13942" stopIfTrue="1" operator="equal">
      <formula>"Napkin Hs"</formula>
    </cfRule>
  </conditionalFormatting>
  <conditionalFormatting sqref="C53">
    <cfRule type="cellIs" dxfId="27837" priority="13939" stopIfTrue="1" operator="equal">
      <formula>"Towel"</formula>
    </cfRule>
    <cfRule type="cellIs" dxfId="27836" priority="13940" stopIfTrue="1" operator="equal">
      <formula>"Napkin Hs"</formula>
    </cfRule>
  </conditionalFormatting>
  <conditionalFormatting sqref="C53">
    <cfRule type="cellIs" dxfId="27835" priority="13937" stopIfTrue="1" operator="equal">
      <formula>"Towel"</formula>
    </cfRule>
    <cfRule type="cellIs" dxfId="27834" priority="13938" stopIfTrue="1" operator="equal">
      <formula>"Napkin Hs"</formula>
    </cfRule>
  </conditionalFormatting>
  <conditionalFormatting sqref="C53">
    <cfRule type="cellIs" dxfId="27833" priority="13935" stopIfTrue="1" operator="equal">
      <formula>"Towel"</formula>
    </cfRule>
    <cfRule type="cellIs" dxfId="27832" priority="13936" stopIfTrue="1" operator="equal">
      <formula>"Napkin Hs"</formula>
    </cfRule>
  </conditionalFormatting>
  <conditionalFormatting sqref="C53">
    <cfRule type="cellIs" dxfId="27831" priority="13933" stopIfTrue="1" operator="equal">
      <formula>"Towel"</formula>
    </cfRule>
    <cfRule type="cellIs" dxfId="27830" priority="13934" stopIfTrue="1" operator="equal">
      <formula>"Napkin Hs"</formula>
    </cfRule>
  </conditionalFormatting>
  <conditionalFormatting sqref="C53">
    <cfRule type="cellIs" dxfId="27829" priority="13931" stopIfTrue="1" operator="equal">
      <formula>"Towel"</formula>
    </cfRule>
    <cfRule type="cellIs" dxfId="27828" priority="13932" stopIfTrue="1" operator="equal">
      <formula>"Napkin Hs"</formula>
    </cfRule>
  </conditionalFormatting>
  <conditionalFormatting sqref="C53">
    <cfRule type="cellIs" dxfId="27827" priority="13929" stopIfTrue="1" operator="equal">
      <formula>"Towel"</formula>
    </cfRule>
    <cfRule type="cellIs" dxfId="27826" priority="13930" stopIfTrue="1" operator="equal">
      <formula>"Napkin Hs"</formula>
    </cfRule>
  </conditionalFormatting>
  <conditionalFormatting sqref="C53">
    <cfRule type="cellIs" dxfId="27825" priority="13927" stopIfTrue="1" operator="equal">
      <formula>"Towel"</formula>
    </cfRule>
    <cfRule type="cellIs" dxfId="27824" priority="13928" stopIfTrue="1" operator="equal">
      <formula>"Napkin Hs"</formula>
    </cfRule>
  </conditionalFormatting>
  <conditionalFormatting sqref="C53">
    <cfRule type="cellIs" dxfId="27823" priority="13925" stopIfTrue="1" operator="equal">
      <formula>"Towel"</formula>
    </cfRule>
    <cfRule type="cellIs" dxfId="27822" priority="13926" stopIfTrue="1" operator="equal">
      <formula>"Napkin Hs"</formula>
    </cfRule>
  </conditionalFormatting>
  <conditionalFormatting sqref="C53">
    <cfRule type="cellIs" dxfId="27821" priority="13912" stopIfTrue="1" operator="equal">
      <formula>"Napkin Hs"</formula>
    </cfRule>
  </conditionalFormatting>
  <conditionalFormatting sqref="C53">
    <cfRule type="cellIs" dxfId="27820" priority="13911" stopIfTrue="1" operator="equal">
      <formula>"Towel"</formula>
    </cfRule>
  </conditionalFormatting>
  <conditionalFormatting sqref="C53">
    <cfRule type="cellIs" dxfId="27819" priority="13910" stopIfTrue="1" operator="equal">
      <formula>"Napkin Hs"</formula>
    </cfRule>
  </conditionalFormatting>
  <conditionalFormatting sqref="C53">
    <cfRule type="cellIs" dxfId="27818" priority="13907" stopIfTrue="1" operator="equal">
      <formula>"Towel"</formula>
    </cfRule>
    <cfRule type="cellIs" dxfId="27817" priority="13908" stopIfTrue="1" operator="equal">
      <formula>"Napkin Hs"</formula>
    </cfRule>
  </conditionalFormatting>
  <conditionalFormatting sqref="C53">
    <cfRule type="cellIs" dxfId="27816" priority="13909" stopIfTrue="1" operator="equal">
      <formula>"Towel"</formula>
    </cfRule>
  </conditionalFormatting>
  <conditionalFormatting sqref="C53">
    <cfRule type="cellIs" dxfId="27815" priority="14027" stopIfTrue="1" operator="equal">
      <formula>"Towel"</formula>
    </cfRule>
    <cfRule type="cellIs" dxfId="27814" priority="14028" stopIfTrue="1" operator="equal">
      <formula>"Napkin Hs"</formula>
    </cfRule>
  </conditionalFormatting>
  <conditionalFormatting sqref="C53">
    <cfRule type="cellIs" dxfId="27813" priority="14026" stopIfTrue="1" operator="equal">
      <formula>"Napkin Hs"</formula>
    </cfRule>
  </conditionalFormatting>
  <conditionalFormatting sqref="C53">
    <cfRule type="cellIs" dxfId="27812" priority="14025" stopIfTrue="1" operator="equal">
      <formula>"Towel"</formula>
    </cfRule>
  </conditionalFormatting>
  <conditionalFormatting sqref="C53">
    <cfRule type="cellIs" dxfId="27811" priority="14024" stopIfTrue="1" operator="equal">
      <formula>"Napkin Hs"</formula>
    </cfRule>
  </conditionalFormatting>
  <conditionalFormatting sqref="C53">
    <cfRule type="cellIs" dxfId="27810" priority="14021" stopIfTrue="1" operator="equal">
      <formula>"Towel"</formula>
    </cfRule>
    <cfRule type="cellIs" dxfId="27809" priority="14022" stopIfTrue="1" operator="equal">
      <formula>"Napkin Hs"</formula>
    </cfRule>
  </conditionalFormatting>
  <conditionalFormatting sqref="C53">
    <cfRule type="cellIs" dxfId="27808" priority="14023" stopIfTrue="1" operator="equal">
      <formula>"Towel"</formula>
    </cfRule>
  </conditionalFormatting>
  <conditionalFormatting sqref="C53">
    <cfRule type="cellIs" dxfId="27807" priority="14031" stopIfTrue="1" operator="equal">
      <formula>"Towel"</formula>
    </cfRule>
    <cfRule type="cellIs" dxfId="27806" priority="14032" stopIfTrue="1" operator="equal">
      <formula>"Napkin Hs"</formula>
    </cfRule>
  </conditionalFormatting>
  <conditionalFormatting sqref="C53">
    <cfRule type="cellIs" dxfId="27805" priority="14029" stopIfTrue="1" operator="equal">
      <formula>"Towel"</formula>
    </cfRule>
    <cfRule type="cellIs" dxfId="27804" priority="14030" stopIfTrue="1" operator="equal">
      <formula>"Napkin Hs"</formula>
    </cfRule>
  </conditionalFormatting>
  <conditionalFormatting sqref="C53">
    <cfRule type="cellIs" dxfId="27803" priority="14001" stopIfTrue="1" operator="equal">
      <formula>"Towel"</formula>
    </cfRule>
    <cfRule type="cellIs" dxfId="27802" priority="14002" stopIfTrue="1" operator="equal">
      <formula>"Napkin Hs"</formula>
    </cfRule>
  </conditionalFormatting>
  <conditionalFormatting sqref="C53">
    <cfRule type="cellIs" dxfId="27801" priority="13999" stopIfTrue="1" operator="equal">
      <formula>"Towel"</formula>
    </cfRule>
    <cfRule type="cellIs" dxfId="27800" priority="14000" stopIfTrue="1" operator="equal">
      <formula>"Napkin Hs"</formula>
    </cfRule>
  </conditionalFormatting>
  <conditionalFormatting sqref="C53">
    <cfRule type="cellIs" dxfId="27799" priority="13978" stopIfTrue="1" operator="equal">
      <formula>"Napkin Hs"</formula>
    </cfRule>
  </conditionalFormatting>
  <conditionalFormatting sqref="C53">
    <cfRule type="cellIs" dxfId="27798" priority="13977" stopIfTrue="1" operator="equal">
      <formula>"Towel"</formula>
    </cfRule>
  </conditionalFormatting>
  <conditionalFormatting sqref="C53">
    <cfRule type="cellIs" dxfId="27797" priority="13976" stopIfTrue="1" operator="equal">
      <formula>"Napkin Hs"</formula>
    </cfRule>
  </conditionalFormatting>
  <conditionalFormatting sqref="C53">
    <cfRule type="cellIs" dxfId="27796" priority="13975" stopIfTrue="1" operator="equal">
      <formula>"Towel"</formula>
    </cfRule>
  </conditionalFormatting>
  <conditionalFormatting sqref="C53">
    <cfRule type="cellIs" dxfId="27795" priority="13972" stopIfTrue="1" operator="equal">
      <formula>"Napkin Hs"</formula>
    </cfRule>
  </conditionalFormatting>
  <conditionalFormatting sqref="C53">
    <cfRule type="cellIs" dxfId="27794" priority="13971" stopIfTrue="1" operator="equal">
      <formula>"Towel"</formula>
    </cfRule>
  </conditionalFormatting>
  <conditionalFormatting sqref="C53">
    <cfRule type="cellIs" dxfId="27793" priority="13970" stopIfTrue="1" operator="equal">
      <formula>"Napkin Hs"</formula>
    </cfRule>
  </conditionalFormatting>
  <conditionalFormatting sqref="C53">
    <cfRule type="cellIs" dxfId="27792" priority="13969" stopIfTrue="1" operator="equal">
      <formula>"Towel"</formula>
    </cfRule>
  </conditionalFormatting>
  <conditionalFormatting sqref="C53">
    <cfRule type="cellIs" dxfId="27791" priority="13965" stopIfTrue="1" operator="equal">
      <formula>"Towel"</formula>
    </cfRule>
    <cfRule type="cellIs" dxfId="27790" priority="13966" stopIfTrue="1" operator="equal">
      <formula>"Napkin Hs"</formula>
    </cfRule>
  </conditionalFormatting>
  <conditionalFormatting sqref="C53">
    <cfRule type="cellIs" dxfId="27789" priority="13963" stopIfTrue="1" operator="equal">
      <formula>"Towel"</formula>
    </cfRule>
    <cfRule type="cellIs" dxfId="27788" priority="13964" stopIfTrue="1" operator="equal">
      <formula>"Napkin Hs"</formula>
    </cfRule>
  </conditionalFormatting>
  <conditionalFormatting sqref="C53">
    <cfRule type="cellIs" dxfId="27787" priority="13947" stopIfTrue="1" operator="equal">
      <formula>"Towel"</formula>
    </cfRule>
    <cfRule type="cellIs" dxfId="27786" priority="13948" stopIfTrue="1" operator="equal">
      <formula>"Napkin Hs"</formula>
    </cfRule>
  </conditionalFormatting>
  <conditionalFormatting sqref="C53">
    <cfRule type="cellIs" dxfId="27785" priority="13945" stopIfTrue="1" operator="equal">
      <formula>"Towel"</formula>
    </cfRule>
    <cfRule type="cellIs" dxfId="27784" priority="13946" stopIfTrue="1" operator="equal">
      <formula>"Napkin Hs"</formula>
    </cfRule>
  </conditionalFormatting>
  <conditionalFormatting sqref="B53:C53">
    <cfRule type="cellIs" dxfId="27783" priority="13906" stopIfTrue="1" operator="equal">
      <formula>"Napkin Hs"</formula>
    </cfRule>
  </conditionalFormatting>
  <conditionalFormatting sqref="B53:C53">
    <cfRule type="cellIs" dxfId="27782" priority="13905" stopIfTrue="1" operator="equal">
      <formula>"Towel"</formula>
    </cfRule>
  </conditionalFormatting>
  <conditionalFormatting sqref="C53">
    <cfRule type="cellIs" dxfId="27781" priority="13904" stopIfTrue="1" operator="equal">
      <formula>"Napkin Hs"</formula>
    </cfRule>
  </conditionalFormatting>
  <conditionalFormatting sqref="C53">
    <cfRule type="cellIs" dxfId="27780" priority="13901" stopIfTrue="1" operator="equal">
      <formula>"Towel"</formula>
    </cfRule>
    <cfRule type="cellIs" dxfId="27779" priority="13902" stopIfTrue="1" operator="equal">
      <formula>"Napkin Hs"</formula>
    </cfRule>
  </conditionalFormatting>
  <conditionalFormatting sqref="C53">
    <cfRule type="cellIs" dxfId="27778" priority="13903" stopIfTrue="1" operator="equal">
      <formula>"Towel"</formula>
    </cfRule>
  </conditionalFormatting>
  <conditionalFormatting sqref="B59:C59">
    <cfRule type="cellIs" dxfId="27777" priority="13899" stopIfTrue="1" operator="equal">
      <formula>"Towel"</formula>
    </cfRule>
    <cfRule type="cellIs" dxfId="27776" priority="13900" stopIfTrue="1" operator="equal">
      <formula>"Napkin Hs"</formula>
    </cfRule>
  </conditionalFormatting>
  <conditionalFormatting sqref="C59">
    <cfRule type="cellIs" dxfId="27775" priority="13893" stopIfTrue="1" operator="equal">
      <formula>"Towel"</formula>
    </cfRule>
    <cfRule type="cellIs" dxfId="27774" priority="13894" stopIfTrue="1" operator="equal">
      <formula>"Napkin Hs"</formula>
    </cfRule>
  </conditionalFormatting>
  <conditionalFormatting sqref="C59">
    <cfRule type="cellIs" dxfId="27773" priority="13897" stopIfTrue="1" operator="equal">
      <formula>"Towel"</formula>
    </cfRule>
    <cfRule type="cellIs" dxfId="27772" priority="13898" stopIfTrue="1" operator="equal">
      <formula>"Napkin Hs"</formula>
    </cfRule>
  </conditionalFormatting>
  <conditionalFormatting sqref="B59:C59">
    <cfRule type="cellIs" dxfId="27771" priority="13889" stopIfTrue="1" operator="equal">
      <formula>"Towel"</formula>
    </cfRule>
    <cfRule type="cellIs" dxfId="27770" priority="13890" stopIfTrue="1" operator="equal">
      <formula>"Napkin Hs"</formula>
    </cfRule>
  </conditionalFormatting>
  <conditionalFormatting sqref="C59">
    <cfRule type="cellIs" dxfId="27769" priority="13883" stopIfTrue="1" operator="equal">
      <formula>"Towel"</formula>
    </cfRule>
    <cfRule type="cellIs" dxfId="27768" priority="13884" stopIfTrue="1" operator="equal">
      <formula>"Napkin Hs"</formula>
    </cfRule>
  </conditionalFormatting>
  <conditionalFormatting sqref="C59">
    <cfRule type="cellIs" dxfId="27767" priority="13887" stopIfTrue="1" operator="equal">
      <formula>"Towel"</formula>
    </cfRule>
    <cfRule type="cellIs" dxfId="27766" priority="13888" stopIfTrue="1" operator="equal">
      <formula>"Napkin Hs"</formula>
    </cfRule>
  </conditionalFormatting>
  <conditionalFormatting sqref="B59:C59">
    <cfRule type="cellIs" dxfId="27765" priority="13875" stopIfTrue="1" operator="equal">
      <formula>"Towel"</formula>
    </cfRule>
    <cfRule type="cellIs" dxfId="27764" priority="13876" stopIfTrue="1" operator="equal">
      <formula>"Napkin Hs"</formula>
    </cfRule>
  </conditionalFormatting>
  <conditionalFormatting sqref="C59">
    <cfRule type="cellIs" dxfId="27763" priority="13873" stopIfTrue="1" operator="equal">
      <formula>"Towel"</formula>
    </cfRule>
    <cfRule type="cellIs" dxfId="27762" priority="13874" stopIfTrue="1" operator="equal">
      <formula>"Napkin Hs"</formula>
    </cfRule>
  </conditionalFormatting>
  <conditionalFormatting sqref="C59">
    <cfRule type="cellIs" dxfId="27761" priority="13871" stopIfTrue="1" operator="equal">
      <formula>"Towel"</formula>
    </cfRule>
    <cfRule type="cellIs" dxfId="27760" priority="13872" stopIfTrue="1" operator="equal">
      <formula>"Napkin Hs"</formula>
    </cfRule>
  </conditionalFormatting>
  <conditionalFormatting sqref="B59:C59">
    <cfRule type="cellIs" dxfId="27759" priority="13870" stopIfTrue="1" operator="equal">
      <formula>"Napkin Hs"</formula>
    </cfRule>
  </conditionalFormatting>
  <conditionalFormatting sqref="B59:C59">
    <cfRule type="cellIs" dxfId="27758" priority="13869" stopIfTrue="1" operator="equal">
      <formula>"Towel"</formula>
    </cfRule>
  </conditionalFormatting>
  <conditionalFormatting sqref="C59">
    <cfRule type="cellIs" dxfId="27757" priority="13868" stopIfTrue="1" operator="equal">
      <formula>"Napkin Hs"</formula>
    </cfRule>
  </conditionalFormatting>
  <conditionalFormatting sqref="C59">
    <cfRule type="cellIs" dxfId="27756" priority="13867" stopIfTrue="1" operator="equal">
      <formula>"Towel"</formula>
    </cfRule>
  </conditionalFormatting>
  <conditionalFormatting sqref="C59">
    <cfRule type="cellIs" dxfId="27755" priority="13863" stopIfTrue="1" operator="equal">
      <formula>"Towel"</formula>
    </cfRule>
    <cfRule type="cellIs" dxfId="27754" priority="13864" stopIfTrue="1" operator="equal">
      <formula>"Napkin Hs"</formula>
    </cfRule>
  </conditionalFormatting>
  <conditionalFormatting sqref="C59">
    <cfRule type="cellIs" dxfId="27753" priority="13859" stopIfTrue="1" operator="equal">
      <formula>"Towel"</formula>
    </cfRule>
    <cfRule type="cellIs" dxfId="27752" priority="13860" stopIfTrue="1" operator="equal">
      <formula>"Napkin Hs"</formula>
    </cfRule>
  </conditionalFormatting>
  <conditionalFormatting sqref="C59">
    <cfRule type="cellIs" dxfId="27751" priority="13769" stopIfTrue="1" operator="equal">
      <formula>"Towel"</formula>
    </cfRule>
    <cfRule type="cellIs" dxfId="27750" priority="13770" stopIfTrue="1" operator="equal">
      <formula>"Napkin Hs"</formula>
    </cfRule>
  </conditionalFormatting>
  <conditionalFormatting sqref="C59">
    <cfRule type="cellIs" dxfId="27749" priority="13763" stopIfTrue="1" operator="equal">
      <formula>"Towel"</formula>
    </cfRule>
    <cfRule type="cellIs" dxfId="27748" priority="13764" stopIfTrue="1" operator="equal">
      <formula>"Napkin Hs"</formula>
    </cfRule>
  </conditionalFormatting>
  <conditionalFormatting sqref="C59">
    <cfRule type="cellIs" dxfId="27747" priority="13744" stopIfTrue="1" operator="equal">
      <formula>"Napkin Hs"</formula>
    </cfRule>
  </conditionalFormatting>
  <conditionalFormatting sqref="C59">
    <cfRule type="cellIs" dxfId="27746" priority="13743" stopIfTrue="1" operator="equal">
      <formula>"Towel"</formula>
    </cfRule>
  </conditionalFormatting>
  <conditionalFormatting sqref="C59">
    <cfRule type="cellIs" dxfId="27745" priority="13742" stopIfTrue="1" operator="equal">
      <formula>"Napkin Hs"</formula>
    </cfRule>
  </conditionalFormatting>
  <conditionalFormatting sqref="C59">
    <cfRule type="cellIs" dxfId="27744" priority="13739" stopIfTrue="1" operator="equal">
      <formula>"Towel"</formula>
    </cfRule>
    <cfRule type="cellIs" dxfId="27743" priority="13740" stopIfTrue="1" operator="equal">
      <formula>"Napkin Hs"</formula>
    </cfRule>
  </conditionalFormatting>
  <conditionalFormatting sqref="C59">
    <cfRule type="cellIs" dxfId="27742" priority="13741" stopIfTrue="1" operator="equal">
      <formula>"Towel"</formula>
    </cfRule>
  </conditionalFormatting>
  <conditionalFormatting sqref="C59">
    <cfRule type="cellIs" dxfId="27741" priority="13738" stopIfTrue="1" operator="equal">
      <formula>"Napkin Hs"</formula>
    </cfRule>
  </conditionalFormatting>
  <conditionalFormatting sqref="C59">
    <cfRule type="cellIs" dxfId="27740" priority="13737" stopIfTrue="1" operator="equal">
      <formula>"Towel"</formula>
    </cfRule>
  </conditionalFormatting>
  <conditionalFormatting sqref="C59">
    <cfRule type="cellIs" dxfId="27739" priority="13736" stopIfTrue="1" operator="equal">
      <formula>"Napkin Hs"</formula>
    </cfRule>
  </conditionalFormatting>
  <conditionalFormatting sqref="C59">
    <cfRule type="cellIs" dxfId="27738" priority="13733" stopIfTrue="1" operator="equal">
      <formula>"Towel"</formula>
    </cfRule>
    <cfRule type="cellIs" dxfId="27737" priority="13734" stopIfTrue="1" operator="equal">
      <formula>"Napkin Hs"</formula>
    </cfRule>
  </conditionalFormatting>
  <conditionalFormatting sqref="C59">
    <cfRule type="cellIs" dxfId="27736" priority="13735" stopIfTrue="1" operator="equal">
      <formula>"Towel"</formula>
    </cfRule>
  </conditionalFormatting>
  <conditionalFormatting sqref="C59">
    <cfRule type="cellIs" dxfId="27735" priority="13839" stopIfTrue="1" operator="equal">
      <formula>"Towel"</formula>
    </cfRule>
    <cfRule type="cellIs" dxfId="27734" priority="13840" stopIfTrue="1" operator="equal">
      <formula>"Napkin Hs"</formula>
    </cfRule>
  </conditionalFormatting>
  <conditionalFormatting sqref="C59">
    <cfRule type="cellIs" dxfId="27733" priority="13837" stopIfTrue="1" operator="equal">
      <formula>"Towel"</formula>
    </cfRule>
    <cfRule type="cellIs" dxfId="27732" priority="13838" stopIfTrue="1" operator="equal">
      <formula>"Napkin Hs"</formula>
    </cfRule>
  </conditionalFormatting>
  <conditionalFormatting sqref="C59">
    <cfRule type="cellIs" dxfId="27731" priority="13835" stopIfTrue="1" operator="equal">
      <formula>"Towel"</formula>
    </cfRule>
    <cfRule type="cellIs" dxfId="27730" priority="13836" stopIfTrue="1" operator="equal">
      <formula>"Napkin Hs"</formula>
    </cfRule>
  </conditionalFormatting>
  <conditionalFormatting sqref="C59">
    <cfRule type="cellIs" dxfId="27729" priority="13834" stopIfTrue="1" operator="equal">
      <formula>"Napkin Hs"</formula>
    </cfRule>
  </conditionalFormatting>
  <conditionalFormatting sqref="C59">
    <cfRule type="cellIs" dxfId="27728" priority="13833" stopIfTrue="1" operator="equal">
      <formula>"Towel"</formula>
    </cfRule>
  </conditionalFormatting>
  <conditionalFormatting sqref="C59">
    <cfRule type="cellIs" dxfId="27727" priority="13832" stopIfTrue="1" operator="equal">
      <formula>"Napkin Hs"</formula>
    </cfRule>
  </conditionalFormatting>
  <conditionalFormatting sqref="C59">
    <cfRule type="cellIs" dxfId="27726" priority="13831" stopIfTrue="1" operator="equal">
      <formula>"Towel"</formula>
    </cfRule>
  </conditionalFormatting>
  <conditionalFormatting sqref="C59">
    <cfRule type="cellIs" dxfId="27725" priority="13829" stopIfTrue="1" operator="equal">
      <formula>"Towel"</formula>
    </cfRule>
    <cfRule type="cellIs" dxfId="27724" priority="13830" stopIfTrue="1" operator="equal">
      <formula>"Napkin Hs"</formula>
    </cfRule>
  </conditionalFormatting>
  <conditionalFormatting sqref="C59">
    <cfRule type="cellIs" dxfId="27723" priority="13827" stopIfTrue="1" operator="equal">
      <formula>"Towel"</formula>
    </cfRule>
    <cfRule type="cellIs" dxfId="27722" priority="13828" stopIfTrue="1" operator="equal">
      <formula>"Napkin Hs"</formula>
    </cfRule>
  </conditionalFormatting>
  <conditionalFormatting sqref="C59">
    <cfRule type="cellIs" dxfId="27721" priority="13823" stopIfTrue="1" operator="equal">
      <formula>"Towel"</formula>
    </cfRule>
    <cfRule type="cellIs" dxfId="27720" priority="13824" stopIfTrue="1" operator="equal">
      <formula>"Napkin Hs"</formula>
    </cfRule>
  </conditionalFormatting>
  <conditionalFormatting sqref="C59">
    <cfRule type="cellIs" dxfId="27719" priority="13825" stopIfTrue="1" operator="equal">
      <formula>"Towel"</formula>
    </cfRule>
    <cfRule type="cellIs" dxfId="27718" priority="13826" stopIfTrue="1" operator="equal">
      <formula>"Napkin Hs"</formula>
    </cfRule>
  </conditionalFormatting>
  <conditionalFormatting sqref="C59">
    <cfRule type="cellIs" dxfId="27717" priority="13817" stopIfTrue="1" operator="equal">
      <formula>"Towel"</formula>
    </cfRule>
    <cfRule type="cellIs" dxfId="27716" priority="13818" stopIfTrue="1" operator="equal">
      <formula>"Napkin Hs"</formula>
    </cfRule>
  </conditionalFormatting>
  <conditionalFormatting sqref="C59">
    <cfRule type="cellIs" dxfId="27715" priority="13815" stopIfTrue="1" operator="equal">
      <formula>"Towel"</formula>
    </cfRule>
    <cfRule type="cellIs" dxfId="27714" priority="13816" stopIfTrue="1" operator="equal">
      <formula>"Napkin Hs"</formula>
    </cfRule>
  </conditionalFormatting>
  <conditionalFormatting sqref="C59">
    <cfRule type="cellIs" dxfId="27713" priority="13813" stopIfTrue="1" operator="equal">
      <formula>"Towel"</formula>
    </cfRule>
    <cfRule type="cellIs" dxfId="27712" priority="13814" stopIfTrue="1" operator="equal">
      <formula>"Napkin Hs"</formula>
    </cfRule>
  </conditionalFormatting>
  <conditionalFormatting sqref="C59">
    <cfRule type="cellIs" dxfId="27711" priority="13811" stopIfTrue="1" operator="equal">
      <formula>"Towel"</formula>
    </cfRule>
    <cfRule type="cellIs" dxfId="27710" priority="13812" stopIfTrue="1" operator="equal">
      <formula>"Napkin Hs"</formula>
    </cfRule>
  </conditionalFormatting>
  <conditionalFormatting sqref="C59">
    <cfRule type="cellIs" dxfId="27709" priority="13809" stopIfTrue="1" operator="equal">
      <formula>"Towel"</formula>
    </cfRule>
    <cfRule type="cellIs" dxfId="27708" priority="13810" stopIfTrue="1" operator="equal">
      <formula>"Napkin Hs"</formula>
    </cfRule>
  </conditionalFormatting>
  <conditionalFormatting sqref="C59">
    <cfRule type="cellIs" dxfId="27707" priority="13807" stopIfTrue="1" operator="equal">
      <formula>"Towel"</formula>
    </cfRule>
    <cfRule type="cellIs" dxfId="27706" priority="13808" stopIfTrue="1" operator="equal">
      <formula>"Napkin Hs"</formula>
    </cfRule>
  </conditionalFormatting>
  <conditionalFormatting sqref="C59">
    <cfRule type="cellIs" dxfId="27705" priority="13805" stopIfTrue="1" operator="equal">
      <formula>"Towel"</formula>
    </cfRule>
    <cfRule type="cellIs" dxfId="27704" priority="13806" stopIfTrue="1" operator="equal">
      <formula>"Napkin Hs"</formula>
    </cfRule>
  </conditionalFormatting>
  <conditionalFormatting sqref="C59">
    <cfRule type="cellIs" dxfId="27703" priority="13803" stopIfTrue="1" operator="equal">
      <formula>"Towel"</formula>
    </cfRule>
    <cfRule type="cellIs" dxfId="27702" priority="13804" stopIfTrue="1" operator="equal">
      <formula>"Napkin Hs"</formula>
    </cfRule>
  </conditionalFormatting>
  <conditionalFormatting sqref="C59">
    <cfRule type="cellIs" dxfId="27701" priority="13801" stopIfTrue="1" operator="equal">
      <formula>"Towel"</formula>
    </cfRule>
    <cfRule type="cellIs" dxfId="27700" priority="13802" stopIfTrue="1" operator="equal">
      <formula>"Napkin Hs"</formula>
    </cfRule>
  </conditionalFormatting>
  <conditionalFormatting sqref="C59">
    <cfRule type="cellIs" dxfId="27699" priority="13799" stopIfTrue="1" operator="equal">
      <formula>"Towel"</formula>
    </cfRule>
    <cfRule type="cellIs" dxfId="27698" priority="13800" stopIfTrue="1" operator="equal">
      <formula>"Napkin Hs"</formula>
    </cfRule>
  </conditionalFormatting>
  <conditionalFormatting sqref="C59">
    <cfRule type="cellIs" dxfId="27697" priority="13793" stopIfTrue="1" operator="equal">
      <formula>"Towel"</formula>
    </cfRule>
    <cfRule type="cellIs" dxfId="27696" priority="13794" stopIfTrue="1" operator="equal">
      <formula>"Napkin Hs"</formula>
    </cfRule>
  </conditionalFormatting>
  <conditionalFormatting sqref="C59">
    <cfRule type="cellIs" dxfId="27695" priority="13787" stopIfTrue="1" operator="equal">
      <formula>"Towel"</formula>
    </cfRule>
    <cfRule type="cellIs" dxfId="27694" priority="13788" stopIfTrue="1" operator="equal">
      <formula>"Napkin Hs"</formula>
    </cfRule>
  </conditionalFormatting>
  <conditionalFormatting sqref="C59">
    <cfRule type="cellIs" dxfId="27693" priority="13781" stopIfTrue="1" operator="equal">
      <formula>"Towel"</formula>
    </cfRule>
    <cfRule type="cellIs" dxfId="27692" priority="13782" stopIfTrue="1" operator="equal">
      <formula>"Napkin Hs"</formula>
    </cfRule>
  </conditionalFormatting>
  <conditionalFormatting sqref="C59">
    <cfRule type="cellIs" dxfId="27691" priority="13780" stopIfTrue="1" operator="equal">
      <formula>"Napkin Hs"</formula>
    </cfRule>
  </conditionalFormatting>
  <conditionalFormatting sqref="C59">
    <cfRule type="cellIs" dxfId="27690" priority="13779" stopIfTrue="1" operator="equal">
      <formula>"Towel"</formula>
    </cfRule>
  </conditionalFormatting>
  <conditionalFormatting sqref="C59">
    <cfRule type="cellIs" dxfId="27689" priority="13778" stopIfTrue="1" operator="equal">
      <formula>"Napkin Hs"</formula>
    </cfRule>
  </conditionalFormatting>
  <conditionalFormatting sqref="C59">
    <cfRule type="cellIs" dxfId="27688" priority="13777" stopIfTrue="1" operator="equal">
      <formula>"Towel"</formula>
    </cfRule>
  </conditionalFormatting>
  <conditionalFormatting sqref="C59">
    <cfRule type="cellIs" dxfId="27687" priority="13775" stopIfTrue="1" operator="equal">
      <formula>"Towel"</formula>
    </cfRule>
    <cfRule type="cellIs" dxfId="27686" priority="13776" stopIfTrue="1" operator="equal">
      <formula>"Napkin Hs"</formula>
    </cfRule>
  </conditionalFormatting>
  <conditionalFormatting sqref="C59">
    <cfRule type="cellIs" dxfId="27685" priority="13773" stopIfTrue="1" operator="equal">
      <formula>"Towel"</formula>
    </cfRule>
    <cfRule type="cellIs" dxfId="27684" priority="13774" stopIfTrue="1" operator="equal">
      <formula>"Napkin Hs"</formula>
    </cfRule>
  </conditionalFormatting>
  <conditionalFormatting sqref="C59">
    <cfRule type="cellIs" dxfId="27683" priority="13771" stopIfTrue="1" operator="equal">
      <formula>"Towel"</formula>
    </cfRule>
    <cfRule type="cellIs" dxfId="27682" priority="13772" stopIfTrue="1" operator="equal">
      <formula>"Napkin Hs"</formula>
    </cfRule>
  </conditionalFormatting>
  <conditionalFormatting sqref="C59">
    <cfRule type="cellIs" dxfId="27681" priority="13761" stopIfTrue="1" operator="equal">
      <formula>"Towel"</formula>
    </cfRule>
    <cfRule type="cellIs" dxfId="27680" priority="13762" stopIfTrue="1" operator="equal">
      <formula>"Napkin Hs"</formula>
    </cfRule>
  </conditionalFormatting>
  <conditionalFormatting sqref="C59">
    <cfRule type="cellIs" dxfId="27679" priority="13759" stopIfTrue="1" operator="equal">
      <formula>"Towel"</formula>
    </cfRule>
    <cfRule type="cellIs" dxfId="27678" priority="13760" stopIfTrue="1" operator="equal">
      <formula>"Napkin Hs"</formula>
    </cfRule>
  </conditionalFormatting>
  <conditionalFormatting sqref="C59">
    <cfRule type="cellIs" dxfId="27677" priority="13757" stopIfTrue="1" operator="equal">
      <formula>"Towel"</formula>
    </cfRule>
    <cfRule type="cellIs" dxfId="27676" priority="13758" stopIfTrue="1" operator="equal">
      <formula>"Napkin Hs"</formula>
    </cfRule>
  </conditionalFormatting>
  <conditionalFormatting sqref="C59">
    <cfRule type="cellIs" dxfId="27675" priority="13755" stopIfTrue="1" operator="equal">
      <formula>"Towel"</formula>
    </cfRule>
    <cfRule type="cellIs" dxfId="27674" priority="13756" stopIfTrue="1" operator="equal">
      <formula>"Napkin Hs"</formula>
    </cfRule>
  </conditionalFormatting>
  <conditionalFormatting sqref="C59">
    <cfRule type="cellIs" dxfId="27673" priority="13753" stopIfTrue="1" operator="equal">
      <formula>"Towel"</formula>
    </cfRule>
    <cfRule type="cellIs" dxfId="27672" priority="13754" stopIfTrue="1" operator="equal">
      <formula>"Napkin Hs"</formula>
    </cfRule>
  </conditionalFormatting>
  <conditionalFormatting sqref="C59">
    <cfRule type="cellIs" dxfId="27671" priority="13751" stopIfTrue="1" operator="equal">
      <formula>"Towel"</formula>
    </cfRule>
    <cfRule type="cellIs" dxfId="27670" priority="13752" stopIfTrue="1" operator="equal">
      <formula>"Napkin Hs"</formula>
    </cfRule>
  </conditionalFormatting>
  <conditionalFormatting sqref="C59">
    <cfRule type="cellIs" dxfId="27669" priority="13749" stopIfTrue="1" operator="equal">
      <formula>"Towel"</formula>
    </cfRule>
    <cfRule type="cellIs" dxfId="27668" priority="13750" stopIfTrue="1" operator="equal">
      <formula>"Napkin Hs"</formula>
    </cfRule>
  </conditionalFormatting>
  <conditionalFormatting sqref="C59">
    <cfRule type="cellIs" dxfId="27667" priority="13747" stopIfTrue="1" operator="equal">
      <formula>"Towel"</formula>
    </cfRule>
    <cfRule type="cellIs" dxfId="27666" priority="13748" stopIfTrue="1" operator="equal">
      <formula>"Napkin Hs"</formula>
    </cfRule>
  </conditionalFormatting>
  <conditionalFormatting sqref="C59">
    <cfRule type="cellIs" dxfId="27665" priority="13745" stopIfTrue="1" operator="equal">
      <formula>"Towel"</formula>
    </cfRule>
    <cfRule type="cellIs" dxfId="27664" priority="13746" stopIfTrue="1" operator="equal">
      <formula>"Napkin Hs"</formula>
    </cfRule>
  </conditionalFormatting>
  <conditionalFormatting sqref="C59">
    <cfRule type="cellIs" dxfId="27663" priority="13732" stopIfTrue="1" operator="equal">
      <formula>"Napkin Hs"</formula>
    </cfRule>
  </conditionalFormatting>
  <conditionalFormatting sqref="C59">
    <cfRule type="cellIs" dxfId="27662" priority="13731" stopIfTrue="1" operator="equal">
      <formula>"Towel"</formula>
    </cfRule>
  </conditionalFormatting>
  <conditionalFormatting sqref="C59">
    <cfRule type="cellIs" dxfId="27661" priority="13730" stopIfTrue="1" operator="equal">
      <formula>"Napkin Hs"</formula>
    </cfRule>
  </conditionalFormatting>
  <conditionalFormatting sqref="C59">
    <cfRule type="cellIs" dxfId="27660" priority="13727" stopIfTrue="1" operator="equal">
      <formula>"Towel"</formula>
    </cfRule>
    <cfRule type="cellIs" dxfId="27659" priority="13728" stopIfTrue="1" operator="equal">
      <formula>"Napkin Hs"</formula>
    </cfRule>
  </conditionalFormatting>
  <conditionalFormatting sqref="C59">
    <cfRule type="cellIs" dxfId="27658" priority="13729" stopIfTrue="1" operator="equal">
      <formula>"Towel"</formula>
    </cfRule>
  </conditionalFormatting>
  <conditionalFormatting sqref="C59">
    <cfRule type="cellIs" dxfId="27657" priority="13847" stopIfTrue="1" operator="equal">
      <formula>"Towel"</formula>
    </cfRule>
    <cfRule type="cellIs" dxfId="27656" priority="13848" stopIfTrue="1" operator="equal">
      <formula>"Napkin Hs"</formula>
    </cfRule>
  </conditionalFormatting>
  <conditionalFormatting sqref="C59">
    <cfRule type="cellIs" dxfId="27655" priority="13846" stopIfTrue="1" operator="equal">
      <formula>"Napkin Hs"</formula>
    </cfRule>
  </conditionalFormatting>
  <conditionalFormatting sqref="C59">
    <cfRule type="cellIs" dxfId="27654" priority="13845" stopIfTrue="1" operator="equal">
      <formula>"Towel"</formula>
    </cfRule>
  </conditionalFormatting>
  <conditionalFormatting sqref="C59">
    <cfRule type="cellIs" dxfId="27653" priority="13844" stopIfTrue="1" operator="equal">
      <formula>"Napkin Hs"</formula>
    </cfRule>
  </conditionalFormatting>
  <conditionalFormatting sqref="C59">
    <cfRule type="cellIs" dxfId="27652" priority="13841" stopIfTrue="1" operator="equal">
      <formula>"Towel"</formula>
    </cfRule>
    <cfRule type="cellIs" dxfId="27651" priority="13842" stopIfTrue="1" operator="equal">
      <formula>"Napkin Hs"</formula>
    </cfRule>
  </conditionalFormatting>
  <conditionalFormatting sqref="C59">
    <cfRule type="cellIs" dxfId="27650" priority="13843" stopIfTrue="1" operator="equal">
      <formula>"Towel"</formula>
    </cfRule>
  </conditionalFormatting>
  <conditionalFormatting sqref="C59">
    <cfRule type="cellIs" dxfId="27649" priority="13851" stopIfTrue="1" operator="equal">
      <formula>"Towel"</formula>
    </cfRule>
    <cfRule type="cellIs" dxfId="27648" priority="13852" stopIfTrue="1" operator="equal">
      <formula>"Napkin Hs"</formula>
    </cfRule>
  </conditionalFormatting>
  <conditionalFormatting sqref="C59">
    <cfRule type="cellIs" dxfId="27647" priority="13849" stopIfTrue="1" operator="equal">
      <formula>"Towel"</formula>
    </cfRule>
    <cfRule type="cellIs" dxfId="27646" priority="13850" stopIfTrue="1" operator="equal">
      <formula>"Napkin Hs"</formula>
    </cfRule>
  </conditionalFormatting>
  <conditionalFormatting sqref="C59">
    <cfRule type="cellIs" dxfId="27645" priority="13821" stopIfTrue="1" operator="equal">
      <formula>"Towel"</formula>
    </cfRule>
    <cfRule type="cellIs" dxfId="27644" priority="13822" stopIfTrue="1" operator="equal">
      <formula>"Napkin Hs"</formula>
    </cfRule>
  </conditionalFormatting>
  <conditionalFormatting sqref="C59">
    <cfRule type="cellIs" dxfId="27643" priority="13819" stopIfTrue="1" operator="equal">
      <formula>"Towel"</formula>
    </cfRule>
    <cfRule type="cellIs" dxfId="27642" priority="13820" stopIfTrue="1" operator="equal">
      <formula>"Napkin Hs"</formula>
    </cfRule>
  </conditionalFormatting>
  <conditionalFormatting sqref="C59">
    <cfRule type="cellIs" dxfId="27641" priority="13798" stopIfTrue="1" operator="equal">
      <formula>"Napkin Hs"</formula>
    </cfRule>
  </conditionalFormatting>
  <conditionalFormatting sqref="C59">
    <cfRule type="cellIs" dxfId="27640" priority="13797" stopIfTrue="1" operator="equal">
      <formula>"Towel"</formula>
    </cfRule>
  </conditionalFormatting>
  <conditionalFormatting sqref="C59">
    <cfRule type="cellIs" dxfId="27639" priority="13796" stopIfTrue="1" operator="equal">
      <formula>"Napkin Hs"</formula>
    </cfRule>
  </conditionalFormatting>
  <conditionalFormatting sqref="C59">
    <cfRule type="cellIs" dxfId="27638" priority="13795" stopIfTrue="1" operator="equal">
      <formula>"Towel"</formula>
    </cfRule>
  </conditionalFormatting>
  <conditionalFormatting sqref="C59">
    <cfRule type="cellIs" dxfId="27637" priority="13792" stopIfTrue="1" operator="equal">
      <formula>"Napkin Hs"</formula>
    </cfRule>
  </conditionalFormatting>
  <conditionalFormatting sqref="C59">
    <cfRule type="cellIs" dxfId="27636" priority="13791" stopIfTrue="1" operator="equal">
      <formula>"Towel"</formula>
    </cfRule>
  </conditionalFormatting>
  <conditionalFormatting sqref="C59">
    <cfRule type="cellIs" dxfId="27635" priority="13790" stopIfTrue="1" operator="equal">
      <formula>"Napkin Hs"</formula>
    </cfRule>
  </conditionalFormatting>
  <conditionalFormatting sqref="C59">
    <cfRule type="cellIs" dxfId="27634" priority="13789" stopIfTrue="1" operator="equal">
      <formula>"Towel"</formula>
    </cfRule>
  </conditionalFormatting>
  <conditionalFormatting sqref="C59">
    <cfRule type="cellIs" dxfId="27633" priority="13785" stopIfTrue="1" operator="equal">
      <formula>"Towel"</formula>
    </cfRule>
    <cfRule type="cellIs" dxfId="27632" priority="13786" stopIfTrue="1" operator="equal">
      <formula>"Napkin Hs"</formula>
    </cfRule>
  </conditionalFormatting>
  <conditionalFormatting sqref="C59">
    <cfRule type="cellIs" dxfId="27631" priority="13783" stopIfTrue="1" operator="equal">
      <formula>"Towel"</formula>
    </cfRule>
    <cfRule type="cellIs" dxfId="27630" priority="13784" stopIfTrue="1" operator="equal">
      <formula>"Napkin Hs"</formula>
    </cfRule>
  </conditionalFormatting>
  <conditionalFormatting sqref="C59">
    <cfRule type="cellIs" dxfId="27629" priority="13767" stopIfTrue="1" operator="equal">
      <formula>"Towel"</formula>
    </cfRule>
    <cfRule type="cellIs" dxfId="27628" priority="13768" stopIfTrue="1" operator="equal">
      <formula>"Napkin Hs"</formula>
    </cfRule>
  </conditionalFormatting>
  <conditionalFormatting sqref="C59">
    <cfRule type="cellIs" dxfId="27627" priority="13765" stopIfTrue="1" operator="equal">
      <formula>"Towel"</formula>
    </cfRule>
    <cfRule type="cellIs" dxfId="27626" priority="13766" stopIfTrue="1" operator="equal">
      <formula>"Napkin Hs"</formula>
    </cfRule>
  </conditionalFormatting>
  <conditionalFormatting sqref="B59:C59">
    <cfRule type="cellIs" dxfId="27625" priority="13726" stopIfTrue="1" operator="equal">
      <formula>"Napkin Hs"</formula>
    </cfRule>
  </conditionalFormatting>
  <conditionalFormatting sqref="B59:C59">
    <cfRule type="cellIs" dxfId="27624" priority="13725" stopIfTrue="1" operator="equal">
      <formula>"Towel"</formula>
    </cfRule>
  </conditionalFormatting>
  <conditionalFormatting sqref="C59">
    <cfRule type="cellIs" dxfId="27623" priority="13724" stopIfTrue="1" operator="equal">
      <formula>"Napkin Hs"</formula>
    </cfRule>
  </conditionalFormatting>
  <conditionalFormatting sqref="C59">
    <cfRule type="cellIs" dxfId="27622" priority="13721" stopIfTrue="1" operator="equal">
      <formula>"Towel"</formula>
    </cfRule>
    <cfRule type="cellIs" dxfId="27621" priority="13722" stopIfTrue="1" operator="equal">
      <formula>"Napkin Hs"</formula>
    </cfRule>
  </conditionalFormatting>
  <conditionalFormatting sqref="C59">
    <cfRule type="cellIs" dxfId="27620" priority="13723" stopIfTrue="1" operator="equal">
      <formula>"Towel"</formula>
    </cfRule>
  </conditionalFormatting>
  <conditionalFormatting sqref="C57:C58">
    <cfRule type="cellIs" dxfId="27619" priority="13479" stopIfTrue="1" operator="equal">
      <formula>"Towel"</formula>
    </cfRule>
    <cfRule type="cellIs" dxfId="27618" priority="13480" stopIfTrue="1" operator="equal">
      <formula>"Napkin Hs"</formula>
    </cfRule>
  </conditionalFormatting>
  <conditionalFormatting sqref="C57:C58">
    <cfRule type="cellIs" dxfId="27617" priority="13473" stopIfTrue="1" operator="equal">
      <formula>"Towel"</formula>
    </cfRule>
    <cfRule type="cellIs" dxfId="27616" priority="13474" stopIfTrue="1" operator="equal">
      <formula>"Napkin Hs"</formula>
    </cfRule>
  </conditionalFormatting>
  <conditionalFormatting sqref="C57:C58">
    <cfRule type="cellIs" dxfId="27615" priority="13454" stopIfTrue="1" operator="equal">
      <formula>"Napkin Hs"</formula>
    </cfRule>
  </conditionalFormatting>
  <conditionalFormatting sqref="C57:C58">
    <cfRule type="cellIs" dxfId="27614" priority="13453" stopIfTrue="1" operator="equal">
      <formula>"Towel"</formula>
    </cfRule>
  </conditionalFormatting>
  <conditionalFormatting sqref="C57:C58">
    <cfRule type="cellIs" dxfId="27613" priority="13452" stopIfTrue="1" operator="equal">
      <formula>"Napkin Hs"</formula>
    </cfRule>
  </conditionalFormatting>
  <conditionalFormatting sqref="C57:C58">
    <cfRule type="cellIs" dxfId="27612" priority="13449" stopIfTrue="1" operator="equal">
      <formula>"Towel"</formula>
    </cfRule>
    <cfRule type="cellIs" dxfId="27611" priority="13450" stopIfTrue="1" operator="equal">
      <formula>"Napkin Hs"</formula>
    </cfRule>
  </conditionalFormatting>
  <conditionalFormatting sqref="C57:C58">
    <cfRule type="cellIs" dxfId="27610" priority="13451" stopIfTrue="1" operator="equal">
      <formula>"Towel"</formula>
    </cfRule>
  </conditionalFormatting>
  <conditionalFormatting sqref="C57:C58">
    <cfRule type="cellIs" dxfId="27609" priority="13448" stopIfTrue="1" operator="equal">
      <formula>"Napkin Hs"</formula>
    </cfRule>
  </conditionalFormatting>
  <conditionalFormatting sqref="C57:C58">
    <cfRule type="cellIs" dxfId="27608" priority="13447" stopIfTrue="1" operator="equal">
      <formula>"Towel"</formula>
    </cfRule>
  </conditionalFormatting>
  <conditionalFormatting sqref="C57:C58">
    <cfRule type="cellIs" dxfId="27607" priority="13446" stopIfTrue="1" operator="equal">
      <formula>"Napkin Hs"</formula>
    </cfRule>
  </conditionalFormatting>
  <conditionalFormatting sqref="C57:C58">
    <cfRule type="cellIs" dxfId="27606" priority="13443" stopIfTrue="1" operator="equal">
      <formula>"Towel"</formula>
    </cfRule>
    <cfRule type="cellIs" dxfId="27605" priority="13444" stopIfTrue="1" operator="equal">
      <formula>"Napkin Hs"</formula>
    </cfRule>
  </conditionalFormatting>
  <conditionalFormatting sqref="C57:C58">
    <cfRule type="cellIs" dxfId="27604" priority="13445" stopIfTrue="1" operator="equal">
      <formula>"Towel"</formula>
    </cfRule>
  </conditionalFormatting>
  <conditionalFormatting sqref="C57:C58">
    <cfRule type="cellIs" dxfId="27603" priority="13549" stopIfTrue="1" operator="equal">
      <formula>"Towel"</formula>
    </cfRule>
    <cfRule type="cellIs" dxfId="27602" priority="13550" stopIfTrue="1" operator="equal">
      <formula>"Napkin Hs"</formula>
    </cfRule>
  </conditionalFormatting>
  <conditionalFormatting sqref="C57:C58">
    <cfRule type="cellIs" dxfId="27601" priority="13547" stopIfTrue="1" operator="equal">
      <formula>"Towel"</formula>
    </cfRule>
    <cfRule type="cellIs" dxfId="27600" priority="13548" stopIfTrue="1" operator="equal">
      <formula>"Napkin Hs"</formula>
    </cfRule>
  </conditionalFormatting>
  <conditionalFormatting sqref="C57:C58">
    <cfRule type="cellIs" dxfId="27599" priority="13545" stopIfTrue="1" operator="equal">
      <formula>"Towel"</formula>
    </cfRule>
    <cfRule type="cellIs" dxfId="27598" priority="13546" stopIfTrue="1" operator="equal">
      <formula>"Napkin Hs"</formula>
    </cfRule>
  </conditionalFormatting>
  <conditionalFormatting sqref="C57:C58">
    <cfRule type="cellIs" dxfId="27597" priority="13544" stopIfTrue="1" operator="equal">
      <formula>"Napkin Hs"</formula>
    </cfRule>
  </conditionalFormatting>
  <conditionalFormatting sqref="C57:C58">
    <cfRule type="cellIs" dxfId="27596" priority="13543" stopIfTrue="1" operator="equal">
      <formula>"Towel"</formula>
    </cfRule>
  </conditionalFormatting>
  <conditionalFormatting sqref="C57:C58">
    <cfRule type="cellIs" dxfId="27595" priority="13542" stopIfTrue="1" operator="equal">
      <formula>"Napkin Hs"</formula>
    </cfRule>
  </conditionalFormatting>
  <conditionalFormatting sqref="C57:C58">
    <cfRule type="cellIs" dxfId="27594" priority="13541" stopIfTrue="1" operator="equal">
      <formula>"Towel"</formula>
    </cfRule>
  </conditionalFormatting>
  <conditionalFormatting sqref="C57:C58">
    <cfRule type="cellIs" dxfId="27593" priority="13539" stopIfTrue="1" operator="equal">
      <formula>"Towel"</formula>
    </cfRule>
    <cfRule type="cellIs" dxfId="27592" priority="13540" stopIfTrue="1" operator="equal">
      <formula>"Napkin Hs"</formula>
    </cfRule>
  </conditionalFormatting>
  <conditionalFormatting sqref="C57:C58">
    <cfRule type="cellIs" dxfId="27591" priority="13537" stopIfTrue="1" operator="equal">
      <formula>"Towel"</formula>
    </cfRule>
    <cfRule type="cellIs" dxfId="27590" priority="13538" stopIfTrue="1" operator="equal">
      <formula>"Napkin Hs"</formula>
    </cfRule>
  </conditionalFormatting>
  <conditionalFormatting sqref="C57:C58">
    <cfRule type="cellIs" dxfId="27589" priority="13533" stopIfTrue="1" operator="equal">
      <formula>"Towel"</formula>
    </cfRule>
    <cfRule type="cellIs" dxfId="27588" priority="13534" stopIfTrue="1" operator="equal">
      <formula>"Napkin Hs"</formula>
    </cfRule>
  </conditionalFormatting>
  <conditionalFormatting sqref="C57:C58">
    <cfRule type="cellIs" dxfId="27587" priority="13535" stopIfTrue="1" operator="equal">
      <formula>"Towel"</formula>
    </cfRule>
    <cfRule type="cellIs" dxfId="27586" priority="13536" stopIfTrue="1" operator="equal">
      <formula>"Napkin Hs"</formula>
    </cfRule>
  </conditionalFormatting>
  <conditionalFormatting sqref="C57:C58">
    <cfRule type="cellIs" dxfId="27585" priority="13527" stopIfTrue="1" operator="equal">
      <formula>"Towel"</formula>
    </cfRule>
    <cfRule type="cellIs" dxfId="27584" priority="13528" stopIfTrue="1" operator="equal">
      <formula>"Napkin Hs"</formula>
    </cfRule>
  </conditionalFormatting>
  <conditionalFormatting sqref="C57:C58">
    <cfRule type="cellIs" dxfId="27583" priority="13525" stopIfTrue="1" operator="equal">
      <formula>"Towel"</formula>
    </cfRule>
    <cfRule type="cellIs" dxfId="27582" priority="13526" stopIfTrue="1" operator="equal">
      <formula>"Napkin Hs"</formula>
    </cfRule>
  </conditionalFormatting>
  <conditionalFormatting sqref="C57:C58">
    <cfRule type="cellIs" dxfId="27581" priority="13523" stopIfTrue="1" operator="equal">
      <formula>"Towel"</formula>
    </cfRule>
    <cfRule type="cellIs" dxfId="27580" priority="13524" stopIfTrue="1" operator="equal">
      <formula>"Napkin Hs"</formula>
    </cfRule>
  </conditionalFormatting>
  <conditionalFormatting sqref="C57:C58">
    <cfRule type="cellIs" dxfId="27579" priority="13521" stopIfTrue="1" operator="equal">
      <formula>"Towel"</formula>
    </cfRule>
    <cfRule type="cellIs" dxfId="27578" priority="13522" stopIfTrue="1" operator="equal">
      <formula>"Napkin Hs"</formula>
    </cfRule>
  </conditionalFormatting>
  <conditionalFormatting sqref="C57:C58">
    <cfRule type="cellIs" dxfId="27577" priority="13519" stopIfTrue="1" operator="equal">
      <formula>"Towel"</formula>
    </cfRule>
    <cfRule type="cellIs" dxfId="27576" priority="13520" stopIfTrue="1" operator="equal">
      <formula>"Napkin Hs"</formula>
    </cfRule>
  </conditionalFormatting>
  <conditionalFormatting sqref="C57:C58">
    <cfRule type="cellIs" dxfId="27575" priority="13517" stopIfTrue="1" operator="equal">
      <formula>"Towel"</formula>
    </cfRule>
    <cfRule type="cellIs" dxfId="27574" priority="13518" stopIfTrue="1" operator="equal">
      <formula>"Napkin Hs"</formula>
    </cfRule>
  </conditionalFormatting>
  <conditionalFormatting sqref="C57:C58">
    <cfRule type="cellIs" dxfId="27573" priority="13515" stopIfTrue="1" operator="equal">
      <formula>"Towel"</formula>
    </cfRule>
    <cfRule type="cellIs" dxfId="27572" priority="13516" stopIfTrue="1" operator="equal">
      <formula>"Napkin Hs"</formula>
    </cfRule>
  </conditionalFormatting>
  <conditionalFormatting sqref="C57:C58">
    <cfRule type="cellIs" dxfId="27571" priority="13513" stopIfTrue="1" operator="equal">
      <formula>"Towel"</formula>
    </cfRule>
    <cfRule type="cellIs" dxfId="27570" priority="13514" stopIfTrue="1" operator="equal">
      <formula>"Napkin Hs"</formula>
    </cfRule>
  </conditionalFormatting>
  <conditionalFormatting sqref="C57:C58">
    <cfRule type="cellIs" dxfId="27569" priority="13511" stopIfTrue="1" operator="equal">
      <formula>"Towel"</formula>
    </cfRule>
    <cfRule type="cellIs" dxfId="27568" priority="13512" stopIfTrue="1" operator="equal">
      <formula>"Napkin Hs"</formula>
    </cfRule>
  </conditionalFormatting>
  <conditionalFormatting sqref="C57:C58">
    <cfRule type="cellIs" dxfId="27567" priority="13509" stopIfTrue="1" operator="equal">
      <formula>"Towel"</formula>
    </cfRule>
    <cfRule type="cellIs" dxfId="27566" priority="13510" stopIfTrue="1" operator="equal">
      <formula>"Napkin Hs"</formula>
    </cfRule>
  </conditionalFormatting>
  <conditionalFormatting sqref="C57:C58">
    <cfRule type="cellIs" dxfId="27565" priority="13503" stopIfTrue="1" operator="equal">
      <formula>"Towel"</formula>
    </cfRule>
    <cfRule type="cellIs" dxfId="27564" priority="13504" stopIfTrue="1" operator="equal">
      <formula>"Napkin Hs"</formula>
    </cfRule>
  </conditionalFormatting>
  <conditionalFormatting sqref="C57:C58">
    <cfRule type="cellIs" dxfId="27563" priority="13497" stopIfTrue="1" operator="equal">
      <formula>"Towel"</formula>
    </cfRule>
    <cfRule type="cellIs" dxfId="27562" priority="13498" stopIfTrue="1" operator="equal">
      <formula>"Napkin Hs"</formula>
    </cfRule>
  </conditionalFormatting>
  <conditionalFormatting sqref="C57:C58">
    <cfRule type="cellIs" dxfId="27561" priority="13491" stopIfTrue="1" operator="equal">
      <formula>"Towel"</formula>
    </cfRule>
    <cfRule type="cellIs" dxfId="27560" priority="13492" stopIfTrue="1" operator="equal">
      <formula>"Napkin Hs"</formula>
    </cfRule>
  </conditionalFormatting>
  <conditionalFormatting sqref="C57:C58">
    <cfRule type="cellIs" dxfId="27559" priority="13490" stopIfTrue="1" operator="equal">
      <formula>"Napkin Hs"</formula>
    </cfRule>
  </conditionalFormatting>
  <conditionalFormatting sqref="C57:C58">
    <cfRule type="cellIs" dxfId="27558" priority="13489" stopIfTrue="1" operator="equal">
      <formula>"Towel"</formula>
    </cfRule>
  </conditionalFormatting>
  <conditionalFormatting sqref="C57:C58">
    <cfRule type="cellIs" dxfId="27557" priority="13488" stopIfTrue="1" operator="equal">
      <formula>"Napkin Hs"</formula>
    </cfRule>
  </conditionalFormatting>
  <conditionalFormatting sqref="C57:C58">
    <cfRule type="cellIs" dxfId="27556" priority="13487" stopIfTrue="1" operator="equal">
      <formula>"Towel"</formula>
    </cfRule>
  </conditionalFormatting>
  <conditionalFormatting sqref="C57:C58">
    <cfRule type="cellIs" dxfId="27555" priority="13485" stopIfTrue="1" operator="equal">
      <formula>"Towel"</formula>
    </cfRule>
    <cfRule type="cellIs" dxfId="27554" priority="13486" stopIfTrue="1" operator="equal">
      <formula>"Napkin Hs"</formula>
    </cfRule>
  </conditionalFormatting>
  <conditionalFormatting sqref="C57:C58">
    <cfRule type="cellIs" dxfId="27553" priority="13483" stopIfTrue="1" operator="equal">
      <formula>"Towel"</formula>
    </cfRule>
    <cfRule type="cellIs" dxfId="27552" priority="13484" stopIfTrue="1" operator="equal">
      <formula>"Napkin Hs"</formula>
    </cfRule>
  </conditionalFormatting>
  <conditionalFormatting sqref="C57:C58">
    <cfRule type="cellIs" dxfId="27551" priority="13481" stopIfTrue="1" operator="equal">
      <formula>"Towel"</formula>
    </cfRule>
    <cfRule type="cellIs" dxfId="27550" priority="13482" stopIfTrue="1" operator="equal">
      <formula>"Napkin Hs"</formula>
    </cfRule>
  </conditionalFormatting>
  <conditionalFormatting sqref="C57:C58">
    <cfRule type="cellIs" dxfId="27549" priority="13471" stopIfTrue="1" operator="equal">
      <formula>"Towel"</formula>
    </cfRule>
    <cfRule type="cellIs" dxfId="27548" priority="13472" stopIfTrue="1" operator="equal">
      <formula>"Napkin Hs"</formula>
    </cfRule>
  </conditionalFormatting>
  <conditionalFormatting sqref="C57:C58">
    <cfRule type="cellIs" dxfId="27547" priority="13469" stopIfTrue="1" operator="equal">
      <formula>"Towel"</formula>
    </cfRule>
    <cfRule type="cellIs" dxfId="27546" priority="13470" stopIfTrue="1" operator="equal">
      <formula>"Napkin Hs"</formula>
    </cfRule>
  </conditionalFormatting>
  <conditionalFormatting sqref="C57:C58">
    <cfRule type="cellIs" dxfId="27545" priority="13467" stopIfTrue="1" operator="equal">
      <formula>"Towel"</formula>
    </cfRule>
    <cfRule type="cellIs" dxfId="27544" priority="13468" stopIfTrue="1" operator="equal">
      <formula>"Napkin Hs"</formula>
    </cfRule>
  </conditionalFormatting>
  <conditionalFormatting sqref="C57:C58">
    <cfRule type="cellIs" dxfId="27543" priority="13465" stopIfTrue="1" operator="equal">
      <formula>"Towel"</formula>
    </cfRule>
    <cfRule type="cellIs" dxfId="27542" priority="13466" stopIfTrue="1" operator="equal">
      <formula>"Napkin Hs"</formula>
    </cfRule>
  </conditionalFormatting>
  <conditionalFormatting sqref="C57:C58">
    <cfRule type="cellIs" dxfId="27541" priority="13463" stopIfTrue="1" operator="equal">
      <formula>"Towel"</formula>
    </cfRule>
    <cfRule type="cellIs" dxfId="27540" priority="13464" stopIfTrue="1" operator="equal">
      <formula>"Napkin Hs"</formula>
    </cfRule>
  </conditionalFormatting>
  <conditionalFormatting sqref="C57:C58">
    <cfRule type="cellIs" dxfId="27539" priority="13461" stopIfTrue="1" operator="equal">
      <formula>"Towel"</formula>
    </cfRule>
    <cfRule type="cellIs" dxfId="27538" priority="13462" stopIfTrue="1" operator="equal">
      <formula>"Napkin Hs"</formula>
    </cfRule>
  </conditionalFormatting>
  <conditionalFormatting sqref="C57:C58">
    <cfRule type="cellIs" dxfId="27537" priority="13459" stopIfTrue="1" operator="equal">
      <formula>"Towel"</formula>
    </cfRule>
    <cfRule type="cellIs" dxfId="27536" priority="13460" stopIfTrue="1" operator="equal">
      <formula>"Napkin Hs"</formula>
    </cfRule>
  </conditionalFormatting>
  <conditionalFormatting sqref="C57:C58">
    <cfRule type="cellIs" dxfId="27535" priority="13457" stopIfTrue="1" operator="equal">
      <formula>"Towel"</formula>
    </cfRule>
    <cfRule type="cellIs" dxfId="27534" priority="13458" stopIfTrue="1" operator="equal">
      <formula>"Napkin Hs"</formula>
    </cfRule>
  </conditionalFormatting>
  <conditionalFormatting sqref="C57:C58">
    <cfRule type="cellIs" dxfId="27533" priority="13455" stopIfTrue="1" operator="equal">
      <formula>"Towel"</formula>
    </cfRule>
    <cfRule type="cellIs" dxfId="27532" priority="13456" stopIfTrue="1" operator="equal">
      <formula>"Napkin Hs"</formula>
    </cfRule>
  </conditionalFormatting>
  <conditionalFormatting sqref="C57:C58">
    <cfRule type="cellIs" dxfId="27531" priority="13442" stopIfTrue="1" operator="equal">
      <formula>"Napkin Hs"</formula>
    </cfRule>
  </conditionalFormatting>
  <conditionalFormatting sqref="C57:C58">
    <cfRule type="cellIs" dxfId="27530" priority="13441" stopIfTrue="1" operator="equal">
      <formula>"Towel"</formula>
    </cfRule>
  </conditionalFormatting>
  <conditionalFormatting sqref="C57:C58">
    <cfRule type="cellIs" dxfId="27529" priority="13440" stopIfTrue="1" operator="equal">
      <formula>"Napkin Hs"</formula>
    </cfRule>
  </conditionalFormatting>
  <conditionalFormatting sqref="C57:C58">
    <cfRule type="cellIs" dxfId="27528" priority="13437" stopIfTrue="1" operator="equal">
      <formula>"Towel"</formula>
    </cfRule>
    <cfRule type="cellIs" dxfId="27527" priority="13438" stopIfTrue="1" operator="equal">
      <formula>"Napkin Hs"</formula>
    </cfRule>
  </conditionalFormatting>
  <conditionalFormatting sqref="C57:C58">
    <cfRule type="cellIs" dxfId="27526" priority="13439" stopIfTrue="1" operator="equal">
      <formula>"Towel"</formula>
    </cfRule>
  </conditionalFormatting>
  <conditionalFormatting sqref="C57:C58">
    <cfRule type="cellIs" dxfId="27525" priority="13557" stopIfTrue="1" operator="equal">
      <formula>"Towel"</formula>
    </cfRule>
    <cfRule type="cellIs" dxfId="27524" priority="13558" stopIfTrue="1" operator="equal">
      <formula>"Napkin Hs"</formula>
    </cfRule>
  </conditionalFormatting>
  <conditionalFormatting sqref="C57:C58">
    <cfRule type="cellIs" dxfId="27523" priority="13556" stopIfTrue="1" operator="equal">
      <formula>"Napkin Hs"</formula>
    </cfRule>
  </conditionalFormatting>
  <conditionalFormatting sqref="C57:C58">
    <cfRule type="cellIs" dxfId="27522" priority="13555" stopIfTrue="1" operator="equal">
      <formula>"Towel"</formula>
    </cfRule>
  </conditionalFormatting>
  <conditionalFormatting sqref="C57:C58">
    <cfRule type="cellIs" dxfId="27521" priority="13554" stopIfTrue="1" operator="equal">
      <formula>"Napkin Hs"</formula>
    </cfRule>
  </conditionalFormatting>
  <conditionalFormatting sqref="C57:C58">
    <cfRule type="cellIs" dxfId="27520" priority="13551" stopIfTrue="1" operator="equal">
      <formula>"Towel"</formula>
    </cfRule>
    <cfRule type="cellIs" dxfId="27519" priority="13552" stopIfTrue="1" operator="equal">
      <formula>"Napkin Hs"</formula>
    </cfRule>
  </conditionalFormatting>
  <conditionalFormatting sqref="C57:C58">
    <cfRule type="cellIs" dxfId="27518" priority="13553" stopIfTrue="1" operator="equal">
      <formula>"Towel"</formula>
    </cfRule>
  </conditionalFormatting>
  <conditionalFormatting sqref="C57:C58">
    <cfRule type="cellIs" dxfId="27517" priority="13561" stopIfTrue="1" operator="equal">
      <formula>"Towel"</formula>
    </cfRule>
    <cfRule type="cellIs" dxfId="27516" priority="13562" stopIfTrue="1" operator="equal">
      <formula>"Napkin Hs"</formula>
    </cfRule>
  </conditionalFormatting>
  <conditionalFormatting sqref="C57:C58">
    <cfRule type="cellIs" dxfId="27515" priority="13559" stopIfTrue="1" operator="equal">
      <formula>"Towel"</formula>
    </cfRule>
    <cfRule type="cellIs" dxfId="27514" priority="13560" stopIfTrue="1" operator="equal">
      <formula>"Napkin Hs"</formula>
    </cfRule>
  </conditionalFormatting>
  <conditionalFormatting sqref="C57:C58">
    <cfRule type="cellIs" dxfId="27513" priority="13531" stopIfTrue="1" operator="equal">
      <formula>"Towel"</formula>
    </cfRule>
    <cfRule type="cellIs" dxfId="27512" priority="13532" stopIfTrue="1" operator="equal">
      <formula>"Napkin Hs"</formula>
    </cfRule>
  </conditionalFormatting>
  <conditionalFormatting sqref="C57:C58">
    <cfRule type="cellIs" dxfId="27511" priority="13529" stopIfTrue="1" operator="equal">
      <formula>"Towel"</formula>
    </cfRule>
    <cfRule type="cellIs" dxfId="27510" priority="13530" stopIfTrue="1" operator="equal">
      <formula>"Napkin Hs"</formula>
    </cfRule>
  </conditionalFormatting>
  <conditionalFormatting sqref="C57:C58">
    <cfRule type="cellIs" dxfId="27509" priority="13508" stopIfTrue="1" operator="equal">
      <formula>"Napkin Hs"</formula>
    </cfRule>
  </conditionalFormatting>
  <conditionalFormatting sqref="C57:C58">
    <cfRule type="cellIs" dxfId="27508" priority="13507" stopIfTrue="1" operator="equal">
      <formula>"Towel"</formula>
    </cfRule>
  </conditionalFormatting>
  <conditionalFormatting sqref="C57:C58">
    <cfRule type="cellIs" dxfId="27507" priority="13506" stopIfTrue="1" operator="equal">
      <formula>"Napkin Hs"</formula>
    </cfRule>
  </conditionalFormatting>
  <conditionalFormatting sqref="C57:C58">
    <cfRule type="cellIs" dxfId="27506" priority="13505" stopIfTrue="1" operator="equal">
      <formula>"Towel"</formula>
    </cfRule>
  </conditionalFormatting>
  <conditionalFormatting sqref="C57:C58">
    <cfRule type="cellIs" dxfId="27505" priority="13502" stopIfTrue="1" operator="equal">
      <formula>"Napkin Hs"</formula>
    </cfRule>
  </conditionalFormatting>
  <conditionalFormatting sqref="C57:C58">
    <cfRule type="cellIs" dxfId="27504" priority="13501" stopIfTrue="1" operator="equal">
      <formula>"Towel"</formula>
    </cfRule>
  </conditionalFormatting>
  <conditionalFormatting sqref="C57:C58">
    <cfRule type="cellIs" dxfId="27503" priority="13500" stopIfTrue="1" operator="equal">
      <formula>"Napkin Hs"</formula>
    </cfRule>
  </conditionalFormatting>
  <conditionalFormatting sqref="C57:C58">
    <cfRule type="cellIs" dxfId="27502" priority="13499" stopIfTrue="1" operator="equal">
      <formula>"Towel"</formula>
    </cfRule>
  </conditionalFormatting>
  <conditionalFormatting sqref="C57:C58">
    <cfRule type="cellIs" dxfId="27501" priority="13495" stopIfTrue="1" operator="equal">
      <formula>"Towel"</formula>
    </cfRule>
    <cfRule type="cellIs" dxfId="27500" priority="13496" stopIfTrue="1" operator="equal">
      <formula>"Napkin Hs"</formula>
    </cfRule>
  </conditionalFormatting>
  <conditionalFormatting sqref="C57:C58">
    <cfRule type="cellIs" dxfId="27499" priority="13493" stopIfTrue="1" operator="equal">
      <formula>"Towel"</formula>
    </cfRule>
    <cfRule type="cellIs" dxfId="27498" priority="13494" stopIfTrue="1" operator="equal">
      <formula>"Napkin Hs"</formula>
    </cfRule>
  </conditionalFormatting>
  <conditionalFormatting sqref="C57:C58">
    <cfRule type="cellIs" dxfId="27497" priority="13477" stopIfTrue="1" operator="equal">
      <formula>"Towel"</formula>
    </cfRule>
    <cfRule type="cellIs" dxfId="27496" priority="13478" stopIfTrue="1" operator="equal">
      <formula>"Napkin Hs"</formula>
    </cfRule>
  </conditionalFormatting>
  <conditionalFormatting sqref="C57:C58">
    <cfRule type="cellIs" dxfId="27495" priority="13475" stopIfTrue="1" operator="equal">
      <formula>"Towel"</formula>
    </cfRule>
    <cfRule type="cellIs" dxfId="27494" priority="13476" stopIfTrue="1" operator="equal">
      <formula>"Napkin Hs"</formula>
    </cfRule>
  </conditionalFormatting>
  <conditionalFormatting sqref="B57:C58">
    <cfRule type="cellIs" dxfId="27493" priority="13436" stopIfTrue="1" operator="equal">
      <formula>"Napkin Hs"</formula>
    </cfRule>
  </conditionalFormatting>
  <conditionalFormatting sqref="B57:C58">
    <cfRule type="cellIs" dxfId="27492" priority="13435" stopIfTrue="1" operator="equal">
      <formula>"Towel"</formula>
    </cfRule>
  </conditionalFormatting>
  <conditionalFormatting sqref="C57:C58">
    <cfRule type="cellIs" dxfId="27491" priority="13434" stopIfTrue="1" operator="equal">
      <formula>"Napkin Hs"</formula>
    </cfRule>
  </conditionalFormatting>
  <conditionalFormatting sqref="C57:C58">
    <cfRule type="cellIs" dxfId="27490" priority="13431" stopIfTrue="1" operator="equal">
      <formula>"Towel"</formula>
    </cfRule>
    <cfRule type="cellIs" dxfId="27489" priority="13432" stopIfTrue="1" operator="equal">
      <formula>"Napkin Hs"</formula>
    </cfRule>
  </conditionalFormatting>
  <conditionalFormatting sqref="C57:C58">
    <cfRule type="cellIs" dxfId="27488" priority="13433" stopIfTrue="1" operator="equal">
      <formula>"Towel"</formula>
    </cfRule>
  </conditionalFormatting>
  <conditionalFormatting sqref="C56">
    <cfRule type="cellIs" dxfId="27487" priority="13347" stopIfTrue="1" operator="equal">
      <formula>"Towel"</formula>
    </cfRule>
    <cfRule type="cellIs" dxfId="27486" priority="13348" stopIfTrue="1" operator="equal">
      <formula>"Napkin Hs"</formula>
    </cfRule>
  </conditionalFormatting>
  <conditionalFormatting sqref="C56">
    <cfRule type="cellIs" dxfId="27485" priority="13341" stopIfTrue="1" operator="equal">
      <formula>"Towel"</formula>
    </cfRule>
    <cfRule type="cellIs" dxfId="27484" priority="13342" stopIfTrue="1" operator="equal">
      <formula>"Napkin Hs"</formula>
    </cfRule>
  </conditionalFormatting>
  <conditionalFormatting sqref="C56">
    <cfRule type="cellIs" dxfId="27483" priority="13322" stopIfTrue="1" operator="equal">
      <formula>"Napkin Hs"</formula>
    </cfRule>
  </conditionalFormatting>
  <conditionalFormatting sqref="C56">
    <cfRule type="cellIs" dxfId="27482" priority="13321" stopIfTrue="1" operator="equal">
      <formula>"Towel"</formula>
    </cfRule>
  </conditionalFormatting>
  <conditionalFormatting sqref="C56">
    <cfRule type="cellIs" dxfId="27481" priority="13320" stopIfTrue="1" operator="equal">
      <formula>"Napkin Hs"</formula>
    </cfRule>
  </conditionalFormatting>
  <conditionalFormatting sqref="C56">
    <cfRule type="cellIs" dxfId="27480" priority="13317" stopIfTrue="1" operator="equal">
      <formula>"Towel"</formula>
    </cfRule>
    <cfRule type="cellIs" dxfId="27479" priority="13318" stopIfTrue="1" operator="equal">
      <formula>"Napkin Hs"</formula>
    </cfRule>
  </conditionalFormatting>
  <conditionalFormatting sqref="C56">
    <cfRule type="cellIs" dxfId="27478" priority="13319" stopIfTrue="1" operator="equal">
      <formula>"Towel"</formula>
    </cfRule>
  </conditionalFormatting>
  <conditionalFormatting sqref="C56">
    <cfRule type="cellIs" dxfId="27477" priority="13316" stopIfTrue="1" operator="equal">
      <formula>"Napkin Hs"</formula>
    </cfRule>
  </conditionalFormatting>
  <conditionalFormatting sqref="C56">
    <cfRule type="cellIs" dxfId="27476" priority="13315" stopIfTrue="1" operator="equal">
      <formula>"Towel"</formula>
    </cfRule>
  </conditionalFormatting>
  <conditionalFormatting sqref="C56">
    <cfRule type="cellIs" dxfId="27475" priority="13314" stopIfTrue="1" operator="equal">
      <formula>"Napkin Hs"</formula>
    </cfRule>
  </conditionalFormatting>
  <conditionalFormatting sqref="C56">
    <cfRule type="cellIs" dxfId="27474" priority="13311" stopIfTrue="1" operator="equal">
      <formula>"Towel"</formula>
    </cfRule>
    <cfRule type="cellIs" dxfId="27473" priority="13312" stopIfTrue="1" operator="equal">
      <formula>"Napkin Hs"</formula>
    </cfRule>
  </conditionalFormatting>
  <conditionalFormatting sqref="C56">
    <cfRule type="cellIs" dxfId="27472" priority="13313" stopIfTrue="1" operator="equal">
      <formula>"Towel"</formula>
    </cfRule>
  </conditionalFormatting>
  <conditionalFormatting sqref="C56">
    <cfRule type="cellIs" dxfId="27471" priority="13417" stopIfTrue="1" operator="equal">
      <formula>"Towel"</formula>
    </cfRule>
    <cfRule type="cellIs" dxfId="27470" priority="13418" stopIfTrue="1" operator="equal">
      <formula>"Napkin Hs"</formula>
    </cfRule>
  </conditionalFormatting>
  <conditionalFormatting sqref="C56">
    <cfRule type="cellIs" dxfId="27469" priority="13415" stopIfTrue="1" operator="equal">
      <formula>"Towel"</formula>
    </cfRule>
    <cfRule type="cellIs" dxfId="27468" priority="13416" stopIfTrue="1" operator="equal">
      <formula>"Napkin Hs"</formula>
    </cfRule>
  </conditionalFormatting>
  <conditionalFormatting sqref="C56">
    <cfRule type="cellIs" dxfId="27467" priority="13413" stopIfTrue="1" operator="equal">
      <formula>"Towel"</formula>
    </cfRule>
    <cfRule type="cellIs" dxfId="27466" priority="13414" stopIfTrue="1" operator="equal">
      <formula>"Napkin Hs"</formula>
    </cfRule>
  </conditionalFormatting>
  <conditionalFormatting sqref="C56">
    <cfRule type="cellIs" dxfId="27465" priority="13412" stopIfTrue="1" operator="equal">
      <formula>"Napkin Hs"</formula>
    </cfRule>
  </conditionalFormatting>
  <conditionalFormatting sqref="C56">
    <cfRule type="cellIs" dxfId="27464" priority="13411" stopIfTrue="1" operator="equal">
      <formula>"Towel"</formula>
    </cfRule>
  </conditionalFormatting>
  <conditionalFormatting sqref="C56">
    <cfRule type="cellIs" dxfId="27463" priority="13410" stopIfTrue="1" operator="equal">
      <formula>"Napkin Hs"</formula>
    </cfRule>
  </conditionalFormatting>
  <conditionalFormatting sqref="C56">
    <cfRule type="cellIs" dxfId="27462" priority="13409" stopIfTrue="1" operator="equal">
      <formula>"Towel"</formula>
    </cfRule>
  </conditionalFormatting>
  <conditionalFormatting sqref="C56">
    <cfRule type="cellIs" dxfId="27461" priority="13407" stopIfTrue="1" operator="equal">
      <formula>"Towel"</formula>
    </cfRule>
    <cfRule type="cellIs" dxfId="27460" priority="13408" stopIfTrue="1" operator="equal">
      <formula>"Napkin Hs"</formula>
    </cfRule>
  </conditionalFormatting>
  <conditionalFormatting sqref="C56">
    <cfRule type="cellIs" dxfId="27459" priority="13405" stopIfTrue="1" operator="equal">
      <formula>"Towel"</formula>
    </cfRule>
    <cfRule type="cellIs" dxfId="27458" priority="13406" stopIfTrue="1" operator="equal">
      <formula>"Napkin Hs"</formula>
    </cfRule>
  </conditionalFormatting>
  <conditionalFormatting sqref="C56">
    <cfRule type="cellIs" dxfId="27457" priority="13401" stopIfTrue="1" operator="equal">
      <formula>"Towel"</formula>
    </cfRule>
    <cfRule type="cellIs" dxfId="27456" priority="13402" stopIfTrue="1" operator="equal">
      <formula>"Napkin Hs"</formula>
    </cfRule>
  </conditionalFormatting>
  <conditionalFormatting sqref="C56">
    <cfRule type="cellIs" dxfId="27455" priority="13403" stopIfTrue="1" operator="equal">
      <formula>"Towel"</formula>
    </cfRule>
    <cfRule type="cellIs" dxfId="27454" priority="13404" stopIfTrue="1" operator="equal">
      <formula>"Napkin Hs"</formula>
    </cfRule>
  </conditionalFormatting>
  <conditionalFormatting sqref="C56">
    <cfRule type="cellIs" dxfId="27453" priority="13395" stopIfTrue="1" operator="equal">
      <formula>"Towel"</formula>
    </cfRule>
    <cfRule type="cellIs" dxfId="27452" priority="13396" stopIfTrue="1" operator="equal">
      <formula>"Napkin Hs"</formula>
    </cfRule>
  </conditionalFormatting>
  <conditionalFormatting sqref="C56">
    <cfRule type="cellIs" dxfId="27451" priority="13393" stopIfTrue="1" operator="equal">
      <formula>"Towel"</formula>
    </cfRule>
    <cfRule type="cellIs" dxfId="27450" priority="13394" stopIfTrue="1" operator="equal">
      <formula>"Napkin Hs"</formula>
    </cfRule>
  </conditionalFormatting>
  <conditionalFormatting sqref="C56">
    <cfRule type="cellIs" dxfId="27449" priority="13391" stopIfTrue="1" operator="equal">
      <formula>"Towel"</formula>
    </cfRule>
    <cfRule type="cellIs" dxfId="27448" priority="13392" stopIfTrue="1" operator="equal">
      <formula>"Napkin Hs"</formula>
    </cfRule>
  </conditionalFormatting>
  <conditionalFormatting sqref="C56">
    <cfRule type="cellIs" dxfId="27447" priority="13389" stopIfTrue="1" operator="equal">
      <formula>"Towel"</formula>
    </cfRule>
    <cfRule type="cellIs" dxfId="27446" priority="13390" stopIfTrue="1" operator="equal">
      <formula>"Napkin Hs"</formula>
    </cfRule>
  </conditionalFormatting>
  <conditionalFormatting sqref="C56">
    <cfRule type="cellIs" dxfId="27445" priority="13387" stopIfTrue="1" operator="equal">
      <formula>"Towel"</formula>
    </cfRule>
    <cfRule type="cellIs" dxfId="27444" priority="13388" stopIfTrue="1" operator="equal">
      <formula>"Napkin Hs"</formula>
    </cfRule>
  </conditionalFormatting>
  <conditionalFormatting sqref="C56">
    <cfRule type="cellIs" dxfId="27443" priority="13385" stopIfTrue="1" operator="equal">
      <formula>"Towel"</formula>
    </cfRule>
    <cfRule type="cellIs" dxfId="27442" priority="13386" stopIfTrue="1" operator="equal">
      <formula>"Napkin Hs"</formula>
    </cfRule>
  </conditionalFormatting>
  <conditionalFormatting sqref="C56">
    <cfRule type="cellIs" dxfId="27441" priority="13383" stopIfTrue="1" operator="equal">
      <formula>"Towel"</formula>
    </cfRule>
    <cfRule type="cellIs" dxfId="27440" priority="13384" stopIfTrue="1" operator="equal">
      <formula>"Napkin Hs"</formula>
    </cfRule>
  </conditionalFormatting>
  <conditionalFormatting sqref="C56">
    <cfRule type="cellIs" dxfId="27439" priority="13381" stopIfTrue="1" operator="equal">
      <formula>"Towel"</formula>
    </cfRule>
    <cfRule type="cellIs" dxfId="27438" priority="13382" stopIfTrue="1" operator="equal">
      <formula>"Napkin Hs"</formula>
    </cfRule>
  </conditionalFormatting>
  <conditionalFormatting sqref="C56">
    <cfRule type="cellIs" dxfId="27437" priority="13379" stopIfTrue="1" operator="equal">
      <formula>"Towel"</formula>
    </cfRule>
    <cfRule type="cellIs" dxfId="27436" priority="13380" stopIfTrue="1" operator="equal">
      <formula>"Napkin Hs"</formula>
    </cfRule>
  </conditionalFormatting>
  <conditionalFormatting sqref="C56">
    <cfRule type="cellIs" dxfId="27435" priority="13377" stopIfTrue="1" operator="equal">
      <formula>"Towel"</formula>
    </cfRule>
    <cfRule type="cellIs" dxfId="27434" priority="13378" stopIfTrue="1" operator="equal">
      <formula>"Napkin Hs"</formula>
    </cfRule>
  </conditionalFormatting>
  <conditionalFormatting sqref="C56">
    <cfRule type="cellIs" dxfId="27433" priority="13371" stopIfTrue="1" operator="equal">
      <formula>"Towel"</formula>
    </cfRule>
    <cfRule type="cellIs" dxfId="27432" priority="13372" stopIfTrue="1" operator="equal">
      <formula>"Napkin Hs"</formula>
    </cfRule>
  </conditionalFormatting>
  <conditionalFormatting sqref="C56">
    <cfRule type="cellIs" dxfId="27431" priority="13365" stopIfTrue="1" operator="equal">
      <formula>"Towel"</formula>
    </cfRule>
    <cfRule type="cellIs" dxfId="27430" priority="13366" stopIfTrue="1" operator="equal">
      <formula>"Napkin Hs"</formula>
    </cfRule>
  </conditionalFormatting>
  <conditionalFormatting sqref="C56">
    <cfRule type="cellIs" dxfId="27429" priority="13359" stopIfTrue="1" operator="equal">
      <formula>"Towel"</formula>
    </cfRule>
    <cfRule type="cellIs" dxfId="27428" priority="13360" stopIfTrue="1" operator="equal">
      <formula>"Napkin Hs"</formula>
    </cfRule>
  </conditionalFormatting>
  <conditionalFormatting sqref="C56">
    <cfRule type="cellIs" dxfId="27427" priority="13358" stopIfTrue="1" operator="equal">
      <formula>"Napkin Hs"</formula>
    </cfRule>
  </conditionalFormatting>
  <conditionalFormatting sqref="C56">
    <cfRule type="cellIs" dxfId="27426" priority="13357" stopIfTrue="1" operator="equal">
      <formula>"Towel"</formula>
    </cfRule>
  </conditionalFormatting>
  <conditionalFormatting sqref="C56">
    <cfRule type="cellIs" dxfId="27425" priority="13356" stopIfTrue="1" operator="equal">
      <formula>"Napkin Hs"</formula>
    </cfRule>
  </conditionalFormatting>
  <conditionalFormatting sqref="C56">
    <cfRule type="cellIs" dxfId="27424" priority="13355" stopIfTrue="1" operator="equal">
      <formula>"Towel"</formula>
    </cfRule>
  </conditionalFormatting>
  <conditionalFormatting sqref="C56">
    <cfRule type="cellIs" dxfId="27423" priority="13353" stopIfTrue="1" operator="equal">
      <formula>"Towel"</formula>
    </cfRule>
    <cfRule type="cellIs" dxfId="27422" priority="13354" stopIfTrue="1" operator="equal">
      <formula>"Napkin Hs"</formula>
    </cfRule>
  </conditionalFormatting>
  <conditionalFormatting sqref="C56">
    <cfRule type="cellIs" dxfId="27421" priority="13351" stopIfTrue="1" operator="equal">
      <formula>"Towel"</formula>
    </cfRule>
    <cfRule type="cellIs" dxfId="27420" priority="13352" stopIfTrue="1" operator="equal">
      <formula>"Napkin Hs"</formula>
    </cfRule>
  </conditionalFormatting>
  <conditionalFormatting sqref="C56">
    <cfRule type="cellIs" dxfId="27419" priority="13349" stopIfTrue="1" operator="equal">
      <formula>"Towel"</formula>
    </cfRule>
    <cfRule type="cellIs" dxfId="27418" priority="13350" stopIfTrue="1" operator="equal">
      <formula>"Napkin Hs"</formula>
    </cfRule>
  </conditionalFormatting>
  <conditionalFormatting sqref="C56">
    <cfRule type="cellIs" dxfId="27417" priority="13339" stopIfTrue="1" operator="equal">
      <formula>"Towel"</formula>
    </cfRule>
    <cfRule type="cellIs" dxfId="27416" priority="13340" stopIfTrue="1" operator="equal">
      <formula>"Napkin Hs"</formula>
    </cfRule>
  </conditionalFormatting>
  <conditionalFormatting sqref="C56">
    <cfRule type="cellIs" dxfId="27415" priority="13337" stopIfTrue="1" operator="equal">
      <formula>"Towel"</formula>
    </cfRule>
    <cfRule type="cellIs" dxfId="27414" priority="13338" stopIfTrue="1" operator="equal">
      <formula>"Napkin Hs"</formula>
    </cfRule>
  </conditionalFormatting>
  <conditionalFormatting sqref="C56">
    <cfRule type="cellIs" dxfId="27413" priority="13335" stopIfTrue="1" operator="equal">
      <formula>"Towel"</formula>
    </cfRule>
    <cfRule type="cellIs" dxfId="27412" priority="13336" stopIfTrue="1" operator="equal">
      <formula>"Napkin Hs"</formula>
    </cfRule>
  </conditionalFormatting>
  <conditionalFormatting sqref="C56">
    <cfRule type="cellIs" dxfId="27411" priority="13333" stopIfTrue="1" operator="equal">
      <formula>"Towel"</formula>
    </cfRule>
    <cfRule type="cellIs" dxfId="27410" priority="13334" stopIfTrue="1" operator="equal">
      <formula>"Napkin Hs"</formula>
    </cfRule>
  </conditionalFormatting>
  <conditionalFormatting sqref="C56">
    <cfRule type="cellIs" dxfId="27409" priority="13331" stopIfTrue="1" operator="equal">
      <formula>"Towel"</formula>
    </cfRule>
    <cfRule type="cellIs" dxfId="27408" priority="13332" stopIfTrue="1" operator="equal">
      <formula>"Napkin Hs"</formula>
    </cfRule>
  </conditionalFormatting>
  <conditionalFormatting sqref="C56">
    <cfRule type="cellIs" dxfId="27407" priority="13329" stopIfTrue="1" operator="equal">
      <formula>"Towel"</formula>
    </cfRule>
    <cfRule type="cellIs" dxfId="27406" priority="13330" stopIfTrue="1" operator="equal">
      <formula>"Napkin Hs"</formula>
    </cfRule>
  </conditionalFormatting>
  <conditionalFormatting sqref="C56">
    <cfRule type="cellIs" dxfId="27405" priority="13327" stopIfTrue="1" operator="equal">
      <formula>"Towel"</formula>
    </cfRule>
    <cfRule type="cellIs" dxfId="27404" priority="13328" stopIfTrue="1" operator="equal">
      <formula>"Napkin Hs"</formula>
    </cfRule>
  </conditionalFormatting>
  <conditionalFormatting sqref="C56">
    <cfRule type="cellIs" dxfId="27403" priority="13325" stopIfTrue="1" operator="equal">
      <formula>"Towel"</formula>
    </cfRule>
    <cfRule type="cellIs" dxfId="27402" priority="13326" stopIfTrue="1" operator="equal">
      <formula>"Napkin Hs"</formula>
    </cfRule>
  </conditionalFormatting>
  <conditionalFormatting sqref="C56">
    <cfRule type="cellIs" dxfId="27401" priority="13323" stopIfTrue="1" operator="equal">
      <formula>"Towel"</formula>
    </cfRule>
    <cfRule type="cellIs" dxfId="27400" priority="13324" stopIfTrue="1" operator="equal">
      <formula>"Napkin Hs"</formula>
    </cfRule>
  </conditionalFormatting>
  <conditionalFormatting sqref="C56">
    <cfRule type="cellIs" dxfId="27399" priority="13310" stopIfTrue="1" operator="equal">
      <formula>"Napkin Hs"</formula>
    </cfRule>
  </conditionalFormatting>
  <conditionalFormatting sqref="C56">
    <cfRule type="cellIs" dxfId="27398" priority="13309" stopIfTrue="1" operator="equal">
      <formula>"Towel"</formula>
    </cfRule>
  </conditionalFormatting>
  <conditionalFormatting sqref="C56">
    <cfRule type="cellIs" dxfId="27397" priority="13308" stopIfTrue="1" operator="equal">
      <formula>"Napkin Hs"</formula>
    </cfRule>
  </conditionalFormatting>
  <conditionalFormatting sqref="C56">
    <cfRule type="cellIs" dxfId="27396" priority="13305" stopIfTrue="1" operator="equal">
      <formula>"Towel"</formula>
    </cfRule>
    <cfRule type="cellIs" dxfId="27395" priority="13306" stopIfTrue="1" operator="equal">
      <formula>"Napkin Hs"</formula>
    </cfRule>
  </conditionalFormatting>
  <conditionalFormatting sqref="C56">
    <cfRule type="cellIs" dxfId="27394" priority="13307" stopIfTrue="1" operator="equal">
      <formula>"Towel"</formula>
    </cfRule>
  </conditionalFormatting>
  <conditionalFormatting sqref="C56">
    <cfRule type="cellIs" dxfId="27393" priority="13425" stopIfTrue="1" operator="equal">
      <formula>"Towel"</formula>
    </cfRule>
    <cfRule type="cellIs" dxfId="27392" priority="13426" stopIfTrue="1" operator="equal">
      <formula>"Napkin Hs"</formula>
    </cfRule>
  </conditionalFormatting>
  <conditionalFormatting sqref="C56">
    <cfRule type="cellIs" dxfId="27391" priority="13424" stopIfTrue="1" operator="equal">
      <formula>"Napkin Hs"</formula>
    </cfRule>
  </conditionalFormatting>
  <conditionalFormatting sqref="C56">
    <cfRule type="cellIs" dxfId="27390" priority="13423" stopIfTrue="1" operator="equal">
      <formula>"Towel"</formula>
    </cfRule>
  </conditionalFormatting>
  <conditionalFormatting sqref="C56">
    <cfRule type="cellIs" dxfId="27389" priority="13422" stopIfTrue="1" operator="equal">
      <formula>"Napkin Hs"</formula>
    </cfRule>
  </conditionalFormatting>
  <conditionalFormatting sqref="C56">
    <cfRule type="cellIs" dxfId="27388" priority="13419" stopIfTrue="1" operator="equal">
      <formula>"Towel"</formula>
    </cfRule>
    <cfRule type="cellIs" dxfId="27387" priority="13420" stopIfTrue="1" operator="equal">
      <formula>"Napkin Hs"</formula>
    </cfRule>
  </conditionalFormatting>
  <conditionalFormatting sqref="C56">
    <cfRule type="cellIs" dxfId="27386" priority="13421" stopIfTrue="1" operator="equal">
      <formula>"Towel"</formula>
    </cfRule>
  </conditionalFormatting>
  <conditionalFormatting sqref="C56">
    <cfRule type="cellIs" dxfId="27385" priority="13429" stopIfTrue="1" operator="equal">
      <formula>"Towel"</formula>
    </cfRule>
    <cfRule type="cellIs" dxfId="27384" priority="13430" stopIfTrue="1" operator="equal">
      <formula>"Napkin Hs"</formula>
    </cfRule>
  </conditionalFormatting>
  <conditionalFormatting sqref="C56">
    <cfRule type="cellIs" dxfId="27383" priority="13427" stopIfTrue="1" operator="equal">
      <formula>"Towel"</formula>
    </cfRule>
    <cfRule type="cellIs" dxfId="27382" priority="13428" stopIfTrue="1" operator="equal">
      <formula>"Napkin Hs"</formula>
    </cfRule>
  </conditionalFormatting>
  <conditionalFormatting sqref="C56">
    <cfRule type="cellIs" dxfId="27381" priority="13399" stopIfTrue="1" operator="equal">
      <formula>"Towel"</formula>
    </cfRule>
    <cfRule type="cellIs" dxfId="27380" priority="13400" stopIfTrue="1" operator="equal">
      <formula>"Napkin Hs"</formula>
    </cfRule>
  </conditionalFormatting>
  <conditionalFormatting sqref="C56">
    <cfRule type="cellIs" dxfId="27379" priority="13397" stopIfTrue="1" operator="equal">
      <formula>"Towel"</formula>
    </cfRule>
    <cfRule type="cellIs" dxfId="27378" priority="13398" stopIfTrue="1" operator="equal">
      <formula>"Napkin Hs"</formula>
    </cfRule>
  </conditionalFormatting>
  <conditionalFormatting sqref="C56">
    <cfRule type="cellIs" dxfId="27377" priority="13376" stopIfTrue="1" operator="equal">
      <formula>"Napkin Hs"</formula>
    </cfRule>
  </conditionalFormatting>
  <conditionalFormatting sqref="C56">
    <cfRule type="cellIs" dxfId="27376" priority="13375" stopIfTrue="1" operator="equal">
      <formula>"Towel"</formula>
    </cfRule>
  </conditionalFormatting>
  <conditionalFormatting sqref="C56">
    <cfRule type="cellIs" dxfId="27375" priority="13374" stopIfTrue="1" operator="equal">
      <formula>"Napkin Hs"</formula>
    </cfRule>
  </conditionalFormatting>
  <conditionalFormatting sqref="C56">
    <cfRule type="cellIs" dxfId="27374" priority="13373" stopIfTrue="1" operator="equal">
      <formula>"Towel"</formula>
    </cfRule>
  </conditionalFormatting>
  <conditionalFormatting sqref="C56">
    <cfRule type="cellIs" dxfId="27373" priority="13370" stopIfTrue="1" operator="equal">
      <formula>"Napkin Hs"</formula>
    </cfRule>
  </conditionalFormatting>
  <conditionalFormatting sqref="C56">
    <cfRule type="cellIs" dxfId="27372" priority="13369" stopIfTrue="1" operator="equal">
      <formula>"Towel"</formula>
    </cfRule>
  </conditionalFormatting>
  <conditionalFormatting sqref="C56">
    <cfRule type="cellIs" dxfId="27371" priority="13368" stopIfTrue="1" operator="equal">
      <formula>"Napkin Hs"</formula>
    </cfRule>
  </conditionalFormatting>
  <conditionalFormatting sqref="C56">
    <cfRule type="cellIs" dxfId="27370" priority="13367" stopIfTrue="1" operator="equal">
      <formula>"Towel"</formula>
    </cfRule>
  </conditionalFormatting>
  <conditionalFormatting sqref="C56">
    <cfRule type="cellIs" dxfId="27369" priority="13363" stopIfTrue="1" operator="equal">
      <formula>"Towel"</formula>
    </cfRule>
    <cfRule type="cellIs" dxfId="27368" priority="13364" stopIfTrue="1" operator="equal">
      <formula>"Napkin Hs"</formula>
    </cfRule>
  </conditionalFormatting>
  <conditionalFormatting sqref="C56">
    <cfRule type="cellIs" dxfId="27367" priority="13361" stopIfTrue="1" operator="equal">
      <formula>"Towel"</formula>
    </cfRule>
    <cfRule type="cellIs" dxfId="27366" priority="13362" stopIfTrue="1" operator="equal">
      <formula>"Napkin Hs"</formula>
    </cfRule>
  </conditionalFormatting>
  <conditionalFormatting sqref="C56">
    <cfRule type="cellIs" dxfId="27365" priority="13345" stopIfTrue="1" operator="equal">
      <formula>"Towel"</formula>
    </cfRule>
    <cfRule type="cellIs" dxfId="27364" priority="13346" stopIfTrue="1" operator="equal">
      <formula>"Napkin Hs"</formula>
    </cfRule>
  </conditionalFormatting>
  <conditionalFormatting sqref="C56">
    <cfRule type="cellIs" dxfId="27363" priority="13343" stopIfTrue="1" operator="equal">
      <formula>"Towel"</formula>
    </cfRule>
    <cfRule type="cellIs" dxfId="27362" priority="13344" stopIfTrue="1" operator="equal">
      <formula>"Napkin Hs"</formula>
    </cfRule>
  </conditionalFormatting>
  <conditionalFormatting sqref="B56:C56">
    <cfRule type="cellIs" dxfId="27361" priority="13304" stopIfTrue="1" operator="equal">
      <formula>"Napkin Hs"</formula>
    </cfRule>
  </conditionalFormatting>
  <conditionalFormatting sqref="B56:C56">
    <cfRule type="cellIs" dxfId="27360" priority="13303" stopIfTrue="1" operator="equal">
      <formula>"Towel"</formula>
    </cfRule>
  </conditionalFormatting>
  <conditionalFormatting sqref="C56">
    <cfRule type="cellIs" dxfId="27359" priority="13302" stopIfTrue="1" operator="equal">
      <formula>"Napkin Hs"</formula>
    </cfRule>
  </conditionalFormatting>
  <conditionalFormatting sqref="C56">
    <cfRule type="cellIs" dxfId="27358" priority="13299" stopIfTrue="1" operator="equal">
      <formula>"Towel"</formula>
    </cfRule>
    <cfRule type="cellIs" dxfId="27357" priority="13300" stopIfTrue="1" operator="equal">
      <formula>"Napkin Hs"</formula>
    </cfRule>
  </conditionalFormatting>
  <conditionalFormatting sqref="C56">
    <cfRule type="cellIs" dxfId="27356" priority="13301" stopIfTrue="1" operator="equal">
      <formula>"Towel"</formula>
    </cfRule>
  </conditionalFormatting>
  <conditionalFormatting sqref="B64:C64">
    <cfRule type="cellIs" dxfId="27355" priority="13297" stopIfTrue="1" operator="equal">
      <formula>"Towel"</formula>
    </cfRule>
    <cfRule type="cellIs" dxfId="27354" priority="13298" stopIfTrue="1" operator="equal">
      <formula>"Napkin Hs"</formula>
    </cfRule>
  </conditionalFormatting>
  <conditionalFormatting sqref="C64">
    <cfRule type="cellIs" dxfId="27353" priority="13293" stopIfTrue="1" operator="equal">
      <formula>"Towel"</formula>
    </cfRule>
    <cfRule type="cellIs" dxfId="27352" priority="13294" stopIfTrue="1" operator="equal">
      <formula>"Napkin Hs"</formula>
    </cfRule>
  </conditionalFormatting>
  <conditionalFormatting sqref="C64">
    <cfRule type="cellIs" dxfId="27351" priority="13295" stopIfTrue="1" operator="equal">
      <formula>"Towel"</formula>
    </cfRule>
    <cfRule type="cellIs" dxfId="27350" priority="13296" stopIfTrue="1" operator="equal">
      <formula>"Napkin Hs"</formula>
    </cfRule>
  </conditionalFormatting>
  <conditionalFormatting sqref="B63:C63">
    <cfRule type="cellIs" dxfId="27349" priority="13291" stopIfTrue="1" operator="equal">
      <formula>"Towel"</formula>
    </cfRule>
    <cfRule type="cellIs" dxfId="27348" priority="13292" stopIfTrue="1" operator="equal">
      <formula>"Napkin Hs"</formula>
    </cfRule>
  </conditionalFormatting>
  <conditionalFormatting sqref="C63">
    <cfRule type="cellIs" dxfId="27347" priority="13287" stopIfTrue="1" operator="equal">
      <formula>"Towel"</formula>
    </cfRule>
    <cfRule type="cellIs" dxfId="27346" priority="13288" stopIfTrue="1" operator="equal">
      <formula>"Napkin Hs"</formula>
    </cfRule>
  </conditionalFormatting>
  <conditionalFormatting sqref="C63">
    <cfRule type="cellIs" dxfId="27345" priority="13289" stopIfTrue="1" operator="equal">
      <formula>"Towel"</formula>
    </cfRule>
    <cfRule type="cellIs" dxfId="27344" priority="13290" stopIfTrue="1" operator="equal">
      <formula>"Napkin Hs"</formula>
    </cfRule>
  </conditionalFormatting>
  <conditionalFormatting sqref="B63:C63">
    <cfRule type="cellIs" dxfId="27343" priority="13285" stopIfTrue="1" operator="equal">
      <formula>"Towel"</formula>
    </cfRule>
    <cfRule type="cellIs" dxfId="27342" priority="13286" stopIfTrue="1" operator="equal">
      <formula>"Napkin Hs"</formula>
    </cfRule>
  </conditionalFormatting>
  <conditionalFormatting sqref="C63">
    <cfRule type="cellIs" dxfId="27341" priority="13281" stopIfTrue="1" operator="equal">
      <formula>"Towel"</formula>
    </cfRule>
    <cfRule type="cellIs" dxfId="27340" priority="13282" stopIfTrue="1" operator="equal">
      <formula>"Napkin Hs"</formula>
    </cfRule>
  </conditionalFormatting>
  <conditionalFormatting sqref="C63">
    <cfRule type="cellIs" dxfId="27339" priority="13283" stopIfTrue="1" operator="equal">
      <formula>"Towel"</formula>
    </cfRule>
    <cfRule type="cellIs" dxfId="27338" priority="13284" stopIfTrue="1" operator="equal">
      <formula>"Napkin Hs"</formula>
    </cfRule>
  </conditionalFormatting>
  <conditionalFormatting sqref="B63:C63">
    <cfRule type="cellIs" dxfId="27337" priority="13279" stopIfTrue="1" operator="equal">
      <formula>"Towel"</formula>
    </cfRule>
    <cfRule type="cellIs" dxfId="27336" priority="13280" stopIfTrue="1" operator="equal">
      <formula>"Napkin Hs"</formula>
    </cfRule>
  </conditionalFormatting>
  <conditionalFormatting sqref="C63">
    <cfRule type="cellIs" dxfId="27335" priority="13277" stopIfTrue="1" operator="equal">
      <formula>"Towel"</formula>
    </cfRule>
    <cfRule type="cellIs" dxfId="27334" priority="13278" stopIfTrue="1" operator="equal">
      <formula>"Napkin Hs"</formula>
    </cfRule>
  </conditionalFormatting>
  <conditionalFormatting sqref="C63">
    <cfRule type="cellIs" dxfId="27333" priority="13275" stopIfTrue="1" operator="equal">
      <formula>"Towel"</formula>
    </cfRule>
    <cfRule type="cellIs" dxfId="27332" priority="13276" stopIfTrue="1" operator="equal">
      <formula>"Napkin Hs"</formula>
    </cfRule>
  </conditionalFormatting>
  <conditionalFormatting sqref="B63:C63">
    <cfRule type="cellIs" dxfId="27331" priority="13274" stopIfTrue="1" operator="equal">
      <formula>"Napkin Hs"</formula>
    </cfRule>
  </conditionalFormatting>
  <conditionalFormatting sqref="B63:C63">
    <cfRule type="cellIs" dxfId="27330" priority="13273" stopIfTrue="1" operator="equal">
      <formula>"Towel"</formula>
    </cfRule>
  </conditionalFormatting>
  <conditionalFormatting sqref="C63">
    <cfRule type="cellIs" dxfId="27329" priority="13272" stopIfTrue="1" operator="equal">
      <formula>"Napkin Hs"</formula>
    </cfRule>
  </conditionalFormatting>
  <conditionalFormatting sqref="C63">
    <cfRule type="cellIs" dxfId="27328" priority="13271" stopIfTrue="1" operator="equal">
      <formula>"Towel"</formula>
    </cfRule>
  </conditionalFormatting>
  <conditionalFormatting sqref="C63">
    <cfRule type="cellIs" dxfId="27327" priority="13269" stopIfTrue="1" operator="equal">
      <formula>"Towel"</formula>
    </cfRule>
    <cfRule type="cellIs" dxfId="27326" priority="13270" stopIfTrue="1" operator="equal">
      <formula>"Napkin Hs"</formula>
    </cfRule>
  </conditionalFormatting>
  <conditionalFormatting sqref="C63">
    <cfRule type="cellIs" dxfId="27325" priority="13267" stopIfTrue="1" operator="equal">
      <formula>"Towel"</formula>
    </cfRule>
    <cfRule type="cellIs" dxfId="27324" priority="13268" stopIfTrue="1" operator="equal">
      <formula>"Napkin Hs"</formula>
    </cfRule>
  </conditionalFormatting>
  <conditionalFormatting sqref="C63">
    <cfRule type="cellIs" dxfId="27323" priority="13183" stopIfTrue="1" operator="equal">
      <formula>"Towel"</formula>
    </cfRule>
    <cfRule type="cellIs" dxfId="27322" priority="13184" stopIfTrue="1" operator="equal">
      <formula>"Napkin Hs"</formula>
    </cfRule>
  </conditionalFormatting>
  <conditionalFormatting sqref="C63">
    <cfRule type="cellIs" dxfId="27321" priority="13177" stopIfTrue="1" operator="equal">
      <formula>"Towel"</formula>
    </cfRule>
    <cfRule type="cellIs" dxfId="27320" priority="13178" stopIfTrue="1" operator="equal">
      <formula>"Napkin Hs"</formula>
    </cfRule>
  </conditionalFormatting>
  <conditionalFormatting sqref="C63">
    <cfRule type="cellIs" dxfId="27319" priority="13158" stopIfTrue="1" operator="equal">
      <formula>"Napkin Hs"</formula>
    </cfRule>
  </conditionalFormatting>
  <conditionalFormatting sqref="C63">
    <cfRule type="cellIs" dxfId="27318" priority="13157" stopIfTrue="1" operator="equal">
      <formula>"Towel"</formula>
    </cfRule>
  </conditionalFormatting>
  <conditionalFormatting sqref="C63">
    <cfRule type="cellIs" dxfId="27317" priority="13156" stopIfTrue="1" operator="equal">
      <formula>"Napkin Hs"</formula>
    </cfRule>
  </conditionalFormatting>
  <conditionalFormatting sqref="C63">
    <cfRule type="cellIs" dxfId="27316" priority="13153" stopIfTrue="1" operator="equal">
      <formula>"Towel"</formula>
    </cfRule>
    <cfRule type="cellIs" dxfId="27315" priority="13154" stopIfTrue="1" operator="equal">
      <formula>"Napkin Hs"</formula>
    </cfRule>
  </conditionalFormatting>
  <conditionalFormatting sqref="C63">
    <cfRule type="cellIs" dxfId="27314" priority="13155" stopIfTrue="1" operator="equal">
      <formula>"Towel"</formula>
    </cfRule>
  </conditionalFormatting>
  <conditionalFormatting sqref="C63">
    <cfRule type="cellIs" dxfId="27313" priority="13152" stopIfTrue="1" operator="equal">
      <formula>"Napkin Hs"</formula>
    </cfRule>
  </conditionalFormatting>
  <conditionalFormatting sqref="C63">
    <cfRule type="cellIs" dxfId="27312" priority="13151" stopIfTrue="1" operator="equal">
      <formula>"Towel"</formula>
    </cfRule>
  </conditionalFormatting>
  <conditionalFormatting sqref="C63">
    <cfRule type="cellIs" dxfId="27311" priority="13150" stopIfTrue="1" operator="equal">
      <formula>"Napkin Hs"</formula>
    </cfRule>
  </conditionalFormatting>
  <conditionalFormatting sqref="C63">
    <cfRule type="cellIs" dxfId="27310" priority="13147" stopIfTrue="1" operator="equal">
      <formula>"Towel"</formula>
    </cfRule>
    <cfRule type="cellIs" dxfId="27309" priority="13148" stopIfTrue="1" operator="equal">
      <formula>"Napkin Hs"</formula>
    </cfRule>
  </conditionalFormatting>
  <conditionalFormatting sqref="C63">
    <cfRule type="cellIs" dxfId="27308" priority="13149" stopIfTrue="1" operator="equal">
      <formula>"Towel"</formula>
    </cfRule>
  </conditionalFormatting>
  <conditionalFormatting sqref="C63">
    <cfRule type="cellIs" dxfId="27307" priority="13253" stopIfTrue="1" operator="equal">
      <formula>"Towel"</formula>
    </cfRule>
    <cfRule type="cellIs" dxfId="27306" priority="13254" stopIfTrue="1" operator="equal">
      <formula>"Napkin Hs"</formula>
    </cfRule>
  </conditionalFormatting>
  <conditionalFormatting sqref="C63">
    <cfRule type="cellIs" dxfId="27305" priority="13251" stopIfTrue="1" operator="equal">
      <formula>"Towel"</formula>
    </cfRule>
    <cfRule type="cellIs" dxfId="27304" priority="13252" stopIfTrue="1" operator="equal">
      <formula>"Napkin Hs"</formula>
    </cfRule>
  </conditionalFormatting>
  <conditionalFormatting sqref="C63">
    <cfRule type="cellIs" dxfId="27303" priority="13249" stopIfTrue="1" operator="equal">
      <formula>"Towel"</formula>
    </cfRule>
    <cfRule type="cellIs" dxfId="27302" priority="13250" stopIfTrue="1" operator="equal">
      <formula>"Napkin Hs"</formula>
    </cfRule>
  </conditionalFormatting>
  <conditionalFormatting sqref="C63">
    <cfRule type="cellIs" dxfId="27301" priority="13248" stopIfTrue="1" operator="equal">
      <formula>"Napkin Hs"</formula>
    </cfRule>
  </conditionalFormatting>
  <conditionalFormatting sqref="C63">
    <cfRule type="cellIs" dxfId="27300" priority="13247" stopIfTrue="1" operator="equal">
      <formula>"Towel"</formula>
    </cfRule>
  </conditionalFormatting>
  <conditionalFormatting sqref="C63">
    <cfRule type="cellIs" dxfId="27299" priority="13246" stopIfTrue="1" operator="equal">
      <formula>"Napkin Hs"</formula>
    </cfRule>
  </conditionalFormatting>
  <conditionalFormatting sqref="C63">
    <cfRule type="cellIs" dxfId="27298" priority="13245" stopIfTrue="1" operator="equal">
      <formula>"Towel"</formula>
    </cfRule>
  </conditionalFormatting>
  <conditionalFormatting sqref="C63">
    <cfRule type="cellIs" dxfId="27297" priority="13243" stopIfTrue="1" operator="equal">
      <formula>"Towel"</formula>
    </cfRule>
    <cfRule type="cellIs" dxfId="27296" priority="13244" stopIfTrue="1" operator="equal">
      <formula>"Napkin Hs"</formula>
    </cfRule>
  </conditionalFormatting>
  <conditionalFormatting sqref="C63">
    <cfRule type="cellIs" dxfId="27295" priority="13241" stopIfTrue="1" operator="equal">
      <formula>"Towel"</formula>
    </cfRule>
    <cfRule type="cellIs" dxfId="27294" priority="13242" stopIfTrue="1" operator="equal">
      <formula>"Napkin Hs"</formula>
    </cfRule>
  </conditionalFormatting>
  <conditionalFormatting sqref="C63">
    <cfRule type="cellIs" dxfId="27293" priority="13237" stopIfTrue="1" operator="equal">
      <formula>"Towel"</formula>
    </cfRule>
    <cfRule type="cellIs" dxfId="27292" priority="13238" stopIfTrue="1" operator="equal">
      <formula>"Napkin Hs"</formula>
    </cfRule>
  </conditionalFormatting>
  <conditionalFormatting sqref="C63">
    <cfRule type="cellIs" dxfId="27291" priority="13239" stopIfTrue="1" operator="equal">
      <formula>"Towel"</formula>
    </cfRule>
    <cfRule type="cellIs" dxfId="27290" priority="13240" stopIfTrue="1" operator="equal">
      <formula>"Napkin Hs"</formula>
    </cfRule>
  </conditionalFormatting>
  <conditionalFormatting sqref="C63">
    <cfRule type="cellIs" dxfId="27289" priority="13231" stopIfTrue="1" operator="equal">
      <formula>"Towel"</formula>
    </cfRule>
    <cfRule type="cellIs" dxfId="27288" priority="13232" stopIfTrue="1" operator="equal">
      <formula>"Napkin Hs"</formula>
    </cfRule>
  </conditionalFormatting>
  <conditionalFormatting sqref="C63">
    <cfRule type="cellIs" dxfId="27287" priority="13229" stopIfTrue="1" operator="equal">
      <formula>"Towel"</formula>
    </cfRule>
    <cfRule type="cellIs" dxfId="27286" priority="13230" stopIfTrue="1" operator="equal">
      <formula>"Napkin Hs"</formula>
    </cfRule>
  </conditionalFormatting>
  <conditionalFormatting sqref="C63">
    <cfRule type="cellIs" dxfId="27285" priority="13227" stopIfTrue="1" operator="equal">
      <formula>"Towel"</formula>
    </cfRule>
    <cfRule type="cellIs" dxfId="27284" priority="13228" stopIfTrue="1" operator="equal">
      <formula>"Napkin Hs"</formula>
    </cfRule>
  </conditionalFormatting>
  <conditionalFormatting sqref="C63">
    <cfRule type="cellIs" dxfId="27283" priority="13225" stopIfTrue="1" operator="equal">
      <formula>"Towel"</formula>
    </cfRule>
    <cfRule type="cellIs" dxfId="27282" priority="13226" stopIfTrue="1" operator="equal">
      <formula>"Napkin Hs"</formula>
    </cfRule>
  </conditionalFormatting>
  <conditionalFormatting sqref="C63">
    <cfRule type="cellIs" dxfId="27281" priority="13223" stopIfTrue="1" operator="equal">
      <formula>"Towel"</formula>
    </cfRule>
    <cfRule type="cellIs" dxfId="27280" priority="13224" stopIfTrue="1" operator="equal">
      <formula>"Napkin Hs"</formula>
    </cfRule>
  </conditionalFormatting>
  <conditionalFormatting sqref="C63">
    <cfRule type="cellIs" dxfId="27279" priority="13221" stopIfTrue="1" operator="equal">
      <formula>"Towel"</formula>
    </cfRule>
    <cfRule type="cellIs" dxfId="27278" priority="13222" stopIfTrue="1" operator="equal">
      <formula>"Napkin Hs"</formula>
    </cfRule>
  </conditionalFormatting>
  <conditionalFormatting sqref="C63">
    <cfRule type="cellIs" dxfId="27277" priority="13219" stopIfTrue="1" operator="equal">
      <formula>"Towel"</formula>
    </cfRule>
    <cfRule type="cellIs" dxfId="27276" priority="13220" stopIfTrue="1" operator="equal">
      <formula>"Napkin Hs"</formula>
    </cfRule>
  </conditionalFormatting>
  <conditionalFormatting sqref="C63">
    <cfRule type="cellIs" dxfId="27275" priority="13217" stopIfTrue="1" operator="equal">
      <formula>"Towel"</formula>
    </cfRule>
    <cfRule type="cellIs" dxfId="27274" priority="13218" stopIfTrue="1" operator="equal">
      <formula>"Napkin Hs"</formula>
    </cfRule>
  </conditionalFormatting>
  <conditionalFormatting sqref="C63">
    <cfRule type="cellIs" dxfId="27273" priority="13215" stopIfTrue="1" operator="equal">
      <formula>"Towel"</formula>
    </cfRule>
    <cfRule type="cellIs" dxfId="27272" priority="13216" stopIfTrue="1" operator="equal">
      <formula>"Napkin Hs"</formula>
    </cfRule>
  </conditionalFormatting>
  <conditionalFormatting sqref="C63">
    <cfRule type="cellIs" dxfId="27271" priority="13213" stopIfTrue="1" operator="equal">
      <formula>"Towel"</formula>
    </cfRule>
    <cfRule type="cellIs" dxfId="27270" priority="13214" stopIfTrue="1" operator="equal">
      <formula>"Napkin Hs"</formula>
    </cfRule>
  </conditionalFormatting>
  <conditionalFormatting sqref="C63">
    <cfRule type="cellIs" dxfId="27269" priority="13207" stopIfTrue="1" operator="equal">
      <formula>"Towel"</formula>
    </cfRule>
    <cfRule type="cellIs" dxfId="27268" priority="13208" stopIfTrue="1" operator="equal">
      <formula>"Napkin Hs"</formula>
    </cfRule>
  </conditionalFormatting>
  <conditionalFormatting sqref="C63">
    <cfRule type="cellIs" dxfId="27267" priority="13201" stopIfTrue="1" operator="equal">
      <formula>"Towel"</formula>
    </cfRule>
    <cfRule type="cellIs" dxfId="27266" priority="13202" stopIfTrue="1" operator="equal">
      <formula>"Napkin Hs"</formula>
    </cfRule>
  </conditionalFormatting>
  <conditionalFormatting sqref="C63">
    <cfRule type="cellIs" dxfId="27265" priority="13195" stopIfTrue="1" operator="equal">
      <formula>"Towel"</formula>
    </cfRule>
    <cfRule type="cellIs" dxfId="27264" priority="13196" stopIfTrue="1" operator="equal">
      <formula>"Napkin Hs"</formula>
    </cfRule>
  </conditionalFormatting>
  <conditionalFormatting sqref="C63">
    <cfRule type="cellIs" dxfId="27263" priority="13194" stopIfTrue="1" operator="equal">
      <formula>"Napkin Hs"</formula>
    </cfRule>
  </conditionalFormatting>
  <conditionalFormatting sqref="C63">
    <cfRule type="cellIs" dxfId="27262" priority="13193" stopIfTrue="1" operator="equal">
      <formula>"Towel"</formula>
    </cfRule>
  </conditionalFormatting>
  <conditionalFormatting sqref="C63">
    <cfRule type="cellIs" dxfId="27261" priority="13192" stopIfTrue="1" operator="equal">
      <formula>"Napkin Hs"</formula>
    </cfRule>
  </conditionalFormatting>
  <conditionalFormatting sqref="C63">
    <cfRule type="cellIs" dxfId="27260" priority="13191" stopIfTrue="1" operator="equal">
      <formula>"Towel"</formula>
    </cfRule>
  </conditionalFormatting>
  <conditionalFormatting sqref="C63">
    <cfRule type="cellIs" dxfId="27259" priority="13189" stopIfTrue="1" operator="equal">
      <formula>"Towel"</formula>
    </cfRule>
    <cfRule type="cellIs" dxfId="27258" priority="13190" stopIfTrue="1" operator="equal">
      <formula>"Napkin Hs"</formula>
    </cfRule>
  </conditionalFormatting>
  <conditionalFormatting sqref="C63">
    <cfRule type="cellIs" dxfId="27257" priority="13187" stopIfTrue="1" operator="equal">
      <formula>"Towel"</formula>
    </cfRule>
    <cfRule type="cellIs" dxfId="27256" priority="13188" stopIfTrue="1" operator="equal">
      <formula>"Napkin Hs"</formula>
    </cfRule>
  </conditionalFormatting>
  <conditionalFormatting sqref="C63">
    <cfRule type="cellIs" dxfId="27255" priority="13185" stopIfTrue="1" operator="equal">
      <formula>"Towel"</formula>
    </cfRule>
    <cfRule type="cellIs" dxfId="27254" priority="13186" stopIfTrue="1" operator="equal">
      <formula>"Napkin Hs"</formula>
    </cfRule>
  </conditionalFormatting>
  <conditionalFormatting sqref="C63">
    <cfRule type="cellIs" dxfId="27253" priority="13175" stopIfTrue="1" operator="equal">
      <formula>"Towel"</formula>
    </cfRule>
    <cfRule type="cellIs" dxfId="27252" priority="13176" stopIfTrue="1" operator="equal">
      <formula>"Napkin Hs"</formula>
    </cfRule>
  </conditionalFormatting>
  <conditionalFormatting sqref="C63">
    <cfRule type="cellIs" dxfId="27251" priority="13173" stopIfTrue="1" operator="equal">
      <formula>"Towel"</formula>
    </cfRule>
    <cfRule type="cellIs" dxfId="27250" priority="13174" stopIfTrue="1" operator="equal">
      <formula>"Napkin Hs"</formula>
    </cfRule>
  </conditionalFormatting>
  <conditionalFormatting sqref="C63">
    <cfRule type="cellIs" dxfId="27249" priority="13171" stopIfTrue="1" operator="equal">
      <formula>"Towel"</formula>
    </cfRule>
    <cfRule type="cellIs" dxfId="27248" priority="13172" stopIfTrue="1" operator="equal">
      <formula>"Napkin Hs"</formula>
    </cfRule>
  </conditionalFormatting>
  <conditionalFormatting sqref="C63">
    <cfRule type="cellIs" dxfId="27247" priority="13169" stopIfTrue="1" operator="equal">
      <formula>"Towel"</formula>
    </cfRule>
    <cfRule type="cellIs" dxfId="27246" priority="13170" stopIfTrue="1" operator="equal">
      <formula>"Napkin Hs"</formula>
    </cfRule>
  </conditionalFormatting>
  <conditionalFormatting sqref="C63">
    <cfRule type="cellIs" dxfId="27245" priority="13167" stopIfTrue="1" operator="equal">
      <formula>"Towel"</formula>
    </cfRule>
    <cfRule type="cellIs" dxfId="27244" priority="13168" stopIfTrue="1" operator="equal">
      <formula>"Napkin Hs"</formula>
    </cfRule>
  </conditionalFormatting>
  <conditionalFormatting sqref="C63">
    <cfRule type="cellIs" dxfId="27243" priority="13165" stopIfTrue="1" operator="equal">
      <formula>"Towel"</formula>
    </cfRule>
    <cfRule type="cellIs" dxfId="27242" priority="13166" stopIfTrue="1" operator="equal">
      <formula>"Napkin Hs"</formula>
    </cfRule>
  </conditionalFormatting>
  <conditionalFormatting sqref="C63">
    <cfRule type="cellIs" dxfId="27241" priority="13163" stopIfTrue="1" operator="equal">
      <formula>"Towel"</formula>
    </cfRule>
    <cfRule type="cellIs" dxfId="27240" priority="13164" stopIfTrue="1" operator="equal">
      <formula>"Napkin Hs"</formula>
    </cfRule>
  </conditionalFormatting>
  <conditionalFormatting sqref="C63">
    <cfRule type="cellIs" dxfId="27239" priority="13161" stopIfTrue="1" operator="equal">
      <formula>"Towel"</formula>
    </cfRule>
    <cfRule type="cellIs" dxfId="27238" priority="13162" stopIfTrue="1" operator="equal">
      <formula>"Napkin Hs"</formula>
    </cfRule>
  </conditionalFormatting>
  <conditionalFormatting sqref="C63">
    <cfRule type="cellIs" dxfId="27237" priority="13159" stopIfTrue="1" operator="equal">
      <formula>"Towel"</formula>
    </cfRule>
    <cfRule type="cellIs" dxfId="27236" priority="13160" stopIfTrue="1" operator="equal">
      <formula>"Napkin Hs"</formula>
    </cfRule>
  </conditionalFormatting>
  <conditionalFormatting sqref="C63">
    <cfRule type="cellIs" dxfId="27235" priority="13146" stopIfTrue="1" operator="equal">
      <formula>"Napkin Hs"</formula>
    </cfRule>
  </conditionalFormatting>
  <conditionalFormatting sqref="C63">
    <cfRule type="cellIs" dxfId="27234" priority="13145" stopIfTrue="1" operator="equal">
      <formula>"Towel"</formula>
    </cfRule>
  </conditionalFormatting>
  <conditionalFormatting sqref="C63">
    <cfRule type="cellIs" dxfId="27233" priority="13144" stopIfTrue="1" operator="equal">
      <formula>"Napkin Hs"</formula>
    </cfRule>
  </conditionalFormatting>
  <conditionalFormatting sqref="C63">
    <cfRule type="cellIs" dxfId="27232" priority="13141" stopIfTrue="1" operator="equal">
      <formula>"Towel"</formula>
    </cfRule>
    <cfRule type="cellIs" dxfId="27231" priority="13142" stopIfTrue="1" operator="equal">
      <formula>"Napkin Hs"</formula>
    </cfRule>
  </conditionalFormatting>
  <conditionalFormatting sqref="C63">
    <cfRule type="cellIs" dxfId="27230" priority="13143" stopIfTrue="1" operator="equal">
      <formula>"Towel"</formula>
    </cfRule>
  </conditionalFormatting>
  <conditionalFormatting sqref="C63">
    <cfRule type="cellIs" dxfId="27229" priority="13261" stopIfTrue="1" operator="equal">
      <formula>"Towel"</formula>
    </cfRule>
    <cfRule type="cellIs" dxfId="27228" priority="13262" stopIfTrue="1" operator="equal">
      <formula>"Napkin Hs"</formula>
    </cfRule>
  </conditionalFormatting>
  <conditionalFormatting sqref="C63">
    <cfRule type="cellIs" dxfId="27227" priority="13260" stopIfTrue="1" operator="equal">
      <formula>"Napkin Hs"</formula>
    </cfRule>
  </conditionalFormatting>
  <conditionalFormatting sqref="C63">
    <cfRule type="cellIs" dxfId="27226" priority="13259" stopIfTrue="1" operator="equal">
      <formula>"Towel"</formula>
    </cfRule>
  </conditionalFormatting>
  <conditionalFormatting sqref="C63">
    <cfRule type="cellIs" dxfId="27225" priority="13258" stopIfTrue="1" operator="equal">
      <formula>"Napkin Hs"</formula>
    </cfRule>
  </conditionalFormatting>
  <conditionalFormatting sqref="C63">
    <cfRule type="cellIs" dxfId="27224" priority="13255" stopIfTrue="1" operator="equal">
      <formula>"Towel"</formula>
    </cfRule>
    <cfRule type="cellIs" dxfId="27223" priority="13256" stopIfTrue="1" operator="equal">
      <formula>"Napkin Hs"</formula>
    </cfRule>
  </conditionalFormatting>
  <conditionalFormatting sqref="C63">
    <cfRule type="cellIs" dxfId="27222" priority="13257" stopIfTrue="1" operator="equal">
      <formula>"Towel"</formula>
    </cfRule>
  </conditionalFormatting>
  <conditionalFormatting sqref="C63">
    <cfRule type="cellIs" dxfId="27221" priority="13265" stopIfTrue="1" operator="equal">
      <formula>"Towel"</formula>
    </cfRule>
    <cfRule type="cellIs" dxfId="27220" priority="13266" stopIfTrue="1" operator="equal">
      <formula>"Napkin Hs"</formula>
    </cfRule>
  </conditionalFormatting>
  <conditionalFormatting sqref="C63">
    <cfRule type="cellIs" dxfId="27219" priority="13263" stopIfTrue="1" operator="equal">
      <formula>"Towel"</formula>
    </cfRule>
    <cfRule type="cellIs" dxfId="27218" priority="13264" stopIfTrue="1" operator="equal">
      <formula>"Napkin Hs"</formula>
    </cfRule>
  </conditionalFormatting>
  <conditionalFormatting sqref="C63">
    <cfRule type="cellIs" dxfId="27217" priority="13235" stopIfTrue="1" operator="equal">
      <formula>"Towel"</formula>
    </cfRule>
    <cfRule type="cellIs" dxfId="27216" priority="13236" stopIfTrue="1" operator="equal">
      <formula>"Napkin Hs"</formula>
    </cfRule>
  </conditionalFormatting>
  <conditionalFormatting sqref="C63">
    <cfRule type="cellIs" dxfId="27215" priority="13233" stopIfTrue="1" operator="equal">
      <formula>"Towel"</formula>
    </cfRule>
    <cfRule type="cellIs" dxfId="27214" priority="13234" stopIfTrue="1" operator="equal">
      <formula>"Napkin Hs"</formula>
    </cfRule>
  </conditionalFormatting>
  <conditionalFormatting sqref="C63">
    <cfRule type="cellIs" dxfId="27213" priority="13212" stopIfTrue="1" operator="equal">
      <formula>"Napkin Hs"</formula>
    </cfRule>
  </conditionalFormatting>
  <conditionalFormatting sqref="C63">
    <cfRule type="cellIs" dxfId="27212" priority="13211" stopIfTrue="1" operator="equal">
      <formula>"Towel"</formula>
    </cfRule>
  </conditionalFormatting>
  <conditionalFormatting sqref="C63">
    <cfRule type="cellIs" dxfId="27211" priority="13210" stopIfTrue="1" operator="equal">
      <formula>"Napkin Hs"</formula>
    </cfRule>
  </conditionalFormatting>
  <conditionalFormatting sqref="C63">
    <cfRule type="cellIs" dxfId="27210" priority="13209" stopIfTrue="1" operator="equal">
      <formula>"Towel"</formula>
    </cfRule>
  </conditionalFormatting>
  <conditionalFormatting sqref="C63">
    <cfRule type="cellIs" dxfId="27209" priority="13206" stopIfTrue="1" operator="equal">
      <formula>"Napkin Hs"</formula>
    </cfRule>
  </conditionalFormatting>
  <conditionalFormatting sqref="C63">
    <cfRule type="cellIs" dxfId="27208" priority="13205" stopIfTrue="1" operator="equal">
      <formula>"Towel"</formula>
    </cfRule>
  </conditionalFormatting>
  <conditionalFormatting sqref="C63">
    <cfRule type="cellIs" dxfId="27207" priority="13204" stopIfTrue="1" operator="equal">
      <formula>"Napkin Hs"</formula>
    </cfRule>
  </conditionalFormatting>
  <conditionalFormatting sqref="C63">
    <cfRule type="cellIs" dxfId="27206" priority="13203" stopIfTrue="1" operator="equal">
      <formula>"Towel"</formula>
    </cfRule>
  </conditionalFormatting>
  <conditionalFormatting sqref="C63">
    <cfRule type="cellIs" dxfId="27205" priority="13199" stopIfTrue="1" operator="equal">
      <formula>"Towel"</formula>
    </cfRule>
    <cfRule type="cellIs" dxfId="27204" priority="13200" stopIfTrue="1" operator="equal">
      <formula>"Napkin Hs"</formula>
    </cfRule>
  </conditionalFormatting>
  <conditionalFormatting sqref="C63">
    <cfRule type="cellIs" dxfId="27203" priority="13197" stopIfTrue="1" operator="equal">
      <formula>"Towel"</formula>
    </cfRule>
    <cfRule type="cellIs" dxfId="27202" priority="13198" stopIfTrue="1" operator="equal">
      <formula>"Napkin Hs"</formula>
    </cfRule>
  </conditionalFormatting>
  <conditionalFormatting sqref="C63">
    <cfRule type="cellIs" dxfId="27201" priority="13181" stopIfTrue="1" operator="equal">
      <formula>"Towel"</formula>
    </cfRule>
    <cfRule type="cellIs" dxfId="27200" priority="13182" stopIfTrue="1" operator="equal">
      <formula>"Napkin Hs"</formula>
    </cfRule>
  </conditionalFormatting>
  <conditionalFormatting sqref="C63">
    <cfRule type="cellIs" dxfId="27199" priority="13179" stopIfTrue="1" operator="equal">
      <formula>"Towel"</formula>
    </cfRule>
    <cfRule type="cellIs" dxfId="27198" priority="13180" stopIfTrue="1" operator="equal">
      <formula>"Napkin Hs"</formula>
    </cfRule>
  </conditionalFormatting>
  <conditionalFormatting sqref="B63:C63">
    <cfRule type="cellIs" dxfId="27197" priority="13140" stopIfTrue="1" operator="equal">
      <formula>"Napkin Hs"</formula>
    </cfRule>
  </conditionalFormatting>
  <conditionalFormatting sqref="B63:C63">
    <cfRule type="cellIs" dxfId="27196" priority="13139" stopIfTrue="1" operator="equal">
      <formula>"Towel"</formula>
    </cfRule>
  </conditionalFormatting>
  <conditionalFormatting sqref="C63">
    <cfRule type="cellIs" dxfId="27195" priority="13138" stopIfTrue="1" operator="equal">
      <formula>"Napkin Hs"</formula>
    </cfRule>
  </conditionalFormatting>
  <conditionalFormatting sqref="C63">
    <cfRule type="cellIs" dxfId="27194" priority="13135" stopIfTrue="1" operator="equal">
      <formula>"Towel"</formula>
    </cfRule>
    <cfRule type="cellIs" dxfId="27193" priority="13136" stopIfTrue="1" operator="equal">
      <formula>"Napkin Hs"</formula>
    </cfRule>
  </conditionalFormatting>
  <conditionalFormatting sqref="C63">
    <cfRule type="cellIs" dxfId="27192" priority="13137" stopIfTrue="1" operator="equal">
      <formula>"Towel"</formula>
    </cfRule>
  </conditionalFormatting>
  <conditionalFormatting sqref="C61:C63">
    <cfRule type="cellIs" dxfId="27191" priority="13051" stopIfTrue="1" operator="equal">
      <formula>"Towel"</formula>
    </cfRule>
    <cfRule type="cellIs" dxfId="27190" priority="13052" stopIfTrue="1" operator="equal">
      <formula>"Napkin Hs"</formula>
    </cfRule>
  </conditionalFormatting>
  <conditionalFormatting sqref="C61:C63">
    <cfRule type="cellIs" dxfId="27189" priority="13045" stopIfTrue="1" operator="equal">
      <formula>"Towel"</formula>
    </cfRule>
    <cfRule type="cellIs" dxfId="27188" priority="13046" stopIfTrue="1" operator="equal">
      <formula>"Napkin Hs"</formula>
    </cfRule>
  </conditionalFormatting>
  <conditionalFormatting sqref="C61:C63">
    <cfRule type="cellIs" dxfId="27187" priority="13026" stopIfTrue="1" operator="equal">
      <formula>"Napkin Hs"</formula>
    </cfRule>
  </conditionalFormatting>
  <conditionalFormatting sqref="C61:C63">
    <cfRule type="cellIs" dxfId="27186" priority="13025" stopIfTrue="1" operator="equal">
      <formula>"Towel"</formula>
    </cfRule>
  </conditionalFormatting>
  <conditionalFormatting sqref="C61:C63">
    <cfRule type="cellIs" dxfId="27185" priority="13024" stopIfTrue="1" operator="equal">
      <formula>"Napkin Hs"</formula>
    </cfRule>
  </conditionalFormatting>
  <conditionalFormatting sqref="C61:C63">
    <cfRule type="cellIs" dxfId="27184" priority="13021" stopIfTrue="1" operator="equal">
      <formula>"Towel"</formula>
    </cfRule>
    <cfRule type="cellIs" dxfId="27183" priority="13022" stopIfTrue="1" operator="equal">
      <formula>"Napkin Hs"</formula>
    </cfRule>
  </conditionalFormatting>
  <conditionalFormatting sqref="C61:C63">
    <cfRule type="cellIs" dxfId="27182" priority="13023" stopIfTrue="1" operator="equal">
      <formula>"Towel"</formula>
    </cfRule>
  </conditionalFormatting>
  <conditionalFormatting sqref="C61:C63">
    <cfRule type="cellIs" dxfId="27181" priority="13020" stopIfTrue="1" operator="equal">
      <formula>"Napkin Hs"</formula>
    </cfRule>
  </conditionalFormatting>
  <conditionalFormatting sqref="C61:C63">
    <cfRule type="cellIs" dxfId="27180" priority="13019" stopIfTrue="1" operator="equal">
      <formula>"Towel"</formula>
    </cfRule>
  </conditionalFormatting>
  <conditionalFormatting sqref="C61:C63">
    <cfRule type="cellIs" dxfId="27179" priority="13018" stopIfTrue="1" operator="equal">
      <formula>"Napkin Hs"</formula>
    </cfRule>
  </conditionalFormatting>
  <conditionalFormatting sqref="C61:C63">
    <cfRule type="cellIs" dxfId="27178" priority="13015" stopIfTrue="1" operator="equal">
      <formula>"Towel"</formula>
    </cfRule>
    <cfRule type="cellIs" dxfId="27177" priority="13016" stopIfTrue="1" operator="equal">
      <formula>"Napkin Hs"</formula>
    </cfRule>
  </conditionalFormatting>
  <conditionalFormatting sqref="C61:C63">
    <cfRule type="cellIs" dxfId="27176" priority="13017" stopIfTrue="1" operator="equal">
      <formula>"Towel"</formula>
    </cfRule>
  </conditionalFormatting>
  <conditionalFormatting sqref="C61:C63">
    <cfRule type="cellIs" dxfId="27175" priority="13121" stopIfTrue="1" operator="equal">
      <formula>"Towel"</formula>
    </cfRule>
    <cfRule type="cellIs" dxfId="27174" priority="13122" stopIfTrue="1" operator="equal">
      <formula>"Napkin Hs"</formula>
    </cfRule>
  </conditionalFormatting>
  <conditionalFormatting sqref="C61:C63">
    <cfRule type="cellIs" dxfId="27173" priority="13119" stopIfTrue="1" operator="equal">
      <formula>"Towel"</formula>
    </cfRule>
    <cfRule type="cellIs" dxfId="27172" priority="13120" stopIfTrue="1" operator="equal">
      <formula>"Napkin Hs"</formula>
    </cfRule>
  </conditionalFormatting>
  <conditionalFormatting sqref="C61:C63">
    <cfRule type="cellIs" dxfId="27171" priority="13117" stopIfTrue="1" operator="equal">
      <formula>"Towel"</formula>
    </cfRule>
    <cfRule type="cellIs" dxfId="27170" priority="13118" stopIfTrue="1" operator="equal">
      <formula>"Napkin Hs"</formula>
    </cfRule>
  </conditionalFormatting>
  <conditionalFormatting sqref="C61:C63">
    <cfRule type="cellIs" dxfId="27169" priority="13116" stopIfTrue="1" operator="equal">
      <formula>"Napkin Hs"</formula>
    </cfRule>
  </conditionalFormatting>
  <conditionalFormatting sqref="C61:C63">
    <cfRule type="cellIs" dxfId="27168" priority="13115" stopIfTrue="1" operator="equal">
      <formula>"Towel"</formula>
    </cfRule>
  </conditionalFormatting>
  <conditionalFormatting sqref="C61:C63">
    <cfRule type="cellIs" dxfId="27167" priority="13114" stopIfTrue="1" operator="equal">
      <formula>"Napkin Hs"</formula>
    </cfRule>
  </conditionalFormatting>
  <conditionalFormatting sqref="C61:C63">
    <cfRule type="cellIs" dxfId="27166" priority="13113" stopIfTrue="1" operator="equal">
      <formula>"Towel"</formula>
    </cfRule>
  </conditionalFormatting>
  <conditionalFormatting sqref="C61:C63">
    <cfRule type="cellIs" dxfId="27165" priority="13111" stopIfTrue="1" operator="equal">
      <formula>"Towel"</formula>
    </cfRule>
    <cfRule type="cellIs" dxfId="27164" priority="13112" stopIfTrue="1" operator="equal">
      <formula>"Napkin Hs"</formula>
    </cfRule>
  </conditionalFormatting>
  <conditionalFormatting sqref="C61:C63">
    <cfRule type="cellIs" dxfId="27163" priority="13109" stopIfTrue="1" operator="equal">
      <formula>"Towel"</formula>
    </cfRule>
    <cfRule type="cellIs" dxfId="27162" priority="13110" stopIfTrue="1" operator="equal">
      <formula>"Napkin Hs"</formula>
    </cfRule>
  </conditionalFormatting>
  <conditionalFormatting sqref="C61:C63">
    <cfRule type="cellIs" dxfId="27161" priority="13105" stopIfTrue="1" operator="equal">
      <formula>"Towel"</formula>
    </cfRule>
    <cfRule type="cellIs" dxfId="27160" priority="13106" stopIfTrue="1" operator="equal">
      <formula>"Napkin Hs"</formula>
    </cfRule>
  </conditionalFormatting>
  <conditionalFormatting sqref="C61:C63">
    <cfRule type="cellIs" dxfId="27159" priority="13107" stopIfTrue="1" operator="equal">
      <formula>"Towel"</formula>
    </cfRule>
    <cfRule type="cellIs" dxfId="27158" priority="13108" stopIfTrue="1" operator="equal">
      <formula>"Napkin Hs"</formula>
    </cfRule>
  </conditionalFormatting>
  <conditionalFormatting sqref="C61:C63">
    <cfRule type="cellIs" dxfId="27157" priority="13099" stopIfTrue="1" operator="equal">
      <formula>"Towel"</formula>
    </cfRule>
    <cfRule type="cellIs" dxfId="27156" priority="13100" stopIfTrue="1" operator="equal">
      <formula>"Napkin Hs"</formula>
    </cfRule>
  </conditionalFormatting>
  <conditionalFormatting sqref="C61:C63">
    <cfRule type="cellIs" dxfId="27155" priority="13097" stopIfTrue="1" operator="equal">
      <formula>"Towel"</formula>
    </cfRule>
    <cfRule type="cellIs" dxfId="27154" priority="13098" stopIfTrue="1" operator="equal">
      <formula>"Napkin Hs"</formula>
    </cfRule>
  </conditionalFormatting>
  <conditionalFormatting sqref="C61:C63">
    <cfRule type="cellIs" dxfId="27153" priority="13095" stopIfTrue="1" operator="equal">
      <formula>"Towel"</formula>
    </cfRule>
    <cfRule type="cellIs" dxfId="27152" priority="13096" stopIfTrue="1" operator="equal">
      <formula>"Napkin Hs"</formula>
    </cfRule>
  </conditionalFormatting>
  <conditionalFormatting sqref="C61:C63">
    <cfRule type="cellIs" dxfId="27151" priority="13093" stopIfTrue="1" operator="equal">
      <formula>"Towel"</formula>
    </cfRule>
    <cfRule type="cellIs" dxfId="27150" priority="13094" stopIfTrue="1" operator="equal">
      <formula>"Napkin Hs"</formula>
    </cfRule>
  </conditionalFormatting>
  <conditionalFormatting sqref="C61:C63">
    <cfRule type="cellIs" dxfId="27149" priority="13091" stopIfTrue="1" operator="equal">
      <formula>"Towel"</formula>
    </cfRule>
    <cfRule type="cellIs" dxfId="27148" priority="13092" stopIfTrue="1" operator="equal">
      <formula>"Napkin Hs"</formula>
    </cfRule>
  </conditionalFormatting>
  <conditionalFormatting sqref="C61:C63">
    <cfRule type="cellIs" dxfId="27147" priority="13089" stopIfTrue="1" operator="equal">
      <formula>"Towel"</formula>
    </cfRule>
    <cfRule type="cellIs" dxfId="27146" priority="13090" stopIfTrue="1" operator="equal">
      <formula>"Napkin Hs"</formula>
    </cfRule>
  </conditionalFormatting>
  <conditionalFormatting sqref="C61:C63">
    <cfRule type="cellIs" dxfId="27145" priority="13087" stopIfTrue="1" operator="equal">
      <formula>"Towel"</formula>
    </cfRule>
    <cfRule type="cellIs" dxfId="27144" priority="13088" stopIfTrue="1" operator="equal">
      <formula>"Napkin Hs"</formula>
    </cfRule>
  </conditionalFormatting>
  <conditionalFormatting sqref="C61:C63">
    <cfRule type="cellIs" dxfId="27143" priority="13085" stopIfTrue="1" operator="equal">
      <formula>"Towel"</formula>
    </cfRule>
    <cfRule type="cellIs" dxfId="27142" priority="13086" stopIfTrue="1" operator="equal">
      <formula>"Napkin Hs"</formula>
    </cfRule>
  </conditionalFormatting>
  <conditionalFormatting sqref="C61:C63">
    <cfRule type="cellIs" dxfId="27141" priority="13083" stopIfTrue="1" operator="equal">
      <formula>"Towel"</formula>
    </cfRule>
    <cfRule type="cellIs" dxfId="27140" priority="13084" stopIfTrue="1" operator="equal">
      <formula>"Napkin Hs"</formula>
    </cfRule>
  </conditionalFormatting>
  <conditionalFormatting sqref="C61:C63">
    <cfRule type="cellIs" dxfId="27139" priority="13081" stopIfTrue="1" operator="equal">
      <formula>"Towel"</formula>
    </cfRule>
    <cfRule type="cellIs" dxfId="27138" priority="13082" stopIfTrue="1" operator="equal">
      <formula>"Napkin Hs"</formula>
    </cfRule>
  </conditionalFormatting>
  <conditionalFormatting sqref="C61:C63">
    <cfRule type="cellIs" dxfId="27137" priority="13075" stopIfTrue="1" operator="equal">
      <formula>"Towel"</formula>
    </cfRule>
    <cfRule type="cellIs" dxfId="27136" priority="13076" stopIfTrue="1" operator="equal">
      <formula>"Napkin Hs"</formula>
    </cfRule>
  </conditionalFormatting>
  <conditionalFormatting sqref="C61:C63">
    <cfRule type="cellIs" dxfId="27135" priority="13069" stopIfTrue="1" operator="equal">
      <formula>"Towel"</formula>
    </cfRule>
    <cfRule type="cellIs" dxfId="27134" priority="13070" stopIfTrue="1" operator="equal">
      <formula>"Napkin Hs"</formula>
    </cfRule>
  </conditionalFormatting>
  <conditionalFormatting sqref="C61:C63">
    <cfRule type="cellIs" dxfId="27133" priority="13063" stopIfTrue="1" operator="equal">
      <formula>"Towel"</formula>
    </cfRule>
    <cfRule type="cellIs" dxfId="27132" priority="13064" stopIfTrue="1" operator="equal">
      <formula>"Napkin Hs"</formula>
    </cfRule>
  </conditionalFormatting>
  <conditionalFormatting sqref="C61:C63">
    <cfRule type="cellIs" dxfId="27131" priority="13062" stopIfTrue="1" operator="equal">
      <formula>"Napkin Hs"</formula>
    </cfRule>
  </conditionalFormatting>
  <conditionalFormatting sqref="C61:C63">
    <cfRule type="cellIs" dxfId="27130" priority="13061" stopIfTrue="1" operator="equal">
      <formula>"Towel"</formula>
    </cfRule>
  </conditionalFormatting>
  <conditionalFormatting sqref="C61:C63">
    <cfRule type="cellIs" dxfId="27129" priority="13060" stopIfTrue="1" operator="equal">
      <formula>"Napkin Hs"</formula>
    </cfRule>
  </conditionalFormatting>
  <conditionalFormatting sqref="C61:C63">
    <cfRule type="cellIs" dxfId="27128" priority="13059" stopIfTrue="1" operator="equal">
      <formula>"Towel"</formula>
    </cfRule>
  </conditionalFormatting>
  <conditionalFormatting sqref="C61:C63">
    <cfRule type="cellIs" dxfId="27127" priority="13057" stopIfTrue="1" operator="equal">
      <formula>"Towel"</formula>
    </cfRule>
    <cfRule type="cellIs" dxfId="27126" priority="13058" stopIfTrue="1" operator="equal">
      <formula>"Napkin Hs"</formula>
    </cfRule>
  </conditionalFormatting>
  <conditionalFormatting sqref="C61:C63">
    <cfRule type="cellIs" dxfId="27125" priority="13055" stopIfTrue="1" operator="equal">
      <formula>"Towel"</formula>
    </cfRule>
    <cfRule type="cellIs" dxfId="27124" priority="13056" stopIfTrue="1" operator="equal">
      <formula>"Napkin Hs"</formula>
    </cfRule>
  </conditionalFormatting>
  <conditionalFormatting sqref="C61:C63">
    <cfRule type="cellIs" dxfId="27123" priority="13053" stopIfTrue="1" operator="equal">
      <formula>"Towel"</formula>
    </cfRule>
    <cfRule type="cellIs" dxfId="27122" priority="13054" stopIfTrue="1" operator="equal">
      <formula>"Napkin Hs"</formula>
    </cfRule>
  </conditionalFormatting>
  <conditionalFormatting sqref="C61:C63">
    <cfRule type="cellIs" dxfId="27121" priority="13043" stopIfTrue="1" operator="equal">
      <formula>"Towel"</formula>
    </cfRule>
    <cfRule type="cellIs" dxfId="27120" priority="13044" stopIfTrue="1" operator="equal">
      <formula>"Napkin Hs"</formula>
    </cfRule>
  </conditionalFormatting>
  <conditionalFormatting sqref="C61:C63">
    <cfRule type="cellIs" dxfId="27119" priority="13041" stopIfTrue="1" operator="equal">
      <formula>"Towel"</formula>
    </cfRule>
    <cfRule type="cellIs" dxfId="27118" priority="13042" stopIfTrue="1" operator="equal">
      <formula>"Napkin Hs"</formula>
    </cfRule>
  </conditionalFormatting>
  <conditionalFormatting sqref="C61:C63">
    <cfRule type="cellIs" dxfId="27117" priority="13039" stopIfTrue="1" operator="equal">
      <formula>"Towel"</formula>
    </cfRule>
    <cfRule type="cellIs" dxfId="27116" priority="13040" stopIfTrue="1" operator="equal">
      <formula>"Napkin Hs"</formula>
    </cfRule>
  </conditionalFormatting>
  <conditionalFormatting sqref="C61:C63">
    <cfRule type="cellIs" dxfId="27115" priority="13037" stopIfTrue="1" operator="equal">
      <formula>"Towel"</formula>
    </cfRule>
    <cfRule type="cellIs" dxfId="27114" priority="13038" stopIfTrue="1" operator="equal">
      <formula>"Napkin Hs"</formula>
    </cfRule>
  </conditionalFormatting>
  <conditionalFormatting sqref="C61:C63">
    <cfRule type="cellIs" dxfId="27113" priority="13035" stopIfTrue="1" operator="equal">
      <formula>"Towel"</formula>
    </cfRule>
    <cfRule type="cellIs" dxfId="27112" priority="13036" stopIfTrue="1" operator="equal">
      <formula>"Napkin Hs"</formula>
    </cfRule>
  </conditionalFormatting>
  <conditionalFormatting sqref="C61:C63">
    <cfRule type="cellIs" dxfId="27111" priority="13033" stopIfTrue="1" operator="equal">
      <formula>"Towel"</formula>
    </cfRule>
    <cfRule type="cellIs" dxfId="27110" priority="13034" stopIfTrue="1" operator="equal">
      <formula>"Napkin Hs"</formula>
    </cfRule>
  </conditionalFormatting>
  <conditionalFormatting sqref="C61:C63">
    <cfRule type="cellIs" dxfId="27109" priority="13031" stopIfTrue="1" operator="equal">
      <formula>"Towel"</formula>
    </cfRule>
    <cfRule type="cellIs" dxfId="27108" priority="13032" stopIfTrue="1" operator="equal">
      <formula>"Napkin Hs"</formula>
    </cfRule>
  </conditionalFormatting>
  <conditionalFormatting sqref="C61:C63">
    <cfRule type="cellIs" dxfId="27107" priority="13029" stopIfTrue="1" operator="equal">
      <formula>"Towel"</formula>
    </cfRule>
    <cfRule type="cellIs" dxfId="27106" priority="13030" stopIfTrue="1" operator="equal">
      <formula>"Napkin Hs"</formula>
    </cfRule>
  </conditionalFormatting>
  <conditionalFormatting sqref="C61:C63">
    <cfRule type="cellIs" dxfId="27105" priority="13027" stopIfTrue="1" operator="equal">
      <formula>"Towel"</formula>
    </cfRule>
    <cfRule type="cellIs" dxfId="27104" priority="13028" stopIfTrue="1" operator="equal">
      <formula>"Napkin Hs"</formula>
    </cfRule>
  </conditionalFormatting>
  <conditionalFormatting sqref="C61:C63">
    <cfRule type="cellIs" dxfId="27103" priority="13014" stopIfTrue="1" operator="equal">
      <formula>"Napkin Hs"</formula>
    </cfRule>
  </conditionalFormatting>
  <conditionalFormatting sqref="C61:C63">
    <cfRule type="cellIs" dxfId="27102" priority="13013" stopIfTrue="1" operator="equal">
      <formula>"Towel"</formula>
    </cfRule>
  </conditionalFormatting>
  <conditionalFormatting sqref="C61:C63">
    <cfRule type="cellIs" dxfId="27101" priority="13012" stopIfTrue="1" operator="equal">
      <formula>"Napkin Hs"</formula>
    </cfRule>
  </conditionalFormatting>
  <conditionalFormatting sqref="C61:C63">
    <cfRule type="cellIs" dxfId="27100" priority="13009" stopIfTrue="1" operator="equal">
      <formula>"Towel"</formula>
    </cfRule>
    <cfRule type="cellIs" dxfId="27099" priority="13010" stopIfTrue="1" operator="equal">
      <formula>"Napkin Hs"</formula>
    </cfRule>
  </conditionalFormatting>
  <conditionalFormatting sqref="C61:C63">
    <cfRule type="cellIs" dxfId="27098" priority="13011" stopIfTrue="1" operator="equal">
      <formula>"Towel"</formula>
    </cfRule>
  </conditionalFormatting>
  <conditionalFormatting sqref="C61:C63">
    <cfRule type="cellIs" dxfId="27097" priority="13129" stopIfTrue="1" operator="equal">
      <formula>"Towel"</formula>
    </cfRule>
    <cfRule type="cellIs" dxfId="27096" priority="13130" stopIfTrue="1" operator="equal">
      <formula>"Napkin Hs"</formula>
    </cfRule>
  </conditionalFormatting>
  <conditionalFormatting sqref="C61:C63">
    <cfRule type="cellIs" dxfId="27095" priority="13128" stopIfTrue="1" operator="equal">
      <formula>"Napkin Hs"</formula>
    </cfRule>
  </conditionalFormatting>
  <conditionalFormatting sqref="C61:C63">
    <cfRule type="cellIs" dxfId="27094" priority="13127" stopIfTrue="1" operator="equal">
      <formula>"Towel"</formula>
    </cfRule>
  </conditionalFormatting>
  <conditionalFormatting sqref="C61:C63">
    <cfRule type="cellIs" dxfId="27093" priority="13126" stopIfTrue="1" operator="equal">
      <formula>"Napkin Hs"</formula>
    </cfRule>
  </conditionalFormatting>
  <conditionalFormatting sqref="C61:C63">
    <cfRule type="cellIs" dxfId="27092" priority="13123" stopIfTrue="1" operator="equal">
      <formula>"Towel"</formula>
    </cfRule>
    <cfRule type="cellIs" dxfId="27091" priority="13124" stopIfTrue="1" operator="equal">
      <formula>"Napkin Hs"</formula>
    </cfRule>
  </conditionalFormatting>
  <conditionalFormatting sqref="C61:C63">
    <cfRule type="cellIs" dxfId="27090" priority="13125" stopIfTrue="1" operator="equal">
      <formula>"Towel"</formula>
    </cfRule>
  </conditionalFormatting>
  <conditionalFormatting sqref="C61:C63">
    <cfRule type="cellIs" dxfId="27089" priority="13133" stopIfTrue="1" operator="equal">
      <formula>"Towel"</formula>
    </cfRule>
    <cfRule type="cellIs" dxfId="27088" priority="13134" stopIfTrue="1" operator="equal">
      <formula>"Napkin Hs"</formula>
    </cfRule>
  </conditionalFormatting>
  <conditionalFormatting sqref="C61:C63">
    <cfRule type="cellIs" dxfId="27087" priority="13131" stopIfTrue="1" operator="equal">
      <formula>"Towel"</formula>
    </cfRule>
    <cfRule type="cellIs" dxfId="27086" priority="13132" stopIfTrue="1" operator="equal">
      <formula>"Napkin Hs"</formula>
    </cfRule>
  </conditionalFormatting>
  <conditionalFormatting sqref="C61:C63">
    <cfRule type="cellIs" dxfId="27085" priority="13103" stopIfTrue="1" operator="equal">
      <formula>"Towel"</formula>
    </cfRule>
    <cfRule type="cellIs" dxfId="27084" priority="13104" stopIfTrue="1" operator="equal">
      <formula>"Napkin Hs"</formula>
    </cfRule>
  </conditionalFormatting>
  <conditionalFormatting sqref="C61:C63">
    <cfRule type="cellIs" dxfId="27083" priority="13101" stopIfTrue="1" operator="equal">
      <formula>"Towel"</formula>
    </cfRule>
    <cfRule type="cellIs" dxfId="27082" priority="13102" stopIfTrue="1" operator="equal">
      <formula>"Napkin Hs"</formula>
    </cfRule>
  </conditionalFormatting>
  <conditionalFormatting sqref="C61:C63">
    <cfRule type="cellIs" dxfId="27081" priority="13080" stopIfTrue="1" operator="equal">
      <formula>"Napkin Hs"</formula>
    </cfRule>
  </conditionalFormatting>
  <conditionalFormatting sqref="C61:C63">
    <cfRule type="cellIs" dxfId="27080" priority="13079" stopIfTrue="1" operator="equal">
      <formula>"Towel"</formula>
    </cfRule>
  </conditionalFormatting>
  <conditionalFormatting sqref="C61:C63">
    <cfRule type="cellIs" dxfId="27079" priority="13078" stopIfTrue="1" operator="equal">
      <formula>"Napkin Hs"</formula>
    </cfRule>
  </conditionalFormatting>
  <conditionalFormatting sqref="C61:C63">
    <cfRule type="cellIs" dxfId="27078" priority="13077" stopIfTrue="1" operator="equal">
      <formula>"Towel"</formula>
    </cfRule>
  </conditionalFormatting>
  <conditionalFormatting sqref="C61:C63">
    <cfRule type="cellIs" dxfId="27077" priority="13074" stopIfTrue="1" operator="equal">
      <formula>"Napkin Hs"</formula>
    </cfRule>
  </conditionalFormatting>
  <conditionalFormatting sqref="C61:C63">
    <cfRule type="cellIs" dxfId="27076" priority="13073" stopIfTrue="1" operator="equal">
      <formula>"Towel"</formula>
    </cfRule>
  </conditionalFormatting>
  <conditionalFormatting sqref="C61:C63">
    <cfRule type="cellIs" dxfId="27075" priority="13072" stopIfTrue="1" operator="equal">
      <formula>"Napkin Hs"</formula>
    </cfRule>
  </conditionalFormatting>
  <conditionalFormatting sqref="C61:C63">
    <cfRule type="cellIs" dxfId="27074" priority="13071" stopIfTrue="1" operator="equal">
      <formula>"Towel"</formula>
    </cfRule>
  </conditionalFormatting>
  <conditionalFormatting sqref="C61:C63">
    <cfRule type="cellIs" dxfId="27073" priority="13067" stopIfTrue="1" operator="equal">
      <formula>"Towel"</formula>
    </cfRule>
    <cfRule type="cellIs" dxfId="27072" priority="13068" stopIfTrue="1" operator="equal">
      <formula>"Napkin Hs"</formula>
    </cfRule>
  </conditionalFormatting>
  <conditionalFormatting sqref="C61:C63">
    <cfRule type="cellIs" dxfId="27071" priority="13065" stopIfTrue="1" operator="equal">
      <formula>"Towel"</formula>
    </cfRule>
    <cfRule type="cellIs" dxfId="27070" priority="13066" stopIfTrue="1" operator="equal">
      <formula>"Napkin Hs"</formula>
    </cfRule>
  </conditionalFormatting>
  <conditionalFormatting sqref="C61:C63">
    <cfRule type="cellIs" dxfId="27069" priority="13049" stopIfTrue="1" operator="equal">
      <formula>"Towel"</formula>
    </cfRule>
    <cfRule type="cellIs" dxfId="27068" priority="13050" stopIfTrue="1" operator="equal">
      <formula>"Napkin Hs"</formula>
    </cfRule>
  </conditionalFormatting>
  <conditionalFormatting sqref="C61:C63">
    <cfRule type="cellIs" dxfId="27067" priority="13047" stopIfTrue="1" operator="equal">
      <formula>"Towel"</formula>
    </cfRule>
    <cfRule type="cellIs" dxfId="27066" priority="13048" stopIfTrue="1" operator="equal">
      <formula>"Napkin Hs"</formula>
    </cfRule>
  </conditionalFormatting>
  <conditionalFormatting sqref="B61:C63">
    <cfRule type="cellIs" dxfId="27065" priority="13008" stopIfTrue="1" operator="equal">
      <formula>"Napkin Hs"</formula>
    </cfRule>
  </conditionalFormatting>
  <conditionalFormatting sqref="B61:C63">
    <cfRule type="cellIs" dxfId="27064" priority="13007" stopIfTrue="1" operator="equal">
      <formula>"Towel"</formula>
    </cfRule>
  </conditionalFormatting>
  <conditionalFormatting sqref="C61:C63">
    <cfRule type="cellIs" dxfId="27063" priority="13006" stopIfTrue="1" operator="equal">
      <formula>"Napkin Hs"</formula>
    </cfRule>
  </conditionalFormatting>
  <conditionalFormatting sqref="C61:C63">
    <cfRule type="cellIs" dxfId="27062" priority="13003" stopIfTrue="1" operator="equal">
      <formula>"Towel"</formula>
    </cfRule>
    <cfRule type="cellIs" dxfId="27061" priority="13004" stopIfTrue="1" operator="equal">
      <formula>"Napkin Hs"</formula>
    </cfRule>
  </conditionalFormatting>
  <conditionalFormatting sqref="C61:C63">
    <cfRule type="cellIs" dxfId="27060" priority="13005" stopIfTrue="1" operator="equal">
      <formula>"Towel"</formula>
    </cfRule>
  </conditionalFormatting>
  <conditionalFormatting sqref="B60:C60">
    <cfRule type="cellIs" dxfId="27059" priority="12870" stopIfTrue="1" operator="equal">
      <formula>"Napkin Hs"</formula>
    </cfRule>
  </conditionalFormatting>
  <conditionalFormatting sqref="B60:C60">
    <cfRule type="cellIs" dxfId="27058" priority="12869" stopIfTrue="1" operator="equal">
      <formula>"Towel"</formula>
    </cfRule>
  </conditionalFormatting>
  <conditionalFormatting sqref="C60">
    <cfRule type="cellIs" dxfId="27057" priority="12868" stopIfTrue="1" operator="equal">
      <formula>"Napkin Hs"</formula>
    </cfRule>
  </conditionalFormatting>
  <conditionalFormatting sqref="C60">
    <cfRule type="cellIs" dxfId="27056" priority="12867" stopIfTrue="1" operator="equal">
      <formula>"Towel"</formula>
    </cfRule>
  </conditionalFormatting>
  <conditionalFormatting sqref="C60">
    <cfRule type="cellIs" dxfId="27055" priority="12865" stopIfTrue="1" operator="equal">
      <formula>"Towel"</formula>
    </cfRule>
    <cfRule type="cellIs" dxfId="27054" priority="12866" stopIfTrue="1" operator="equal">
      <formula>"Napkin Hs"</formula>
    </cfRule>
  </conditionalFormatting>
  <conditionalFormatting sqref="C60">
    <cfRule type="cellIs" dxfId="27053" priority="12781" stopIfTrue="1" operator="equal">
      <formula>"Towel"</formula>
    </cfRule>
    <cfRule type="cellIs" dxfId="27052" priority="12782" stopIfTrue="1" operator="equal">
      <formula>"Napkin Hs"</formula>
    </cfRule>
  </conditionalFormatting>
  <conditionalFormatting sqref="C60">
    <cfRule type="cellIs" dxfId="27051" priority="12775" stopIfTrue="1" operator="equal">
      <formula>"Towel"</formula>
    </cfRule>
    <cfRule type="cellIs" dxfId="27050" priority="12776" stopIfTrue="1" operator="equal">
      <formula>"Napkin Hs"</formula>
    </cfRule>
  </conditionalFormatting>
  <conditionalFormatting sqref="C60">
    <cfRule type="cellIs" dxfId="27049" priority="12756" stopIfTrue="1" operator="equal">
      <formula>"Napkin Hs"</formula>
    </cfRule>
  </conditionalFormatting>
  <conditionalFormatting sqref="C60">
    <cfRule type="cellIs" dxfId="27048" priority="12755" stopIfTrue="1" operator="equal">
      <formula>"Towel"</formula>
    </cfRule>
  </conditionalFormatting>
  <conditionalFormatting sqref="C60">
    <cfRule type="cellIs" dxfId="27047" priority="12754" stopIfTrue="1" operator="equal">
      <formula>"Napkin Hs"</formula>
    </cfRule>
  </conditionalFormatting>
  <conditionalFormatting sqref="C60">
    <cfRule type="cellIs" dxfId="27046" priority="12751" stopIfTrue="1" operator="equal">
      <formula>"Towel"</formula>
    </cfRule>
    <cfRule type="cellIs" dxfId="27045" priority="12752" stopIfTrue="1" operator="equal">
      <formula>"Napkin Hs"</formula>
    </cfRule>
  </conditionalFormatting>
  <conditionalFormatting sqref="C60">
    <cfRule type="cellIs" dxfId="27044" priority="12753" stopIfTrue="1" operator="equal">
      <formula>"Towel"</formula>
    </cfRule>
  </conditionalFormatting>
  <conditionalFormatting sqref="C60">
    <cfRule type="cellIs" dxfId="27043" priority="12750" stopIfTrue="1" operator="equal">
      <formula>"Napkin Hs"</formula>
    </cfRule>
  </conditionalFormatting>
  <conditionalFormatting sqref="C60">
    <cfRule type="cellIs" dxfId="27042" priority="12749" stopIfTrue="1" operator="equal">
      <formula>"Towel"</formula>
    </cfRule>
  </conditionalFormatting>
  <conditionalFormatting sqref="C60">
    <cfRule type="cellIs" dxfId="27041" priority="12748" stopIfTrue="1" operator="equal">
      <formula>"Napkin Hs"</formula>
    </cfRule>
  </conditionalFormatting>
  <conditionalFormatting sqref="C60">
    <cfRule type="cellIs" dxfId="27040" priority="12745" stopIfTrue="1" operator="equal">
      <formula>"Towel"</formula>
    </cfRule>
    <cfRule type="cellIs" dxfId="27039" priority="12746" stopIfTrue="1" operator="equal">
      <formula>"Napkin Hs"</formula>
    </cfRule>
  </conditionalFormatting>
  <conditionalFormatting sqref="C60">
    <cfRule type="cellIs" dxfId="27038" priority="12747" stopIfTrue="1" operator="equal">
      <formula>"Towel"</formula>
    </cfRule>
  </conditionalFormatting>
  <conditionalFormatting sqref="C60">
    <cfRule type="cellIs" dxfId="27037" priority="12851" stopIfTrue="1" operator="equal">
      <formula>"Towel"</formula>
    </cfRule>
    <cfRule type="cellIs" dxfId="27036" priority="12852" stopIfTrue="1" operator="equal">
      <formula>"Napkin Hs"</formula>
    </cfRule>
  </conditionalFormatting>
  <conditionalFormatting sqref="C60">
    <cfRule type="cellIs" dxfId="27035" priority="12849" stopIfTrue="1" operator="equal">
      <formula>"Towel"</formula>
    </cfRule>
    <cfRule type="cellIs" dxfId="27034" priority="12850" stopIfTrue="1" operator="equal">
      <formula>"Napkin Hs"</formula>
    </cfRule>
  </conditionalFormatting>
  <conditionalFormatting sqref="C60">
    <cfRule type="cellIs" dxfId="27033" priority="12847" stopIfTrue="1" operator="equal">
      <formula>"Towel"</formula>
    </cfRule>
    <cfRule type="cellIs" dxfId="27032" priority="12848" stopIfTrue="1" operator="equal">
      <formula>"Napkin Hs"</formula>
    </cfRule>
  </conditionalFormatting>
  <conditionalFormatting sqref="C60">
    <cfRule type="cellIs" dxfId="27031" priority="12846" stopIfTrue="1" operator="equal">
      <formula>"Napkin Hs"</formula>
    </cfRule>
  </conditionalFormatting>
  <conditionalFormatting sqref="C60">
    <cfRule type="cellIs" dxfId="27030" priority="12845" stopIfTrue="1" operator="equal">
      <formula>"Towel"</formula>
    </cfRule>
  </conditionalFormatting>
  <conditionalFormatting sqref="C60">
    <cfRule type="cellIs" dxfId="27029" priority="12844" stopIfTrue="1" operator="equal">
      <formula>"Napkin Hs"</formula>
    </cfRule>
  </conditionalFormatting>
  <conditionalFormatting sqref="C60">
    <cfRule type="cellIs" dxfId="27028" priority="12843" stopIfTrue="1" operator="equal">
      <formula>"Towel"</formula>
    </cfRule>
  </conditionalFormatting>
  <conditionalFormatting sqref="C60">
    <cfRule type="cellIs" dxfId="27027" priority="12841" stopIfTrue="1" operator="equal">
      <formula>"Towel"</formula>
    </cfRule>
    <cfRule type="cellIs" dxfId="27026" priority="12842" stopIfTrue="1" operator="equal">
      <formula>"Napkin Hs"</formula>
    </cfRule>
  </conditionalFormatting>
  <conditionalFormatting sqref="C60">
    <cfRule type="cellIs" dxfId="27025" priority="12839" stopIfTrue="1" operator="equal">
      <formula>"Towel"</formula>
    </cfRule>
    <cfRule type="cellIs" dxfId="27024" priority="12840" stopIfTrue="1" operator="equal">
      <formula>"Napkin Hs"</formula>
    </cfRule>
  </conditionalFormatting>
  <conditionalFormatting sqref="C60">
    <cfRule type="cellIs" dxfId="27023" priority="12835" stopIfTrue="1" operator="equal">
      <formula>"Towel"</formula>
    </cfRule>
    <cfRule type="cellIs" dxfId="27022" priority="12836" stopIfTrue="1" operator="equal">
      <formula>"Napkin Hs"</formula>
    </cfRule>
  </conditionalFormatting>
  <conditionalFormatting sqref="C60">
    <cfRule type="cellIs" dxfId="27021" priority="12837" stopIfTrue="1" operator="equal">
      <formula>"Towel"</formula>
    </cfRule>
    <cfRule type="cellIs" dxfId="27020" priority="12838" stopIfTrue="1" operator="equal">
      <formula>"Napkin Hs"</formula>
    </cfRule>
  </conditionalFormatting>
  <conditionalFormatting sqref="C60">
    <cfRule type="cellIs" dxfId="27019" priority="12829" stopIfTrue="1" operator="equal">
      <formula>"Towel"</formula>
    </cfRule>
    <cfRule type="cellIs" dxfId="27018" priority="12830" stopIfTrue="1" operator="equal">
      <formula>"Napkin Hs"</formula>
    </cfRule>
  </conditionalFormatting>
  <conditionalFormatting sqref="C60">
    <cfRule type="cellIs" dxfId="27017" priority="12827" stopIfTrue="1" operator="equal">
      <formula>"Towel"</formula>
    </cfRule>
    <cfRule type="cellIs" dxfId="27016" priority="12828" stopIfTrue="1" operator="equal">
      <formula>"Napkin Hs"</formula>
    </cfRule>
  </conditionalFormatting>
  <conditionalFormatting sqref="C60">
    <cfRule type="cellIs" dxfId="27015" priority="12825" stopIfTrue="1" operator="equal">
      <formula>"Towel"</formula>
    </cfRule>
    <cfRule type="cellIs" dxfId="27014" priority="12826" stopIfTrue="1" operator="equal">
      <formula>"Napkin Hs"</formula>
    </cfRule>
  </conditionalFormatting>
  <conditionalFormatting sqref="C60">
    <cfRule type="cellIs" dxfId="27013" priority="12823" stopIfTrue="1" operator="equal">
      <formula>"Towel"</formula>
    </cfRule>
    <cfRule type="cellIs" dxfId="27012" priority="12824" stopIfTrue="1" operator="equal">
      <formula>"Napkin Hs"</formula>
    </cfRule>
  </conditionalFormatting>
  <conditionalFormatting sqref="C60">
    <cfRule type="cellIs" dxfId="27011" priority="12821" stopIfTrue="1" operator="equal">
      <formula>"Towel"</formula>
    </cfRule>
    <cfRule type="cellIs" dxfId="27010" priority="12822" stopIfTrue="1" operator="equal">
      <formula>"Napkin Hs"</formula>
    </cfRule>
  </conditionalFormatting>
  <conditionalFormatting sqref="C60">
    <cfRule type="cellIs" dxfId="27009" priority="12819" stopIfTrue="1" operator="equal">
      <formula>"Towel"</formula>
    </cfRule>
    <cfRule type="cellIs" dxfId="27008" priority="12820" stopIfTrue="1" operator="equal">
      <formula>"Napkin Hs"</formula>
    </cfRule>
  </conditionalFormatting>
  <conditionalFormatting sqref="C60">
    <cfRule type="cellIs" dxfId="27007" priority="12817" stopIfTrue="1" operator="equal">
      <formula>"Towel"</formula>
    </cfRule>
    <cfRule type="cellIs" dxfId="27006" priority="12818" stopIfTrue="1" operator="equal">
      <formula>"Napkin Hs"</formula>
    </cfRule>
  </conditionalFormatting>
  <conditionalFormatting sqref="C60">
    <cfRule type="cellIs" dxfId="27005" priority="12815" stopIfTrue="1" operator="equal">
      <formula>"Towel"</formula>
    </cfRule>
    <cfRule type="cellIs" dxfId="27004" priority="12816" stopIfTrue="1" operator="equal">
      <formula>"Napkin Hs"</formula>
    </cfRule>
  </conditionalFormatting>
  <conditionalFormatting sqref="C60">
    <cfRule type="cellIs" dxfId="27003" priority="12813" stopIfTrue="1" operator="equal">
      <formula>"Towel"</formula>
    </cfRule>
    <cfRule type="cellIs" dxfId="27002" priority="12814" stopIfTrue="1" operator="equal">
      <formula>"Napkin Hs"</formula>
    </cfRule>
  </conditionalFormatting>
  <conditionalFormatting sqref="C60">
    <cfRule type="cellIs" dxfId="27001" priority="12811" stopIfTrue="1" operator="equal">
      <formula>"Towel"</formula>
    </cfRule>
    <cfRule type="cellIs" dxfId="27000" priority="12812" stopIfTrue="1" operator="equal">
      <formula>"Napkin Hs"</formula>
    </cfRule>
  </conditionalFormatting>
  <conditionalFormatting sqref="C60">
    <cfRule type="cellIs" dxfId="26999" priority="12805" stopIfTrue="1" operator="equal">
      <formula>"Towel"</formula>
    </cfRule>
    <cfRule type="cellIs" dxfId="26998" priority="12806" stopIfTrue="1" operator="equal">
      <formula>"Napkin Hs"</formula>
    </cfRule>
  </conditionalFormatting>
  <conditionalFormatting sqref="C60">
    <cfRule type="cellIs" dxfId="26997" priority="12799" stopIfTrue="1" operator="equal">
      <formula>"Towel"</formula>
    </cfRule>
    <cfRule type="cellIs" dxfId="26996" priority="12800" stopIfTrue="1" operator="equal">
      <formula>"Napkin Hs"</formula>
    </cfRule>
  </conditionalFormatting>
  <conditionalFormatting sqref="C60">
    <cfRule type="cellIs" dxfId="26995" priority="12793" stopIfTrue="1" operator="equal">
      <formula>"Towel"</formula>
    </cfRule>
    <cfRule type="cellIs" dxfId="26994" priority="12794" stopIfTrue="1" operator="equal">
      <formula>"Napkin Hs"</formula>
    </cfRule>
  </conditionalFormatting>
  <conditionalFormatting sqref="C60">
    <cfRule type="cellIs" dxfId="26993" priority="12792" stopIfTrue="1" operator="equal">
      <formula>"Napkin Hs"</formula>
    </cfRule>
  </conditionalFormatting>
  <conditionalFormatting sqref="C60">
    <cfRule type="cellIs" dxfId="26992" priority="12791" stopIfTrue="1" operator="equal">
      <formula>"Towel"</formula>
    </cfRule>
  </conditionalFormatting>
  <conditionalFormatting sqref="C60">
    <cfRule type="cellIs" dxfId="26991" priority="12790" stopIfTrue="1" operator="equal">
      <formula>"Napkin Hs"</formula>
    </cfRule>
  </conditionalFormatting>
  <conditionalFormatting sqref="C60">
    <cfRule type="cellIs" dxfId="26990" priority="12789" stopIfTrue="1" operator="equal">
      <formula>"Towel"</formula>
    </cfRule>
  </conditionalFormatting>
  <conditionalFormatting sqref="C60">
    <cfRule type="cellIs" dxfId="26989" priority="12787" stopIfTrue="1" operator="equal">
      <formula>"Towel"</formula>
    </cfRule>
    <cfRule type="cellIs" dxfId="26988" priority="12788" stopIfTrue="1" operator="equal">
      <formula>"Napkin Hs"</formula>
    </cfRule>
  </conditionalFormatting>
  <conditionalFormatting sqref="C60">
    <cfRule type="cellIs" dxfId="26987" priority="12785" stopIfTrue="1" operator="equal">
      <formula>"Towel"</formula>
    </cfRule>
    <cfRule type="cellIs" dxfId="26986" priority="12786" stopIfTrue="1" operator="equal">
      <formula>"Napkin Hs"</formula>
    </cfRule>
  </conditionalFormatting>
  <conditionalFormatting sqref="C60">
    <cfRule type="cellIs" dxfId="26985" priority="12783" stopIfTrue="1" operator="equal">
      <formula>"Towel"</formula>
    </cfRule>
    <cfRule type="cellIs" dxfId="26984" priority="12784" stopIfTrue="1" operator="equal">
      <formula>"Napkin Hs"</formula>
    </cfRule>
  </conditionalFormatting>
  <conditionalFormatting sqref="C60">
    <cfRule type="cellIs" dxfId="26983" priority="12773" stopIfTrue="1" operator="equal">
      <formula>"Towel"</formula>
    </cfRule>
    <cfRule type="cellIs" dxfId="26982" priority="12774" stopIfTrue="1" operator="equal">
      <formula>"Napkin Hs"</formula>
    </cfRule>
  </conditionalFormatting>
  <conditionalFormatting sqref="C60">
    <cfRule type="cellIs" dxfId="26981" priority="12771" stopIfTrue="1" operator="equal">
      <formula>"Towel"</formula>
    </cfRule>
    <cfRule type="cellIs" dxfId="26980" priority="12772" stopIfTrue="1" operator="equal">
      <formula>"Napkin Hs"</formula>
    </cfRule>
  </conditionalFormatting>
  <conditionalFormatting sqref="C60">
    <cfRule type="cellIs" dxfId="26979" priority="12769" stopIfTrue="1" operator="equal">
      <formula>"Towel"</formula>
    </cfRule>
    <cfRule type="cellIs" dxfId="26978" priority="12770" stopIfTrue="1" operator="equal">
      <formula>"Napkin Hs"</formula>
    </cfRule>
  </conditionalFormatting>
  <conditionalFormatting sqref="C60">
    <cfRule type="cellIs" dxfId="26977" priority="12767" stopIfTrue="1" operator="equal">
      <formula>"Towel"</formula>
    </cfRule>
    <cfRule type="cellIs" dxfId="26976" priority="12768" stopIfTrue="1" operator="equal">
      <formula>"Napkin Hs"</formula>
    </cfRule>
  </conditionalFormatting>
  <conditionalFormatting sqref="C60">
    <cfRule type="cellIs" dxfId="26975" priority="12765" stopIfTrue="1" operator="equal">
      <formula>"Towel"</formula>
    </cfRule>
    <cfRule type="cellIs" dxfId="26974" priority="12766" stopIfTrue="1" operator="equal">
      <formula>"Napkin Hs"</formula>
    </cfRule>
  </conditionalFormatting>
  <conditionalFormatting sqref="C60">
    <cfRule type="cellIs" dxfId="26973" priority="12763" stopIfTrue="1" operator="equal">
      <formula>"Towel"</formula>
    </cfRule>
    <cfRule type="cellIs" dxfId="26972" priority="12764" stopIfTrue="1" operator="equal">
      <formula>"Napkin Hs"</formula>
    </cfRule>
  </conditionalFormatting>
  <conditionalFormatting sqref="C60">
    <cfRule type="cellIs" dxfId="26971" priority="12761" stopIfTrue="1" operator="equal">
      <formula>"Towel"</formula>
    </cfRule>
    <cfRule type="cellIs" dxfId="26970" priority="12762" stopIfTrue="1" operator="equal">
      <formula>"Napkin Hs"</formula>
    </cfRule>
  </conditionalFormatting>
  <conditionalFormatting sqref="C60">
    <cfRule type="cellIs" dxfId="26969" priority="12759" stopIfTrue="1" operator="equal">
      <formula>"Towel"</formula>
    </cfRule>
    <cfRule type="cellIs" dxfId="26968" priority="12760" stopIfTrue="1" operator="equal">
      <formula>"Napkin Hs"</formula>
    </cfRule>
  </conditionalFormatting>
  <conditionalFormatting sqref="C60">
    <cfRule type="cellIs" dxfId="26967" priority="12757" stopIfTrue="1" operator="equal">
      <formula>"Towel"</formula>
    </cfRule>
    <cfRule type="cellIs" dxfId="26966" priority="12758" stopIfTrue="1" operator="equal">
      <formula>"Napkin Hs"</formula>
    </cfRule>
  </conditionalFormatting>
  <conditionalFormatting sqref="C60">
    <cfRule type="cellIs" dxfId="26965" priority="12744" stopIfTrue="1" operator="equal">
      <formula>"Napkin Hs"</formula>
    </cfRule>
  </conditionalFormatting>
  <conditionalFormatting sqref="C60">
    <cfRule type="cellIs" dxfId="26964" priority="12743" stopIfTrue="1" operator="equal">
      <formula>"Towel"</formula>
    </cfRule>
  </conditionalFormatting>
  <conditionalFormatting sqref="C60">
    <cfRule type="cellIs" dxfId="26963" priority="12742" stopIfTrue="1" operator="equal">
      <formula>"Napkin Hs"</formula>
    </cfRule>
  </conditionalFormatting>
  <conditionalFormatting sqref="C60">
    <cfRule type="cellIs" dxfId="26962" priority="12739" stopIfTrue="1" operator="equal">
      <formula>"Towel"</formula>
    </cfRule>
    <cfRule type="cellIs" dxfId="26961" priority="12740" stopIfTrue="1" operator="equal">
      <formula>"Napkin Hs"</formula>
    </cfRule>
  </conditionalFormatting>
  <conditionalFormatting sqref="C60">
    <cfRule type="cellIs" dxfId="26960" priority="12741" stopIfTrue="1" operator="equal">
      <formula>"Towel"</formula>
    </cfRule>
  </conditionalFormatting>
  <conditionalFormatting sqref="C60">
    <cfRule type="cellIs" dxfId="26959" priority="12859" stopIfTrue="1" operator="equal">
      <formula>"Towel"</formula>
    </cfRule>
    <cfRule type="cellIs" dxfId="26958" priority="12860" stopIfTrue="1" operator="equal">
      <formula>"Napkin Hs"</formula>
    </cfRule>
  </conditionalFormatting>
  <conditionalFormatting sqref="C60">
    <cfRule type="cellIs" dxfId="26957" priority="12858" stopIfTrue="1" operator="equal">
      <formula>"Napkin Hs"</formula>
    </cfRule>
  </conditionalFormatting>
  <conditionalFormatting sqref="C60">
    <cfRule type="cellIs" dxfId="26956" priority="12857" stopIfTrue="1" operator="equal">
      <formula>"Towel"</formula>
    </cfRule>
  </conditionalFormatting>
  <conditionalFormatting sqref="C60">
    <cfRule type="cellIs" dxfId="26955" priority="12856" stopIfTrue="1" operator="equal">
      <formula>"Napkin Hs"</formula>
    </cfRule>
  </conditionalFormatting>
  <conditionalFormatting sqref="C60">
    <cfRule type="cellIs" dxfId="26954" priority="12853" stopIfTrue="1" operator="equal">
      <formula>"Towel"</formula>
    </cfRule>
    <cfRule type="cellIs" dxfId="26953" priority="12854" stopIfTrue="1" operator="equal">
      <formula>"Napkin Hs"</formula>
    </cfRule>
  </conditionalFormatting>
  <conditionalFormatting sqref="C60">
    <cfRule type="cellIs" dxfId="26952" priority="12855" stopIfTrue="1" operator="equal">
      <formula>"Towel"</formula>
    </cfRule>
  </conditionalFormatting>
  <conditionalFormatting sqref="C60">
    <cfRule type="cellIs" dxfId="26951" priority="12863" stopIfTrue="1" operator="equal">
      <formula>"Towel"</formula>
    </cfRule>
    <cfRule type="cellIs" dxfId="26950" priority="12864" stopIfTrue="1" operator="equal">
      <formula>"Napkin Hs"</formula>
    </cfRule>
  </conditionalFormatting>
  <conditionalFormatting sqref="C60">
    <cfRule type="cellIs" dxfId="26949" priority="12861" stopIfTrue="1" operator="equal">
      <formula>"Towel"</formula>
    </cfRule>
    <cfRule type="cellIs" dxfId="26948" priority="12862" stopIfTrue="1" operator="equal">
      <formula>"Napkin Hs"</formula>
    </cfRule>
  </conditionalFormatting>
  <conditionalFormatting sqref="C60">
    <cfRule type="cellIs" dxfId="26947" priority="12833" stopIfTrue="1" operator="equal">
      <formula>"Towel"</formula>
    </cfRule>
    <cfRule type="cellIs" dxfId="26946" priority="12834" stopIfTrue="1" operator="equal">
      <formula>"Napkin Hs"</formula>
    </cfRule>
  </conditionalFormatting>
  <conditionalFormatting sqref="C60">
    <cfRule type="cellIs" dxfId="26945" priority="12831" stopIfTrue="1" operator="equal">
      <formula>"Towel"</formula>
    </cfRule>
    <cfRule type="cellIs" dxfId="26944" priority="12832" stopIfTrue="1" operator="equal">
      <formula>"Napkin Hs"</formula>
    </cfRule>
  </conditionalFormatting>
  <conditionalFormatting sqref="C60">
    <cfRule type="cellIs" dxfId="26943" priority="12810" stopIfTrue="1" operator="equal">
      <formula>"Napkin Hs"</formula>
    </cfRule>
  </conditionalFormatting>
  <conditionalFormatting sqref="C60">
    <cfRule type="cellIs" dxfId="26942" priority="12809" stopIfTrue="1" operator="equal">
      <formula>"Towel"</formula>
    </cfRule>
  </conditionalFormatting>
  <conditionalFormatting sqref="C60">
    <cfRule type="cellIs" dxfId="26941" priority="12808" stopIfTrue="1" operator="equal">
      <formula>"Napkin Hs"</formula>
    </cfRule>
  </conditionalFormatting>
  <conditionalFormatting sqref="C60">
    <cfRule type="cellIs" dxfId="26940" priority="12807" stopIfTrue="1" operator="equal">
      <formula>"Towel"</formula>
    </cfRule>
  </conditionalFormatting>
  <conditionalFormatting sqref="C60">
    <cfRule type="cellIs" dxfId="26939" priority="12804" stopIfTrue="1" operator="equal">
      <formula>"Napkin Hs"</formula>
    </cfRule>
  </conditionalFormatting>
  <conditionalFormatting sqref="C60">
    <cfRule type="cellIs" dxfId="26938" priority="12803" stopIfTrue="1" operator="equal">
      <formula>"Towel"</formula>
    </cfRule>
  </conditionalFormatting>
  <conditionalFormatting sqref="C60">
    <cfRule type="cellIs" dxfId="26937" priority="12802" stopIfTrue="1" operator="equal">
      <formula>"Napkin Hs"</formula>
    </cfRule>
  </conditionalFormatting>
  <conditionalFormatting sqref="C60">
    <cfRule type="cellIs" dxfId="26936" priority="12801" stopIfTrue="1" operator="equal">
      <formula>"Towel"</formula>
    </cfRule>
  </conditionalFormatting>
  <conditionalFormatting sqref="C60">
    <cfRule type="cellIs" dxfId="26935" priority="12797" stopIfTrue="1" operator="equal">
      <formula>"Towel"</formula>
    </cfRule>
    <cfRule type="cellIs" dxfId="26934" priority="12798" stopIfTrue="1" operator="equal">
      <formula>"Napkin Hs"</formula>
    </cfRule>
  </conditionalFormatting>
  <conditionalFormatting sqref="C60">
    <cfRule type="cellIs" dxfId="26933" priority="12795" stopIfTrue="1" operator="equal">
      <formula>"Towel"</formula>
    </cfRule>
    <cfRule type="cellIs" dxfId="26932" priority="12796" stopIfTrue="1" operator="equal">
      <formula>"Napkin Hs"</formula>
    </cfRule>
  </conditionalFormatting>
  <conditionalFormatting sqref="C60">
    <cfRule type="cellIs" dxfId="26931" priority="12779" stopIfTrue="1" operator="equal">
      <formula>"Towel"</formula>
    </cfRule>
    <cfRule type="cellIs" dxfId="26930" priority="12780" stopIfTrue="1" operator="equal">
      <formula>"Napkin Hs"</formula>
    </cfRule>
  </conditionalFormatting>
  <conditionalFormatting sqref="C60">
    <cfRule type="cellIs" dxfId="26929" priority="12777" stopIfTrue="1" operator="equal">
      <formula>"Towel"</formula>
    </cfRule>
    <cfRule type="cellIs" dxfId="26928" priority="12778" stopIfTrue="1" operator="equal">
      <formula>"Napkin Hs"</formula>
    </cfRule>
  </conditionalFormatting>
  <conditionalFormatting sqref="B60:C60">
    <cfRule type="cellIs" dxfId="26927" priority="12738" stopIfTrue="1" operator="equal">
      <formula>"Napkin Hs"</formula>
    </cfRule>
  </conditionalFormatting>
  <conditionalFormatting sqref="B60:C60">
    <cfRule type="cellIs" dxfId="26926" priority="12737" stopIfTrue="1" operator="equal">
      <formula>"Towel"</formula>
    </cfRule>
  </conditionalFormatting>
  <conditionalFormatting sqref="C60">
    <cfRule type="cellIs" dxfId="26925" priority="12736" stopIfTrue="1" operator="equal">
      <formula>"Napkin Hs"</formula>
    </cfRule>
  </conditionalFormatting>
  <conditionalFormatting sqref="C60">
    <cfRule type="cellIs" dxfId="26924" priority="12733" stopIfTrue="1" operator="equal">
      <formula>"Towel"</formula>
    </cfRule>
    <cfRule type="cellIs" dxfId="26923" priority="12734" stopIfTrue="1" operator="equal">
      <formula>"Napkin Hs"</formula>
    </cfRule>
  </conditionalFormatting>
  <conditionalFormatting sqref="C60">
    <cfRule type="cellIs" dxfId="26922" priority="12735" stopIfTrue="1" operator="equal">
      <formula>"Towel"</formula>
    </cfRule>
  </conditionalFormatting>
  <conditionalFormatting sqref="B63:C63">
    <cfRule type="cellIs" dxfId="26921" priority="12732" stopIfTrue="1" operator="equal">
      <formula>"Napkin Hs"</formula>
    </cfRule>
  </conditionalFormatting>
  <conditionalFormatting sqref="B63:C63">
    <cfRule type="cellIs" dxfId="26920" priority="12731" stopIfTrue="1" operator="equal">
      <formula>"Towel"</formula>
    </cfRule>
  </conditionalFormatting>
  <conditionalFormatting sqref="B62:C62">
    <cfRule type="cellIs" dxfId="26919" priority="12727" stopIfTrue="1" operator="equal">
      <formula>"Towel"</formula>
    </cfRule>
    <cfRule type="cellIs" dxfId="26918" priority="12728" stopIfTrue="1" operator="equal">
      <formula>"Napkin Hs"</formula>
    </cfRule>
  </conditionalFormatting>
  <conditionalFormatting sqref="C63">
    <cfRule type="cellIs" dxfId="26917" priority="12730" stopIfTrue="1" operator="equal">
      <formula>"Napkin Hs"</formula>
    </cfRule>
  </conditionalFormatting>
  <conditionalFormatting sqref="C63">
    <cfRule type="cellIs" dxfId="26916" priority="12729" stopIfTrue="1" operator="equal">
      <formula>"Towel"</formula>
    </cfRule>
  </conditionalFormatting>
  <conditionalFormatting sqref="C62">
    <cfRule type="cellIs" dxfId="26915" priority="12725" stopIfTrue="1" operator="equal">
      <formula>"Towel"</formula>
    </cfRule>
    <cfRule type="cellIs" dxfId="26914" priority="12726" stopIfTrue="1" operator="equal">
      <formula>"Napkin Hs"</formula>
    </cfRule>
  </conditionalFormatting>
  <conditionalFormatting sqref="B64:C64">
    <cfRule type="cellIs" dxfId="26913" priority="12723" stopIfTrue="1" operator="equal">
      <formula>"Towel"</formula>
    </cfRule>
    <cfRule type="cellIs" dxfId="26912" priority="12724" stopIfTrue="1" operator="equal">
      <formula>"Napkin Hs"</formula>
    </cfRule>
  </conditionalFormatting>
  <conditionalFormatting sqref="C64">
    <cfRule type="cellIs" dxfId="26911" priority="12719" stopIfTrue="1" operator="equal">
      <formula>"Towel"</formula>
    </cfRule>
    <cfRule type="cellIs" dxfId="26910" priority="12720" stopIfTrue="1" operator="equal">
      <formula>"Napkin Hs"</formula>
    </cfRule>
  </conditionalFormatting>
  <conditionalFormatting sqref="C64">
    <cfRule type="cellIs" dxfId="26909" priority="12721" stopIfTrue="1" operator="equal">
      <formula>"Towel"</formula>
    </cfRule>
    <cfRule type="cellIs" dxfId="26908" priority="12722" stopIfTrue="1" operator="equal">
      <formula>"Napkin Hs"</formula>
    </cfRule>
  </conditionalFormatting>
  <conditionalFormatting sqref="B64:C64">
    <cfRule type="cellIs" dxfId="26907" priority="12718" stopIfTrue="1" operator="equal">
      <formula>"Napkin Hs"</formula>
    </cfRule>
  </conditionalFormatting>
  <conditionalFormatting sqref="B64:C64">
    <cfRule type="cellIs" dxfId="26906" priority="12717" stopIfTrue="1" operator="equal">
      <formula>"Towel"</formula>
    </cfRule>
  </conditionalFormatting>
  <conditionalFormatting sqref="C64">
    <cfRule type="cellIs" dxfId="26905" priority="12716" stopIfTrue="1" operator="equal">
      <formula>"Napkin Hs"</formula>
    </cfRule>
  </conditionalFormatting>
  <conditionalFormatting sqref="C64">
    <cfRule type="cellIs" dxfId="26904" priority="12715" stopIfTrue="1" operator="equal">
      <formula>"Towel"</formula>
    </cfRule>
  </conditionalFormatting>
  <conditionalFormatting sqref="C64">
    <cfRule type="cellIs" dxfId="26903" priority="12713" stopIfTrue="1" operator="equal">
      <formula>"Towel"</formula>
    </cfRule>
    <cfRule type="cellIs" dxfId="26902" priority="12714" stopIfTrue="1" operator="equal">
      <formula>"Napkin Hs"</formula>
    </cfRule>
  </conditionalFormatting>
  <conditionalFormatting sqref="B64:C64">
    <cfRule type="cellIs" dxfId="26901" priority="12711" stopIfTrue="1" operator="equal">
      <formula>"Towel"</formula>
    </cfRule>
    <cfRule type="cellIs" dxfId="26900" priority="12712" stopIfTrue="1" operator="equal">
      <formula>"Napkin Hs"</formula>
    </cfRule>
  </conditionalFormatting>
  <conditionalFormatting sqref="C64">
    <cfRule type="cellIs" dxfId="26899" priority="12709" stopIfTrue="1" operator="equal">
      <formula>"Towel"</formula>
    </cfRule>
    <cfRule type="cellIs" dxfId="26898" priority="12710" stopIfTrue="1" operator="equal">
      <formula>"Napkin Hs"</formula>
    </cfRule>
  </conditionalFormatting>
  <conditionalFormatting sqref="C64">
    <cfRule type="cellIs" dxfId="26897" priority="12707" stopIfTrue="1" operator="equal">
      <formula>"Towel"</formula>
    </cfRule>
    <cfRule type="cellIs" dxfId="26896" priority="12708" stopIfTrue="1" operator="equal">
      <formula>"Napkin Hs"</formula>
    </cfRule>
  </conditionalFormatting>
  <conditionalFormatting sqref="B64:C64">
    <cfRule type="cellIs" dxfId="26895" priority="12705" stopIfTrue="1" operator="equal">
      <formula>"Towel"</formula>
    </cfRule>
    <cfRule type="cellIs" dxfId="26894" priority="12706" stopIfTrue="1" operator="equal">
      <formula>"Napkin Hs"</formula>
    </cfRule>
  </conditionalFormatting>
  <conditionalFormatting sqref="C64">
    <cfRule type="cellIs" dxfId="26893" priority="12703" stopIfTrue="1" operator="equal">
      <formula>"Towel"</formula>
    </cfRule>
    <cfRule type="cellIs" dxfId="26892" priority="12704" stopIfTrue="1" operator="equal">
      <formula>"Napkin Hs"</formula>
    </cfRule>
  </conditionalFormatting>
  <conditionalFormatting sqref="C64">
    <cfRule type="cellIs" dxfId="26891" priority="12701" stopIfTrue="1" operator="equal">
      <formula>"Towel"</formula>
    </cfRule>
    <cfRule type="cellIs" dxfId="26890" priority="12702" stopIfTrue="1" operator="equal">
      <formula>"Napkin Hs"</formula>
    </cfRule>
  </conditionalFormatting>
  <conditionalFormatting sqref="B64:C64">
    <cfRule type="cellIs" dxfId="26889" priority="12699" stopIfTrue="1" operator="equal">
      <formula>"Towel"</formula>
    </cfRule>
    <cfRule type="cellIs" dxfId="26888" priority="12700" stopIfTrue="1" operator="equal">
      <formula>"Napkin Hs"</formula>
    </cfRule>
  </conditionalFormatting>
  <conditionalFormatting sqref="C64">
    <cfRule type="cellIs" dxfId="26887" priority="12697" stopIfTrue="1" operator="equal">
      <formula>"Towel"</formula>
    </cfRule>
    <cfRule type="cellIs" dxfId="26886" priority="12698" stopIfTrue="1" operator="equal">
      <formula>"Napkin Hs"</formula>
    </cfRule>
  </conditionalFormatting>
  <conditionalFormatting sqref="C64">
    <cfRule type="cellIs" dxfId="26885" priority="12695" stopIfTrue="1" operator="equal">
      <formula>"Towel"</formula>
    </cfRule>
    <cfRule type="cellIs" dxfId="26884" priority="12696" stopIfTrue="1" operator="equal">
      <formula>"Napkin Hs"</formula>
    </cfRule>
  </conditionalFormatting>
  <conditionalFormatting sqref="B64:C64">
    <cfRule type="cellIs" dxfId="26883" priority="12693" stopIfTrue="1" operator="equal">
      <formula>"Towel"</formula>
    </cfRule>
    <cfRule type="cellIs" dxfId="26882" priority="12694" stopIfTrue="1" operator="equal">
      <formula>"Napkin Hs"</formula>
    </cfRule>
  </conditionalFormatting>
  <conditionalFormatting sqref="C64">
    <cfRule type="cellIs" dxfId="26881" priority="12691" stopIfTrue="1" operator="equal">
      <formula>"Towel"</formula>
    </cfRule>
    <cfRule type="cellIs" dxfId="26880" priority="12692" stopIfTrue="1" operator="equal">
      <formula>"Napkin Hs"</formula>
    </cfRule>
  </conditionalFormatting>
  <conditionalFormatting sqref="C64">
    <cfRule type="cellIs" dxfId="26879" priority="12689" stopIfTrue="1" operator="equal">
      <formula>"Towel"</formula>
    </cfRule>
    <cfRule type="cellIs" dxfId="26878" priority="12690" stopIfTrue="1" operator="equal">
      <formula>"Napkin Hs"</formula>
    </cfRule>
  </conditionalFormatting>
  <conditionalFormatting sqref="B64:C64">
    <cfRule type="cellIs" dxfId="26877" priority="12687" stopIfTrue="1" operator="equal">
      <formula>"Towel"</formula>
    </cfRule>
    <cfRule type="cellIs" dxfId="26876" priority="12688" stopIfTrue="1" operator="equal">
      <formula>"Napkin Hs"</formula>
    </cfRule>
  </conditionalFormatting>
  <conditionalFormatting sqref="C64">
    <cfRule type="cellIs" dxfId="26875" priority="12685" stopIfTrue="1" operator="equal">
      <formula>"Towel"</formula>
    </cfRule>
    <cfRule type="cellIs" dxfId="26874" priority="12686" stopIfTrue="1" operator="equal">
      <formula>"Napkin Hs"</formula>
    </cfRule>
  </conditionalFormatting>
  <conditionalFormatting sqref="C64">
    <cfRule type="cellIs" dxfId="26873" priority="12683" stopIfTrue="1" operator="equal">
      <formula>"Towel"</formula>
    </cfRule>
    <cfRule type="cellIs" dxfId="26872" priority="12684" stopIfTrue="1" operator="equal">
      <formula>"Napkin Hs"</formula>
    </cfRule>
  </conditionalFormatting>
  <conditionalFormatting sqref="B64:C64">
    <cfRule type="cellIs" dxfId="26871" priority="12682" stopIfTrue="1" operator="equal">
      <formula>"Napkin Hs"</formula>
    </cfRule>
  </conditionalFormatting>
  <conditionalFormatting sqref="B64:C64">
    <cfRule type="cellIs" dxfId="26870" priority="12681" stopIfTrue="1" operator="equal">
      <formula>"Towel"</formula>
    </cfRule>
  </conditionalFormatting>
  <conditionalFormatting sqref="C64">
    <cfRule type="cellIs" dxfId="26869" priority="12680" stopIfTrue="1" operator="equal">
      <formula>"Napkin Hs"</formula>
    </cfRule>
  </conditionalFormatting>
  <conditionalFormatting sqref="C64">
    <cfRule type="cellIs" dxfId="26868" priority="12677" stopIfTrue="1" operator="equal">
      <formula>"Towel"</formula>
    </cfRule>
    <cfRule type="cellIs" dxfId="26867" priority="12678" stopIfTrue="1" operator="equal">
      <formula>"Napkin Hs"</formula>
    </cfRule>
  </conditionalFormatting>
  <conditionalFormatting sqref="C64">
    <cfRule type="cellIs" dxfId="26866" priority="12679" stopIfTrue="1" operator="equal">
      <formula>"Towel"</formula>
    </cfRule>
  </conditionalFormatting>
  <conditionalFormatting sqref="B64:C64">
    <cfRule type="cellIs" dxfId="26865" priority="12675" stopIfTrue="1" operator="equal">
      <formula>"Towel"</formula>
    </cfRule>
    <cfRule type="cellIs" dxfId="26864" priority="12676" stopIfTrue="1" operator="equal">
      <formula>"Napkin Hs"</formula>
    </cfRule>
  </conditionalFormatting>
  <conditionalFormatting sqref="C64">
    <cfRule type="cellIs" dxfId="26863" priority="12671" stopIfTrue="1" operator="equal">
      <formula>"Towel"</formula>
    </cfRule>
    <cfRule type="cellIs" dxfId="26862" priority="12672" stopIfTrue="1" operator="equal">
      <formula>"Napkin Hs"</formula>
    </cfRule>
  </conditionalFormatting>
  <conditionalFormatting sqref="C64">
    <cfRule type="cellIs" dxfId="26861" priority="12673" stopIfTrue="1" operator="equal">
      <formula>"Towel"</formula>
    </cfRule>
    <cfRule type="cellIs" dxfId="26860" priority="12674" stopIfTrue="1" operator="equal">
      <formula>"Napkin Hs"</formula>
    </cfRule>
  </conditionalFormatting>
  <conditionalFormatting sqref="B64:C64">
    <cfRule type="cellIs" dxfId="26859" priority="12669" stopIfTrue="1" operator="equal">
      <formula>"Towel"</formula>
    </cfRule>
    <cfRule type="cellIs" dxfId="26858" priority="12670" stopIfTrue="1" operator="equal">
      <formula>"Napkin Hs"</formula>
    </cfRule>
  </conditionalFormatting>
  <conditionalFormatting sqref="C64">
    <cfRule type="cellIs" dxfId="26857" priority="12665" stopIfTrue="1" operator="equal">
      <formula>"Towel"</formula>
    </cfRule>
    <cfRule type="cellIs" dxfId="26856" priority="12666" stopIfTrue="1" operator="equal">
      <formula>"Napkin Hs"</formula>
    </cfRule>
  </conditionalFormatting>
  <conditionalFormatting sqref="C64">
    <cfRule type="cellIs" dxfId="26855" priority="12667" stopIfTrue="1" operator="equal">
      <formula>"Towel"</formula>
    </cfRule>
    <cfRule type="cellIs" dxfId="26854" priority="12668" stopIfTrue="1" operator="equal">
      <formula>"Napkin Hs"</formula>
    </cfRule>
  </conditionalFormatting>
  <conditionalFormatting sqref="B64:C64">
    <cfRule type="cellIs" dxfId="26853" priority="12663" stopIfTrue="1" operator="equal">
      <formula>"Towel"</formula>
    </cfRule>
    <cfRule type="cellIs" dxfId="26852" priority="12664" stopIfTrue="1" operator="equal">
      <formula>"Napkin Hs"</formula>
    </cfRule>
  </conditionalFormatting>
  <conditionalFormatting sqref="C64">
    <cfRule type="cellIs" dxfId="26851" priority="12661" stopIfTrue="1" operator="equal">
      <formula>"Towel"</formula>
    </cfRule>
    <cfRule type="cellIs" dxfId="26850" priority="12662" stopIfTrue="1" operator="equal">
      <formula>"Napkin Hs"</formula>
    </cfRule>
  </conditionalFormatting>
  <conditionalFormatting sqref="C64">
    <cfRule type="cellIs" dxfId="26849" priority="12659" stopIfTrue="1" operator="equal">
      <formula>"Towel"</formula>
    </cfRule>
    <cfRule type="cellIs" dxfId="26848" priority="12660" stopIfTrue="1" operator="equal">
      <formula>"Napkin Hs"</formula>
    </cfRule>
  </conditionalFormatting>
  <conditionalFormatting sqref="B64:C64">
    <cfRule type="cellIs" dxfId="26847" priority="12658" stopIfTrue="1" operator="equal">
      <formula>"Napkin Hs"</formula>
    </cfRule>
  </conditionalFormatting>
  <conditionalFormatting sqref="B64:C64">
    <cfRule type="cellIs" dxfId="26846" priority="12657" stopIfTrue="1" operator="equal">
      <formula>"Towel"</formula>
    </cfRule>
  </conditionalFormatting>
  <conditionalFormatting sqref="C64">
    <cfRule type="cellIs" dxfId="26845" priority="12656" stopIfTrue="1" operator="equal">
      <formula>"Napkin Hs"</formula>
    </cfRule>
  </conditionalFormatting>
  <conditionalFormatting sqref="C64">
    <cfRule type="cellIs" dxfId="26844" priority="12655" stopIfTrue="1" operator="equal">
      <formula>"Towel"</formula>
    </cfRule>
  </conditionalFormatting>
  <conditionalFormatting sqref="C64">
    <cfRule type="cellIs" dxfId="26843" priority="12653" stopIfTrue="1" operator="equal">
      <formula>"Towel"</formula>
    </cfRule>
    <cfRule type="cellIs" dxfId="26842" priority="12654" stopIfTrue="1" operator="equal">
      <formula>"Napkin Hs"</formula>
    </cfRule>
  </conditionalFormatting>
  <conditionalFormatting sqref="C64">
    <cfRule type="cellIs" dxfId="26841" priority="12651" stopIfTrue="1" operator="equal">
      <formula>"Towel"</formula>
    </cfRule>
    <cfRule type="cellIs" dxfId="26840" priority="12652" stopIfTrue="1" operator="equal">
      <formula>"Napkin Hs"</formula>
    </cfRule>
  </conditionalFormatting>
  <conditionalFormatting sqref="C64">
    <cfRule type="cellIs" dxfId="26839" priority="12567" stopIfTrue="1" operator="equal">
      <formula>"Towel"</formula>
    </cfRule>
    <cfRule type="cellIs" dxfId="26838" priority="12568" stopIfTrue="1" operator="equal">
      <formula>"Napkin Hs"</formula>
    </cfRule>
  </conditionalFormatting>
  <conditionalFormatting sqref="C64">
    <cfRule type="cellIs" dxfId="26837" priority="12561" stopIfTrue="1" operator="equal">
      <formula>"Towel"</formula>
    </cfRule>
    <cfRule type="cellIs" dxfId="26836" priority="12562" stopIfTrue="1" operator="equal">
      <formula>"Napkin Hs"</formula>
    </cfRule>
  </conditionalFormatting>
  <conditionalFormatting sqref="C64">
    <cfRule type="cellIs" dxfId="26835" priority="12542" stopIfTrue="1" operator="equal">
      <formula>"Napkin Hs"</formula>
    </cfRule>
  </conditionalFormatting>
  <conditionalFormatting sqref="C64">
    <cfRule type="cellIs" dxfId="26834" priority="12541" stopIfTrue="1" operator="equal">
      <formula>"Towel"</formula>
    </cfRule>
  </conditionalFormatting>
  <conditionalFormatting sqref="C64">
    <cfRule type="cellIs" dxfId="26833" priority="12540" stopIfTrue="1" operator="equal">
      <formula>"Napkin Hs"</formula>
    </cfRule>
  </conditionalFormatting>
  <conditionalFormatting sqref="C64">
    <cfRule type="cellIs" dxfId="26832" priority="12537" stopIfTrue="1" operator="equal">
      <formula>"Towel"</formula>
    </cfRule>
    <cfRule type="cellIs" dxfId="26831" priority="12538" stopIfTrue="1" operator="equal">
      <formula>"Napkin Hs"</formula>
    </cfRule>
  </conditionalFormatting>
  <conditionalFormatting sqref="C64">
    <cfRule type="cellIs" dxfId="26830" priority="12539" stopIfTrue="1" operator="equal">
      <formula>"Towel"</formula>
    </cfRule>
  </conditionalFormatting>
  <conditionalFormatting sqref="C64">
    <cfRule type="cellIs" dxfId="26829" priority="12536" stopIfTrue="1" operator="equal">
      <formula>"Napkin Hs"</formula>
    </cfRule>
  </conditionalFormatting>
  <conditionalFormatting sqref="C64">
    <cfRule type="cellIs" dxfId="26828" priority="12535" stopIfTrue="1" operator="equal">
      <formula>"Towel"</formula>
    </cfRule>
  </conditionalFormatting>
  <conditionalFormatting sqref="C64">
    <cfRule type="cellIs" dxfId="26827" priority="12534" stopIfTrue="1" operator="equal">
      <formula>"Napkin Hs"</formula>
    </cfRule>
  </conditionalFormatting>
  <conditionalFormatting sqref="C64">
    <cfRule type="cellIs" dxfId="26826" priority="12531" stopIfTrue="1" operator="equal">
      <formula>"Towel"</formula>
    </cfRule>
    <cfRule type="cellIs" dxfId="26825" priority="12532" stopIfTrue="1" operator="equal">
      <formula>"Napkin Hs"</formula>
    </cfRule>
  </conditionalFormatting>
  <conditionalFormatting sqref="C64">
    <cfRule type="cellIs" dxfId="26824" priority="12533" stopIfTrue="1" operator="equal">
      <formula>"Towel"</formula>
    </cfRule>
  </conditionalFormatting>
  <conditionalFormatting sqref="C64">
    <cfRule type="cellIs" dxfId="26823" priority="12637" stopIfTrue="1" operator="equal">
      <formula>"Towel"</formula>
    </cfRule>
    <cfRule type="cellIs" dxfId="26822" priority="12638" stopIfTrue="1" operator="equal">
      <formula>"Napkin Hs"</formula>
    </cfRule>
  </conditionalFormatting>
  <conditionalFormatting sqref="C64">
    <cfRule type="cellIs" dxfId="26821" priority="12635" stopIfTrue="1" operator="equal">
      <formula>"Towel"</formula>
    </cfRule>
    <cfRule type="cellIs" dxfId="26820" priority="12636" stopIfTrue="1" operator="equal">
      <formula>"Napkin Hs"</formula>
    </cfRule>
  </conditionalFormatting>
  <conditionalFormatting sqref="C64">
    <cfRule type="cellIs" dxfId="26819" priority="12633" stopIfTrue="1" operator="equal">
      <formula>"Towel"</formula>
    </cfRule>
    <cfRule type="cellIs" dxfId="26818" priority="12634" stopIfTrue="1" operator="equal">
      <formula>"Napkin Hs"</formula>
    </cfRule>
  </conditionalFormatting>
  <conditionalFormatting sqref="C64">
    <cfRule type="cellIs" dxfId="26817" priority="12632" stopIfTrue="1" operator="equal">
      <formula>"Napkin Hs"</formula>
    </cfRule>
  </conditionalFormatting>
  <conditionalFormatting sqref="C64">
    <cfRule type="cellIs" dxfId="26816" priority="12631" stopIfTrue="1" operator="equal">
      <formula>"Towel"</formula>
    </cfRule>
  </conditionalFormatting>
  <conditionalFormatting sqref="C64">
    <cfRule type="cellIs" dxfId="26815" priority="12630" stopIfTrue="1" operator="equal">
      <formula>"Napkin Hs"</formula>
    </cfRule>
  </conditionalFormatting>
  <conditionalFormatting sqref="C64">
    <cfRule type="cellIs" dxfId="26814" priority="12629" stopIfTrue="1" operator="equal">
      <formula>"Towel"</formula>
    </cfRule>
  </conditionalFormatting>
  <conditionalFormatting sqref="C64">
    <cfRule type="cellIs" dxfId="26813" priority="12627" stopIfTrue="1" operator="equal">
      <formula>"Towel"</formula>
    </cfRule>
    <cfRule type="cellIs" dxfId="26812" priority="12628" stopIfTrue="1" operator="equal">
      <formula>"Napkin Hs"</formula>
    </cfRule>
  </conditionalFormatting>
  <conditionalFormatting sqref="C64">
    <cfRule type="cellIs" dxfId="26811" priority="12625" stopIfTrue="1" operator="equal">
      <formula>"Towel"</formula>
    </cfRule>
    <cfRule type="cellIs" dxfId="26810" priority="12626" stopIfTrue="1" operator="equal">
      <formula>"Napkin Hs"</formula>
    </cfRule>
  </conditionalFormatting>
  <conditionalFormatting sqref="C64">
    <cfRule type="cellIs" dxfId="26809" priority="12621" stopIfTrue="1" operator="equal">
      <formula>"Towel"</formula>
    </cfRule>
    <cfRule type="cellIs" dxfId="26808" priority="12622" stopIfTrue="1" operator="equal">
      <formula>"Napkin Hs"</formula>
    </cfRule>
  </conditionalFormatting>
  <conditionalFormatting sqref="C64">
    <cfRule type="cellIs" dxfId="26807" priority="12623" stopIfTrue="1" operator="equal">
      <formula>"Towel"</formula>
    </cfRule>
    <cfRule type="cellIs" dxfId="26806" priority="12624" stopIfTrue="1" operator="equal">
      <formula>"Napkin Hs"</formula>
    </cfRule>
  </conditionalFormatting>
  <conditionalFormatting sqref="C64">
    <cfRule type="cellIs" dxfId="26805" priority="12615" stopIfTrue="1" operator="equal">
      <formula>"Towel"</formula>
    </cfRule>
    <cfRule type="cellIs" dxfId="26804" priority="12616" stopIfTrue="1" operator="equal">
      <formula>"Napkin Hs"</formula>
    </cfRule>
  </conditionalFormatting>
  <conditionalFormatting sqref="C64">
    <cfRule type="cellIs" dxfId="26803" priority="12613" stopIfTrue="1" operator="equal">
      <formula>"Towel"</formula>
    </cfRule>
    <cfRule type="cellIs" dxfId="26802" priority="12614" stopIfTrue="1" operator="equal">
      <formula>"Napkin Hs"</formula>
    </cfRule>
  </conditionalFormatting>
  <conditionalFormatting sqref="C64">
    <cfRule type="cellIs" dxfId="26801" priority="12611" stopIfTrue="1" operator="equal">
      <formula>"Towel"</formula>
    </cfRule>
    <cfRule type="cellIs" dxfId="26800" priority="12612" stopIfTrue="1" operator="equal">
      <formula>"Napkin Hs"</formula>
    </cfRule>
  </conditionalFormatting>
  <conditionalFormatting sqref="C64">
    <cfRule type="cellIs" dxfId="26799" priority="12609" stopIfTrue="1" operator="equal">
      <formula>"Towel"</formula>
    </cfRule>
    <cfRule type="cellIs" dxfId="26798" priority="12610" stopIfTrue="1" operator="equal">
      <formula>"Napkin Hs"</formula>
    </cfRule>
  </conditionalFormatting>
  <conditionalFormatting sqref="C64">
    <cfRule type="cellIs" dxfId="26797" priority="12607" stopIfTrue="1" operator="equal">
      <formula>"Towel"</formula>
    </cfRule>
    <cfRule type="cellIs" dxfId="26796" priority="12608" stopIfTrue="1" operator="equal">
      <formula>"Napkin Hs"</formula>
    </cfRule>
  </conditionalFormatting>
  <conditionalFormatting sqref="C64">
    <cfRule type="cellIs" dxfId="26795" priority="12605" stopIfTrue="1" operator="equal">
      <formula>"Towel"</formula>
    </cfRule>
    <cfRule type="cellIs" dxfId="26794" priority="12606" stopIfTrue="1" operator="equal">
      <formula>"Napkin Hs"</formula>
    </cfRule>
  </conditionalFormatting>
  <conditionalFormatting sqref="C64">
    <cfRule type="cellIs" dxfId="26793" priority="12603" stopIfTrue="1" operator="equal">
      <formula>"Towel"</formula>
    </cfRule>
    <cfRule type="cellIs" dxfId="26792" priority="12604" stopIfTrue="1" operator="equal">
      <formula>"Napkin Hs"</formula>
    </cfRule>
  </conditionalFormatting>
  <conditionalFormatting sqref="C64">
    <cfRule type="cellIs" dxfId="26791" priority="12601" stopIfTrue="1" operator="equal">
      <formula>"Towel"</formula>
    </cfRule>
    <cfRule type="cellIs" dxfId="26790" priority="12602" stopIfTrue="1" operator="equal">
      <formula>"Napkin Hs"</formula>
    </cfRule>
  </conditionalFormatting>
  <conditionalFormatting sqref="C64">
    <cfRule type="cellIs" dxfId="26789" priority="12599" stopIfTrue="1" operator="equal">
      <formula>"Towel"</formula>
    </cfRule>
    <cfRule type="cellIs" dxfId="26788" priority="12600" stopIfTrue="1" operator="equal">
      <formula>"Napkin Hs"</formula>
    </cfRule>
  </conditionalFormatting>
  <conditionalFormatting sqref="C64">
    <cfRule type="cellIs" dxfId="26787" priority="12597" stopIfTrue="1" operator="equal">
      <formula>"Towel"</formula>
    </cfRule>
    <cfRule type="cellIs" dxfId="26786" priority="12598" stopIfTrue="1" operator="equal">
      <formula>"Napkin Hs"</formula>
    </cfRule>
  </conditionalFormatting>
  <conditionalFormatting sqref="C64">
    <cfRule type="cellIs" dxfId="26785" priority="12591" stopIfTrue="1" operator="equal">
      <formula>"Towel"</formula>
    </cfRule>
    <cfRule type="cellIs" dxfId="26784" priority="12592" stopIfTrue="1" operator="equal">
      <formula>"Napkin Hs"</formula>
    </cfRule>
  </conditionalFormatting>
  <conditionalFormatting sqref="C64">
    <cfRule type="cellIs" dxfId="26783" priority="12585" stopIfTrue="1" operator="equal">
      <formula>"Towel"</formula>
    </cfRule>
    <cfRule type="cellIs" dxfId="26782" priority="12586" stopIfTrue="1" operator="equal">
      <formula>"Napkin Hs"</formula>
    </cfRule>
  </conditionalFormatting>
  <conditionalFormatting sqref="C64">
    <cfRule type="cellIs" dxfId="26781" priority="12579" stopIfTrue="1" operator="equal">
      <formula>"Towel"</formula>
    </cfRule>
    <cfRule type="cellIs" dxfId="26780" priority="12580" stopIfTrue="1" operator="equal">
      <formula>"Napkin Hs"</formula>
    </cfRule>
  </conditionalFormatting>
  <conditionalFormatting sqref="C64">
    <cfRule type="cellIs" dxfId="26779" priority="12578" stopIfTrue="1" operator="equal">
      <formula>"Napkin Hs"</formula>
    </cfRule>
  </conditionalFormatting>
  <conditionalFormatting sqref="C64">
    <cfRule type="cellIs" dxfId="26778" priority="12577" stopIfTrue="1" operator="equal">
      <formula>"Towel"</formula>
    </cfRule>
  </conditionalFormatting>
  <conditionalFormatting sqref="C64">
    <cfRule type="cellIs" dxfId="26777" priority="12576" stopIfTrue="1" operator="equal">
      <formula>"Napkin Hs"</formula>
    </cfRule>
  </conditionalFormatting>
  <conditionalFormatting sqref="C64">
    <cfRule type="cellIs" dxfId="26776" priority="12575" stopIfTrue="1" operator="equal">
      <formula>"Towel"</formula>
    </cfRule>
  </conditionalFormatting>
  <conditionalFormatting sqref="C64">
    <cfRule type="cellIs" dxfId="26775" priority="12573" stopIfTrue="1" operator="equal">
      <formula>"Towel"</formula>
    </cfRule>
    <cfRule type="cellIs" dxfId="26774" priority="12574" stopIfTrue="1" operator="equal">
      <formula>"Napkin Hs"</formula>
    </cfRule>
  </conditionalFormatting>
  <conditionalFormatting sqref="C64">
    <cfRule type="cellIs" dxfId="26773" priority="12571" stopIfTrue="1" operator="equal">
      <formula>"Towel"</formula>
    </cfRule>
    <cfRule type="cellIs" dxfId="26772" priority="12572" stopIfTrue="1" operator="equal">
      <formula>"Napkin Hs"</formula>
    </cfRule>
  </conditionalFormatting>
  <conditionalFormatting sqref="C64">
    <cfRule type="cellIs" dxfId="26771" priority="12569" stopIfTrue="1" operator="equal">
      <formula>"Towel"</formula>
    </cfRule>
    <cfRule type="cellIs" dxfId="26770" priority="12570" stopIfTrue="1" operator="equal">
      <formula>"Napkin Hs"</formula>
    </cfRule>
  </conditionalFormatting>
  <conditionalFormatting sqref="C64">
    <cfRule type="cellIs" dxfId="26769" priority="12559" stopIfTrue="1" operator="equal">
      <formula>"Towel"</formula>
    </cfRule>
    <cfRule type="cellIs" dxfId="26768" priority="12560" stopIfTrue="1" operator="equal">
      <formula>"Napkin Hs"</formula>
    </cfRule>
  </conditionalFormatting>
  <conditionalFormatting sqref="C64">
    <cfRule type="cellIs" dxfId="26767" priority="12557" stopIfTrue="1" operator="equal">
      <formula>"Towel"</formula>
    </cfRule>
    <cfRule type="cellIs" dxfId="26766" priority="12558" stopIfTrue="1" operator="equal">
      <formula>"Napkin Hs"</formula>
    </cfRule>
  </conditionalFormatting>
  <conditionalFormatting sqref="C64">
    <cfRule type="cellIs" dxfId="26765" priority="12555" stopIfTrue="1" operator="equal">
      <formula>"Towel"</formula>
    </cfRule>
    <cfRule type="cellIs" dxfId="26764" priority="12556" stopIfTrue="1" operator="equal">
      <formula>"Napkin Hs"</formula>
    </cfRule>
  </conditionalFormatting>
  <conditionalFormatting sqref="C64">
    <cfRule type="cellIs" dxfId="26763" priority="12553" stopIfTrue="1" operator="equal">
      <formula>"Towel"</formula>
    </cfRule>
    <cfRule type="cellIs" dxfId="26762" priority="12554" stopIfTrue="1" operator="equal">
      <formula>"Napkin Hs"</formula>
    </cfRule>
  </conditionalFormatting>
  <conditionalFormatting sqref="C64">
    <cfRule type="cellIs" dxfId="26761" priority="12551" stopIfTrue="1" operator="equal">
      <formula>"Towel"</formula>
    </cfRule>
    <cfRule type="cellIs" dxfId="26760" priority="12552" stopIfTrue="1" operator="equal">
      <formula>"Napkin Hs"</formula>
    </cfRule>
  </conditionalFormatting>
  <conditionalFormatting sqref="C64">
    <cfRule type="cellIs" dxfId="26759" priority="12549" stopIfTrue="1" operator="equal">
      <formula>"Towel"</formula>
    </cfRule>
    <cfRule type="cellIs" dxfId="26758" priority="12550" stopIfTrue="1" operator="equal">
      <formula>"Napkin Hs"</formula>
    </cfRule>
  </conditionalFormatting>
  <conditionalFormatting sqref="C64">
    <cfRule type="cellIs" dxfId="26757" priority="12547" stopIfTrue="1" operator="equal">
      <formula>"Towel"</formula>
    </cfRule>
    <cfRule type="cellIs" dxfId="26756" priority="12548" stopIfTrue="1" operator="equal">
      <formula>"Napkin Hs"</formula>
    </cfRule>
  </conditionalFormatting>
  <conditionalFormatting sqref="C64">
    <cfRule type="cellIs" dxfId="26755" priority="12545" stopIfTrue="1" operator="equal">
      <formula>"Towel"</formula>
    </cfRule>
    <cfRule type="cellIs" dxfId="26754" priority="12546" stopIfTrue="1" operator="equal">
      <formula>"Napkin Hs"</formula>
    </cfRule>
  </conditionalFormatting>
  <conditionalFormatting sqref="C64">
    <cfRule type="cellIs" dxfId="26753" priority="12543" stopIfTrue="1" operator="equal">
      <formula>"Towel"</formula>
    </cfRule>
    <cfRule type="cellIs" dxfId="26752" priority="12544" stopIfTrue="1" operator="equal">
      <formula>"Napkin Hs"</formula>
    </cfRule>
  </conditionalFormatting>
  <conditionalFormatting sqref="C64">
    <cfRule type="cellIs" dxfId="26751" priority="12530" stopIfTrue="1" operator="equal">
      <formula>"Napkin Hs"</formula>
    </cfRule>
  </conditionalFormatting>
  <conditionalFormatting sqref="C64">
    <cfRule type="cellIs" dxfId="26750" priority="12529" stopIfTrue="1" operator="equal">
      <formula>"Towel"</formula>
    </cfRule>
  </conditionalFormatting>
  <conditionalFormatting sqref="C64">
    <cfRule type="cellIs" dxfId="26749" priority="12528" stopIfTrue="1" operator="equal">
      <formula>"Napkin Hs"</formula>
    </cfRule>
  </conditionalFormatting>
  <conditionalFormatting sqref="C64">
    <cfRule type="cellIs" dxfId="26748" priority="12525" stopIfTrue="1" operator="equal">
      <formula>"Towel"</formula>
    </cfRule>
    <cfRule type="cellIs" dxfId="26747" priority="12526" stopIfTrue="1" operator="equal">
      <formula>"Napkin Hs"</formula>
    </cfRule>
  </conditionalFormatting>
  <conditionalFormatting sqref="C64">
    <cfRule type="cellIs" dxfId="26746" priority="12527" stopIfTrue="1" operator="equal">
      <formula>"Towel"</formula>
    </cfRule>
  </conditionalFormatting>
  <conditionalFormatting sqref="C64">
    <cfRule type="cellIs" dxfId="26745" priority="12645" stopIfTrue="1" operator="equal">
      <formula>"Towel"</formula>
    </cfRule>
    <cfRule type="cellIs" dxfId="26744" priority="12646" stopIfTrue="1" operator="equal">
      <formula>"Napkin Hs"</formula>
    </cfRule>
  </conditionalFormatting>
  <conditionalFormatting sqref="C64">
    <cfRule type="cellIs" dxfId="26743" priority="12644" stopIfTrue="1" operator="equal">
      <formula>"Napkin Hs"</formula>
    </cfRule>
  </conditionalFormatting>
  <conditionalFormatting sqref="C64">
    <cfRule type="cellIs" dxfId="26742" priority="12643" stopIfTrue="1" operator="equal">
      <formula>"Towel"</formula>
    </cfRule>
  </conditionalFormatting>
  <conditionalFormatting sqref="C64">
    <cfRule type="cellIs" dxfId="26741" priority="12642" stopIfTrue="1" operator="equal">
      <formula>"Napkin Hs"</formula>
    </cfRule>
  </conditionalFormatting>
  <conditionalFormatting sqref="C64">
    <cfRule type="cellIs" dxfId="26740" priority="12639" stopIfTrue="1" operator="equal">
      <formula>"Towel"</formula>
    </cfRule>
    <cfRule type="cellIs" dxfId="26739" priority="12640" stopIfTrue="1" operator="equal">
      <formula>"Napkin Hs"</formula>
    </cfRule>
  </conditionalFormatting>
  <conditionalFormatting sqref="C64">
    <cfRule type="cellIs" dxfId="26738" priority="12641" stopIfTrue="1" operator="equal">
      <formula>"Towel"</formula>
    </cfRule>
  </conditionalFormatting>
  <conditionalFormatting sqref="C64">
    <cfRule type="cellIs" dxfId="26737" priority="12649" stopIfTrue="1" operator="equal">
      <formula>"Towel"</formula>
    </cfRule>
    <cfRule type="cellIs" dxfId="26736" priority="12650" stopIfTrue="1" operator="equal">
      <formula>"Napkin Hs"</formula>
    </cfRule>
  </conditionalFormatting>
  <conditionalFormatting sqref="C64">
    <cfRule type="cellIs" dxfId="26735" priority="12647" stopIfTrue="1" operator="equal">
      <formula>"Towel"</formula>
    </cfRule>
    <cfRule type="cellIs" dxfId="26734" priority="12648" stopIfTrue="1" operator="equal">
      <formula>"Napkin Hs"</formula>
    </cfRule>
  </conditionalFormatting>
  <conditionalFormatting sqref="C64">
    <cfRule type="cellIs" dxfId="26733" priority="12619" stopIfTrue="1" operator="equal">
      <formula>"Towel"</formula>
    </cfRule>
    <cfRule type="cellIs" dxfId="26732" priority="12620" stopIfTrue="1" operator="equal">
      <formula>"Napkin Hs"</formula>
    </cfRule>
  </conditionalFormatting>
  <conditionalFormatting sqref="C64">
    <cfRule type="cellIs" dxfId="26731" priority="12617" stopIfTrue="1" operator="equal">
      <formula>"Towel"</formula>
    </cfRule>
    <cfRule type="cellIs" dxfId="26730" priority="12618" stopIfTrue="1" operator="equal">
      <formula>"Napkin Hs"</formula>
    </cfRule>
  </conditionalFormatting>
  <conditionalFormatting sqref="C64">
    <cfRule type="cellIs" dxfId="26729" priority="12596" stopIfTrue="1" operator="equal">
      <formula>"Napkin Hs"</formula>
    </cfRule>
  </conditionalFormatting>
  <conditionalFormatting sqref="C64">
    <cfRule type="cellIs" dxfId="26728" priority="12595" stopIfTrue="1" operator="equal">
      <formula>"Towel"</formula>
    </cfRule>
  </conditionalFormatting>
  <conditionalFormatting sqref="C64">
    <cfRule type="cellIs" dxfId="26727" priority="12594" stopIfTrue="1" operator="equal">
      <formula>"Napkin Hs"</formula>
    </cfRule>
  </conditionalFormatting>
  <conditionalFormatting sqref="C64">
    <cfRule type="cellIs" dxfId="26726" priority="12593" stopIfTrue="1" operator="equal">
      <formula>"Towel"</formula>
    </cfRule>
  </conditionalFormatting>
  <conditionalFormatting sqref="C64">
    <cfRule type="cellIs" dxfId="26725" priority="12590" stopIfTrue="1" operator="equal">
      <formula>"Napkin Hs"</formula>
    </cfRule>
  </conditionalFormatting>
  <conditionalFormatting sqref="C64">
    <cfRule type="cellIs" dxfId="26724" priority="12589" stopIfTrue="1" operator="equal">
      <formula>"Towel"</formula>
    </cfRule>
  </conditionalFormatting>
  <conditionalFormatting sqref="C64">
    <cfRule type="cellIs" dxfId="26723" priority="12588" stopIfTrue="1" operator="equal">
      <formula>"Napkin Hs"</formula>
    </cfRule>
  </conditionalFormatting>
  <conditionalFormatting sqref="C64">
    <cfRule type="cellIs" dxfId="26722" priority="12587" stopIfTrue="1" operator="equal">
      <formula>"Towel"</formula>
    </cfRule>
  </conditionalFormatting>
  <conditionalFormatting sqref="C64">
    <cfRule type="cellIs" dxfId="26721" priority="12583" stopIfTrue="1" operator="equal">
      <formula>"Towel"</formula>
    </cfRule>
    <cfRule type="cellIs" dxfId="26720" priority="12584" stopIfTrue="1" operator="equal">
      <formula>"Napkin Hs"</formula>
    </cfRule>
  </conditionalFormatting>
  <conditionalFormatting sqref="C64">
    <cfRule type="cellIs" dxfId="26719" priority="12581" stopIfTrue="1" operator="equal">
      <formula>"Towel"</formula>
    </cfRule>
    <cfRule type="cellIs" dxfId="26718" priority="12582" stopIfTrue="1" operator="equal">
      <formula>"Napkin Hs"</formula>
    </cfRule>
  </conditionalFormatting>
  <conditionalFormatting sqref="C64">
    <cfRule type="cellIs" dxfId="26717" priority="12565" stopIfTrue="1" operator="equal">
      <formula>"Towel"</formula>
    </cfRule>
    <cfRule type="cellIs" dxfId="26716" priority="12566" stopIfTrue="1" operator="equal">
      <formula>"Napkin Hs"</formula>
    </cfRule>
  </conditionalFormatting>
  <conditionalFormatting sqref="C64">
    <cfRule type="cellIs" dxfId="26715" priority="12563" stopIfTrue="1" operator="equal">
      <formula>"Towel"</formula>
    </cfRule>
    <cfRule type="cellIs" dxfId="26714" priority="12564" stopIfTrue="1" operator="equal">
      <formula>"Napkin Hs"</formula>
    </cfRule>
  </conditionalFormatting>
  <conditionalFormatting sqref="B64:C64">
    <cfRule type="cellIs" dxfId="26713" priority="12524" stopIfTrue="1" operator="equal">
      <formula>"Napkin Hs"</formula>
    </cfRule>
  </conditionalFormatting>
  <conditionalFormatting sqref="B64:C64">
    <cfRule type="cellIs" dxfId="26712" priority="12523" stopIfTrue="1" operator="equal">
      <formula>"Towel"</formula>
    </cfRule>
  </conditionalFormatting>
  <conditionalFormatting sqref="C64">
    <cfRule type="cellIs" dxfId="26711" priority="12522" stopIfTrue="1" operator="equal">
      <formula>"Napkin Hs"</formula>
    </cfRule>
  </conditionalFormatting>
  <conditionalFormatting sqref="C64">
    <cfRule type="cellIs" dxfId="26710" priority="12519" stopIfTrue="1" operator="equal">
      <formula>"Towel"</formula>
    </cfRule>
    <cfRule type="cellIs" dxfId="26709" priority="12520" stopIfTrue="1" operator="equal">
      <formula>"Napkin Hs"</formula>
    </cfRule>
  </conditionalFormatting>
  <conditionalFormatting sqref="C64">
    <cfRule type="cellIs" dxfId="26708" priority="12521" stopIfTrue="1" operator="equal">
      <formula>"Towel"</formula>
    </cfRule>
  </conditionalFormatting>
  <conditionalFormatting sqref="B61:C61">
    <cfRule type="cellIs" dxfId="26707" priority="12518" stopIfTrue="1" operator="equal">
      <formula>"Napkin Hs"</formula>
    </cfRule>
  </conditionalFormatting>
  <conditionalFormatting sqref="B61:C61">
    <cfRule type="cellIs" dxfId="26706" priority="12517" stopIfTrue="1" operator="equal">
      <formula>"Towel"</formula>
    </cfRule>
  </conditionalFormatting>
  <conditionalFormatting sqref="C61">
    <cfRule type="cellIs" dxfId="26705" priority="12516" stopIfTrue="1" operator="equal">
      <formula>"Napkin Hs"</formula>
    </cfRule>
  </conditionalFormatting>
  <conditionalFormatting sqref="C61">
    <cfRule type="cellIs" dxfId="26704" priority="12515" stopIfTrue="1" operator="equal">
      <formula>"Towel"</formula>
    </cfRule>
  </conditionalFormatting>
  <conditionalFormatting sqref="C61">
    <cfRule type="cellIs" dxfId="26703" priority="12513" stopIfTrue="1" operator="equal">
      <formula>"Towel"</formula>
    </cfRule>
    <cfRule type="cellIs" dxfId="26702" priority="12514" stopIfTrue="1" operator="equal">
      <formula>"Napkin Hs"</formula>
    </cfRule>
  </conditionalFormatting>
  <conditionalFormatting sqref="C61">
    <cfRule type="cellIs" dxfId="26701" priority="12429" stopIfTrue="1" operator="equal">
      <formula>"Towel"</formula>
    </cfRule>
    <cfRule type="cellIs" dxfId="26700" priority="12430" stopIfTrue="1" operator="equal">
      <formula>"Napkin Hs"</formula>
    </cfRule>
  </conditionalFormatting>
  <conditionalFormatting sqref="C61">
    <cfRule type="cellIs" dxfId="26699" priority="12423" stopIfTrue="1" operator="equal">
      <formula>"Towel"</formula>
    </cfRule>
    <cfRule type="cellIs" dxfId="26698" priority="12424" stopIfTrue="1" operator="equal">
      <formula>"Napkin Hs"</formula>
    </cfRule>
  </conditionalFormatting>
  <conditionalFormatting sqref="C61">
    <cfRule type="cellIs" dxfId="26697" priority="12404" stopIfTrue="1" operator="equal">
      <formula>"Napkin Hs"</formula>
    </cfRule>
  </conditionalFormatting>
  <conditionalFormatting sqref="C61">
    <cfRule type="cellIs" dxfId="26696" priority="12403" stopIfTrue="1" operator="equal">
      <formula>"Towel"</formula>
    </cfRule>
  </conditionalFormatting>
  <conditionalFormatting sqref="C61">
    <cfRule type="cellIs" dxfId="26695" priority="12402" stopIfTrue="1" operator="equal">
      <formula>"Napkin Hs"</formula>
    </cfRule>
  </conditionalFormatting>
  <conditionalFormatting sqref="C61">
    <cfRule type="cellIs" dxfId="26694" priority="12399" stopIfTrue="1" operator="equal">
      <formula>"Towel"</formula>
    </cfRule>
    <cfRule type="cellIs" dxfId="26693" priority="12400" stopIfTrue="1" operator="equal">
      <formula>"Napkin Hs"</formula>
    </cfRule>
  </conditionalFormatting>
  <conditionalFormatting sqref="C61">
    <cfRule type="cellIs" dxfId="26692" priority="12401" stopIfTrue="1" operator="equal">
      <formula>"Towel"</formula>
    </cfRule>
  </conditionalFormatting>
  <conditionalFormatting sqref="C61">
    <cfRule type="cellIs" dxfId="26691" priority="12398" stopIfTrue="1" operator="equal">
      <formula>"Napkin Hs"</formula>
    </cfRule>
  </conditionalFormatting>
  <conditionalFormatting sqref="C61">
    <cfRule type="cellIs" dxfId="26690" priority="12397" stopIfTrue="1" operator="equal">
      <formula>"Towel"</formula>
    </cfRule>
  </conditionalFormatting>
  <conditionalFormatting sqref="C61">
    <cfRule type="cellIs" dxfId="26689" priority="12396" stopIfTrue="1" operator="equal">
      <formula>"Napkin Hs"</formula>
    </cfRule>
  </conditionalFormatting>
  <conditionalFormatting sqref="C61">
    <cfRule type="cellIs" dxfId="26688" priority="12393" stopIfTrue="1" operator="equal">
      <formula>"Towel"</formula>
    </cfRule>
    <cfRule type="cellIs" dxfId="26687" priority="12394" stopIfTrue="1" operator="equal">
      <formula>"Napkin Hs"</formula>
    </cfRule>
  </conditionalFormatting>
  <conditionalFormatting sqref="C61">
    <cfRule type="cellIs" dxfId="26686" priority="12395" stopIfTrue="1" operator="equal">
      <formula>"Towel"</formula>
    </cfRule>
  </conditionalFormatting>
  <conditionalFormatting sqref="C61">
    <cfRule type="cellIs" dxfId="26685" priority="12499" stopIfTrue="1" operator="equal">
      <formula>"Towel"</formula>
    </cfRule>
    <cfRule type="cellIs" dxfId="26684" priority="12500" stopIfTrue="1" operator="equal">
      <formula>"Napkin Hs"</formula>
    </cfRule>
  </conditionalFormatting>
  <conditionalFormatting sqref="C61">
    <cfRule type="cellIs" dxfId="26683" priority="12497" stopIfTrue="1" operator="equal">
      <formula>"Towel"</formula>
    </cfRule>
    <cfRule type="cellIs" dxfId="26682" priority="12498" stopIfTrue="1" operator="equal">
      <formula>"Napkin Hs"</formula>
    </cfRule>
  </conditionalFormatting>
  <conditionalFormatting sqref="C61">
    <cfRule type="cellIs" dxfId="26681" priority="12495" stopIfTrue="1" operator="equal">
      <formula>"Towel"</formula>
    </cfRule>
    <cfRule type="cellIs" dxfId="26680" priority="12496" stopIfTrue="1" operator="equal">
      <formula>"Napkin Hs"</formula>
    </cfRule>
  </conditionalFormatting>
  <conditionalFormatting sqref="C61">
    <cfRule type="cellIs" dxfId="26679" priority="12494" stopIfTrue="1" operator="equal">
      <formula>"Napkin Hs"</formula>
    </cfRule>
  </conditionalFormatting>
  <conditionalFormatting sqref="C61">
    <cfRule type="cellIs" dxfId="26678" priority="12493" stopIfTrue="1" operator="equal">
      <formula>"Towel"</formula>
    </cfRule>
  </conditionalFormatting>
  <conditionalFormatting sqref="C61">
    <cfRule type="cellIs" dxfId="26677" priority="12492" stopIfTrue="1" operator="equal">
      <formula>"Napkin Hs"</formula>
    </cfRule>
  </conditionalFormatting>
  <conditionalFormatting sqref="C61">
    <cfRule type="cellIs" dxfId="26676" priority="12491" stopIfTrue="1" operator="equal">
      <formula>"Towel"</formula>
    </cfRule>
  </conditionalFormatting>
  <conditionalFormatting sqref="C61">
    <cfRule type="cellIs" dxfId="26675" priority="12489" stopIfTrue="1" operator="equal">
      <formula>"Towel"</formula>
    </cfRule>
    <cfRule type="cellIs" dxfId="26674" priority="12490" stopIfTrue="1" operator="equal">
      <formula>"Napkin Hs"</formula>
    </cfRule>
  </conditionalFormatting>
  <conditionalFormatting sqref="C61">
    <cfRule type="cellIs" dxfId="26673" priority="12487" stopIfTrue="1" operator="equal">
      <formula>"Towel"</formula>
    </cfRule>
    <cfRule type="cellIs" dxfId="26672" priority="12488" stopIfTrue="1" operator="equal">
      <formula>"Napkin Hs"</formula>
    </cfRule>
  </conditionalFormatting>
  <conditionalFormatting sqref="C61">
    <cfRule type="cellIs" dxfId="26671" priority="12483" stopIfTrue="1" operator="equal">
      <formula>"Towel"</formula>
    </cfRule>
    <cfRule type="cellIs" dxfId="26670" priority="12484" stopIfTrue="1" operator="equal">
      <formula>"Napkin Hs"</formula>
    </cfRule>
  </conditionalFormatting>
  <conditionalFormatting sqref="C61">
    <cfRule type="cellIs" dxfId="26669" priority="12485" stopIfTrue="1" operator="equal">
      <formula>"Towel"</formula>
    </cfRule>
    <cfRule type="cellIs" dxfId="26668" priority="12486" stopIfTrue="1" operator="equal">
      <formula>"Napkin Hs"</formula>
    </cfRule>
  </conditionalFormatting>
  <conditionalFormatting sqref="C61">
    <cfRule type="cellIs" dxfId="26667" priority="12477" stopIfTrue="1" operator="equal">
      <formula>"Towel"</formula>
    </cfRule>
    <cfRule type="cellIs" dxfId="26666" priority="12478" stopIfTrue="1" operator="equal">
      <formula>"Napkin Hs"</formula>
    </cfRule>
  </conditionalFormatting>
  <conditionalFormatting sqref="C61">
    <cfRule type="cellIs" dxfId="26665" priority="12475" stopIfTrue="1" operator="equal">
      <formula>"Towel"</formula>
    </cfRule>
    <cfRule type="cellIs" dxfId="26664" priority="12476" stopIfTrue="1" operator="equal">
      <formula>"Napkin Hs"</formula>
    </cfRule>
  </conditionalFormatting>
  <conditionalFormatting sqref="C61">
    <cfRule type="cellIs" dxfId="26663" priority="12473" stopIfTrue="1" operator="equal">
      <formula>"Towel"</formula>
    </cfRule>
    <cfRule type="cellIs" dxfId="26662" priority="12474" stopIfTrue="1" operator="equal">
      <formula>"Napkin Hs"</formula>
    </cfRule>
  </conditionalFormatting>
  <conditionalFormatting sqref="C61">
    <cfRule type="cellIs" dxfId="26661" priority="12471" stopIfTrue="1" operator="equal">
      <formula>"Towel"</formula>
    </cfRule>
    <cfRule type="cellIs" dxfId="26660" priority="12472" stopIfTrue="1" operator="equal">
      <formula>"Napkin Hs"</formula>
    </cfRule>
  </conditionalFormatting>
  <conditionalFormatting sqref="C61">
    <cfRule type="cellIs" dxfId="26659" priority="12469" stopIfTrue="1" operator="equal">
      <formula>"Towel"</formula>
    </cfRule>
    <cfRule type="cellIs" dxfId="26658" priority="12470" stopIfTrue="1" operator="equal">
      <formula>"Napkin Hs"</formula>
    </cfRule>
  </conditionalFormatting>
  <conditionalFormatting sqref="C61">
    <cfRule type="cellIs" dxfId="26657" priority="12467" stopIfTrue="1" operator="equal">
      <formula>"Towel"</formula>
    </cfRule>
    <cfRule type="cellIs" dxfId="26656" priority="12468" stopIfTrue="1" operator="equal">
      <formula>"Napkin Hs"</formula>
    </cfRule>
  </conditionalFormatting>
  <conditionalFormatting sqref="C61">
    <cfRule type="cellIs" dxfId="26655" priority="12465" stopIfTrue="1" operator="equal">
      <formula>"Towel"</formula>
    </cfRule>
    <cfRule type="cellIs" dxfId="26654" priority="12466" stopIfTrue="1" operator="equal">
      <formula>"Napkin Hs"</formula>
    </cfRule>
  </conditionalFormatting>
  <conditionalFormatting sqref="C61">
    <cfRule type="cellIs" dxfId="26653" priority="12463" stopIfTrue="1" operator="equal">
      <formula>"Towel"</formula>
    </cfRule>
    <cfRule type="cellIs" dxfId="26652" priority="12464" stopIfTrue="1" operator="equal">
      <formula>"Napkin Hs"</formula>
    </cfRule>
  </conditionalFormatting>
  <conditionalFormatting sqref="C61">
    <cfRule type="cellIs" dxfId="26651" priority="12461" stopIfTrue="1" operator="equal">
      <formula>"Towel"</formula>
    </cfRule>
    <cfRule type="cellIs" dxfId="26650" priority="12462" stopIfTrue="1" operator="equal">
      <formula>"Napkin Hs"</formula>
    </cfRule>
  </conditionalFormatting>
  <conditionalFormatting sqref="C61">
    <cfRule type="cellIs" dxfId="26649" priority="12459" stopIfTrue="1" operator="equal">
      <formula>"Towel"</formula>
    </cfRule>
    <cfRule type="cellIs" dxfId="26648" priority="12460" stopIfTrue="1" operator="equal">
      <formula>"Napkin Hs"</formula>
    </cfRule>
  </conditionalFormatting>
  <conditionalFormatting sqref="C61">
    <cfRule type="cellIs" dxfId="26647" priority="12453" stopIfTrue="1" operator="equal">
      <formula>"Towel"</formula>
    </cfRule>
    <cfRule type="cellIs" dxfId="26646" priority="12454" stopIfTrue="1" operator="equal">
      <formula>"Napkin Hs"</formula>
    </cfRule>
  </conditionalFormatting>
  <conditionalFormatting sqref="C61">
    <cfRule type="cellIs" dxfId="26645" priority="12447" stopIfTrue="1" operator="equal">
      <formula>"Towel"</formula>
    </cfRule>
    <cfRule type="cellIs" dxfId="26644" priority="12448" stopIfTrue="1" operator="equal">
      <formula>"Napkin Hs"</formula>
    </cfRule>
  </conditionalFormatting>
  <conditionalFormatting sqref="C61">
    <cfRule type="cellIs" dxfId="26643" priority="12441" stopIfTrue="1" operator="equal">
      <formula>"Towel"</formula>
    </cfRule>
    <cfRule type="cellIs" dxfId="26642" priority="12442" stopIfTrue="1" operator="equal">
      <formula>"Napkin Hs"</formula>
    </cfRule>
  </conditionalFormatting>
  <conditionalFormatting sqref="C61">
    <cfRule type="cellIs" dxfId="26641" priority="12440" stopIfTrue="1" operator="equal">
      <formula>"Napkin Hs"</formula>
    </cfRule>
  </conditionalFormatting>
  <conditionalFormatting sqref="C61">
    <cfRule type="cellIs" dxfId="26640" priority="12439" stopIfTrue="1" operator="equal">
      <formula>"Towel"</formula>
    </cfRule>
  </conditionalFormatting>
  <conditionalFormatting sqref="C61">
    <cfRule type="cellIs" dxfId="26639" priority="12438" stopIfTrue="1" operator="equal">
      <formula>"Napkin Hs"</formula>
    </cfRule>
  </conditionalFormatting>
  <conditionalFormatting sqref="C61">
    <cfRule type="cellIs" dxfId="26638" priority="12437" stopIfTrue="1" operator="equal">
      <formula>"Towel"</formula>
    </cfRule>
  </conditionalFormatting>
  <conditionalFormatting sqref="C61">
    <cfRule type="cellIs" dxfId="26637" priority="12435" stopIfTrue="1" operator="equal">
      <formula>"Towel"</formula>
    </cfRule>
    <cfRule type="cellIs" dxfId="26636" priority="12436" stopIfTrue="1" operator="equal">
      <formula>"Napkin Hs"</formula>
    </cfRule>
  </conditionalFormatting>
  <conditionalFormatting sqref="C61">
    <cfRule type="cellIs" dxfId="26635" priority="12433" stopIfTrue="1" operator="equal">
      <formula>"Towel"</formula>
    </cfRule>
    <cfRule type="cellIs" dxfId="26634" priority="12434" stopIfTrue="1" operator="equal">
      <formula>"Napkin Hs"</formula>
    </cfRule>
  </conditionalFormatting>
  <conditionalFormatting sqref="C61">
    <cfRule type="cellIs" dxfId="26633" priority="12431" stopIfTrue="1" operator="equal">
      <formula>"Towel"</formula>
    </cfRule>
    <cfRule type="cellIs" dxfId="26632" priority="12432" stopIfTrue="1" operator="equal">
      <formula>"Napkin Hs"</formula>
    </cfRule>
  </conditionalFormatting>
  <conditionalFormatting sqref="C61">
    <cfRule type="cellIs" dxfId="26631" priority="12421" stopIfTrue="1" operator="equal">
      <formula>"Towel"</formula>
    </cfRule>
    <cfRule type="cellIs" dxfId="26630" priority="12422" stopIfTrue="1" operator="equal">
      <formula>"Napkin Hs"</formula>
    </cfRule>
  </conditionalFormatting>
  <conditionalFormatting sqref="C61">
    <cfRule type="cellIs" dxfId="26629" priority="12419" stopIfTrue="1" operator="equal">
      <formula>"Towel"</formula>
    </cfRule>
    <cfRule type="cellIs" dxfId="26628" priority="12420" stopIfTrue="1" operator="equal">
      <formula>"Napkin Hs"</formula>
    </cfRule>
  </conditionalFormatting>
  <conditionalFormatting sqref="C61">
    <cfRule type="cellIs" dxfId="26627" priority="12417" stopIfTrue="1" operator="equal">
      <formula>"Towel"</formula>
    </cfRule>
    <cfRule type="cellIs" dxfId="26626" priority="12418" stopIfTrue="1" operator="equal">
      <formula>"Napkin Hs"</formula>
    </cfRule>
  </conditionalFormatting>
  <conditionalFormatting sqref="C61">
    <cfRule type="cellIs" dxfId="26625" priority="12415" stopIfTrue="1" operator="equal">
      <formula>"Towel"</formula>
    </cfRule>
    <cfRule type="cellIs" dxfId="26624" priority="12416" stopIfTrue="1" operator="equal">
      <formula>"Napkin Hs"</formula>
    </cfRule>
  </conditionalFormatting>
  <conditionalFormatting sqref="C61">
    <cfRule type="cellIs" dxfId="26623" priority="12413" stopIfTrue="1" operator="equal">
      <formula>"Towel"</formula>
    </cfRule>
    <cfRule type="cellIs" dxfId="26622" priority="12414" stopIfTrue="1" operator="equal">
      <formula>"Napkin Hs"</formula>
    </cfRule>
  </conditionalFormatting>
  <conditionalFormatting sqref="C61">
    <cfRule type="cellIs" dxfId="26621" priority="12411" stopIfTrue="1" operator="equal">
      <formula>"Towel"</formula>
    </cfRule>
    <cfRule type="cellIs" dxfId="26620" priority="12412" stopIfTrue="1" operator="equal">
      <formula>"Napkin Hs"</formula>
    </cfRule>
  </conditionalFormatting>
  <conditionalFormatting sqref="C61">
    <cfRule type="cellIs" dxfId="26619" priority="12409" stopIfTrue="1" operator="equal">
      <formula>"Towel"</formula>
    </cfRule>
    <cfRule type="cellIs" dxfId="26618" priority="12410" stopIfTrue="1" operator="equal">
      <formula>"Napkin Hs"</formula>
    </cfRule>
  </conditionalFormatting>
  <conditionalFormatting sqref="C61">
    <cfRule type="cellIs" dxfId="26617" priority="12407" stopIfTrue="1" operator="equal">
      <formula>"Towel"</formula>
    </cfRule>
    <cfRule type="cellIs" dxfId="26616" priority="12408" stopIfTrue="1" operator="equal">
      <formula>"Napkin Hs"</formula>
    </cfRule>
  </conditionalFormatting>
  <conditionalFormatting sqref="C61">
    <cfRule type="cellIs" dxfId="26615" priority="12405" stopIfTrue="1" operator="equal">
      <formula>"Towel"</formula>
    </cfRule>
    <cfRule type="cellIs" dxfId="26614" priority="12406" stopIfTrue="1" operator="equal">
      <formula>"Napkin Hs"</formula>
    </cfRule>
  </conditionalFormatting>
  <conditionalFormatting sqref="C61">
    <cfRule type="cellIs" dxfId="26613" priority="12392" stopIfTrue="1" operator="equal">
      <formula>"Napkin Hs"</formula>
    </cfRule>
  </conditionalFormatting>
  <conditionalFormatting sqref="C61">
    <cfRule type="cellIs" dxfId="26612" priority="12391" stopIfTrue="1" operator="equal">
      <formula>"Towel"</formula>
    </cfRule>
  </conditionalFormatting>
  <conditionalFormatting sqref="C61">
    <cfRule type="cellIs" dxfId="26611" priority="12390" stopIfTrue="1" operator="equal">
      <formula>"Napkin Hs"</formula>
    </cfRule>
  </conditionalFormatting>
  <conditionalFormatting sqref="C61">
    <cfRule type="cellIs" dxfId="26610" priority="12387" stopIfTrue="1" operator="equal">
      <formula>"Towel"</formula>
    </cfRule>
    <cfRule type="cellIs" dxfId="26609" priority="12388" stopIfTrue="1" operator="equal">
      <formula>"Napkin Hs"</formula>
    </cfRule>
  </conditionalFormatting>
  <conditionalFormatting sqref="C61">
    <cfRule type="cellIs" dxfId="26608" priority="12389" stopIfTrue="1" operator="equal">
      <formula>"Towel"</formula>
    </cfRule>
  </conditionalFormatting>
  <conditionalFormatting sqref="C61">
    <cfRule type="cellIs" dxfId="26607" priority="12507" stopIfTrue="1" operator="equal">
      <formula>"Towel"</formula>
    </cfRule>
    <cfRule type="cellIs" dxfId="26606" priority="12508" stopIfTrue="1" operator="equal">
      <formula>"Napkin Hs"</formula>
    </cfRule>
  </conditionalFormatting>
  <conditionalFormatting sqref="C61">
    <cfRule type="cellIs" dxfId="26605" priority="12506" stopIfTrue="1" operator="equal">
      <formula>"Napkin Hs"</formula>
    </cfRule>
  </conditionalFormatting>
  <conditionalFormatting sqref="C61">
    <cfRule type="cellIs" dxfId="26604" priority="12505" stopIfTrue="1" operator="equal">
      <formula>"Towel"</formula>
    </cfRule>
  </conditionalFormatting>
  <conditionalFormatting sqref="C61">
    <cfRule type="cellIs" dxfId="26603" priority="12504" stopIfTrue="1" operator="equal">
      <formula>"Napkin Hs"</formula>
    </cfRule>
  </conditionalFormatting>
  <conditionalFormatting sqref="C61">
    <cfRule type="cellIs" dxfId="26602" priority="12501" stopIfTrue="1" operator="equal">
      <formula>"Towel"</formula>
    </cfRule>
    <cfRule type="cellIs" dxfId="26601" priority="12502" stopIfTrue="1" operator="equal">
      <formula>"Napkin Hs"</formula>
    </cfRule>
  </conditionalFormatting>
  <conditionalFormatting sqref="C61">
    <cfRule type="cellIs" dxfId="26600" priority="12503" stopIfTrue="1" operator="equal">
      <formula>"Towel"</formula>
    </cfRule>
  </conditionalFormatting>
  <conditionalFormatting sqref="C61">
    <cfRule type="cellIs" dxfId="26599" priority="12511" stopIfTrue="1" operator="equal">
      <formula>"Towel"</formula>
    </cfRule>
    <cfRule type="cellIs" dxfId="26598" priority="12512" stopIfTrue="1" operator="equal">
      <formula>"Napkin Hs"</formula>
    </cfRule>
  </conditionalFormatting>
  <conditionalFormatting sqref="C61">
    <cfRule type="cellIs" dxfId="26597" priority="12509" stopIfTrue="1" operator="equal">
      <formula>"Towel"</formula>
    </cfRule>
    <cfRule type="cellIs" dxfId="26596" priority="12510" stopIfTrue="1" operator="equal">
      <formula>"Napkin Hs"</formula>
    </cfRule>
  </conditionalFormatting>
  <conditionalFormatting sqref="C61">
    <cfRule type="cellIs" dxfId="26595" priority="12481" stopIfTrue="1" operator="equal">
      <formula>"Towel"</formula>
    </cfRule>
    <cfRule type="cellIs" dxfId="26594" priority="12482" stopIfTrue="1" operator="equal">
      <formula>"Napkin Hs"</formula>
    </cfRule>
  </conditionalFormatting>
  <conditionalFormatting sqref="C61">
    <cfRule type="cellIs" dxfId="26593" priority="12479" stopIfTrue="1" operator="equal">
      <formula>"Towel"</formula>
    </cfRule>
    <cfRule type="cellIs" dxfId="26592" priority="12480" stopIfTrue="1" operator="equal">
      <formula>"Napkin Hs"</formula>
    </cfRule>
  </conditionalFormatting>
  <conditionalFormatting sqref="C61">
    <cfRule type="cellIs" dxfId="26591" priority="12458" stopIfTrue="1" operator="equal">
      <formula>"Napkin Hs"</formula>
    </cfRule>
  </conditionalFormatting>
  <conditionalFormatting sqref="C61">
    <cfRule type="cellIs" dxfId="26590" priority="12457" stopIfTrue="1" operator="equal">
      <formula>"Towel"</formula>
    </cfRule>
  </conditionalFormatting>
  <conditionalFormatting sqref="C61">
    <cfRule type="cellIs" dxfId="26589" priority="12456" stopIfTrue="1" operator="equal">
      <formula>"Napkin Hs"</formula>
    </cfRule>
  </conditionalFormatting>
  <conditionalFormatting sqref="C61">
    <cfRule type="cellIs" dxfId="26588" priority="12455" stopIfTrue="1" operator="equal">
      <formula>"Towel"</formula>
    </cfRule>
  </conditionalFormatting>
  <conditionalFormatting sqref="C61">
    <cfRule type="cellIs" dxfId="26587" priority="12452" stopIfTrue="1" operator="equal">
      <formula>"Napkin Hs"</formula>
    </cfRule>
  </conditionalFormatting>
  <conditionalFormatting sqref="C61">
    <cfRule type="cellIs" dxfId="26586" priority="12451" stopIfTrue="1" operator="equal">
      <formula>"Towel"</formula>
    </cfRule>
  </conditionalFormatting>
  <conditionalFormatting sqref="C61">
    <cfRule type="cellIs" dxfId="26585" priority="12450" stopIfTrue="1" operator="equal">
      <formula>"Napkin Hs"</formula>
    </cfRule>
  </conditionalFormatting>
  <conditionalFormatting sqref="C61">
    <cfRule type="cellIs" dxfId="26584" priority="12449" stopIfTrue="1" operator="equal">
      <formula>"Towel"</formula>
    </cfRule>
  </conditionalFormatting>
  <conditionalFormatting sqref="C61">
    <cfRule type="cellIs" dxfId="26583" priority="12445" stopIfTrue="1" operator="equal">
      <formula>"Towel"</formula>
    </cfRule>
    <cfRule type="cellIs" dxfId="26582" priority="12446" stopIfTrue="1" operator="equal">
      <formula>"Napkin Hs"</formula>
    </cfRule>
  </conditionalFormatting>
  <conditionalFormatting sqref="C61">
    <cfRule type="cellIs" dxfId="26581" priority="12443" stopIfTrue="1" operator="equal">
      <formula>"Towel"</formula>
    </cfRule>
    <cfRule type="cellIs" dxfId="26580" priority="12444" stopIfTrue="1" operator="equal">
      <formula>"Napkin Hs"</formula>
    </cfRule>
  </conditionalFormatting>
  <conditionalFormatting sqref="C61">
    <cfRule type="cellIs" dxfId="26579" priority="12427" stopIfTrue="1" operator="equal">
      <formula>"Towel"</formula>
    </cfRule>
    <cfRule type="cellIs" dxfId="26578" priority="12428" stopIfTrue="1" operator="equal">
      <formula>"Napkin Hs"</formula>
    </cfRule>
  </conditionalFormatting>
  <conditionalFormatting sqref="C61">
    <cfRule type="cellIs" dxfId="26577" priority="12425" stopIfTrue="1" operator="equal">
      <formula>"Towel"</formula>
    </cfRule>
    <cfRule type="cellIs" dxfId="26576" priority="12426" stopIfTrue="1" operator="equal">
      <formula>"Napkin Hs"</formula>
    </cfRule>
  </conditionalFormatting>
  <conditionalFormatting sqref="B61:C61">
    <cfRule type="cellIs" dxfId="26575" priority="12386" stopIfTrue="1" operator="equal">
      <formula>"Napkin Hs"</formula>
    </cfRule>
  </conditionalFormatting>
  <conditionalFormatting sqref="B61:C61">
    <cfRule type="cellIs" dxfId="26574" priority="12385" stopIfTrue="1" operator="equal">
      <formula>"Towel"</formula>
    </cfRule>
  </conditionalFormatting>
  <conditionalFormatting sqref="C61">
    <cfRule type="cellIs" dxfId="26573" priority="12384" stopIfTrue="1" operator="equal">
      <formula>"Napkin Hs"</formula>
    </cfRule>
  </conditionalFormatting>
  <conditionalFormatting sqref="C61">
    <cfRule type="cellIs" dxfId="26572" priority="12381" stopIfTrue="1" operator="equal">
      <formula>"Towel"</formula>
    </cfRule>
    <cfRule type="cellIs" dxfId="26571" priority="12382" stopIfTrue="1" operator="equal">
      <formula>"Napkin Hs"</formula>
    </cfRule>
  </conditionalFormatting>
  <conditionalFormatting sqref="C61">
    <cfRule type="cellIs" dxfId="26570" priority="12383" stopIfTrue="1" operator="equal">
      <formula>"Towel"</formula>
    </cfRule>
  </conditionalFormatting>
  <conditionalFormatting sqref="B66:C66">
    <cfRule type="cellIs" dxfId="26569" priority="12380" stopIfTrue="1" operator="equal">
      <formula>"Napkin Hs"</formula>
    </cfRule>
  </conditionalFormatting>
  <conditionalFormatting sqref="B66:C66">
    <cfRule type="cellIs" dxfId="26568" priority="12379" stopIfTrue="1" operator="equal">
      <formula>"Towel"</formula>
    </cfRule>
  </conditionalFormatting>
  <conditionalFormatting sqref="B65:C65">
    <cfRule type="cellIs" dxfId="26567" priority="12375" stopIfTrue="1" operator="equal">
      <formula>"Towel"</formula>
    </cfRule>
    <cfRule type="cellIs" dxfId="26566" priority="12376" stopIfTrue="1" operator="equal">
      <formula>"Napkin Hs"</formula>
    </cfRule>
  </conditionalFormatting>
  <conditionalFormatting sqref="C66">
    <cfRule type="cellIs" dxfId="26565" priority="12378" stopIfTrue="1" operator="equal">
      <formula>"Napkin Hs"</formula>
    </cfRule>
  </conditionalFormatting>
  <conditionalFormatting sqref="C66">
    <cfRule type="cellIs" dxfId="26564" priority="12377" stopIfTrue="1" operator="equal">
      <formula>"Towel"</formula>
    </cfRule>
  </conditionalFormatting>
  <conditionalFormatting sqref="C65">
    <cfRule type="cellIs" dxfId="26563" priority="12371" stopIfTrue="1" operator="equal">
      <formula>"Towel"</formula>
    </cfRule>
    <cfRule type="cellIs" dxfId="26562" priority="12372" stopIfTrue="1" operator="equal">
      <formula>"Napkin Hs"</formula>
    </cfRule>
  </conditionalFormatting>
  <conditionalFormatting sqref="C65:C67">
    <cfRule type="cellIs" dxfId="26561" priority="12373" stopIfTrue="1" operator="equal">
      <formula>"Towel"</formula>
    </cfRule>
    <cfRule type="cellIs" dxfId="26560" priority="12374" stopIfTrue="1" operator="equal">
      <formula>"Napkin Hs"</formula>
    </cfRule>
  </conditionalFormatting>
  <conditionalFormatting sqref="C68">
    <cfRule type="cellIs" dxfId="26559" priority="12295" stopIfTrue="1" operator="equal">
      <formula>"Towel"</formula>
    </cfRule>
    <cfRule type="cellIs" dxfId="26558" priority="12296" stopIfTrue="1" operator="equal">
      <formula>"Napkin Hs"</formula>
    </cfRule>
  </conditionalFormatting>
  <conditionalFormatting sqref="B68:C68">
    <cfRule type="cellIs" dxfId="26557" priority="12293" stopIfTrue="1" operator="equal">
      <formula>"Towel"</formula>
    </cfRule>
    <cfRule type="cellIs" dxfId="26556" priority="12294" stopIfTrue="1" operator="equal">
      <formula>"Napkin Hs"</formula>
    </cfRule>
  </conditionalFormatting>
  <conditionalFormatting sqref="C68">
    <cfRule type="cellIs" dxfId="26555" priority="12291" stopIfTrue="1" operator="equal">
      <formula>"Towel"</formula>
    </cfRule>
    <cfRule type="cellIs" dxfId="26554" priority="12292" stopIfTrue="1" operator="equal">
      <formula>"Napkin Hs"</formula>
    </cfRule>
  </conditionalFormatting>
  <conditionalFormatting sqref="C68">
    <cfRule type="cellIs" dxfId="26553" priority="12283" stopIfTrue="1" operator="equal">
      <formula>"Towel"</formula>
    </cfRule>
    <cfRule type="cellIs" dxfId="26552" priority="12284" stopIfTrue="1" operator="equal">
      <formula>"Napkin Hs"</formula>
    </cfRule>
  </conditionalFormatting>
  <conditionalFormatting sqref="B68:C68">
    <cfRule type="cellIs" dxfId="26551" priority="12359" stopIfTrue="1" operator="equal">
      <formula>"Towel"</formula>
    </cfRule>
    <cfRule type="cellIs" dxfId="26550" priority="12360" stopIfTrue="1" operator="equal">
      <formula>"Napkin Hs"</formula>
    </cfRule>
  </conditionalFormatting>
  <conditionalFormatting sqref="C68">
    <cfRule type="cellIs" dxfId="26549" priority="12355" stopIfTrue="1" operator="equal">
      <formula>"Towel"</formula>
    </cfRule>
    <cfRule type="cellIs" dxfId="26548" priority="12356" stopIfTrue="1" operator="equal">
      <formula>"Napkin Hs"</formula>
    </cfRule>
  </conditionalFormatting>
  <conditionalFormatting sqref="C68">
    <cfRule type="cellIs" dxfId="26547" priority="12357" stopIfTrue="1" operator="equal">
      <formula>"Towel"</formula>
    </cfRule>
    <cfRule type="cellIs" dxfId="26546" priority="12358" stopIfTrue="1" operator="equal">
      <formula>"Napkin Hs"</formula>
    </cfRule>
  </conditionalFormatting>
  <conditionalFormatting sqref="B68:C68">
    <cfRule type="cellIs" dxfId="26545" priority="12324" stopIfTrue="1" operator="equal">
      <formula>"Napkin Hs"</formula>
    </cfRule>
  </conditionalFormatting>
  <conditionalFormatting sqref="B68:C68">
    <cfRule type="cellIs" dxfId="26544" priority="12323" stopIfTrue="1" operator="equal">
      <formula>"Towel"</formula>
    </cfRule>
  </conditionalFormatting>
  <conditionalFormatting sqref="C68">
    <cfRule type="cellIs" dxfId="26543" priority="12322" stopIfTrue="1" operator="equal">
      <formula>"Napkin Hs"</formula>
    </cfRule>
  </conditionalFormatting>
  <conditionalFormatting sqref="C68">
    <cfRule type="cellIs" dxfId="26542" priority="12321" stopIfTrue="1" operator="equal">
      <formula>"Towel"</formula>
    </cfRule>
  </conditionalFormatting>
  <conditionalFormatting sqref="C68">
    <cfRule type="cellIs" dxfId="26541" priority="12319" stopIfTrue="1" operator="equal">
      <formula>"Towel"</formula>
    </cfRule>
    <cfRule type="cellIs" dxfId="26540" priority="12320" stopIfTrue="1" operator="equal">
      <formula>"Napkin Hs"</formula>
    </cfRule>
  </conditionalFormatting>
  <conditionalFormatting sqref="B68:C68">
    <cfRule type="cellIs" dxfId="26539" priority="12317" stopIfTrue="1" operator="equal">
      <formula>"Towel"</formula>
    </cfRule>
    <cfRule type="cellIs" dxfId="26538" priority="12318" stopIfTrue="1" operator="equal">
      <formula>"Napkin Hs"</formula>
    </cfRule>
  </conditionalFormatting>
  <conditionalFormatting sqref="C68">
    <cfRule type="cellIs" dxfId="26537" priority="12315" stopIfTrue="1" operator="equal">
      <formula>"Towel"</formula>
    </cfRule>
    <cfRule type="cellIs" dxfId="26536" priority="12316" stopIfTrue="1" operator="equal">
      <formula>"Napkin Hs"</formula>
    </cfRule>
  </conditionalFormatting>
  <conditionalFormatting sqref="C68">
    <cfRule type="cellIs" dxfId="26535" priority="12313" stopIfTrue="1" operator="equal">
      <formula>"Towel"</formula>
    </cfRule>
    <cfRule type="cellIs" dxfId="26534" priority="12314" stopIfTrue="1" operator="equal">
      <formula>"Napkin Hs"</formula>
    </cfRule>
  </conditionalFormatting>
  <conditionalFormatting sqref="B68:C68">
    <cfRule type="cellIs" dxfId="26533" priority="12311" stopIfTrue="1" operator="equal">
      <formula>"Towel"</formula>
    </cfRule>
    <cfRule type="cellIs" dxfId="26532" priority="12312" stopIfTrue="1" operator="equal">
      <formula>"Napkin Hs"</formula>
    </cfRule>
  </conditionalFormatting>
  <conditionalFormatting sqref="C68">
    <cfRule type="cellIs" dxfId="26531" priority="12309" stopIfTrue="1" operator="equal">
      <formula>"Towel"</formula>
    </cfRule>
    <cfRule type="cellIs" dxfId="26530" priority="12310" stopIfTrue="1" operator="equal">
      <formula>"Napkin Hs"</formula>
    </cfRule>
  </conditionalFormatting>
  <conditionalFormatting sqref="C68">
    <cfRule type="cellIs" dxfId="26529" priority="12307" stopIfTrue="1" operator="equal">
      <formula>"Towel"</formula>
    </cfRule>
    <cfRule type="cellIs" dxfId="26528" priority="12308" stopIfTrue="1" operator="equal">
      <formula>"Napkin Hs"</formula>
    </cfRule>
  </conditionalFormatting>
  <conditionalFormatting sqref="B68:C68">
    <cfRule type="cellIs" dxfId="26527" priority="12305" stopIfTrue="1" operator="equal">
      <formula>"Towel"</formula>
    </cfRule>
    <cfRule type="cellIs" dxfId="26526" priority="12306" stopIfTrue="1" operator="equal">
      <formula>"Napkin Hs"</formula>
    </cfRule>
  </conditionalFormatting>
  <conditionalFormatting sqref="C68">
    <cfRule type="cellIs" dxfId="26525" priority="12303" stopIfTrue="1" operator="equal">
      <formula>"Towel"</formula>
    </cfRule>
    <cfRule type="cellIs" dxfId="26524" priority="12304" stopIfTrue="1" operator="equal">
      <formula>"Napkin Hs"</formula>
    </cfRule>
  </conditionalFormatting>
  <conditionalFormatting sqref="C68">
    <cfRule type="cellIs" dxfId="26523" priority="12301" stopIfTrue="1" operator="equal">
      <formula>"Towel"</formula>
    </cfRule>
    <cfRule type="cellIs" dxfId="26522" priority="12302" stopIfTrue="1" operator="equal">
      <formula>"Napkin Hs"</formula>
    </cfRule>
  </conditionalFormatting>
  <conditionalFormatting sqref="B68:C68">
    <cfRule type="cellIs" dxfId="26521" priority="12299" stopIfTrue="1" operator="equal">
      <formula>"Towel"</formula>
    </cfRule>
    <cfRule type="cellIs" dxfId="26520" priority="12300" stopIfTrue="1" operator="equal">
      <formula>"Napkin Hs"</formula>
    </cfRule>
  </conditionalFormatting>
  <conditionalFormatting sqref="C68">
    <cfRule type="cellIs" dxfId="26519" priority="12297" stopIfTrue="1" operator="equal">
      <formula>"Towel"</formula>
    </cfRule>
    <cfRule type="cellIs" dxfId="26518" priority="12298" stopIfTrue="1" operator="equal">
      <formula>"Napkin Hs"</formula>
    </cfRule>
  </conditionalFormatting>
  <conditionalFormatting sqref="C68">
    <cfRule type="cellIs" dxfId="26517" priority="12289" stopIfTrue="1" operator="equal">
      <formula>"Towel"</formula>
    </cfRule>
    <cfRule type="cellIs" dxfId="26516" priority="12290" stopIfTrue="1" operator="equal">
      <formula>"Napkin Hs"</formula>
    </cfRule>
  </conditionalFormatting>
  <conditionalFormatting sqref="B68:C68">
    <cfRule type="cellIs" dxfId="26515" priority="12288" stopIfTrue="1" operator="equal">
      <formula>"Napkin Hs"</formula>
    </cfRule>
  </conditionalFormatting>
  <conditionalFormatting sqref="B68:C68">
    <cfRule type="cellIs" dxfId="26514" priority="12287" stopIfTrue="1" operator="equal">
      <formula>"Towel"</formula>
    </cfRule>
  </conditionalFormatting>
  <conditionalFormatting sqref="C68">
    <cfRule type="cellIs" dxfId="26513" priority="12286" stopIfTrue="1" operator="equal">
      <formula>"Napkin Hs"</formula>
    </cfRule>
  </conditionalFormatting>
  <conditionalFormatting sqref="C68">
    <cfRule type="cellIs" dxfId="26512" priority="12285" stopIfTrue="1" operator="equal">
      <formula>"Towel"</formula>
    </cfRule>
  </conditionalFormatting>
  <conditionalFormatting sqref="B67:C67">
    <cfRule type="cellIs" dxfId="26511" priority="12281" stopIfTrue="1" operator="equal">
      <formula>"Towel"</formula>
    </cfRule>
    <cfRule type="cellIs" dxfId="26510" priority="12282" stopIfTrue="1" operator="equal">
      <formula>"Napkin Hs"</formula>
    </cfRule>
  </conditionalFormatting>
  <conditionalFormatting sqref="C67">
    <cfRule type="cellIs" dxfId="26509" priority="12277" stopIfTrue="1" operator="equal">
      <formula>"Towel"</formula>
    </cfRule>
    <cfRule type="cellIs" dxfId="26508" priority="12278" stopIfTrue="1" operator="equal">
      <formula>"Napkin Hs"</formula>
    </cfRule>
  </conditionalFormatting>
  <conditionalFormatting sqref="C67">
    <cfRule type="cellIs" dxfId="26507" priority="12279" stopIfTrue="1" operator="equal">
      <formula>"Towel"</formula>
    </cfRule>
    <cfRule type="cellIs" dxfId="26506" priority="12280" stopIfTrue="1" operator="equal">
      <formula>"Napkin Hs"</formula>
    </cfRule>
  </conditionalFormatting>
  <conditionalFormatting sqref="B67:C67">
    <cfRule type="cellIs" dxfId="26505" priority="12276" stopIfTrue="1" operator="equal">
      <formula>"Napkin Hs"</formula>
    </cfRule>
  </conditionalFormatting>
  <conditionalFormatting sqref="B67:C67">
    <cfRule type="cellIs" dxfId="26504" priority="12275" stopIfTrue="1" operator="equal">
      <formula>"Towel"</formula>
    </cfRule>
  </conditionalFormatting>
  <conditionalFormatting sqref="C67">
    <cfRule type="cellIs" dxfId="26503" priority="12274" stopIfTrue="1" operator="equal">
      <formula>"Napkin Hs"</formula>
    </cfRule>
  </conditionalFormatting>
  <conditionalFormatting sqref="C67">
    <cfRule type="cellIs" dxfId="26502" priority="12273" stopIfTrue="1" operator="equal">
      <formula>"Towel"</formula>
    </cfRule>
  </conditionalFormatting>
  <conditionalFormatting sqref="C67">
    <cfRule type="cellIs" dxfId="26501" priority="12271" stopIfTrue="1" operator="equal">
      <formula>"Towel"</formula>
    </cfRule>
    <cfRule type="cellIs" dxfId="26500" priority="12272" stopIfTrue="1" operator="equal">
      <formula>"Napkin Hs"</formula>
    </cfRule>
  </conditionalFormatting>
  <conditionalFormatting sqref="B67:C67">
    <cfRule type="cellIs" dxfId="26499" priority="12269" stopIfTrue="1" operator="equal">
      <formula>"Towel"</formula>
    </cfRule>
    <cfRule type="cellIs" dxfId="26498" priority="12270" stopIfTrue="1" operator="equal">
      <formula>"Napkin Hs"</formula>
    </cfRule>
  </conditionalFormatting>
  <conditionalFormatting sqref="C67">
    <cfRule type="cellIs" dxfId="26497" priority="12267" stopIfTrue="1" operator="equal">
      <formula>"Towel"</formula>
    </cfRule>
    <cfRule type="cellIs" dxfId="26496" priority="12268" stopIfTrue="1" operator="equal">
      <formula>"Napkin Hs"</formula>
    </cfRule>
  </conditionalFormatting>
  <conditionalFormatting sqref="C67">
    <cfRule type="cellIs" dxfId="26495" priority="12265" stopIfTrue="1" operator="equal">
      <formula>"Towel"</formula>
    </cfRule>
    <cfRule type="cellIs" dxfId="26494" priority="12266" stopIfTrue="1" operator="equal">
      <formula>"Napkin Hs"</formula>
    </cfRule>
  </conditionalFormatting>
  <conditionalFormatting sqref="B67:C67">
    <cfRule type="cellIs" dxfId="26493" priority="12263" stopIfTrue="1" operator="equal">
      <formula>"Towel"</formula>
    </cfRule>
    <cfRule type="cellIs" dxfId="26492" priority="12264" stopIfTrue="1" operator="equal">
      <formula>"Napkin Hs"</formula>
    </cfRule>
  </conditionalFormatting>
  <conditionalFormatting sqref="C67">
    <cfRule type="cellIs" dxfId="26491" priority="12261" stopIfTrue="1" operator="equal">
      <formula>"Towel"</formula>
    </cfRule>
    <cfRule type="cellIs" dxfId="26490" priority="12262" stopIfTrue="1" operator="equal">
      <formula>"Napkin Hs"</formula>
    </cfRule>
  </conditionalFormatting>
  <conditionalFormatting sqref="C67">
    <cfRule type="cellIs" dxfId="26489" priority="12259" stopIfTrue="1" operator="equal">
      <formula>"Towel"</formula>
    </cfRule>
    <cfRule type="cellIs" dxfId="26488" priority="12260" stopIfTrue="1" operator="equal">
      <formula>"Napkin Hs"</formula>
    </cfRule>
  </conditionalFormatting>
  <conditionalFormatting sqref="B67:C67">
    <cfRule type="cellIs" dxfId="26487" priority="12257" stopIfTrue="1" operator="equal">
      <formula>"Towel"</formula>
    </cfRule>
    <cfRule type="cellIs" dxfId="26486" priority="12258" stopIfTrue="1" operator="equal">
      <formula>"Napkin Hs"</formula>
    </cfRule>
  </conditionalFormatting>
  <conditionalFormatting sqref="C67">
    <cfRule type="cellIs" dxfId="26485" priority="12255" stopIfTrue="1" operator="equal">
      <formula>"Towel"</formula>
    </cfRule>
    <cfRule type="cellIs" dxfId="26484" priority="12256" stopIfTrue="1" operator="equal">
      <formula>"Napkin Hs"</formula>
    </cfRule>
  </conditionalFormatting>
  <conditionalFormatting sqref="C67">
    <cfRule type="cellIs" dxfId="26483" priority="12253" stopIfTrue="1" operator="equal">
      <formula>"Towel"</formula>
    </cfRule>
    <cfRule type="cellIs" dxfId="26482" priority="12254" stopIfTrue="1" operator="equal">
      <formula>"Napkin Hs"</formula>
    </cfRule>
  </conditionalFormatting>
  <conditionalFormatting sqref="B67:C67">
    <cfRule type="cellIs" dxfId="26481" priority="12251" stopIfTrue="1" operator="equal">
      <formula>"Towel"</formula>
    </cfRule>
    <cfRule type="cellIs" dxfId="26480" priority="12252" stopIfTrue="1" operator="equal">
      <formula>"Napkin Hs"</formula>
    </cfRule>
  </conditionalFormatting>
  <conditionalFormatting sqref="C67">
    <cfRule type="cellIs" dxfId="26479" priority="12249" stopIfTrue="1" operator="equal">
      <formula>"Towel"</formula>
    </cfRule>
    <cfRule type="cellIs" dxfId="26478" priority="12250" stopIfTrue="1" operator="equal">
      <formula>"Napkin Hs"</formula>
    </cfRule>
  </conditionalFormatting>
  <conditionalFormatting sqref="C67">
    <cfRule type="cellIs" dxfId="26477" priority="12247" stopIfTrue="1" operator="equal">
      <formula>"Towel"</formula>
    </cfRule>
    <cfRule type="cellIs" dxfId="26476" priority="12248" stopIfTrue="1" operator="equal">
      <formula>"Napkin Hs"</formula>
    </cfRule>
  </conditionalFormatting>
  <conditionalFormatting sqref="B67:C67">
    <cfRule type="cellIs" dxfId="26475" priority="12245" stopIfTrue="1" operator="equal">
      <formula>"Towel"</formula>
    </cfRule>
    <cfRule type="cellIs" dxfId="26474" priority="12246" stopIfTrue="1" operator="equal">
      <formula>"Napkin Hs"</formula>
    </cfRule>
  </conditionalFormatting>
  <conditionalFormatting sqref="C67">
    <cfRule type="cellIs" dxfId="26473" priority="12243" stopIfTrue="1" operator="equal">
      <formula>"Towel"</formula>
    </cfRule>
    <cfRule type="cellIs" dxfId="26472" priority="12244" stopIfTrue="1" operator="equal">
      <formula>"Napkin Hs"</formula>
    </cfRule>
  </conditionalFormatting>
  <conditionalFormatting sqref="C67">
    <cfRule type="cellIs" dxfId="26471" priority="12241" stopIfTrue="1" operator="equal">
      <formula>"Towel"</formula>
    </cfRule>
    <cfRule type="cellIs" dxfId="26470" priority="12242" stopIfTrue="1" operator="equal">
      <formula>"Napkin Hs"</formula>
    </cfRule>
  </conditionalFormatting>
  <conditionalFormatting sqref="B67:C67">
    <cfRule type="cellIs" dxfId="26469" priority="12240" stopIfTrue="1" operator="equal">
      <formula>"Napkin Hs"</formula>
    </cfRule>
  </conditionalFormatting>
  <conditionalFormatting sqref="B67:C67">
    <cfRule type="cellIs" dxfId="26468" priority="12239" stopIfTrue="1" operator="equal">
      <formula>"Towel"</formula>
    </cfRule>
  </conditionalFormatting>
  <conditionalFormatting sqref="C67">
    <cfRule type="cellIs" dxfId="26467" priority="12238" stopIfTrue="1" operator="equal">
      <formula>"Napkin Hs"</formula>
    </cfRule>
  </conditionalFormatting>
  <conditionalFormatting sqref="C67">
    <cfRule type="cellIs" dxfId="26466" priority="12235" stopIfTrue="1" operator="equal">
      <formula>"Towel"</formula>
    </cfRule>
    <cfRule type="cellIs" dxfId="26465" priority="12236" stopIfTrue="1" operator="equal">
      <formula>"Napkin Hs"</formula>
    </cfRule>
  </conditionalFormatting>
  <conditionalFormatting sqref="C67">
    <cfRule type="cellIs" dxfId="26464" priority="12237" stopIfTrue="1" operator="equal">
      <formula>"Towel"</formula>
    </cfRule>
  </conditionalFormatting>
  <conditionalFormatting sqref="B68:C68">
    <cfRule type="cellIs" dxfId="26463" priority="12185" stopIfTrue="1" operator="equal">
      <formula>"Towel"</formula>
    </cfRule>
    <cfRule type="cellIs" dxfId="26462" priority="12186" stopIfTrue="1" operator="equal">
      <formula>"Napkin Hs"</formula>
    </cfRule>
  </conditionalFormatting>
  <conditionalFormatting sqref="C68">
    <cfRule type="cellIs" dxfId="26461" priority="12181" stopIfTrue="1" operator="equal">
      <formula>"Towel"</formula>
    </cfRule>
    <cfRule type="cellIs" dxfId="26460" priority="12182" stopIfTrue="1" operator="equal">
      <formula>"Napkin Hs"</formula>
    </cfRule>
  </conditionalFormatting>
  <conditionalFormatting sqref="C68">
    <cfRule type="cellIs" dxfId="26459" priority="12183" stopIfTrue="1" operator="equal">
      <formula>"Towel"</formula>
    </cfRule>
    <cfRule type="cellIs" dxfId="26458" priority="12184" stopIfTrue="1" operator="equal">
      <formula>"Napkin Hs"</formula>
    </cfRule>
  </conditionalFormatting>
  <conditionalFormatting sqref="B67:C67">
    <cfRule type="cellIs" dxfId="26457" priority="12179" stopIfTrue="1" operator="equal">
      <formula>"Towel"</formula>
    </cfRule>
    <cfRule type="cellIs" dxfId="26456" priority="12180" stopIfTrue="1" operator="equal">
      <formula>"Napkin Hs"</formula>
    </cfRule>
  </conditionalFormatting>
  <conditionalFormatting sqref="C67">
    <cfRule type="cellIs" dxfId="26455" priority="12175" stopIfTrue="1" operator="equal">
      <formula>"Towel"</formula>
    </cfRule>
    <cfRule type="cellIs" dxfId="26454" priority="12176" stopIfTrue="1" operator="equal">
      <formula>"Napkin Hs"</formula>
    </cfRule>
  </conditionalFormatting>
  <conditionalFormatting sqref="C67">
    <cfRule type="cellIs" dxfId="26453" priority="12177" stopIfTrue="1" operator="equal">
      <formula>"Towel"</formula>
    </cfRule>
    <cfRule type="cellIs" dxfId="26452" priority="12178" stopIfTrue="1" operator="equal">
      <formula>"Napkin Hs"</formula>
    </cfRule>
  </conditionalFormatting>
  <conditionalFormatting sqref="B67:C67">
    <cfRule type="cellIs" dxfId="26451" priority="12173" stopIfTrue="1" operator="equal">
      <formula>"Towel"</formula>
    </cfRule>
    <cfRule type="cellIs" dxfId="26450" priority="12174" stopIfTrue="1" operator="equal">
      <formula>"Napkin Hs"</formula>
    </cfRule>
  </conditionalFormatting>
  <conditionalFormatting sqref="C67">
    <cfRule type="cellIs" dxfId="26449" priority="12169" stopIfTrue="1" operator="equal">
      <formula>"Towel"</formula>
    </cfRule>
    <cfRule type="cellIs" dxfId="26448" priority="12170" stopIfTrue="1" operator="equal">
      <formula>"Napkin Hs"</formula>
    </cfRule>
  </conditionalFormatting>
  <conditionalFormatting sqref="C67">
    <cfRule type="cellIs" dxfId="26447" priority="12171" stopIfTrue="1" operator="equal">
      <formula>"Towel"</formula>
    </cfRule>
    <cfRule type="cellIs" dxfId="26446" priority="12172" stopIfTrue="1" operator="equal">
      <formula>"Napkin Hs"</formula>
    </cfRule>
  </conditionalFormatting>
  <conditionalFormatting sqref="B67:C67">
    <cfRule type="cellIs" dxfId="26445" priority="12167" stopIfTrue="1" operator="equal">
      <formula>"Towel"</formula>
    </cfRule>
    <cfRule type="cellIs" dxfId="26444" priority="12168" stopIfTrue="1" operator="equal">
      <formula>"Napkin Hs"</formula>
    </cfRule>
  </conditionalFormatting>
  <conditionalFormatting sqref="C67">
    <cfRule type="cellIs" dxfId="26443" priority="12165" stopIfTrue="1" operator="equal">
      <formula>"Towel"</formula>
    </cfRule>
    <cfRule type="cellIs" dxfId="26442" priority="12166" stopIfTrue="1" operator="equal">
      <formula>"Napkin Hs"</formula>
    </cfRule>
  </conditionalFormatting>
  <conditionalFormatting sqref="C67">
    <cfRule type="cellIs" dxfId="26441" priority="12163" stopIfTrue="1" operator="equal">
      <formula>"Towel"</formula>
    </cfRule>
    <cfRule type="cellIs" dxfId="26440" priority="12164" stopIfTrue="1" operator="equal">
      <formula>"Napkin Hs"</formula>
    </cfRule>
  </conditionalFormatting>
  <conditionalFormatting sqref="B67:C67">
    <cfRule type="cellIs" dxfId="26439" priority="12162" stopIfTrue="1" operator="equal">
      <formula>"Napkin Hs"</formula>
    </cfRule>
  </conditionalFormatting>
  <conditionalFormatting sqref="B67:C67">
    <cfRule type="cellIs" dxfId="26438" priority="12161" stopIfTrue="1" operator="equal">
      <formula>"Towel"</formula>
    </cfRule>
  </conditionalFormatting>
  <conditionalFormatting sqref="C67">
    <cfRule type="cellIs" dxfId="26437" priority="12160" stopIfTrue="1" operator="equal">
      <formula>"Napkin Hs"</formula>
    </cfRule>
  </conditionalFormatting>
  <conditionalFormatting sqref="C67">
    <cfRule type="cellIs" dxfId="26436" priority="12159" stopIfTrue="1" operator="equal">
      <formula>"Towel"</formula>
    </cfRule>
  </conditionalFormatting>
  <conditionalFormatting sqref="C67">
    <cfRule type="cellIs" dxfId="26435" priority="12157" stopIfTrue="1" operator="equal">
      <formula>"Towel"</formula>
    </cfRule>
    <cfRule type="cellIs" dxfId="26434" priority="12158" stopIfTrue="1" operator="equal">
      <formula>"Napkin Hs"</formula>
    </cfRule>
  </conditionalFormatting>
  <conditionalFormatting sqref="C67">
    <cfRule type="cellIs" dxfId="26433" priority="12155" stopIfTrue="1" operator="equal">
      <formula>"Towel"</formula>
    </cfRule>
    <cfRule type="cellIs" dxfId="26432" priority="12156" stopIfTrue="1" operator="equal">
      <formula>"Napkin Hs"</formula>
    </cfRule>
  </conditionalFormatting>
  <conditionalFormatting sqref="C67">
    <cfRule type="cellIs" dxfId="26431" priority="12071" stopIfTrue="1" operator="equal">
      <formula>"Towel"</formula>
    </cfRule>
    <cfRule type="cellIs" dxfId="26430" priority="12072" stopIfTrue="1" operator="equal">
      <formula>"Napkin Hs"</formula>
    </cfRule>
  </conditionalFormatting>
  <conditionalFormatting sqref="C67">
    <cfRule type="cellIs" dxfId="26429" priority="12065" stopIfTrue="1" operator="equal">
      <formula>"Towel"</formula>
    </cfRule>
    <cfRule type="cellIs" dxfId="26428" priority="12066" stopIfTrue="1" operator="equal">
      <formula>"Napkin Hs"</formula>
    </cfRule>
  </conditionalFormatting>
  <conditionalFormatting sqref="C67">
    <cfRule type="cellIs" dxfId="26427" priority="12046" stopIfTrue="1" operator="equal">
      <formula>"Napkin Hs"</formula>
    </cfRule>
  </conditionalFormatting>
  <conditionalFormatting sqref="C67">
    <cfRule type="cellIs" dxfId="26426" priority="12045" stopIfTrue="1" operator="equal">
      <formula>"Towel"</formula>
    </cfRule>
  </conditionalFormatting>
  <conditionalFormatting sqref="C67">
    <cfRule type="cellIs" dxfId="26425" priority="12044" stopIfTrue="1" operator="equal">
      <formula>"Napkin Hs"</formula>
    </cfRule>
  </conditionalFormatting>
  <conditionalFormatting sqref="C67">
    <cfRule type="cellIs" dxfId="26424" priority="12041" stopIfTrue="1" operator="equal">
      <formula>"Towel"</formula>
    </cfRule>
    <cfRule type="cellIs" dxfId="26423" priority="12042" stopIfTrue="1" operator="equal">
      <formula>"Napkin Hs"</formula>
    </cfRule>
  </conditionalFormatting>
  <conditionalFormatting sqref="C67">
    <cfRule type="cellIs" dxfId="26422" priority="12043" stopIfTrue="1" operator="equal">
      <formula>"Towel"</formula>
    </cfRule>
  </conditionalFormatting>
  <conditionalFormatting sqref="C67">
    <cfRule type="cellIs" dxfId="26421" priority="12040" stopIfTrue="1" operator="equal">
      <formula>"Napkin Hs"</formula>
    </cfRule>
  </conditionalFormatting>
  <conditionalFormatting sqref="C67">
    <cfRule type="cellIs" dxfId="26420" priority="12039" stopIfTrue="1" operator="equal">
      <formula>"Towel"</formula>
    </cfRule>
  </conditionalFormatting>
  <conditionalFormatting sqref="C67">
    <cfRule type="cellIs" dxfId="26419" priority="12038" stopIfTrue="1" operator="equal">
      <formula>"Napkin Hs"</formula>
    </cfRule>
  </conditionalFormatting>
  <conditionalFormatting sqref="C67">
    <cfRule type="cellIs" dxfId="26418" priority="12035" stopIfTrue="1" operator="equal">
      <formula>"Towel"</formula>
    </cfRule>
    <cfRule type="cellIs" dxfId="26417" priority="12036" stopIfTrue="1" operator="equal">
      <formula>"Napkin Hs"</formula>
    </cfRule>
  </conditionalFormatting>
  <conditionalFormatting sqref="C67">
    <cfRule type="cellIs" dxfId="26416" priority="12037" stopIfTrue="1" operator="equal">
      <formula>"Towel"</formula>
    </cfRule>
  </conditionalFormatting>
  <conditionalFormatting sqref="C67">
    <cfRule type="cellIs" dxfId="26415" priority="12141" stopIfTrue="1" operator="equal">
      <formula>"Towel"</formula>
    </cfRule>
    <cfRule type="cellIs" dxfId="26414" priority="12142" stopIfTrue="1" operator="equal">
      <formula>"Napkin Hs"</formula>
    </cfRule>
  </conditionalFormatting>
  <conditionalFormatting sqref="C67">
    <cfRule type="cellIs" dxfId="26413" priority="12139" stopIfTrue="1" operator="equal">
      <formula>"Towel"</formula>
    </cfRule>
    <cfRule type="cellIs" dxfId="26412" priority="12140" stopIfTrue="1" operator="equal">
      <formula>"Napkin Hs"</formula>
    </cfRule>
  </conditionalFormatting>
  <conditionalFormatting sqref="C67">
    <cfRule type="cellIs" dxfId="26411" priority="12137" stopIfTrue="1" operator="equal">
      <formula>"Towel"</formula>
    </cfRule>
    <cfRule type="cellIs" dxfId="26410" priority="12138" stopIfTrue="1" operator="equal">
      <formula>"Napkin Hs"</formula>
    </cfRule>
  </conditionalFormatting>
  <conditionalFormatting sqref="C67">
    <cfRule type="cellIs" dxfId="26409" priority="12136" stopIfTrue="1" operator="equal">
      <formula>"Napkin Hs"</formula>
    </cfRule>
  </conditionalFormatting>
  <conditionalFormatting sqref="C67">
    <cfRule type="cellIs" dxfId="26408" priority="12135" stopIfTrue="1" operator="equal">
      <formula>"Towel"</formula>
    </cfRule>
  </conditionalFormatting>
  <conditionalFormatting sqref="C67">
    <cfRule type="cellIs" dxfId="26407" priority="12134" stopIfTrue="1" operator="equal">
      <formula>"Napkin Hs"</formula>
    </cfRule>
  </conditionalFormatting>
  <conditionalFormatting sqref="C67">
    <cfRule type="cellIs" dxfId="26406" priority="12133" stopIfTrue="1" operator="equal">
      <formula>"Towel"</formula>
    </cfRule>
  </conditionalFormatting>
  <conditionalFormatting sqref="C67">
    <cfRule type="cellIs" dxfId="26405" priority="12131" stopIfTrue="1" operator="equal">
      <formula>"Towel"</formula>
    </cfRule>
    <cfRule type="cellIs" dxfId="26404" priority="12132" stopIfTrue="1" operator="equal">
      <formula>"Napkin Hs"</formula>
    </cfRule>
  </conditionalFormatting>
  <conditionalFormatting sqref="C67">
    <cfRule type="cellIs" dxfId="26403" priority="12129" stopIfTrue="1" operator="equal">
      <formula>"Towel"</formula>
    </cfRule>
    <cfRule type="cellIs" dxfId="26402" priority="12130" stopIfTrue="1" operator="equal">
      <formula>"Napkin Hs"</formula>
    </cfRule>
  </conditionalFormatting>
  <conditionalFormatting sqref="C67">
    <cfRule type="cellIs" dxfId="26401" priority="12125" stopIfTrue="1" operator="equal">
      <formula>"Towel"</formula>
    </cfRule>
    <cfRule type="cellIs" dxfId="26400" priority="12126" stopIfTrue="1" operator="equal">
      <formula>"Napkin Hs"</formula>
    </cfRule>
  </conditionalFormatting>
  <conditionalFormatting sqref="C67">
    <cfRule type="cellIs" dxfId="26399" priority="12127" stopIfTrue="1" operator="equal">
      <formula>"Towel"</formula>
    </cfRule>
    <cfRule type="cellIs" dxfId="26398" priority="12128" stopIfTrue="1" operator="equal">
      <formula>"Napkin Hs"</formula>
    </cfRule>
  </conditionalFormatting>
  <conditionalFormatting sqref="C67">
    <cfRule type="cellIs" dxfId="26397" priority="12119" stopIfTrue="1" operator="equal">
      <formula>"Towel"</formula>
    </cfRule>
    <cfRule type="cellIs" dxfId="26396" priority="12120" stopIfTrue="1" operator="equal">
      <formula>"Napkin Hs"</formula>
    </cfRule>
  </conditionalFormatting>
  <conditionalFormatting sqref="C67">
    <cfRule type="cellIs" dxfId="26395" priority="12117" stopIfTrue="1" operator="equal">
      <formula>"Towel"</formula>
    </cfRule>
    <cfRule type="cellIs" dxfId="26394" priority="12118" stopIfTrue="1" operator="equal">
      <formula>"Napkin Hs"</formula>
    </cfRule>
  </conditionalFormatting>
  <conditionalFormatting sqref="C67">
    <cfRule type="cellIs" dxfId="26393" priority="12115" stopIfTrue="1" operator="equal">
      <formula>"Towel"</formula>
    </cfRule>
    <cfRule type="cellIs" dxfId="26392" priority="12116" stopIfTrue="1" operator="equal">
      <formula>"Napkin Hs"</formula>
    </cfRule>
  </conditionalFormatting>
  <conditionalFormatting sqref="C67">
    <cfRule type="cellIs" dxfId="26391" priority="12113" stopIfTrue="1" operator="equal">
      <formula>"Towel"</formula>
    </cfRule>
    <cfRule type="cellIs" dxfId="26390" priority="12114" stopIfTrue="1" operator="equal">
      <formula>"Napkin Hs"</formula>
    </cfRule>
  </conditionalFormatting>
  <conditionalFormatting sqref="C67">
    <cfRule type="cellIs" dxfId="26389" priority="12111" stopIfTrue="1" operator="equal">
      <formula>"Towel"</formula>
    </cfRule>
    <cfRule type="cellIs" dxfId="26388" priority="12112" stopIfTrue="1" operator="equal">
      <formula>"Napkin Hs"</formula>
    </cfRule>
  </conditionalFormatting>
  <conditionalFormatting sqref="C67">
    <cfRule type="cellIs" dxfId="26387" priority="12109" stopIfTrue="1" operator="equal">
      <formula>"Towel"</formula>
    </cfRule>
    <cfRule type="cellIs" dxfId="26386" priority="12110" stopIfTrue="1" operator="equal">
      <formula>"Napkin Hs"</formula>
    </cfRule>
  </conditionalFormatting>
  <conditionalFormatting sqref="C67">
    <cfRule type="cellIs" dxfId="26385" priority="12107" stopIfTrue="1" operator="equal">
      <formula>"Towel"</formula>
    </cfRule>
    <cfRule type="cellIs" dxfId="26384" priority="12108" stopIfTrue="1" operator="equal">
      <formula>"Napkin Hs"</formula>
    </cfRule>
  </conditionalFormatting>
  <conditionalFormatting sqref="C67">
    <cfRule type="cellIs" dxfId="26383" priority="12105" stopIfTrue="1" operator="equal">
      <formula>"Towel"</formula>
    </cfRule>
    <cfRule type="cellIs" dxfId="26382" priority="12106" stopIfTrue="1" operator="equal">
      <formula>"Napkin Hs"</formula>
    </cfRule>
  </conditionalFormatting>
  <conditionalFormatting sqref="C67">
    <cfRule type="cellIs" dxfId="26381" priority="12103" stopIfTrue="1" operator="equal">
      <formula>"Towel"</formula>
    </cfRule>
    <cfRule type="cellIs" dxfId="26380" priority="12104" stopIfTrue="1" operator="equal">
      <formula>"Napkin Hs"</formula>
    </cfRule>
  </conditionalFormatting>
  <conditionalFormatting sqref="C67">
    <cfRule type="cellIs" dxfId="26379" priority="12101" stopIfTrue="1" operator="equal">
      <formula>"Towel"</formula>
    </cfRule>
    <cfRule type="cellIs" dxfId="26378" priority="12102" stopIfTrue="1" operator="equal">
      <formula>"Napkin Hs"</formula>
    </cfRule>
  </conditionalFormatting>
  <conditionalFormatting sqref="C67">
    <cfRule type="cellIs" dxfId="26377" priority="12095" stopIfTrue="1" operator="equal">
      <formula>"Towel"</formula>
    </cfRule>
    <cfRule type="cellIs" dxfId="26376" priority="12096" stopIfTrue="1" operator="equal">
      <formula>"Napkin Hs"</formula>
    </cfRule>
  </conditionalFormatting>
  <conditionalFormatting sqref="C67">
    <cfRule type="cellIs" dxfId="26375" priority="12089" stopIfTrue="1" operator="equal">
      <formula>"Towel"</formula>
    </cfRule>
    <cfRule type="cellIs" dxfId="26374" priority="12090" stopIfTrue="1" operator="equal">
      <formula>"Napkin Hs"</formula>
    </cfRule>
  </conditionalFormatting>
  <conditionalFormatting sqref="C67">
    <cfRule type="cellIs" dxfId="26373" priority="12083" stopIfTrue="1" operator="equal">
      <formula>"Towel"</formula>
    </cfRule>
    <cfRule type="cellIs" dxfId="26372" priority="12084" stopIfTrue="1" operator="equal">
      <formula>"Napkin Hs"</formula>
    </cfRule>
  </conditionalFormatting>
  <conditionalFormatting sqref="C67">
    <cfRule type="cellIs" dxfId="26371" priority="12082" stopIfTrue="1" operator="equal">
      <formula>"Napkin Hs"</formula>
    </cfRule>
  </conditionalFormatting>
  <conditionalFormatting sqref="C67">
    <cfRule type="cellIs" dxfId="26370" priority="12081" stopIfTrue="1" operator="equal">
      <formula>"Towel"</formula>
    </cfRule>
  </conditionalFormatting>
  <conditionalFormatting sqref="C67">
    <cfRule type="cellIs" dxfId="26369" priority="12080" stopIfTrue="1" operator="equal">
      <formula>"Napkin Hs"</formula>
    </cfRule>
  </conditionalFormatting>
  <conditionalFormatting sqref="C67">
    <cfRule type="cellIs" dxfId="26368" priority="12079" stopIfTrue="1" operator="equal">
      <formula>"Towel"</formula>
    </cfRule>
  </conditionalFormatting>
  <conditionalFormatting sqref="C67">
    <cfRule type="cellIs" dxfId="26367" priority="12077" stopIfTrue="1" operator="equal">
      <formula>"Towel"</formula>
    </cfRule>
    <cfRule type="cellIs" dxfId="26366" priority="12078" stopIfTrue="1" operator="equal">
      <formula>"Napkin Hs"</formula>
    </cfRule>
  </conditionalFormatting>
  <conditionalFormatting sqref="C67">
    <cfRule type="cellIs" dxfId="26365" priority="12075" stopIfTrue="1" operator="equal">
      <formula>"Towel"</formula>
    </cfRule>
    <cfRule type="cellIs" dxfId="26364" priority="12076" stopIfTrue="1" operator="equal">
      <formula>"Napkin Hs"</formula>
    </cfRule>
  </conditionalFormatting>
  <conditionalFormatting sqref="C67">
    <cfRule type="cellIs" dxfId="26363" priority="12073" stopIfTrue="1" operator="equal">
      <formula>"Towel"</formula>
    </cfRule>
    <cfRule type="cellIs" dxfId="26362" priority="12074" stopIfTrue="1" operator="equal">
      <formula>"Napkin Hs"</formula>
    </cfRule>
  </conditionalFormatting>
  <conditionalFormatting sqref="C67">
    <cfRule type="cellIs" dxfId="26361" priority="12063" stopIfTrue="1" operator="equal">
      <formula>"Towel"</formula>
    </cfRule>
    <cfRule type="cellIs" dxfId="26360" priority="12064" stopIfTrue="1" operator="equal">
      <formula>"Napkin Hs"</formula>
    </cfRule>
  </conditionalFormatting>
  <conditionalFormatting sqref="C67">
    <cfRule type="cellIs" dxfId="26359" priority="12061" stopIfTrue="1" operator="equal">
      <formula>"Towel"</formula>
    </cfRule>
    <cfRule type="cellIs" dxfId="26358" priority="12062" stopIfTrue="1" operator="equal">
      <formula>"Napkin Hs"</formula>
    </cfRule>
  </conditionalFormatting>
  <conditionalFormatting sqref="C67">
    <cfRule type="cellIs" dxfId="26357" priority="12059" stopIfTrue="1" operator="equal">
      <formula>"Towel"</formula>
    </cfRule>
    <cfRule type="cellIs" dxfId="26356" priority="12060" stopIfTrue="1" operator="equal">
      <formula>"Napkin Hs"</formula>
    </cfRule>
  </conditionalFormatting>
  <conditionalFormatting sqref="C67">
    <cfRule type="cellIs" dxfId="26355" priority="12057" stopIfTrue="1" operator="equal">
      <formula>"Towel"</formula>
    </cfRule>
    <cfRule type="cellIs" dxfId="26354" priority="12058" stopIfTrue="1" operator="equal">
      <formula>"Napkin Hs"</formula>
    </cfRule>
  </conditionalFormatting>
  <conditionalFormatting sqref="C67">
    <cfRule type="cellIs" dxfId="26353" priority="12055" stopIfTrue="1" operator="equal">
      <formula>"Towel"</formula>
    </cfRule>
    <cfRule type="cellIs" dxfId="26352" priority="12056" stopIfTrue="1" operator="equal">
      <formula>"Napkin Hs"</formula>
    </cfRule>
  </conditionalFormatting>
  <conditionalFormatting sqref="C67">
    <cfRule type="cellIs" dxfId="26351" priority="12053" stopIfTrue="1" operator="equal">
      <formula>"Towel"</formula>
    </cfRule>
    <cfRule type="cellIs" dxfId="26350" priority="12054" stopIfTrue="1" operator="equal">
      <formula>"Napkin Hs"</formula>
    </cfRule>
  </conditionalFormatting>
  <conditionalFormatting sqref="C67">
    <cfRule type="cellIs" dxfId="26349" priority="12051" stopIfTrue="1" operator="equal">
      <formula>"Towel"</formula>
    </cfRule>
    <cfRule type="cellIs" dxfId="26348" priority="12052" stopIfTrue="1" operator="equal">
      <formula>"Napkin Hs"</formula>
    </cfRule>
  </conditionalFormatting>
  <conditionalFormatting sqref="C67">
    <cfRule type="cellIs" dxfId="26347" priority="12049" stopIfTrue="1" operator="equal">
      <formula>"Towel"</formula>
    </cfRule>
    <cfRule type="cellIs" dxfId="26346" priority="12050" stopIfTrue="1" operator="equal">
      <formula>"Napkin Hs"</formula>
    </cfRule>
  </conditionalFormatting>
  <conditionalFormatting sqref="C67">
    <cfRule type="cellIs" dxfId="26345" priority="12047" stopIfTrue="1" operator="equal">
      <formula>"Towel"</formula>
    </cfRule>
    <cfRule type="cellIs" dxfId="26344" priority="12048" stopIfTrue="1" operator="equal">
      <formula>"Napkin Hs"</formula>
    </cfRule>
  </conditionalFormatting>
  <conditionalFormatting sqref="C67">
    <cfRule type="cellIs" dxfId="26343" priority="12034" stopIfTrue="1" operator="equal">
      <formula>"Napkin Hs"</formula>
    </cfRule>
  </conditionalFormatting>
  <conditionalFormatting sqref="C67">
    <cfRule type="cellIs" dxfId="26342" priority="12033" stopIfTrue="1" operator="equal">
      <formula>"Towel"</formula>
    </cfRule>
  </conditionalFormatting>
  <conditionalFormatting sqref="C67">
    <cfRule type="cellIs" dxfId="26341" priority="12032" stopIfTrue="1" operator="equal">
      <formula>"Napkin Hs"</formula>
    </cfRule>
  </conditionalFormatting>
  <conditionalFormatting sqref="C67">
    <cfRule type="cellIs" dxfId="26340" priority="12029" stopIfTrue="1" operator="equal">
      <formula>"Towel"</formula>
    </cfRule>
    <cfRule type="cellIs" dxfId="26339" priority="12030" stopIfTrue="1" operator="equal">
      <formula>"Napkin Hs"</formula>
    </cfRule>
  </conditionalFormatting>
  <conditionalFormatting sqref="C67">
    <cfRule type="cellIs" dxfId="26338" priority="12031" stopIfTrue="1" operator="equal">
      <formula>"Towel"</formula>
    </cfRule>
  </conditionalFormatting>
  <conditionalFormatting sqref="C67">
    <cfRule type="cellIs" dxfId="26337" priority="12149" stopIfTrue="1" operator="equal">
      <formula>"Towel"</formula>
    </cfRule>
    <cfRule type="cellIs" dxfId="26336" priority="12150" stopIfTrue="1" operator="equal">
      <formula>"Napkin Hs"</formula>
    </cfRule>
  </conditionalFormatting>
  <conditionalFormatting sqref="C67">
    <cfRule type="cellIs" dxfId="26335" priority="12148" stopIfTrue="1" operator="equal">
      <formula>"Napkin Hs"</formula>
    </cfRule>
  </conditionalFormatting>
  <conditionalFormatting sqref="C67">
    <cfRule type="cellIs" dxfId="26334" priority="12147" stopIfTrue="1" operator="equal">
      <formula>"Towel"</formula>
    </cfRule>
  </conditionalFormatting>
  <conditionalFormatting sqref="C67">
    <cfRule type="cellIs" dxfId="26333" priority="12146" stopIfTrue="1" operator="equal">
      <formula>"Napkin Hs"</formula>
    </cfRule>
  </conditionalFormatting>
  <conditionalFormatting sqref="C67">
    <cfRule type="cellIs" dxfId="26332" priority="12143" stopIfTrue="1" operator="equal">
      <formula>"Towel"</formula>
    </cfRule>
    <cfRule type="cellIs" dxfId="26331" priority="12144" stopIfTrue="1" operator="equal">
      <formula>"Napkin Hs"</formula>
    </cfRule>
  </conditionalFormatting>
  <conditionalFormatting sqref="C67">
    <cfRule type="cellIs" dxfId="26330" priority="12145" stopIfTrue="1" operator="equal">
      <formula>"Towel"</formula>
    </cfRule>
  </conditionalFormatting>
  <conditionalFormatting sqref="C67">
    <cfRule type="cellIs" dxfId="26329" priority="12153" stopIfTrue="1" operator="equal">
      <formula>"Towel"</formula>
    </cfRule>
    <cfRule type="cellIs" dxfId="26328" priority="12154" stopIfTrue="1" operator="equal">
      <formula>"Napkin Hs"</formula>
    </cfRule>
  </conditionalFormatting>
  <conditionalFormatting sqref="C67">
    <cfRule type="cellIs" dxfId="26327" priority="12151" stopIfTrue="1" operator="equal">
      <formula>"Towel"</formula>
    </cfRule>
    <cfRule type="cellIs" dxfId="26326" priority="12152" stopIfTrue="1" operator="equal">
      <formula>"Napkin Hs"</formula>
    </cfRule>
  </conditionalFormatting>
  <conditionalFormatting sqref="C67">
    <cfRule type="cellIs" dxfId="26325" priority="12123" stopIfTrue="1" operator="equal">
      <formula>"Towel"</formula>
    </cfRule>
    <cfRule type="cellIs" dxfId="26324" priority="12124" stopIfTrue="1" operator="equal">
      <formula>"Napkin Hs"</formula>
    </cfRule>
  </conditionalFormatting>
  <conditionalFormatting sqref="C67">
    <cfRule type="cellIs" dxfId="26323" priority="12121" stopIfTrue="1" operator="equal">
      <formula>"Towel"</formula>
    </cfRule>
    <cfRule type="cellIs" dxfId="26322" priority="12122" stopIfTrue="1" operator="equal">
      <formula>"Napkin Hs"</formula>
    </cfRule>
  </conditionalFormatting>
  <conditionalFormatting sqref="C67">
    <cfRule type="cellIs" dxfId="26321" priority="12100" stopIfTrue="1" operator="equal">
      <formula>"Napkin Hs"</formula>
    </cfRule>
  </conditionalFormatting>
  <conditionalFormatting sqref="C67">
    <cfRule type="cellIs" dxfId="26320" priority="12099" stopIfTrue="1" operator="equal">
      <formula>"Towel"</formula>
    </cfRule>
  </conditionalFormatting>
  <conditionalFormatting sqref="C67">
    <cfRule type="cellIs" dxfId="26319" priority="12098" stopIfTrue="1" operator="equal">
      <formula>"Napkin Hs"</formula>
    </cfRule>
  </conditionalFormatting>
  <conditionalFormatting sqref="C67">
    <cfRule type="cellIs" dxfId="26318" priority="12097" stopIfTrue="1" operator="equal">
      <formula>"Towel"</formula>
    </cfRule>
  </conditionalFormatting>
  <conditionalFormatting sqref="C67">
    <cfRule type="cellIs" dxfId="26317" priority="12094" stopIfTrue="1" operator="equal">
      <formula>"Napkin Hs"</formula>
    </cfRule>
  </conditionalFormatting>
  <conditionalFormatting sqref="C67">
    <cfRule type="cellIs" dxfId="26316" priority="12093" stopIfTrue="1" operator="equal">
      <formula>"Towel"</formula>
    </cfRule>
  </conditionalFormatting>
  <conditionalFormatting sqref="C67">
    <cfRule type="cellIs" dxfId="26315" priority="12092" stopIfTrue="1" operator="equal">
      <formula>"Napkin Hs"</formula>
    </cfRule>
  </conditionalFormatting>
  <conditionalFormatting sqref="C67">
    <cfRule type="cellIs" dxfId="26314" priority="12091" stopIfTrue="1" operator="equal">
      <formula>"Towel"</formula>
    </cfRule>
  </conditionalFormatting>
  <conditionalFormatting sqref="C67">
    <cfRule type="cellIs" dxfId="26313" priority="12087" stopIfTrue="1" operator="equal">
      <formula>"Towel"</formula>
    </cfRule>
    <cfRule type="cellIs" dxfId="26312" priority="12088" stopIfTrue="1" operator="equal">
      <formula>"Napkin Hs"</formula>
    </cfRule>
  </conditionalFormatting>
  <conditionalFormatting sqref="C67">
    <cfRule type="cellIs" dxfId="26311" priority="12085" stopIfTrue="1" operator="equal">
      <formula>"Towel"</formula>
    </cfRule>
    <cfRule type="cellIs" dxfId="26310" priority="12086" stopIfTrue="1" operator="equal">
      <formula>"Napkin Hs"</formula>
    </cfRule>
  </conditionalFormatting>
  <conditionalFormatting sqref="C67">
    <cfRule type="cellIs" dxfId="26309" priority="12069" stopIfTrue="1" operator="equal">
      <formula>"Towel"</formula>
    </cfRule>
    <cfRule type="cellIs" dxfId="26308" priority="12070" stopIfTrue="1" operator="equal">
      <formula>"Napkin Hs"</formula>
    </cfRule>
  </conditionalFormatting>
  <conditionalFormatting sqref="C67">
    <cfRule type="cellIs" dxfId="26307" priority="12067" stopIfTrue="1" operator="equal">
      <formula>"Towel"</formula>
    </cfRule>
    <cfRule type="cellIs" dxfId="26306" priority="12068" stopIfTrue="1" operator="equal">
      <formula>"Napkin Hs"</formula>
    </cfRule>
  </conditionalFormatting>
  <conditionalFormatting sqref="B67:C67">
    <cfRule type="cellIs" dxfId="26305" priority="12028" stopIfTrue="1" operator="equal">
      <formula>"Napkin Hs"</formula>
    </cfRule>
  </conditionalFormatting>
  <conditionalFormatting sqref="B67:C67">
    <cfRule type="cellIs" dxfId="26304" priority="12027" stopIfTrue="1" operator="equal">
      <formula>"Towel"</formula>
    </cfRule>
  </conditionalFormatting>
  <conditionalFormatting sqref="C67">
    <cfRule type="cellIs" dxfId="26303" priority="12026" stopIfTrue="1" operator="equal">
      <formula>"Napkin Hs"</formula>
    </cfRule>
  </conditionalFormatting>
  <conditionalFormatting sqref="C67">
    <cfRule type="cellIs" dxfId="26302" priority="12023" stopIfTrue="1" operator="equal">
      <formula>"Towel"</formula>
    </cfRule>
    <cfRule type="cellIs" dxfId="26301" priority="12024" stopIfTrue="1" operator="equal">
      <formula>"Napkin Hs"</formula>
    </cfRule>
  </conditionalFormatting>
  <conditionalFormatting sqref="C67">
    <cfRule type="cellIs" dxfId="26300" priority="12025" stopIfTrue="1" operator="equal">
      <formula>"Towel"</formula>
    </cfRule>
  </conditionalFormatting>
  <conditionalFormatting sqref="C65:C67">
    <cfRule type="cellIs" dxfId="26299" priority="11939" stopIfTrue="1" operator="equal">
      <formula>"Towel"</formula>
    </cfRule>
    <cfRule type="cellIs" dxfId="26298" priority="11940" stopIfTrue="1" operator="equal">
      <formula>"Napkin Hs"</formula>
    </cfRule>
  </conditionalFormatting>
  <conditionalFormatting sqref="C65:C67">
    <cfRule type="cellIs" dxfId="26297" priority="11933" stopIfTrue="1" operator="equal">
      <formula>"Towel"</formula>
    </cfRule>
    <cfRule type="cellIs" dxfId="26296" priority="11934" stopIfTrue="1" operator="equal">
      <formula>"Napkin Hs"</formula>
    </cfRule>
  </conditionalFormatting>
  <conditionalFormatting sqref="C65:C67">
    <cfRule type="cellIs" dxfId="26295" priority="11914" stopIfTrue="1" operator="equal">
      <formula>"Napkin Hs"</formula>
    </cfRule>
  </conditionalFormatting>
  <conditionalFormatting sqref="C65:C67">
    <cfRule type="cellIs" dxfId="26294" priority="11913" stopIfTrue="1" operator="equal">
      <formula>"Towel"</formula>
    </cfRule>
  </conditionalFormatting>
  <conditionalFormatting sqref="C65:C67">
    <cfRule type="cellIs" dxfId="26293" priority="11912" stopIfTrue="1" operator="equal">
      <formula>"Napkin Hs"</formula>
    </cfRule>
  </conditionalFormatting>
  <conditionalFormatting sqref="C65:C67">
    <cfRule type="cellIs" dxfId="26292" priority="11909" stopIfTrue="1" operator="equal">
      <formula>"Towel"</formula>
    </cfRule>
    <cfRule type="cellIs" dxfId="26291" priority="11910" stopIfTrue="1" operator="equal">
      <formula>"Napkin Hs"</formula>
    </cfRule>
  </conditionalFormatting>
  <conditionalFormatting sqref="C65:C67">
    <cfRule type="cellIs" dxfId="26290" priority="11911" stopIfTrue="1" operator="equal">
      <formula>"Towel"</formula>
    </cfRule>
  </conditionalFormatting>
  <conditionalFormatting sqref="C65:C67">
    <cfRule type="cellIs" dxfId="26289" priority="11908" stopIfTrue="1" operator="equal">
      <formula>"Napkin Hs"</formula>
    </cfRule>
  </conditionalFormatting>
  <conditionalFormatting sqref="C65:C67">
    <cfRule type="cellIs" dxfId="26288" priority="11907" stopIfTrue="1" operator="equal">
      <formula>"Towel"</formula>
    </cfRule>
  </conditionalFormatting>
  <conditionalFormatting sqref="C65:C67">
    <cfRule type="cellIs" dxfId="26287" priority="11906" stopIfTrue="1" operator="equal">
      <formula>"Napkin Hs"</formula>
    </cfRule>
  </conditionalFormatting>
  <conditionalFormatting sqref="C65:C67">
    <cfRule type="cellIs" dxfId="26286" priority="11903" stopIfTrue="1" operator="equal">
      <formula>"Towel"</formula>
    </cfRule>
    <cfRule type="cellIs" dxfId="26285" priority="11904" stopIfTrue="1" operator="equal">
      <formula>"Napkin Hs"</formula>
    </cfRule>
  </conditionalFormatting>
  <conditionalFormatting sqref="C65:C67">
    <cfRule type="cellIs" dxfId="26284" priority="11905" stopIfTrue="1" operator="equal">
      <formula>"Towel"</formula>
    </cfRule>
  </conditionalFormatting>
  <conditionalFormatting sqref="C65:C67">
    <cfRule type="cellIs" dxfId="26283" priority="12009" stopIfTrue="1" operator="equal">
      <formula>"Towel"</formula>
    </cfRule>
    <cfRule type="cellIs" dxfId="26282" priority="12010" stopIfTrue="1" operator="equal">
      <formula>"Napkin Hs"</formula>
    </cfRule>
  </conditionalFormatting>
  <conditionalFormatting sqref="C65:C67">
    <cfRule type="cellIs" dxfId="26281" priority="12007" stopIfTrue="1" operator="equal">
      <formula>"Towel"</formula>
    </cfRule>
    <cfRule type="cellIs" dxfId="26280" priority="12008" stopIfTrue="1" operator="equal">
      <formula>"Napkin Hs"</formula>
    </cfRule>
  </conditionalFormatting>
  <conditionalFormatting sqref="C65:C67">
    <cfRule type="cellIs" dxfId="26279" priority="12005" stopIfTrue="1" operator="equal">
      <formula>"Towel"</formula>
    </cfRule>
    <cfRule type="cellIs" dxfId="26278" priority="12006" stopIfTrue="1" operator="equal">
      <formula>"Napkin Hs"</formula>
    </cfRule>
  </conditionalFormatting>
  <conditionalFormatting sqref="C65:C67">
    <cfRule type="cellIs" dxfId="26277" priority="12004" stopIfTrue="1" operator="equal">
      <formula>"Napkin Hs"</formula>
    </cfRule>
  </conditionalFormatting>
  <conditionalFormatting sqref="C65:C67">
    <cfRule type="cellIs" dxfId="26276" priority="12003" stopIfTrue="1" operator="equal">
      <formula>"Towel"</formula>
    </cfRule>
  </conditionalFormatting>
  <conditionalFormatting sqref="C65:C67">
    <cfRule type="cellIs" dxfId="26275" priority="12002" stopIfTrue="1" operator="equal">
      <formula>"Napkin Hs"</formula>
    </cfRule>
  </conditionalFormatting>
  <conditionalFormatting sqref="C65:C67">
    <cfRule type="cellIs" dxfId="26274" priority="12001" stopIfTrue="1" operator="equal">
      <formula>"Towel"</formula>
    </cfRule>
  </conditionalFormatting>
  <conditionalFormatting sqref="C65:C67">
    <cfRule type="cellIs" dxfId="26273" priority="11999" stopIfTrue="1" operator="equal">
      <formula>"Towel"</formula>
    </cfRule>
    <cfRule type="cellIs" dxfId="26272" priority="12000" stopIfTrue="1" operator="equal">
      <formula>"Napkin Hs"</formula>
    </cfRule>
  </conditionalFormatting>
  <conditionalFormatting sqref="C65:C67">
    <cfRule type="cellIs" dxfId="26271" priority="11997" stopIfTrue="1" operator="equal">
      <formula>"Towel"</formula>
    </cfRule>
    <cfRule type="cellIs" dxfId="26270" priority="11998" stopIfTrue="1" operator="equal">
      <formula>"Napkin Hs"</formula>
    </cfRule>
  </conditionalFormatting>
  <conditionalFormatting sqref="C65:C67">
    <cfRule type="cellIs" dxfId="26269" priority="11993" stopIfTrue="1" operator="equal">
      <formula>"Towel"</formula>
    </cfRule>
    <cfRule type="cellIs" dxfId="26268" priority="11994" stopIfTrue="1" operator="equal">
      <formula>"Napkin Hs"</formula>
    </cfRule>
  </conditionalFormatting>
  <conditionalFormatting sqref="C65:C67">
    <cfRule type="cellIs" dxfId="26267" priority="11995" stopIfTrue="1" operator="equal">
      <formula>"Towel"</formula>
    </cfRule>
    <cfRule type="cellIs" dxfId="26266" priority="11996" stopIfTrue="1" operator="equal">
      <formula>"Napkin Hs"</formula>
    </cfRule>
  </conditionalFormatting>
  <conditionalFormatting sqref="C65:C67">
    <cfRule type="cellIs" dxfId="26265" priority="11987" stopIfTrue="1" operator="equal">
      <formula>"Towel"</formula>
    </cfRule>
    <cfRule type="cellIs" dxfId="26264" priority="11988" stopIfTrue="1" operator="equal">
      <formula>"Napkin Hs"</formula>
    </cfRule>
  </conditionalFormatting>
  <conditionalFormatting sqref="C65:C67">
    <cfRule type="cellIs" dxfId="26263" priority="11985" stopIfTrue="1" operator="equal">
      <formula>"Towel"</formula>
    </cfRule>
    <cfRule type="cellIs" dxfId="26262" priority="11986" stopIfTrue="1" operator="equal">
      <formula>"Napkin Hs"</formula>
    </cfRule>
  </conditionalFormatting>
  <conditionalFormatting sqref="C65:C67">
    <cfRule type="cellIs" dxfId="26261" priority="11983" stopIfTrue="1" operator="equal">
      <formula>"Towel"</formula>
    </cfRule>
    <cfRule type="cellIs" dxfId="26260" priority="11984" stopIfTrue="1" operator="equal">
      <formula>"Napkin Hs"</formula>
    </cfRule>
  </conditionalFormatting>
  <conditionalFormatting sqref="C65:C67">
    <cfRule type="cellIs" dxfId="26259" priority="11981" stopIfTrue="1" operator="equal">
      <formula>"Towel"</formula>
    </cfRule>
    <cfRule type="cellIs" dxfId="26258" priority="11982" stopIfTrue="1" operator="equal">
      <formula>"Napkin Hs"</formula>
    </cfRule>
  </conditionalFormatting>
  <conditionalFormatting sqref="C65:C67">
    <cfRule type="cellIs" dxfId="26257" priority="11979" stopIfTrue="1" operator="equal">
      <formula>"Towel"</formula>
    </cfRule>
    <cfRule type="cellIs" dxfId="26256" priority="11980" stopIfTrue="1" operator="equal">
      <formula>"Napkin Hs"</formula>
    </cfRule>
  </conditionalFormatting>
  <conditionalFormatting sqref="C65:C67">
    <cfRule type="cellIs" dxfId="26255" priority="11977" stopIfTrue="1" operator="equal">
      <formula>"Towel"</formula>
    </cfRule>
    <cfRule type="cellIs" dxfId="26254" priority="11978" stopIfTrue="1" operator="equal">
      <formula>"Napkin Hs"</formula>
    </cfRule>
  </conditionalFormatting>
  <conditionalFormatting sqref="C65:C67">
    <cfRule type="cellIs" dxfId="26253" priority="11975" stopIfTrue="1" operator="equal">
      <formula>"Towel"</formula>
    </cfRule>
    <cfRule type="cellIs" dxfId="26252" priority="11976" stopIfTrue="1" operator="equal">
      <formula>"Napkin Hs"</formula>
    </cfRule>
  </conditionalFormatting>
  <conditionalFormatting sqref="C65:C67">
    <cfRule type="cellIs" dxfId="26251" priority="11973" stopIfTrue="1" operator="equal">
      <formula>"Towel"</formula>
    </cfRule>
    <cfRule type="cellIs" dxfId="26250" priority="11974" stopIfTrue="1" operator="equal">
      <formula>"Napkin Hs"</formula>
    </cfRule>
  </conditionalFormatting>
  <conditionalFormatting sqref="C65:C67">
    <cfRule type="cellIs" dxfId="26249" priority="11971" stopIfTrue="1" operator="equal">
      <formula>"Towel"</formula>
    </cfRule>
    <cfRule type="cellIs" dxfId="26248" priority="11972" stopIfTrue="1" operator="equal">
      <formula>"Napkin Hs"</formula>
    </cfRule>
  </conditionalFormatting>
  <conditionalFormatting sqref="C65:C67">
    <cfRule type="cellIs" dxfId="26247" priority="11969" stopIfTrue="1" operator="equal">
      <formula>"Towel"</formula>
    </cfRule>
    <cfRule type="cellIs" dxfId="26246" priority="11970" stopIfTrue="1" operator="equal">
      <formula>"Napkin Hs"</formula>
    </cfRule>
  </conditionalFormatting>
  <conditionalFormatting sqref="C65:C67">
    <cfRule type="cellIs" dxfId="26245" priority="11963" stopIfTrue="1" operator="equal">
      <formula>"Towel"</formula>
    </cfRule>
    <cfRule type="cellIs" dxfId="26244" priority="11964" stopIfTrue="1" operator="equal">
      <formula>"Napkin Hs"</formula>
    </cfRule>
  </conditionalFormatting>
  <conditionalFormatting sqref="C65:C67">
    <cfRule type="cellIs" dxfId="26243" priority="11957" stopIfTrue="1" operator="equal">
      <formula>"Towel"</formula>
    </cfRule>
    <cfRule type="cellIs" dxfId="26242" priority="11958" stopIfTrue="1" operator="equal">
      <formula>"Napkin Hs"</formula>
    </cfRule>
  </conditionalFormatting>
  <conditionalFormatting sqref="C65:C67">
    <cfRule type="cellIs" dxfId="26241" priority="11951" stopIfTrue="1" operator="equal">
      <formula>"Towel"</formula>
    </cfRule>
    <cfRule type="cellIs" dxfId="26240" priority="11952" stopIfTrue="1" operator="equal">
      <formula>"Napkin Hs"</formula>
    </cfRule>
  </conditionalFormatting>
  <conditionalFormatting sqref="C65:C67">
    <cfRule type="cellIs" dxfId="26239" priority="11950" stopIfTrue="1" operator="equal">
      <formula>"Napkin Hs"</formula>
    </cfRule>
  </conditionalFormatting>
  <conditionalFormatting sqref="C65:C67">
    <cfRule type="cellIs" dxfId="26238" priority="11949" stopIfTrue="1" operator="equal">
      <formula>"Towel"</formula>
    </cfRule>
  </conditionalFormatting>
  <conditionalFormatting sqref="C65:C67">
    <cfRule type="cellIs" dxfId="26237" priority="11948" stopIfTrue="1" operator="equal">
      <formula>"Napkin Hs"</formula>
    </cfRule>
  </conditionalFormatting>
  <conditionalFormatting sqref="C65:C67">
    <cfRule type="cellIs" dxfId="26236" priority="11947" stopIfTrue="1" operator="equal">
      <formula>"Towel"</formula>
    </cfRule>
  </conditionalFormatting>
  <conditionalFormatting sqref="C65:C67">
    <cfRule type="cellIs" dxfId="26235" priority="11945" stopIfTrue="1" operator="equal">
      <formula>"Towel"</formula>
    </cfRule>
    <cfRule type="cellIs" dxfId="26234" priority="11946" stopIfTrue="1" operator="equal">
      <formula>"Napkin Hs"</formula>
    </cfRule>
  </conditionalFormatting>
  <conditionalFormatting sqref="C65:C67">
    <cfRule type="cellIs" dxfId="26233" priority="11943" stopIfTrue="1" operator="equal">
      <formula>"Towel"</formula>
    </cfRule>
    <cfRule type="cellIs" dxfId="26232" priority="11944" stopIfTrue="1" operator="equal">
      <formula>"Napkin Hs"</formula>
    </cfRule>
  </conditionalFormatting>
  <conditionalFormatting sqref="C65:C67">
    <cfRule type="cellIs" dxfId="26231" priority="11941" stopIfTrue="1" operator="equal">
      <formula>"Towel"</formula>
    </cfRule>
    <cfRule type="cellIs" dxfId="26230" priority="11942" stopIfTrue="1" operator="equal">
      <formula>"Napkin Hs"</formula>
    </cfRule>
  </conditionalFormatting>
  <conditionalFormatting sqref="C65:C67">
    <cfRule type="cellIs" dxfId="26229" priority="11931" stopIfTrue="1" operator="equal">
      <formula>"Towel"</formula>
    </cfRule>
    <cfRule type="cellIs" dxfId="26228" priority="11932" stopIfTrue="1" operator="equal">
      <formula>"Napkin Hs"</formula>
    </cfRule>
  </conditionalFormatting>
  <conditionalFormatting sqref="C65:C67">
    <cfRule type="cellIs" dxfId="26227" priority="11929" stopIfTrue="1" operator="equal">
      <formula>"Towel"</formula>
    </cfRule>
    <cfRule type="cellIs" dxfId="26226" priority="11930" stopIfTrue="1" operator="equal">
      <formula>"Napkin Hs"</formula>
    </cfRule>
  </conditionalFormatting>
  <conditionalFormatting sqref="C65:C67">
    <cfRule type="cellIs" dxfId="26225" priority="11927" stopIfTrue="1" operator="equal">
      <formula>"Towel"</formula>
    </cfRule>
    <cfRule type="cellIs" dxfId="26224" priority="11928" stopIfTrue="1" operator="equal">
      <formula>"Napkin Hs"</formula>
    </cfRule>
  </conditionalFormatting>
  <conditionalFormatting sqref="C65:C67">
    <cfRule type="cellIs" dxfId="26223" priority="11925" stopIfTrue="1" operator="equal">
      <formula>"Towel"</formula>
    </cfRule>
    <cfRule type="cellIs" dxfId="26222" priority="11926" stopIfTrue="1" operator="equal">
      <formula>"Napkin Hs"</formula>
    </cfRule>
  </conditionalFormatting>
  <conditionalFormatting sqref="C65:C67">
    <cfRule type="cellIs" dxfId="26221" priority="11923" stopIfTrue="1" operator="equal">
      <formula>"Towel"</formula>
    </cfRule>
    <cfRule type="cellIs" dxfId="26220" priority="11924" stopIfTrue="1" operator="equal">
      <formula>"Napkin Hs"</formula>
    </cfRule>
  </conditionalFormatting>
  <conditionalFormatting sqref="C65:C67">
    <cfRule type="cellIs" dxfId="26219" priority="11921" stopIfTrue="1" operator="equal">
      <formula>"Towel"</formula>
    </cfRule>
    <cfRule type="cellIs" dxfId="26218" priority="11922" stopIfTrue="1" operator="equal">
      <formula>"Napkin Hs"</formula>
    </cfRule>
  </conditionalFormatting>
  <conditionalFormatting sqref="C65:C67">
    <cfRule type="cellIs" dxfId="26217" priority="11919" stopIfTrue="1" operator="equal">
      <formula>"Towel"</formula>
    </cfRule>
    <cfRule type="cellIs" dxfId="26216" priority="11920" stopIfTrue="1" operator="equal">
      <formula>"Napkin Hs"</formula>
    </cfRule>
  </conditionalFormatting>
  <conditionalFormatting sqref="C65:C67">
    <cfRule type="cellIs" dxfId="26215" priority="11917" stopIfTrue="1" operator="equal">
      <formula>"Towel"</formula>
    </cfRule>
    <cfRule type="cellIs" dxfId="26214" priority="11918" stopIfTrue="1" operator="equal">
      <formula>"Napkin Hs"</formula>
    </cfRule>
  </conditionalFormatting>
  <conditionalFormatting sqref="C65:C67">
    <cfRule type="cellIs" dxfId="26213" priority="11915" stopIfTrue="1" operator="equal">
      <formula>"Towel"</formula>
    </cfRule>
    <cfRule type="cellIs" dxfId="26212" priority="11916" stopIfTrue="1" operator="equal">
      <formula>"Napkin Hs"</formula>
    </cfRule>
  </conditionalFormatting>
  <conditionalFormatting sqref="C65:C67">
    <cfRule type="cellIs" dxfId="26211" priority="11902" stopIfTrue="1" operator="equal">
      <formula>"Napkin Hs"</formula>
    </cfRule>
  </conditionalFormatting>
  <conditionalFormatting sqref="C65:C67">
    <cfRule type="cellIs" dxfId="26210" priority="11901" stopIfTrue="1" operator="equal">
      <formula>"Towel"</formula>
    </cfRule>
  </conditionalFormatting>
  <conditionalFormatting sqref="C65:C67">
    <cfRule type="cellIs" dxfId="26209" priority="11900" stopIfTrue="1" operator="equal">
      <formula>"Napkin Hs"</formula>
    </cfRule>
  </conditionalFormatting>
  <conditionalFormatting sqref="C65:C67">
    <cfRule type="cellIs" dxfId="26208" priority="11897" stopIfTrue="1" operator="equal">
      <formula>"Towel"</formula>
    </cfRule>
    <cfRule type="cellIs" dxfId="26207" priority="11898" stopIfTrue="1" operator="equal">
      <formula>"Napkin Hs"</formula>
    </cfRule>
  </conditionalFormatting>
  <conditionalFormatting sqref="C65:C67">
    <cfRule type="cellIs" dxfId="26206" priority="11899" stopIfTrue="1" operator="equal">
      <formula>"Towel"</formula>
    </cfRule>
  </conditionalFormatting>
  <conditionalFormatting sqref="C65:C67">
    <cfRule type="cellIs" dxfId="26205" priority="12017" stopIfTrue="1" operator="equal">
      <formula>"Towel"</formula>
    </cfRule>
    <cfRule type="cellIs" dxfId="26204" priority="12018" stopIfTrue="1" operator="equal">
      <formula>"Napkin Hs"</formula>
    </cfRule>
  </conditionalFormatting>
  <conditionalFormatting sqref="C65:C67">
    <cfRule type="cellIs" dxfId="26203" priority="12016" stopIfTrue="1" operator="equal">
      <formula>"Napkin Hs"</formula>
    </cfRule>
  </conditionalFormatting>
  <conditionalFormatting sqref="C65:C67">
    <cfRule type="cellIs" dxfId="26202" priority="12015" stopIfTrue="1" operator="equal">
      <formula>"Towel"</formula>
    </cfRule>
  </conditionalFormatting>
  <conditionalFormatting sqref="C65:C67">
    <cfRule type="cellIs" dxfId="26201" priority="12014" stopIfTrue="1" operator="equal">
      <formula>"Napkin Hs"</formula>
    </cfRule>
  </conditionalFormatting>
  <conditionalFormatting sqref="C65:C67">
    <cfRule type="cellIs" dxfId="26200" priority="12011" stopIfTrue="1" operator="equal">
      <formula>"Towel"</formula>
    </cfRule>
    <cfRule type="cellIs" dxfId="26199" priority="12012" stopIfTrue="1" operator="equal">
      <formula>"Napkin Hs"</formula>
    </cfRule>
  </conditionalFormatting>
  <conditionalFormatting sqref="C65:C67">
    <cfRule type="cellIs" dxfId="26198" priority="12013" stopIfTrue="1" operator="equal">
      <formula>"Towel"</formula>
    </cfRule>
  </conditionalFormatting>
  <conditionalFormatting sqref="C65:C67">
    <cfRule type="cellIs" dxfId="26197" priority="12021" stopIfTrue="1" operator="equal">
      <formula>"Towel"</formula>
    </cfRule>
    <cfRule type="cellIs" dxfId="26196" priority="12022" stopIfTrue="1" operator="equal">
      <formula>"Napkin Hs"</formula>
    </cfRule>
  </conditionalFormatting>
  <conditionalFormatting sqref="C65:C67">
    <cfRule type="cellIs" dxfId="26195" priority="12019" stopIfTrue="1" operator="equal">
      <formula>"Towel"</formula>
    </cfRule>
    <cfRule type="cellIs" dxfId="26194" priority="12020" stopIfTrue="1" operator="equal">
      <formula>"Napkin Hs"</formula>
    </cfRule>
  </conditionalFormatting>
  <conditionalFormatting sqref="C65:C67">
    <cfRule type="cellIs" dxfId="26193" priority="11991" stopIfTrue="1" operator="equal">
      <formula>"Towel"</formula>
    </cfRule>
    <cfRule type="cellIs" dxfId="26192" priority="11992" stopIfTrue="1" operator="equal">
      <formula>"Napkin Hs"</formula>
    </cfRule>
  </conditionalFormatting>
  <conditionalFormatting sqref="C65:C67">
    <cfRule type="cellIs" dxfId="26191" priority="11989" stopIfTrue="1" operator="equal">
      <formula>"Towel"</formula>
    </cfRule>
    <cfRule type="cellIs" dxfId="26190" priority="11990" stopIfTrue="1" operator="equal">
      <formula>"Napkin Hs"</formula>
    </cfRule>
  </conditionalFormatting>
  <conditionalFormatting sqref="C65:C67">
    <cfRule type="cellIs" dxfId="26189" priority="11968" stopIfTrue="1" operator="equal">
      <formula>"Napkin Hs"</formula>
    </cfRule>
  </conditionalFormatting>
  <conditionalFormatting sqref="C65:C67">
    <cfRule type="cellIs" dxfId="26188" priority="11967" stopIfTrue="1" operator="equal">
      <formula>"Towel"</formula>
    </cfRule>
  </conditionalFormatting>
  <conditionalFormatting sqref="C65:C67">
    <cfRule type="cellIs" dxfId="26187" priority="11966" stopIfTrue="1" operator="equal">
      <formula>"Napkin Hs"</formula>
    </cfRule>
  </conditionalFormatting>
  <conditionalFormatting sqref="C65:C67">
    <cfRule type="cellIs" dxfId="26186" priority="11965" stopIfTrue="1" operator="equal">
      <formula>"Towel"</formula>
    </cfRule>
  </conditionalFormatting>
  <conditionalFormatting sqref="C65:C67">
    <cfRule type="cellIs" dxfId="26185" priority="11962" stopIfTrue="1" operator="equal">
      <formula>"Napkin Hs"</formula>
    </cfRule>
  </conditionalFormatting>
  <conditionalFormatting sqref="C65:C67">
    <cfRule type="cellIs" dxfId="26184" priority="11961" stopIfTrue="1" operator="equal">
      <formula>"Towel"</formula>
    </cfRule>
  </conditionalFormatting>
  <conditionalFormatting sqref="C65:C67">
    <cfRule type="cellIs" dxfId="26183" priority="11960" stopIfTrue="1" operator="equal">
      <formula>"Napkin Hs"</formula>
    </cfRule>
  </conditionalFormatting>
  <conditionalFormatting sqref="C65:C67">
    <cfRule type="cellIs" dxfId="26182" priority="11959" stopIfTrue="1" operator="equal">
      <formula>"Towel"</formula>
    </cfRule>
  </conditionalFormatting>
  <conditionalFormatting sqref="C65:C67">
    <cfRule type="cellIs" dxfId="26181" priority="11955" stopIfTrue="1" operator="equal">
      <formula>"Towel"</formula>
    </cfRule>
    <cfRule type="cellIs" dxfId="26180" priority="11956" stopIfTrue="1" operator="equal">
      <formula>"Napkin Hs"</formula>
    </cfRule>
  </conditionalFormatting>
  <conditionalFormatting sqref="C65:C67">
    <cfRule type="cellIs" dxfId="26179" priority="11953" stopIfTrue="1" operator="equal">
      <formula>"Towel"</formula>
    </cfRule>
    <cfRule type="cellIs" dxfId="26178" priority="11954" stopIfTrue="1" operator="equal">
      <formula>"Napkin Hs"</formula>
    </cfRule>
  </conditionalFormatting>
  <conditionalFormatting sqref="C65:C67">
    <cfRule type="cellIs" dxfId="26177" priority="11937" stopIfTrue="1" operator="equal">
      <formula>"Towel"</formula>
    </cfRule>
    <cfRule type="cellIs" dxfId="26176" priority="11938" stopIfTrue="1" operator="equal">
      <formula>"Napkin Hs"</formula>
    </cfRule>
  </conditionalFormatting>
  <conditionalFormatting sqref="C65:C67">
    <cfRule type="cellIs" dxfId="26175" priority="11935" stopIfTrue="1" operator="equal">
      <formula>"Towel"</formula>
    </cfRule>
    <cfRule type="cellIs" dxfId="26174" priority="11936" stopIfTrue="1" operator="equal">
      <formula>"Napkin Hs"</formula>
    </cfRule>
  </conditionalFormatting>
  <conditionalFormatting sqref="B65:C67">
    <cfRule type="cellIs" dxfId="26173" priority="11896" stopIfTrue="1" operator="equal">
      <formula>"Napkin Hs"</formula>
    </cfRule>
  </conditionalFormatting>
  <conditionalFormatting sqref="B65:C67">
    <cfRule type="cellIs" dxfId="26172" priority="11895" stopIfTrue="1" operator="equal">
      <formula>"Towel"</formula>
    </cfRule>
  </conditionalFormatting>
  <conditionalFormatting sqref="C65:C67">
    <cfRule type="cellIs" dxfId="26171" priority="11894" stopIfTrue="1" operator="equal">
      <formula>"Napkin Hs"</formula>
    </cfRule>
  </conditionalFormatting>
  <conditionalFormatting sqref="C65:C67">
    <cfRule type="cellIs" dxfId="26170" priority="11891" stopIfTrue="1" operator="equal">
      <formula>"Towel"</formula>
    </cfRule>
    <cfRule type="cellIs" dxfId="26169" priority="11892" stopIfTrue="1" operator="equal">
      <formula>"Napkin Hs"</formula>
    </cfRule>
  </conditionalFormatting>
  <conditionalFormatting sqref="C65:C67">
    <cfRule type="cellIs" dxfId="26168" priority="11893" stopIfTrue="1" operator="equal">
      <formula>"Towel"</formula>
    </cfRule>
  </conditionalFormatting>
  <conditionalFormatting sqref="B67:C67">
    <cfRule type="cellIs" dxfId="26167" priority="11890" stopIfTrue="1" operator="equal">
      <formula>"Napkin Hs"</formula>
    </cfRule>
  </conditionalFormatting>
  <conditionalFormatting sqref="B67:C67">
    <cfRule type="cellIs" dxfId="26166" priority="11889" stopIfTrue="1" operator="equal">
      <formula>"Towel"</formula>
    </cfRule>
  </conditionalFormatting>
  <conditionalFormatting sqref="B66:C66">
    <cfRule type="cellIs" dxfId="26165" priority="11885" stopIfTrue="1" operator="equal">
      <formula>"Towel"</formula>
    </cfRule>
    <cfRule type="cellIs" dxfId="26164" priority="11886" stopIfTrue="1" operator="equal">
      <formula>"Napkin Hs"</formula>
    </cfRule>
  </conditionalFormatting>
  <conditionalFormatting sqref="C67">
    <cfRule type="cellIs" dxfId="26163" priority="11888" stopIfTrue="1" operator="equal">
      <formula>"Napkin Hs"</formula>
    </cfRule>
  </conditionalFormatting>
  <conditionalFormatting sqref="C67">
    <cfRule type="cellIs" dxfId="26162" priority="11887" stopIfTrue="1" operator="equal">
      <formula>"Towel"</formula>
    </cfRule>
  </conditionalFormatting>
  <conditionalFormatting sqref="C66">
    <cfRule type="cellIs" dxfId="26161" priority="11883" stopIfTrue="1" operator="equal">
      <formula>"Towel"</formula>
    </cfRule>
    <cfRule type="cellIs" dxfId="26160" priority="11884" stopIfTrue="1" operator="equal">
      <formula>"Napkin Hs"</formula>
    </cfRule>
  </conditionalFormatting>
  <conditionalFormatting sqref="B68:C68">
    <cfRule type="cellIs" dxfId="26159" priority="11881" stopIfTrue="1" operator="equal">
      <formula>"Towel"</formula>
    </cfRule>
    <cfRule type="cellIs" dxfId="26158" priority="11882" stopIfTrue="1" operator="equal">
      <formula>"Napkin Hs"</formula>
    </cfRule>
  </conditionalFormatting>
  <conditionalFormatting sqref="C68">
    <cfRule type="cellIs" dxfId="26157" priority="11877" stopIfTrue="1" operator="equal">
      <formula>"Towel"</formula>
    </cfRule>
    <cfRule type="cellIs" dxfId="26156" priority="11878" stopIfTrue="1" operator="equal">
      <formula>"Napkin Hs"</formula>
    </cfRule>
  </conditionalFormatting>
  <conditionalFormatting sqref="C68">
    <cfRule type="cellIs" dxfId="26155" priority="11879" stopIfTrue="1" operator="equal">
      <formula>"Towel"</formula>
    </cfRule>
    <cfRule type="cellIs" dxfId="26154" priority="11880" stopIfTrue="1" operator="equal">
      <formula>"Napkin Hs"</formula>
    </cfRule>
  </conditionalFormatting>
  <conditionalFormatting sqref="B68:C68">
    <cfRule type="cellIs" dxfId="26153" priority="11876" stopIfTrue="1" operator="equal">
      <formula>"Napkin Hs"</formula>
    </cfRule>
  </conditionalFormatting>
  <conditionalFormatting sqref="B68:C68">
    <cfRule type="cellIs" dxfId="26152" priority="11875" stopIfTrue="1" operator="equal">
      <formula>"Towel"</formula>
    </cfRule>
  </conditionalFormatting>
  <conditionalFormatting sqref="C68">
    <cfRule type="cellIs" dxfId="26151" priority="11874" stopIfTrue="1" operator="equal">
      <formula>"Napkin Hs"</formula>
    </cfRule>
  </conditionalFormatting>
  <conditionalFormatting sqref="C68">
    <cfRule type="cellIs" dxfId="26150" priority="11873" stopIfTrue="1" operator="equal">
      <formula>"Towel"</formula>
    </cfRule>
  </conditionalFormatting>
  <conditionalFormatting sqref="C68">
    <cfRule type="cellIs" dxfId="26149" priority="11871" stopIfTrue="1" operator="equal">
      <formula>"Towel"</formula>
    </cfRule>
    <cfRule type="cellIs" dxfId="26148" priority="11872" stopIfTrue="1" operator="equal">
      <formula>"Napkin Hs"</formula>
    </cfRule>
  </conditionalFormatting>
  <conditionalFormatting sqref="B68:C68">
    <cfRule type="cellIs" dxfId="26147" priority="11869" stopIfTrue="1" operator="equal">
      <formula>"Towel"</formula>
    </cfRule>
    <cfRule type="cellIs" dxfId="26146" priority="11870" stopIfTrue="1" operator="equal">
      <formula>"Napkin Hs"</formula>
    </cfRule>
  </conditionalFormatting>
  <conditionalFormatting sqref="C68">
    <cfRule type="cellIs" dxfId="26145" priority="11867" stopIfTrue="1" operator="equal">
      <formula>"Towel"</formula>
    </cfRule>
    <cfRule type="cellIs" dxfId="26144" priority="11868" stopIfTrue="1" operator="equal">
      <formula>"Napkin Hs"</formula>
    </cfRule>
  </conditionalFormatting>
  <conditionalFormatting sqref="C68">
    <cfRule type="cellIs" dxfId="26143" priority="11865" stopIfTrue="1" operator="equal">
      <formula>"Towel"</formula>
    </cfRule>
    <cfRule type="cellIs" dxfId="26142" priority="11866" stopIfTrue="1" operator="equal">
      <formula>"Napkin Hs"</formula>
    </cfRule>
  </conditionalFormatting>
  <conditionalFormatting sqref="B68:C68">
    <cfRule type="cellIs" dxfId="26141" priority="11863" stopIfTrue="1" operator="equal">
      <formula>"Towel"</formula>
    </cfRule>
    <cfRule type="cellIs" dxfId="26140" priority="11864" stopIfTrue="1" operator="equal">
      <formula>"Napkin Hs"</formula>
    </cfRule>
  </conditionalFormatting>
  <conditionalFormatting sqref="C68">
    <cfRule type="cellIs" dxfId="26139" priority="11861" stopIfTrue="1" operator="equal">
      <formula>"Towel"</formula>
    </cfRule>
    <cfRule type="cellIs" dxfId="26138" priority="11862" stopIfTrue="1" operator="equal">
      <formula>"Napkin Hs"</formula>
    </cfRule>
  </conditionalFormatting>
  <conditionalFormatting sqref="C68">
    <cfRule type="cellIs" dxfId="26137" priority="11859" stopIfTrue="1" operator="equal">
      <formula>"Towel"</formula>
    </cfRule>
    <cfRule type="cellIs" dxfId="26136" priority="11860" stopIfTrue="1" operator="equal">
      <formula>"Napkin Hs"</formula>
    </cfRule>
  </conditionalFormatting>
  <conditionalFormatting sqref="B68:C68">
    <cfRule type="cellIs" dxfId="26135" priority="11857" stopIfTrue="1" operator="equal">
      <formula>"Towel"</formula>
    </cfRule>
    <cfRule type="cellIs" dxfId="26134" priority="11858" stopIfTrue="1" operator="equal">
      <formula>"Napkin Hs"</formula>
    </cfRule>
  </conditionalFormatting>
  <conditionalFormatting sqref="C68">
    <cfRule type="cellIs" dxfId="26133" priority="11855" stopIfTrue="1" operator="equal">
      <formula>"Towel"</formula>
    </cfRule>
    <cfRule type="cellIs" dxfId="26132" priority="11856" stopIfTrue="1" operator="equal">
      <formula>"Napkin Hs"</formula>
    </cfRule>
  </conditionalFormatting>
  <conditionalFormatting sqref="C68">
    <cfRule type="cellIs" dxfId="26131" priority="11853" stopIfTrue="1" operator="equal">
      <formula>"Towel"</formula>
    </cfRule>
    <cfRule type="cellIs" dxfId="26130" priority="11854" stopIfTrue="1" operator="equal">
      <formula>"Napkin Hs"</formula>
    </cfRule>
  </conditionalFormatting>
  <conditionalFormatting sqref="B68:C68">
    <cfRule type="cellIs" dxfId="26129" priority="11851" stopIfTrue="1" operator="equal">
      <formula>"Towel"</formula>
    </cfRule>
    <cfRule type="cellIs" dxfId="26128" priority="11852" stopIfTrue="1" operator="equal">
      <formula>"Napkin Hs"</formula>
    </cfRule>
  </conditionalFormatting>
  <conditionalFormatting sqref="C68">
    <cfRule type="cellIs" dxfId="26127" priority="11849" stopIfTrue="1" operator="equal">
      <formula>"Towel"</formula>
    </cfRule>
    <cfRule type="cellIs" dxfId="26126" priority="11850" stopIfTrue="1" operator="equal">
      <formula>"Napkin Hs"</formula>
    </cfRule>
  </conditionalFormatting>
  <conditionalFormatting sqref="C68">
    <cfRule type="cellIs" dxfId="26125" priority="11847" stopIfTrue="1" operator="equal">
      <formula>"Towel"</formula>
    </cfRule>
    <cfRule type="cellIs" dxfId="26124" priority="11848" stopIfTrue="1" operator="equal">
      <formula>"Napkin Hs"</formula>
    </cfRule>
  </conditionalFormatting>
  <conditionalFormatting sqref="B68:C68">
    <cfRule type="cellIs" dxfId="26123" priority="11845" stopIfTrue="1" operator="equal">
      <formula>"Towel"</formula>
    </cfRule>
    <cfRule type="cellIs" dxfId="26122" priority="11846" stopIfTrue="1" operator="equal">
      <formula>"Napkin Hs"</formula>
    </cfRule>
  </conditionalFormatting>
  <conditionalFormatting sqref="C68">
    <cfRule type="cellIs" dxfId="26121" priority="11843" stopIfTrue="1" operator="equal">
      <formula>"Towel"</formula>
    </cfRule>
    <cfRule type="cellIs" dxfId="26120" priority="11844" stopIfTrue="1" operator="equal">
      <formula>"Napkin Hs"</formula>
    </cfRule>
  </conditionalFormatting>
  <conditionalFormatting sqref="C68">
    <cfRule type="cellIs" dxfId="26119" priority="11841" stopIfTrue="1" operator="equal">
      <formula>"Towel"</formula>
    </cfRule>
    <cfRule type="cellIs" dxfId="26118" priority="11842" stopIfTrue="1" operator="equal">
      <formula>"Napkin Hs"</formula>
    </cfRule>
  </conditionalFormatting>
  <conditionalFormatting sqref="B68:C68">
    <cfRule type="cellIs" dxfId="26117" priority="11840" stopIfTrue="1" operator="equal">
      <formula>"Napkin Hs"</formula>
    </cfRule>
  </conditionalFormatting>
  <conditionalFormatting sqref="B68:C68">
    <cfRule type="cellIs" dxfId="26116" priority="11839" stopIfTrue="1" operator="equal">
      <formula>"Towel"</formula>
    </cfRule>
  </conditionalFormatting>
  <conditionalFormatting sqref="C68">
    <cfRule type="cellIs" dxfId="26115" priority="11838" stopIfTrue="1" operator="equal">
      <formula>"Napkin Hs"</formula>
    </cfRule>
  </conditionalFormatting>
  <conditionalFormatting sqref="C68">
    <cfRule type="cellIs" dxfId="26114" priority="11835" stopIfTrue="1" operator="equal">
      <formula>"Towel"</formula>
    </cfRule>
    <cfRule type="cellIs" dxfId="26113" priority="11836" stopIfTrue="1" operator="equal">
      <formula>"Napkin Hs"</formula>
    </cfRule>
  </conditionalFormatting>
  <conditionalFormatting sqref="C68">
    <cfRule type="cellIs" dxfId="26112" priority="11837" stopIfTrue="1" operator="equal">
      <formula>"Towel"</formula>
    </cfRule>
  </conditionalFormatting>
  <conditionalFormatting sqref="B68:C68">
    <cfRule type="cellIs" dxfId="26111" priority="11833" stopIfTrue="1" operator="equal">
      <formula>"Towel"</formula>
    </cfRule>
    <cfRule type="cellIs" dxfId="26110" priority="11834" stopIfTrue="1" operator="equal">
      <formula>"Napkin Hs"</formula>
    </cfRule>
  </conditionalFormatting>
  <conditionalFormatting sqref="C68">
    <cfRule type="cellIs" dxfId="26109" priority="11829" stopIfTrue="1" operator="equal">
      <formula>"Towel"</formula>
    </cfRule>
    <cfRule type="cellIs" dxfId="26108" priority="11830" stopIfTrue="1" operator="equal">
      <formula>"Napkin Hs"</formula>
    </cfRule>
  </conditionalFormatting>
  <conditionalFormatting sqref="C68">
    <cfRule type="cellIs" dxfId="26107" priority="11831" stopIfTrue="1" operator="equal">
      <formula>"Towel"</formula>
    </cfRule>
    <cfRule type="cellIs" dxfId="26106" priority="11832" stopIfTrue="1" operator="equal">
      <formula>"Napkin Hs"</formula>
    </cfRule>
  </conditionalFormatting>
  <conditionalFormatting sqref="B68:C68">
    <cfRule type="cellIs" dxfId="26105" priority="11827" stopIfTrue="1" operator="equal">
      <formula>"Towel"</formula>
    </cfRule>
    <cfRule type="cellIs" dxfId="26104" priority="11828" stopIfTrue="1" operator="equal">
      <formula>"Napkin Hs"</formula>
    </cfRule>
  </conditionalFormatting>
  <conditionalFormatting sqref="C68">
    <cfRule type="cellIs" dxfId="26103" priority="11823" stopIfTrue="1" operator="equal">
      <formula>"Towel"</formula>
    </cfRule>
    <cfRule type="cellIs" dxfId="26102" priority="11824" stopIfTrue="1" operator="equal">
      <formula>"Napkin Hs"</formula>
    </cfRule>
  </conditionalFormatting>
  <conditionalFormatting sqref="C68">
    <cfRule type="cellIs" dxfId="26101" priority="11825" stopIfTrue="1" operator="equal">
      <formula>"Towel"</formula>
    </cfRule>
    <cfRule type="cellIs" dxfId="26100" priority="11826" stopIfTrue="1" operator="equal">
      <formula>"Napkin Hs"</formula>
    </cfRule>
  </conditionalFormatting>
  <conditionalFormatting sqref="B68:C68">
    <cfRule type="cellIs" dxfId="26099" priority="11821" stopIfTrue="1" operator="equal">
      <formula>"Towel"</formula>
    </cfRule>
    <cfRule type="cellIs" dxfId="26098" priority="11822" stopIfTrue="1" operator="equal">
      <formula>"Napkin Hs"</formula>
    </cfRule>
  </conditionalFormatting>
  <conditionalFormatting sqref="C68">
    <cfRule type="cellIs" dxfId="26097" priority="11819" stopIfTrue="1" operator="equal">
      <formula>"Towel"</formula>
    </cfRule>
    <cfRule type="cellIs" dxfId="26096" priority="11820" stopIfTrue="1" operator="equal">
      <formula>"Napkin Hs"</formula>
    </cfRule>
  </conditionalFormatting>
  <conditionalFormatting sqref="C68">
    <cfRule type="cellIs" dxfId="26095" priority="11817" stopIfTrue="1" operator="equal">
      <formula>"Towel"</formula>
    </cfRule>
    <cfRule type="cellIs" dxfId="26094" priority="11818" stopIfTrue="1" operator="equal">
      <formula>"Napkin Hs"</formula>
    </cfRule>
  </conditionalFormatting>
  <conditionalFormatting sqref="B68:C68">
    <cfRule type="cellIs" dxfId="26093" priority="11816" stopIfTrue="1" operator="equal">
      <formula>"Napkin Hs"</formula>
    </cfRule>
  </conditionalFormatting>
  <conditionalFormatting sqref="B68:C68">
    <cfRule type="cellIs" dxfId="26092" priority="11815" stopIfTrue="1" operator="equal">
      <formula>"Towel"</formula>
    </cfRule>
  </conditionalFormatting>
  <conditionalFormatting sqref="C68">
    <cfRule type="cellIs" dxfId="26091" priority="11814" stopIfTrue="1" operator="equal">
      <formula>"Napkin Hs"</formula>
    </cfRule>
  </conditionalFormatting>
  <conditionalFormatting sqref="C68">
    <cfRule type="cellIs" dxfId="26090" priority="11813" stopIfTrue="1" operator="equal">
      <formula>"Towel"</formula>
    </cfRule>
  </conditionalFormatting>
  <conditionalFormatting sqref="C68">
    <cfRule type="cellIs" dxfId="26089" priority="11811" stopIfTrue="1" operator="equal">
      <formula>"Towel"</formula>
    </cfRule>
    <cfRule type="cellIs" dxfId="26088" priority="11812" stopIfTrue="1" operator="equal">
      <formula>"Napkin Hs"</formula>
    </cfRule>
  </conditionalFormatting>
  <conditionalFormatting sqref="C68">
    <cfRule type="cellIs" dxfId="26087" priority="11809" stopIfTrue="1" operator="equal">
      <formula>"Towel"</formula>
    </cfRule>
    <cfRule type="cellIs" dxfId="26086" priority="11810" stopIfTrue="1" operator="equal">
      <formula>"Napkin Hs"</formula>
    </cfRule>
  </conditionalFormatting>
  <conditionalFormatting sqref="C68">
    <cfRule type="cellIs" dxfId="26085" priority="11725" stopIfTrue="1" operator="equal">
      <formula>"Towel"</formula>
    </cfRule>
    <cfRule type="cellIs" dxfId="26084" priority="11726" stopIfTrue="1" operator="equal">
      <formula>"Napkin Hs"</formula>
    </cfRule>
  </conditionalFormatting>
  <conditionalFormatting sqref="C68">
    <cfRule type="cellIs" dxfId="26083" priority="11719" stopIfTrue="1" operator="equal">
      <formula>"Towel"</formula>
    </cfRule>
    <cfRule type="cellIs" dxfId="26082" priority="11720" stopIfTrue="1" operator="equal">
      <formula>"Napkin Hs"</formula>
    </cfRule>
  </conditionalFormatting>
  <conditionalFormatting sqref="C68">
    <cfRule type="cellIs" dxfId="26081" priority="11700" stopIfTrue="1" operator="equal">
      <formula>"Napkin Hs"</formula>
    </cfRule>
  </conditionalFormatting>
  <conditionalFormatting sqref="C68">
    <cfRule type="cellIs" dxfId="26080" priority="11699" stopIfTrue="1" operator="equal">
      <formula>"Towel"</formula>
    </cfRule>
  </conditionalFormatting>
  <conditionalFormatting sqref="C68">
    <cfRule type="cellIs" dxfId="26079" priority="11698" stopIfTrue="1" operator="equal">
      <formula>"Napkin Hs"</formula>
    </cfRule>
  </conditionalFormatting>
  <conditionalFormatting sqref="C68">
    <cfRule type="cellIs" dxfId="26078" priority="11695" stopIfTrue="1" operator="equal">
      <formula>"Towel"</formula>
    </cfRule>
    <cfRule type="cellIs" dxfId="26077" priority="11696" stopIfTrue="1" operator="equal">
      <formula>"Napkin Hs"</formula>
    </cfRule>
  </conditionalFormatting>
  <conditionalFormatting sqref="C68">
    <cfRule type="cellIs" dxfId="26076" priority="11697" stopIfTrue="1" operator="equal">
      <formula>"Towel"</formula>
    </cfRule>
  </conditionalFormatting>
  <conditionalFormatting sqref="C68">
    <cfRule type="cellIs" dxfId="26075" priority="11694" stopIfTrue="1" operator="equal">
      <formula>"Napkin Hs"</formula>
    </cfRule>
  </conditionalFormatting>
  <conditionalFormatting sqref="C68">
    <cfRule type="cellIs" dxfId="26074" priority="11693" stopIfTrue="1" operator="equal">
      <formula>"Towel"</formula>
    </cfRule>
  </conditionalFormatting>
  <conditionalFormatting sqref="C68">
    <cfRule type="cellIs" dxfId="26073" priority="11692" stopIfTrue="1" operator="equal">
      <formula>"Napkin Hs"</formula>
    </cfRule>
  </conditionalFormatting>
  <conditionalFormatting sqref="C68">
    <cfRule type="cellIs" dxfId="26072" priority="11689" stopIfTrue="1" operator="equal">
      <formula>"Towel"</formula>
    </cfRule>
    <cfRule type="cellIs" dxfId="26071" priority="11690" stopIfTrue="1" operator="equal">
      <formula>"Napkin Hs"</formula>
    </cfRule>
  </conditionalFormatting>
  <conditionalFormatting sqref="C68">
    <cfRule type="cellIs" dxfId="26070" priority="11691" stopIfTrue="1" operator="equal">
      <formula>"Towel"</formula>
    </cfRule>
  </conditionalFormatting>
  <conditionalFormatting sqref="C68">
    <cfRule type="cellIs" dxfId="26069" priority="11795" stopIfTrue="1" operator="equal">
      <formula>"Towel"</formula>
    </cfRule>
    <cfRule type="cellIs" dxfId="26068" priority="11796" stopIfTrue="1" operator="equal">
      <formula>"Napkin Hs"</formula>
    </cfRule>
  </conditionalFormatting>
  <conditionalFormatting sqref="C68">
    <cfRule type="cellIs" dxfId="26067" priority="11793" stopIfTrue="1" operator="equal">
      <formula>"Towel"</formula>
    </cfRule>
    <cfRule type="cellIs" dxfId="26066" priority="11794" stopIfTrue="1" operator="equal">
      <formula>"Napkin Hs"</formula>
    </cfRule>
  </conditionalFormatting>
  <conditionalFormatting sqref="C68">
    <cfRule type="cellIs" dxfId="26065" priority="11791" stopIfTrue="1" operator="equal">
      <formula>"Towel"</formula>
    </cfRule>
    <cfRule type="cellIs" dxfId="26064" priority="11792" stopIfTrue="1" operator="equal">
      <formula>"Napkin Hs"</formula>
    </cfRule>
  </conditionalFormatting>
  <conditionalFormatting sqref="C68">
    <cfRule type="cellIs" dxfId="26063" priority="11790" stopIfTrue="1" operator="equal">
      <formula>"Napkin Hs"</formula>
    </cfRule>
  </conditionalFormatting>
  <conditionalFormatting sqref="C68">
    <cfRule type="cellIs" dxfId="26062" priority="11789" stopIfTrue="1" operator="equal">
      <formula>"Towel"</formula>
    </cfRule>
  </conditionalFormatting>
  <conditionalFormatting sqref="C68">
    <cfRule type="cellIs" dxfId="26061" priority="11788" stopIfTrue="1" operator="equal">
      <formula>"Napkin Hs"</formula>
    </cfRule>
  </conditionalFormatting>
  <conditionalFormatting sqref="C68">
    <cfRule type="cellIs" dxfId="26060" priority="11787" stopIfTrue="1" operator="equal">
      <formula>"Towel"</formula>
    </cfRule>
  </conditionalFormatting>
  <conditionalFormatting sqref="C68">
    <cfRule type="cellIs" dxfId="26059" priority="11785" stopIfTrue="1" operator="equal">
      <formula>"Towel"</formula>
    </cfRule>
    <cfRule type="cellIs" dxfId="26058" priority="11786" stopIfTrue="1" operator="equal">
      <formula>"Napkin Hs"</formula>
    </cfRule>
  </conditionalFormatting>
  <conditionalFormatting sqref="C68">
    <cfRule type="cellIs" dxfId="26057" priority="11783" stopIfTrue="1" operator="equal">
      <formula>"Towel"</formula>
    </cfRule>
    <cfRule type="cellIs" dxfId="26056" priority="11784" stopIfTrue="1" operator="equal">
      <formula>"Napkin Hs"</formula>
    </cfRule>
  </conditionalFormatting>
  <conditionalFormatting sqref="C68">
    <cfRule type="cellIs" dxfId="26055" priority="11779" stopIfTrue="1" operator="equal">
      <formula>"Towel"</formula>
    </cfRule>
    <cfRule type="cellIs" dxfId="26054" priority="11780" stopIfTrue="1" operator="equal">
      <formula>"Napkin Hs"</formula>
    </cfRule>
  </conditionalFormatting>
  <conditionalFormatting sqref="C68">
    <cfRule type="cellIs" dxfId="26053" priority="11781" stopIfTrue="1" operator="equal">
      <formula>"Towel"</formula>
    </cfRule>
    <cfRule type="cellIs" dxfId="26052" priority="11782" stopIfTrue="1" operator="equal">
      <formula>"Napkin Hs"</formula>
    </cfRule>
  </conditionalFormatting>
  <conditionalFormatting sqref="C68">
    <cfRule type="cellIs" dxfId="26051" priority="11773" stopIfTrue="1" operator="equal">
      <formula>"Towel"</formula>
    </cfRule>
    <cfRule type="cellIs" dxfId="26050" priority="11774" stopIfTrue="1" operator="equal">
      <formula>"Napkin Hs"</formula>
    </cfRule>
  </conditionalFormatting>
  <conditionalFormatting sqref="C68">
    <cfRule type="cellIs" dxfId="26049" priority="11771" stopIfTrue="1" operator="equal">
      <formula>"Towel"</formula>
    </cfRule>
    <cfRule type="cellIs" dxfId="26048" priority="11772" stopIfTrue="1" operator="equal">
      <formula>"Napkin Hs"</formula>
    </cfRule>
  </conditionalFormatting>
  <conditionalFormatting sqref="C68">
    <cfRule type="cellIs" dxfId="26047" priority="11769" stopIfTrue="1" operator="equal">
      <formula>"Towel"</formula>
    </cfRule>
    <cfRule type="cellIs" dxfId="26046" priority="11770" stopIfTrue="1" operator="equal">
      <formula>"Napkin Hs"</formula>
    </cfRule>
  </conditionalFormatting>
  <conditionalFormatting sqref="C68">
    <cfRule type="cellIs" dxfId="26045" priority="11767" stopIfTrue="1" operator="equal">
      <formula>"Towel"</formula>
    </cfRule>
    <cfRule type="cellIs" dxfId="26044" priority="11768" stopIfTrue="1" operator="equal">
      <formula>"Napkin Hs"</formula>
    </cfRule>
  </conditionalFormatting>
  <conditionalFormatting sqref="C68">
    <cfRule type="cellIs" dxfId="26043" priority="11765" stopIfTrue="1" operator="equal">
      <formula>"Towel"</formula>
    </cfRule>
    <cfRule type="cellIs" dxfId="26042" priority="11766" stopIfTrue="1" operator="equal">
      <formula>"Napkin Hs"</formula>
    </cfRule>
  </conditionalFormatting>
  <conditionalFormatting sqref="C68">
    <cfRule type="cellIs" dxfId="26041" priority="11763" stopIfTrue="1" operator="equal">
      <formula>"Towel"</formula>
    </cfRule>
    <cfRule type="cellIs" dxfId="26040" priority="11764" stopIfTrue="1" operator="equal">
      <formula>"Napkin Hs"</formula>
    </cfRule>
  </conditionalFormatting>
  <conditionalFormatting sqref="C68">
    <cfRule type="cellIs" dxfId="26039" priority="11761" stopIfTrue="1" operator="equal">
      <formula>"Towel"</formula>
    </cfRule>
    <cfRule type="cellIs" dxfId="26038" priority="11762" stopIfTrue="1" operator="equal">
      <formula>"Napkin Hs"</formula>
    </cfRule>
  </conditionalFormatting>
  <conditionalFormatting sqref="C68">
    <cfRule type="cellIs" dxfId="26037" priority="11759" stopIfTrue="1" operator="equal">
      <formula>"Towel"</formula>
    </cfRule>
    <cfRule type="cellIs" dxfId="26036" priority="11760" stopIfTrue="1" operator="equal">
      <formula>"Napkin Hs"</formula>
    </cfRule>
  </conditionalFormatting>
  <conditionalFormatting sqref="C68">
    <cfRule type="cellIs" dxfId="26035" priority="11757" stopIfTrue="1" operator="equal">
      <formula>"Towel"</formula>
    </cfRule>
    <cfRule type="cellIs" dxfId="26034" priority="11758" stopIfTrue="1" operator="equal">
      <formula>"Napkin Hs"</formula>
    </cfRule>
  </conditionalFormatting>
  <conditionalFormatting sqref="C68">
    <cfRule type="cellIs" dxfId="26033" priority="11755" stopIfTrue="1" operator="equal">
      <formula>"Towel"</formula>
    </cfRule>
    <cfRule type="cellIs" dxfId="26032" priority="11756" stopIfTrue="1" operator="equal">
      <formula>"Napkin Hs"</formula>
    </cfRule>
  </conditionalFormatting>
  <conditionalFormatting sqref="C68">
    <cfRule type="cellIs" dxfId="26031" priority="11749" stopIfTrue="1" operator="equal">
      <formula>"Towel"</formula>
    </cfRule>
    <cfRule type="cellIs" dxfId="26030" priority="11750" stopIfTrue="1" operator="equal">
      <formula>"Napkin Hs"</formula>
    </cfRule>
  </conditionalFormatting>
  <conditionalFormatting sqref="C68">
    <cfRule type="cellIs" dxfId="26029" priority="11743" stopIfTrue="1" operator="equal">
      <formula>"Towel"</formula>
    </cfRule>
    <cfRule type="cellIs" dxfId="26028" priority="11744" stopIfTrue="1" operator="equal">
      <formula>"Napkin Hs"</formula>
    </cfRule>
  </conditionalFormatting>
  <conditionalFormatting sqref="C68">
    <cfRule type="cellIs" dxfId="26027" priority="11737" stopIfTrue="1" operator="equal">
      <formula>"Towel"</formula>
    </cfRule>
    <cfRule type="cellIs" dxfId="26026" priority="11738" stopIfTrue="1" operator="equal">
      <formula>"Napkin Hs"</formula>
    </cfRule>
  </conditionalFormatting>
  <conditionalFormatting sqref="C68">
    <cfRule type="cellIs" dxfId="26025" priority="11736" stopIfTrue="1" operator="equal">
      <formula>"Napkin Hs"</formula>
    </cfRule>
  </conditionalFormatting>
  <conditionalFormatting sqref="C68">
    <cfRule type="cellIs" dxfId="26024" priority="11735" stopIfTrue="1" operator="equal">
      <formula>"Towel"</formula>
    </cfRule>
  </conditionalFormatting>
  <conditionalFormatting sqref="C68">
    <cfRule type="cellIs" dxfId="26023" priority="11734" stopIfTrue="1" operator="equal">
      <formula>"Napkin Hs"</formula>
    </cfRule>
  </conditionalFormatting>
  <conditionalFormatting sqref="C68">
    <cfRule type="cellIs" dxfId="26022" priority="11733" stopIfTrue="1" operator="equal">
      <formula>"Towel"</formula>
    </cfRule>
  </conditionalFormatting>
  <conditionalFormatting sqref="C68">
    <cfRule type="cellIs" dxfId="26021" priority="11731" stopIfTrue="1" operator="equal">
      <formula>"Towel"</formula>
    </cfRule>
    <cfRule type="cellIs" dxfId="26020" priority="11732" stopIfTrue="1" operator="equal">
      <formula>"Napkin Hs"</formula>
    </cfRule>
  </conditionalFormatting>
  <conditionalFormatting sqref="C68">
    <cfRule type="cellIs" dxfId="26019" priority="11729" stopIfTrue="1" operator="equal">
      <formula>"Towel"</formula>
    </cfRule>
    <cfRule type="cellIs" dxfId="26018" priority="11730" stopIfTrue="1" operator="equal">
      <formula>"Napkin Hs"</formula>
    </cfRule>
  </conditionalFormatting>
  <conditionalFormatting sqref="C68">
    <cfRule type="cellIs" dxfId="26017" priority="11727" stopIfTrue="1" operator="equal">
      <formula>"Towel"</formula>
    </cfRule>
    <cfRule type="cellIs" dxfId="26016" priority="11728" stopIfTrue="1" operator="equal">
      <formula>"Napkin Hs"</formula>
    </cfRule>
  </conditionalFormatting>
  <conditionalFormatting sqref="C68">
    <cfRule type="cellIs" dxfId="26015" priority="11717" stopIfTrue="1" operator="equal">
      <formula>"Towel"</formula>
    </cfRule>
    <cfRule type="cellIs" dxfId="26014" priority="11718" stopIfTrue="1" operator="equal">
      <formula>"Napkin Hs"</formula>
    </cfRule>
  </conditionalFormatting>
  <conditionalFormatting sqref="C68">
    <cfRule type="cellIs" dxfId="26013" priority="11715" stopIfTrue="1" operator="equal">
      <formula>"Towel"</formula>
    </cfRule>
    <cfRule type="cellIs" dxfId="26012" priority="11716" stopIfTrue="1" operator="equal">
      <formula>"Napkin Hs"</formula>
    </cfRule>
  </conditionalFormatting>
  <conditionalFormatting sqref="C68">
    <cfRule type="cellIs" dxfId="26011" priority="11713" stopIfTrue="1" operator="equal">
      <formula>"Towel"</formula>
    </cfRule>
    <cfRule type="cellIs" dxfId="26010" priority="11714" stopIfTrue="1" operator="equal">
      <formula>"Napkin Hs"</formula>
    </cfRule>
  </conditionalFormatting>
  <conditionalFormatting sqref="C68">
    <cfRule type="cellIs" dxfId="26009" priority="11711" stopIfTrue="1" operator="equal">
      <formula>"Towel"</formula>
    </cfRule>
    <cfRule type="cellIs" dxfId="26008" priority="11712" stopIfTrue="1" operator="equal">
      <formula>"Napkin Hs"</formula>
    </cfRule>
  </conditionalFormatting>
  <conditionalFormatting sqref="C68">
    <cfRule type="cellIs" dxfId="26007" priority="11709" stopIfTrue="1" operator="equal">
      <formula>"Towel"</formula>
    </cfRule>
    <cfRule type="cellIs" dxfId="26006" priority="11710" stopIfTrue="1" operator="equal">
      <formula>"Napkin Hs"</formula>
    </cfRule>
  </conditionalFormatting>
  <conditionalFormatting sqref="C68">
    <cfRule type="cellIs" dxfId="26005" priority="11707" stopIfTrue="1" operator="equal">
      <formula>"Towel"</formula>
    </cfRule>
    <cfRule type="cellIs" dxfId="26004" priority="11708" stopIfTrue="1" operator="equal">
      <formula>"Napkin Hs"</formula>
    </cfRule>
  </conditionalFormatting>
  <conditionalFormatting sqref="C68">
    <cfRule type="cellIs" dxfId="26003" priority="11705" stopIfTrue="1" operator="equal">
      <formula>"Towel"</formula>
    </cfRule>
    <cfRule type="cellIs" dxfId="26002" priority="11706" stopIfTrue="1" operator="equal">
      <formula>"Napkin Hs"</formula>
    </cfRule>
  </conditionalFormatting>
  <conditionalFormatting sqref="C68">
    <cfRule type="cellIs" dxfId="26001" priority="11703" stopIfTrue="1" operator="equal">
      <formula>"Towel"</formula>
    </cfRule>
    <cfRule type="cellIs" dxfId="26000" priority="11704" stopIfTrue="1" operator="equal">
      <formula>"Napkin Hs"</formula>
    </cfRule>
  </conditionalFormatting>
  <conditionalFormatting sqref="C68">
    <cfRule type="cellIs" dxfId="25999" priority="11701" stopIfTrue="1" operator="equal">
      <formula>"Towel"</formula>
    </cfRule>
    <cfRule type="cellIs" dxfId="25998" priority="11702" stopIfTrue="1" operator="equal">
      <formula>"Napkin Hs"</formula>
    </cfRule>
  </conditionalFormatting>
  <conditionalFormatting sqref="C68">
    <cfRule type="cellIs" dxfId="25997" priority="11688" stopIfTrue="1" operator="equal">
      <formula>"Napkin Hs"</formula>
    </cfRule>
  </conditionalFormatting>
  <conditionalFormatting sqref="C68">
    <cfRule type="cellIs" dxfId="25996" priority="11687" stopIfTrue="1" operator="equal">
      <formula>"Towel"</formula>
    </cfRule>
  </conditionalFormatting>
  <conditionalFormatting sqref="C68">
    <cfRule type="cellIs" dxfId="25995" priority="11686" stopIfTrue="1" operator="equal">
      <formula>"Napkin Hs"</formula>
    </cfRule>
  </conditionalFormatting>
  <conditionalFormatting sqref="C68">
    <cfRule type="cellIs" dxfId="25994" priority="11683" stopIfTrue="1" operator="equal">
      <formula>"Towel"</formula>
    </cfRule>
    <cfRule type="cellIs" dxfId="25993" priority="11684" stopIfTrue="1" operator="equal">
      <formula>"Napkin Hs"</formula>
    </cfRule>
  </conditionalFormatting>
  <conditionalFormatting sqref="C68">
    <cfRule type="cellIs" dxfId="25992" priority="11685" stopIfTrue="1" operator="equal">
      <formula>"Towel"</formula>
    </cfRule>
  </conditionalFormatting>
  <conditionalFormatting sqref="C68">
    <cfRule type="cellIs" dxfId="25991" priority="11803" stopIfTrue="1" operator="equal">
      <formula>"Towel"</formula>
    </cfRule>
    <cfRule type="cellIs" dxfId="25990" priority="11804" stopIfTrue="1" operator="equal">
      <formula>"Napkin Hs"</formula>
    </cfRule>
  </conditionalFormatting>
  <conditionalFormatting sqref="C68">
    <cfRule type="cellIs" dxfId="25989" priority="11802" stopIfTrue="1" operator="equal">
      <formula>"Napkin Hs"</formula>
    </cfRule>
  </conditionalFormatting>
  <conditionalFormatting sqref="C68">
    <cfRule type="cellIs" dxfId="25988" priority="11801" stopIfTrue="1" operator="equal">
      <formula>"Towel"</formula>
    </cfRule>
  </conditionalFormatting>
  <conditionalFormatting sqref="C68">
    <cfRule type="cellIs" dxfId="25987" priority="11800" stopIfTrue="1" operator="equal">
      <formula>"Napkin Hs"</formula>
    </cfRule>
  </conditionalFormatting>
  <conditionalFormatting sqref="C68">
    <cfRule type="cellIs" dxfId="25986" priority="11797" stopIfTrue="1" operator="equal">
      <formula>"Towel"</formula>
    </cfRule>
    <cfRule type="cellIs" dxfId="25985" priority="11798" stopIfTrue="1" operator="equal">
      <formula>"Napkin Hs"</formula>
    </cfRule>
  </conditionalFormatting>
  <conditionalFormatting sqref="C68">
    <cfRule type="cellIs" dxfId="25984" priority="11799" stopIfTrue="1" operator="equal">
      <formula>"Towel"</formula>
    </cfRule>
  </conditionalFormatting>
  <conditionalFormatting sqref="C68">
    <cfRule type="cellIs" dxfId="25983" priority="11807" stopIfTrue="1" operator="equal">
      <formula>"Towel"</formula>
    </cfRule>
    <cfRule type="cellIs" dxfId="25982" priority="11808" stopIfTrue="1" operator="equal">
      <formula>"Napkin Hs"</formula>
    </cfRule>
  </conditionalFormatting>
  <conditionalFormatting sqref="C68">
    <cfRule type="cellIs" dxfId="25981" priority="11805" stopIfTrue="1" operator="equal">
      <formula>"Towel"</formula>
    </cfRule>
    <cfRule type="cellIs" dxfId="25980" priority="11806" stopIfTrue="1" operator="equal">
      <formula>"Napkin Hs"</formula>
    </cfRule>
  </conditionalFormatting>
  <conditionalFormatting sqref="C68">
    <cfRule type="cellIs" dxfId="25979" priority="11777" stopIfTrue="1" operator="equal">
      <formula>"Towel"</formula>
    </cfRule>
    <cfRule type="cellIs" dxfId="25978" priority="11778" stopIfTrue="1" operator="equal">
      <formula>"Napkin Hs"</formula>
    </cfRule>
  </conditionalFormatting>
  <conditionalFormatting sqref="C68">
    <cfRule type="cellIs" dxfId="25977" priority="11775" stopIfTrue="1" operator="equal">
      <formula>"Towel"</formula>
    </cfRule>
    <cfRule type="cellIs" dxfId="25976" priority="11776" stopIfTrue="1" operator="equal">
      <formula>"Napkin Hs"</formula>
    </cfRule>
  </conditionalFormatting>
  <conditionalFormatting sqref="C68">
    <cfRule type="cellIs" dxfId="25975" priority="11754" stopIfTrue="1" operator="equal">
      <formula>"Napkin Hs"</formula>
    </cfRule>
  </conditionalFormatting>
  <conditionalFormatting sqref="C68">
    <cfRule type="cellIs" dxfId="25974" priority="11753" stopIfTrue="1" operator="equal">
      <formula>"Towel"</formula>
    </cfRule>
  </conditionalFormatting>
  <conditionalFormatting sqref="C68">
    <cfRule type="cellIs" dxfId="25973" priority="11752" stopIfTrue="1" operator="equal">
      <formula>"Napkin Hs"</formula>
    </cfRule>
  </conditionalFormatting>
  <conditionalFormatting sqref="C68">
    <cfRule type="cellIs" dxfId="25972" priority="11751" stopIfTrue="1" operator="equal">
      <formula>"Towel"</formula>
    </cfRule>
  </conditionalFormatting>
  <conditionalFormatting sqref="C68">
    <cfRule type="cellIs" dxfId="25971" priority="11748" stopIfTrue="1" operator="equal">
      <formula>"Napkin Hs"</formula>
    </cfRule>
  </conditionalFormatting>
  <conditionalFormatting sqref="C68">
    <cfRule type="cellIs" dxfId="25970" priority="11747" stopIfTrue="1" operator="equal">
      <formula>"Towel"</formula>
    </cfRule>
  </conditionalFormatting>
  <conditionalFormatting sqref="C68">
    <cfRule type="cellIs" dxfId="25969" priority="11746" stopIfTrue="1" operator="equal">
      <formula>"Napkin Hs"</formula>
    </cfRule>
  </conditionalFormatting>
  <conditionalFormatting sqref="C68">
    <cfRule type="cellIs" dxfId="25968" priority="11745" stopIfTrue="1" operator="equal">
      <formula>"Towel"</formula>
    </cfRule>
  </conditionalFormatting>
  <conditionalFormatting sqref="C68">
    <cfRule type="cellIs" dxfId="25967" priority="11741" stopIfTrue="1" operator="equal">
      <formula>"Towel"</formula>
    </cfRule>
    <cfRule type="cellIs" dxfId="25966" priority="11742" stopIfTrue="1" operator="equal">
      <formula>"Napkin Hs"</formula>
    </cfRule>
  </conditionalFormatting>
  <conditionalFormatting sqref="C68">
    <cfRule type="cellIs" dxfId="25965" priority="11739" stopIfTrue="1" operator="equal">
      <formula>"Towel"</formula>
    </cfRule>
    <cfRule type="cellIs" dxfId="25964" priority="11740" stopIfTrue="1" operator="equal">
      <formula>"Napkin Hs"</formula>
    </cfRule>
  </conditionalFormatting>
  <conditionalFormatting sqref="C68">
    <cfRule type="cellIs" dxfId="25963" priority="11723" stopIfTrue="1" operator="equal">
      <formula>"Towel"</formula>
    </cfRule>
    <cfRule type="cellIs" dxfId="25962" priority="11724" stopIfTrue="1" operator="equal">
      <formula>"Napkin Hs"</formula>
    </cfRule>
  </conditionalFormatting>
  <conditionalFormatting sqref="C68">
    <cfRule type="cellIs" dxfId="25961" priority="11721" stopIfTrue="1" operator="equal">
      <formula>"Towel"</formula>
    </cfRule>
    <cfRule type="cellIs" dxfId="25960" priority="11722" stopIfTrue="1" operator="equal">
      <formula>"Napkin Hs"</formula>
    </cfRule>
  </conditionalFormatting>
  <conditionalFormatting sqref="B68:C68">
    <cfRule type="cellIs" dxfId="25959" priority="11682" stopIfTrue="1" operator="equal">
      <formula>"Napkin Hs"</formula>
    </cfRule>
  </conditionalFormatting>
  <conditionalFormatting sqref="B68:C68">
    <cfRule type="cellIs" dxfId="25958" priority="11681" stopIfTrue="1" operator="equal">
      <formula>"Towel"</formula>
    </cfRule>
  </conditionalFormatting>
  <conditionalFormatting sqref="C68">
    <cfRule type="cellIs" dxfId="25957" priority="11680" stopIfTrue="1" operator="equal">
      <formula>"Napkin Hs"</formula>
    </cfRule>
  </conditionalFormatting>
  <conditionalFormatting sqref="C68">
    <cfRule type="cellIs" dxfId="25956" priority="11677" stopIfTrue="1" operator="equal">
      <formula>"Towel"</formula>
    </cfRule>
    <cfRule type="cellIs" dxfId="25955" priority="11678" stopIfTrue="1" operator="equal">
      <formula>"Napkin Hs"</formula>
    </cfRule>
  </conditionalFormatting>
  <conditionalFormatting sqref="C68">
    <cfRule type="cellIs" dxfId="25954" priority="11679" stopIfTrue="1" operator="equal">
      <formula>"Towel"</formula>
    </cfRule>
  </conditionalFormatting>
  <conditionalFormatting sqref="B65:C65">
    <cfRule type="cellIs" dxfId="25953" priority="11676" stopIfTrue="1" operator="equal">
      <formula>"Napkin Hs"</formula>
    </cfRule>
  </conditionalFormatting>
  <conditionalFormatting sqref="B65:C65">
    <cfRule type="cellIs" dxfId="25952" priority="11675" stopIfTrue="1" operator="equal">
      <formula>"Towel"</formula>
    </cfRule>
  </conditionalFormatting>
  <conditionalFormatting sqref="C65">
    <cfRule type="cellIs" dxfId="25951" priority="11674" stopIfTrue="1" operator="equal">
      <formula>"Napkin Hs"</formula>
    </cfRule>
  </conditionalFormatting>
  <conditionalFormatting sqref="C65">
    <cfRule type="cellIs" dxfId="25950" priority="11673" stopIfTrue="1" operator="equal">
      <formula>"Towel"</formula>
    </cfRule>
  </conditionalFormatting>
  <conditionalFormatting sqref="C65">
    <cfRule type="cellIs" dxfId="25949" priority="11671" stopIfTrue="1" operator="equal">
      <formula>"Towel"</formula>
    </cfRule>
    <cfRule type="cellIs" dxfId="25948" priority="11672" stopIfTrue="1" operator="equal">
      <formula>"Napkin Hs"</formula>
    </cfRule>
  </conditionalFormatting>
  <conditionalFormatting sqref="C65">
    <cfRule type="cellIs" dxfId="25947" priority="11587" stopIfTrue="1" operator="equal">
      <formula>"Towel"</formula>
    </cfRule>
    <cfRule type="cellIs" dxfId="25946" priority="11588" stopIfTrue="1" operator="equal">
      <formula>"Napkin Hs"</formula>
    </cfRule>
  </conditionalFormatting>
  <conditionalFormatting sqref="C65">
    <cfRule type="cellIs" dxfId="25945" priority="11581" stopIfTrue="1" operator="equal">
      <formula>"Towel"</formula>
    </cfRule>
    <cfRule type="cellIs" dxfId="25944" priority="11582" stopIfTrue="1" operator="equal">
      <formula>"Napkin Hs"</formula>
    </cfRule>
  </conditionalFormatting>
  <conditionalFormatting sqref="C65">
    <cfRule type="cellIs" dxfId="25943" priority="11562" stopIfTrue="1" operator="equal">
      <formula>"Napkin Hs"</formula>
    </cfRule>
  </conditionalFormatting>
  <conditionalFormatting sqref="C65">
    <cfRule type="cellIs" dxfId="25942" priority="11561" stopIfTrue="1" operator="equal">
      <formula>"Towel"</formula>
    </cfRule>
  </conditionalFormatting>
  <conditionalFormatting sqref="C65">
    <cfRule type="cellIs" dxfId="25941" priority="11560" stopIfTrue="1" operator="equal">
      <formula>"Napkin Hs"</formula>
    </cfRule>
  </conditionalFormatting>
  <conditionalFormatting sqref="C65">
    <cfRule type="cellIs" dxfId="25940" priority="11557" stopIfTrue="1" operator="equal">
      <formula>"Towel"</formula>
    </cfRule>
    <cfRule type="cellIs" dxfId="25939" priority="11558" stopIfTrue="1" operator="equal">
      <formula>"Napkin Hs"</formula>
    </cfRule>
  </conditionalFormatting>
  <conditionalFormatting sqref="C65">
    <cfRule type="cellIs" dxfId="25938" priority="11559" stopIfTrue="1" operator="equal">
      <formula>"Towel"</formula>
    </cfRule>
  </conditionalFormatting>
  <conditionalFormatting sqref="C65">
    <cfRule type="cellIs" dxfId="25937" priority="11556" stopIfTrue="1" operator="equal">
      <formula>"Napkin Hs"</formula>
    </cfRule>
  </conditionalFormatting>
  <conditionalFormatting sqref="C65">
    <cfRule type="cellIs" dxfId="25936" priority="11555" stopIfTrue="1" operator="equal">
      <formula>"Towel"</formula>
    </cfRule>
  </conditionalFormatting>
  <conditionalFormatting sqref="C65">
    <cfRule type="cellIs" dxfId="25935" priority="11554" stopIfTrue="1" operator="equal">
      <formula>"Napkin Hs"</formula>
    </cfRule>
  </conditionalFormatting>
  <conditionalFormatting sqref="C65">
    <cfRule type="cellIs" dxfId="25934" priority="11551" stopIfTrue="1" operator="equal">
      <formula>"Towel"</formula>
    </cfRule>
    <cfRule type="cellIs" dxfId="25933" priority="11552" stopIfTrue="1" operator="equal">
      <formula>"Napkin Hs"</formula>
    </cfRule>
  </conditionalFormatting>
  <conditionalFormatting sqref="C65">
    <cfRule type="cellIs" dxfId="25932" priority="11553" stopIfTrue="1" operator="equal">
      <formula>"Towel"</formula>
    </cfRule>
  </conditionalFormatting>
  <conditionalFormatting sqref="C65">
    <cfRule type="cellIs" dxfId="25931" priority="11657" stopIfTrue="1" operator="equal">
      <formula>"Towel"</formula>
    </cfRule>
    <cfRule type="cellIs" dxfId="25930" priority="11658" stopIfTrue="1" operator="equal">
      <formula>"Napkin Hs"</formula>
    </cfRule>
  </conditionalFormatting>
  <conditionalFormatting sqref="C65">
    <cfRule type="cellIs" dxfId="25929" priority="11655" stopIfTrue="1" operator="equal">
      <formula>"Towel"</formula>
    </cfRule>
    <cfRule type="cellIs" dxfId="25928" priority="11656" stopIfTrue="1" operator="equal">
      <formula>"Napkin Hs"</formula>
    </cfRule>
  </conditionalFormatting>
  <conditionalFormatting sqref="C65">
    <cfRule type="cellIs" dxfId="25927" priority="11653" stopIfTrue="1" operator="equal">
      <formula>"Towel"</formula>
    </cfRule>
    <cfRule type="cellIs" dxfId="25926" priority="11654" stopIfTrue="1" operator="equal">
      <formula>"Napkin Hs"</formula>
    </cfRule>
  </conditionalFormatting>
  <conditionalFormatting sqref="C65">
    <cfRule type="cellIs" dxfId="25925" priority="11652" stopIfTrue="1" operator="equal">
      <formula>"Napkin Hs"</formula>
    </cfRule>
  </conditionalFormatting>
  <conditionalFormatting sqref="C65">
    <cfRule type="cellIs" dxfId="25924" priority="11651" stopIfTrue="1" operator="equal">
      <formula>"Towel"</formula>
    </cfRule>
  </conditionalFormatting>
  <conditionalFormatting sqref="C65">
    <cfRule type="cellIs" dxfId="25923" priority="11650" stopIfTrue="1" operator="equal">
      <formula>"Napkin Hs"</formula>
    </cfRule>
  </conditionalFormatting>
  <conditionalFormatting sqref="C65">
    <cfRule type="cellIs" dxfId="25922" priority="11649" stopIfTrue="1" operator="equal">
      <formula>"Towel"</formula>
    </cfRule>
  </conditionalFormatting>
  <conditionalFormatting sqref="C65">
    <cfRule type="cellIs" dxfId="25921" priority="11647" stopIfTrue="1" operator="equal">
      <formula>"Towel"</formula>
    </cfRule>
    <cfRule type="cellIs" dxfId="25920" priority="11648" stopIfTrue="1" operator="equal">
      <formula>"Napkin Hs"</formula>
    </cfRule>
  </conditionalFormatting>
  <conditionalFormatting sqref="C65">
    <cfRule type="cellIs" dxfId="25919" priority="11645" stopIfTrue="1" operator="equal">
      <formula>"Towel"</formula>
    </cfRule>
    <cfRule type="cellIs" dxfId="25918" priority="11646" stopIfTrue="1" operator="equal">
      <formula>"Napkin Hs"</formula>
    </cfRule>
  </conditionalFormatting>
  <conditionalFormatting sqref="C65">
    <cfRule type="cellIs" dxfId="25917" priority="11641" stopIfTrue="1" operator="equal">
      <formula>"Towel"</formula>
    </cfRule>
    <cfRule type="cellIs" dxfId="25916" priority="11642" stopIfTrue="1" operator="equal">
      <formula>"Napkin Hs"</formula>
    </cfRule>
  </conditionalFormatting>
  <conditionalFormatting sqref="C65">
    <cfRule type="cellIs" dxfId="25915" priority="11643" stopIfTrue="1" operator="equal">
      <formula>"Towel"</formula>
    </cfRule>
    <cfRule type="cellIs" dxfId="25914" priority="11644" stopIfTrue="1" operator="equal">
      <formula>"Napkin Hs"</formula>
    </cfRule>
  </conditionalFormatting>
  <conditionalFormatting sqref="C65">
    <cfRule type="cellIs" dxfId="25913" priority="11635" stopIfTrue="1" operator="equal">
      <formula>"Towel"</formula>
    </cfRule>
    <cfRule type="cellIs" dxfId="25912" priority="11636" stopIfTrue="1" operator="equal">
      <formula>"Napkin Hs"</formula>
    </cfRule>
  </conditionalFormatting>
  <conditionalFormatting sqref="C65">
    <cfRule type="cellIs" dxfId="25911" priority="11633" stopIfTrue="1" operator="equal">
      <formula>"Towel"</formula>
    </cfRule>
    <cfRule type="cellIs" dxfId="25910" priority="11634" stopIfTrue="1" operator="equal">
      <formula>"Napkin Hs"</formula>
    </cfRule>
  </conditionalFormatting>
  <conditionalFormatting sqref="C65">
    <cfRule type="cellIs" dxfId="25909" priority="11631" stopIfTrue="1" operator="equal">
      <formula>"Towel"</formula>
    </cfRule>
    <cfRule type="cellIs" dxfId="25908" priority="11632" stopIfTrue="1" operator="equal">
      <formula>"Napkin Hs"</formula>
    </cfRule>
  </conditionalFormatting>
  <conditionalFormatting sqref="C65">
    <cfRule type="cellIs" dxfId="25907" priority="11629" stopIfTrue="1" operator="equal">
      <formula>"Towel"</formula>
    </cfRule>
    <cfRule type="cellIs" dxfId="25906" priority="11630" stopIfTrue="1" operator="equal">
      <formula>"Napkin Hs"</formula>
    </cfRule>
  </conditionalFormatting>
  <conditionalFormatting sqref="C65">
    <cfRule type="cellIs" dxfId="25905" priority="11627" stopIfTrue="1" operator="equal">
      <formula>"Towel"</formula>
    </cfRule>
    <cfRule type="cellIs" dxfId="25904" priority="11628" stopIfTrue="1" operator="equal">
      <formula>"Napkin Hs"</formula>
    </cfRule>
  </conditionalFormatting>
  <conditionalFormatting sqref="C65">
    <cfRule type="cellIs" dxfId="25903" priority="11625" stopIfTrue="1" operator="equal">
      <formula>"Towel"</formula>
    </cfRule>
    <cfRule type="cellIs" dxfId="25902" priority="11626" stopIfTrue="1" operator="equal">
      <formula>"Napkin Hs"</formula>
    </cfRule>
  </conditionalFormatting>
  <conditionalFormatting sqref="C65">
    <cfRule type="cellIs" dxfId="25901" priority="11623" stopIfTrue="1" operator="equal">
      <formula>"Towel"</formula>
    </cfRule>
    <cfRule type="cellIs" dxfId="25900" priority="11624" stopIfTrue="1" operator="equal">
      <formula>"Napkin Hs"</formula>
    </cfRule>
  </conditionalFormatting>
  <conditionalFormatting sqref="C65">
    <cfRule type="cellIs" dxfId="25899" priority="11621" stopIfTrue="1" operator="equal">
      <formula>"Towel"</formula>
    </cfRule>
    <cfRule type="cellIs" dxfId="25898" priority="11622" stopIfTrue="1" operator="equal">
      <formula>"Napkin Hs"</formula>
    </cfRule>
  </conditionalFormatting>
  <conditionalFormatting sqref="C65">
    <cfRule type="cellIs" dxfId="25897" priority="11619" stopIfTrue="1" operator="equal">
      <formula>"Towel"</formula>
    </cfRule>
    <cfRule type="cellIs" dxfId="25896" priority="11620" stopIfTrue="1" operator="equal">
      <formula>"Napkin Hs"</formula>
    </cfRule>
  </conditionalFormatting>
  <conditionalFormatting sqref="C65">
    <cfRule type="cellIs" dxfId="25895" priority="11617" stopIfTrue="1" operator="equal">
      <formula>"Towel"</formula>
    </cfRule>
    <cfRule type="cellIs" dxfId="25894" priority="11618" stopIfTrue="1" operator="equal">
      <formula>"Napkin Hs"</formula>
    </cfRule>
  </conditionalFormatting>
  <conditionalFormatting sqref="C65">
    <cfRule type="cellIs" dxfId="25893" priority="11611" stopIfTrue="1" operator="equal">
      <formula>"Towel"</formula>
    </cfRule>
    <cfRule type="cellIs" dxfId="25892" priority="11612" stopIfTrue="1" operator="equal">
      <formula>"Napkin Hs"</formula>
    </cfRule>
  </conditionalFormatting>
  <conditionalFormatting sqref="C65">
    <cfRule type="cellIs" dxfId="25891" priority="11605" stopIfTrue="1" operator="equal">
      <formula>"Towel"</formula>
    </cfRule>
    <cfRule type="cellIs" dxfId="25890" priority="11606" stopIfTrue="1" operator="equal">
      <formula>"Napkin Hs"</formula>
    </cfRule>
  </conditionalFormatting>
  <conditionalFormatting sqref="C65">
    <cfRule type="cellIs" dxfId="25889" priority="11599" stopIfTrue="1" operator="equal">
      <formula>"Towel"</formula>
    </cfRule>
    <cfRule type="cellIs" dxfId="25888" priority="11600" stopIfTrue="1" operator="equal">
      <formula>"Napkin Hs"</formula>
    </cfRule>
  </conditionalFormatting>
  <conditionalFormatting sqref="C65">
    <cfRule type="cellIs" dxfId="25887" priority="11598" stopIfTrue="1" operator="equal">
      <formula>"Napkin Hs"</formula>
    </cfRule>
  </conditionalFormatting>
  <conditionalFormatting sqref="C65">
    <cfRule type="cellIs" dxfId="25886" priority="11597" stopIfTrue="1" operator="equal">
      <formula>"Towel"</formula>
    </cfRule>
  </conditionalFormatting>
  <conditionalFormatting sqref="C65">
    <cfRule type="cellIs" dxfId="25885" priority="11596" stopIfTrue="1" operator="equal">
      <formula>"Napkin Hs"</formula>
    </cfRule>
  </conditionalFormatting>
  <conditionalFormatting sqref="C65">
    <cfRule type="cellIs" dxfId="25884" priority="11595" stopIfTrue="1" operator="equal">
      <formula>"Towel"</formula>
    </cfRule>
  </conditionalFormatting>
  <conditionalFormatting sqref="C65">
    <cfRule type="cellIs" dxfId="25883" priority="11593" stopIfTrue="1" operator="equal">
      <formula>"Towel"</formula>
    </cfRule>
    <cfRule type="cellIs" dxfId="25882" priority="11594" stopIfTrue="1" operator="equal">
      <formula>"Napkin Hs"</formula>
    </cfRule>
  </conditionalFormatting>
  <conditionalFormatting sqref="C65">
    <cfRule type="cellIs" dxfId="25881" priority="11591" stopIfTrue="1" operator="equal">
      <formula>"Towel"</formula>
    </cfRule>
    <cfRule type="cellIs" dxfId="25880" priority="11592" stopIfTrue="1" operator="equal">
      <formula>"Napkin Hs"</formula>
    </cfRule>
  </conditionalFormatting>
  <conditionalFormatting sqref="C65">
    <cfRule type="cellIs" dxfId="25879" priority="11589" stopIfTrue="1" operator="equal">
      <formula>"Towel"</formula>
    </cfRule>
    <cfRule type="cellIs" dxfId="25878" priority="11590" stopIfTrue="1" operator="equal">
      <formula>"Napkin Hs"</formula>
    </cfRule>
  </conditionalFormatting>
  <conditionalFormatting sqref="C65">
    <cfRule type="cellIs" dxfId="25877" priority="11579" stopIfTrue="1" operator="equal">
      <formula>"Towel"</formula>
    </cfRule>
    <cfRule type="cellIs" dxfId="25876" priority="11580" stopIfTrue="1" operator="equal">
      <formula>"Napkin Hs"</formula>
    </cfRule>
  </conditionalFormatting>
  <conditionalFormatting sqref="C65">
    <cfRule type="cellIs" dxfId="25875" priority="11577" stopIfTrue="1" operator="equal">
      <formula>"Towel"</formula>
    </cfRule>
    <cfRule type="cellIs" dxfId="25874" priority="11578" stopIfTrue="1" operator="equal">
      <formula>"Napkin Hs"</formula>
    </cfRule>
  </conditionalFormatting>
  <conditionalFormatting sqref="C65">
    <cfRule type="cellIs" dxfId="25873" priority="11575" stopIfTrue="1" operator="equal">
      <formula>"Towel"</formula>
    </cfRule>
    <cfRule type="cellIs" dxfId="25872" priority="11576" stopIfTrue="1" operator="equal">
      <formula>"Napkin Hs"</formula>
    </cfRule>
  </conditionalFormatting>
  <conditionalFormatting sqref="C65">
    <cfRule type="cellIs" dxfId="25871" priority="11573" stopIfTrue="1" operator="equal">
      <formula>"Towel"</formula>
    </cfRule>
    <cfRule type="cellIs" dxfId="25870" priority="11574" stopIfTrue="1" operator="equal">
      <formula>"Napkin Hs"</formula>
    </cfRule>
  </conditionalFormatting>
  <conditionalFormatting sqref="C65">
    <cfRule type="cellIs" dxfId="25869" priority="11571" stopIfTrue="1" operator="equal">
      <formula>"Towel"</formula>
    </cfRule>
    <cfRule type="cellIs" dxfId="25868" priority="11572" stopIfTrue="1" operator="equal">
      <formula>"Napkin Hs"</formula>
    </cfRule>
  </conditionalFormatting>
  <conditionalFormatting sqref="C65">
    <cfRule type="cellIs" dxfId="25867" priority="11569" stopIfTrue="1" operator="equal">
      <formula>"Towel"</formula>
    </cfRule>
    <cfRule type="cellIs" dxfId="25866" priority="11570" stopIfTrue="1" operator="equal">
      <formula>"Napkin Hs"</formula>
    </cfRule>
  </conditionalFormatting>
  <conditionalFormatting sqref="C65">
    <cfRule type="cellIs" dxfId="25865" priority="11567" stopIfTrue="1" operator="equal">
      <formula>"Towel"</formula>
    </cfRule>
    <cfRule type="cellIs" dxfId="25864" priority="11568" stopIfTrue="1" operator="equal">
      <formula>"Napkin Hs"</formula>
    </cfRule>
  </conditionalFormatting>
  <conditionalFormatting sqref="C65">
    <cfRule type="cellIs" dxfId="25863" priority="11565" stopIfTrue="1" operator="equal">
      <formula>"Towel"</formula>
    </cfRule>
    <cfRule type="cellIs" dxfId="25862" priority="11566" stopIfTrue="1" operator="equal">
      <formula>"Napkin Hs"</formula>
    </cfRule>
  </conditionalFormatting>
  <conditionalFormatting sqref="C65">
    <cfRule type="cellIs" dxfId="25861" priority="11563" stopIfTrue="1" operator="equal">
      <formula>"Towel"</formula>
    </cfRule>
    <cfRule type="cellIs" dxfId="25860" priority="11564" stopIfTrue="1" operator="equal">
      <formula>"Napkin Hs"</formula>
    </cfRule>
  </conditionalFormatting>
  <conditionalFormatting sqref="C65">
    <cfRule type="cellIs" dxfId="25859" priority="11550" stopIfTrue="1" operator="equal">
      <formula>"Napkin Hs"</formula>
    </cfRule>
  </conditionalFormatting>
  <conditionalFormatting sqref="C65">
    <cfRule type="cellIs" dxfId="25858" priority="11549" stopIfTrue="1" operator="equal">
      <formula>"Towel"</formula>
    </cfRule>
  </conditionalFormatting>
  <conditionalFormatting sqref="C65">
    <cfRule type="cellIs" dxfId="25857" priority="11548" stopIfTrue="1" operator="equal">
      <formula>"Napkin Hs"</formula>
    </cfRule>
  </conditionalFormatting>
  <conditionalFormatting sqref="C65">
    <cfRule type="cellIs" dxfId="25856" priority="11545" stopIfTrue="1" operator="equal">
      <formula>"Towel"</formula>
    </cfRule>
    <cfRule type="cellIs" dxfId="25855" priority="11546" stopIfTrue="1" operator="equal">
      <formula>"Napkin Hs"</formula>
    </cfRule>
  </conditionalFormatting>
  <conditionalFormatting sqref="C65">
    <cfRule type="cellIs" dxfId="25854" priority="11547" stopIfTrue="1" operator="equal">
      <formula>"Towel"</formula>
    </cfRule>
  </conditionalFormatting>
  <conditionalFormatting sqref="C65">
    <cfRule type="cellIs" dxfId="25853" priority="11665" stopIfTrue="1" operator="equal">
      <formula>"Towel"</formula>
    </cfRule>
    <cfRule type="cellIs" dxfId="25852" priority="11666" stopIfTrue="1" operator="equal">
      <formula>"Napkin Hs"</formula>
    </cfRule>
  </conditionalFormatting>
  <conditionalFormatting sqref="C65">
    <cfRule type="cellIs" dxfId="25851" priority="11664" stopIfTrue="1" operator="equal">
      <formula>"Napkin Hs"</formula>
    </cfRule>
  </conditionalFormatting>
  <conditionalFormatting sqref="C65">
    <cfRule type="cellIs" dxfId="25850" priority="11663" stopIfTrue="1" operator="equal">
      <formula>"Towel"</formula>
    </cfRule>
  </conditionalFormatting>
  <conditionalFormatting sqref="C65">
    <cfRule type="cellIs" dxfId="25849" priority="11662" stopIfTrue="1" operator="equal">
      <formula>"Napkin Hs"</formula>
    </cfRule>
  </conditionalFormatting>
  <conditionalFormatting sqref="C65">
    <cfRule type="cellIs" dxfId="25848" priority="11659" stopIfTrue="1" operator="equal">
      <formula>"Towel"</formula>
    </cfRule>
    <cfRule type="cellIs" dxfId="25847" priority="11660" stopIfTrue="1" operator="equal">
      <formula>"Napkin Hs"</formula>
    </cfRule>
  </conditionalFormatting>
  <conditionalFormatting sqref="C65">
    <cfRule type="cellIs" dxfId="25846" priority="11661" stopIfTrue="1" operator="equal">
      <formula>"Towel"</formula>
    </cfRule>
  </conditionalFormatting>
  <conditionalFormatting sqref="C65">
    <cfRule type="cellIs" dxfId="25845" priority="11669" stopIfTrue="1" operator="equal">
      <formula>"Towel"</formula>
    </cfRule>
    <cfRule type="cellIs" dxfId="25844" priority="11670" stopIfTrue="1" operator="equal">
      <formula>"Napkin Hs"</formula>
    </cfRule>
  </conditionalFormatting>
  <conditionalFormatting sqref="C65">
    <cfRule type="cellIs" dxfId="25843" priority="11667" stopIfTrue="1" operator="equal">
      <formula>"Towel"</formula>
    </cfRule>
    <cfRule type="cellIs" dxfId="25842" priority="11668" stopIfTrue="1" operator="equal">
      <formula>"Napkin Hs"</formula>
    </cfRule>
  </conditionalFormatting>
  <conditionalFormatting sqref="C65">
    <cfRule type="cellIs" dxfId="25841" priority="11639" stopIfTrue="1" operator="equal">
      <formula>"Towel"</formula>
    </cfRule>
    <cfRule type="cellIs" dxfId="25840" priority="11640" stopIfTrue="1" operator="equal">
      <formula>"Napkin Hs"</formula>
    </cfRule>
  </conditionalFormatting>
  <conditionalFormatting sqref="C65">
    <cfRule type="cellIs" dxfId="25839" priority="11637" stopIfTrue="1" operator="equal">
      <formula>"Towel"</formula>
    </cfRule>
    <cfRule type="cellIs" dxfId="25838" priority="11638" stopIfTrue="1" operator="equal">
      <formula>"Napkin Hs"</formula>
    </cfRule>
  </conditionalFormatting>
  <conditionalFormatting sqref="C65">
    <cfRule type="cellIs" dxfId="25837" priority="11616" stopIfTrue="1" operator="equal">
      <formula>"Napkin Hs"</formula>
    </cfRule>
  </conditionalFormatting>
  <conditionalFormatting sqref="C65">
    <cfRule type="cellIs" dxfId="25836" priority="11615" stopIfTrue="1" operator="equal">
      <formula>"Towel"</formula>
    </cfRule>
  </conditionalFormatting>
  <conditionalFormatting sqref="C65">
    <cfRule type="cellIs" dxfId="25835" priority="11614" stopIfTrue="1" operator="equal">
      <formula>"Napkin Hs"</formula>
    </cfRule>
  </conditionalFormatting>
  <conditionalFormatting sqref="C65">
    <cfRule type="cellIs" dxfId="25834" priority="11613" stopIfTrue="1" operator="equal">
      <formula>"Towel"</formula>
    </cfRule>
  </conditionalFormatting>
  <conditionalFormatting sqref="C65">
    <cfRule type="cellIs" dxfId="25833" priority="11610" stopIfTrue="1" operator="equal">
      <formula>"Napkin Hs"</formula>
    </cfRule>
  </conditionalFormatting>
  <conditionalFormatting sqref="C65">
    <cfRule type="cellIs" dxfId="25832" priority="11609" stopIfTrue="1" operator="equal">
      <formula>"Towel"</formula>
    </cfRule>
  </conditionalFormatting>
  <conditionalFormatting sqref="C65">
    <cfRule type="cellIs" dxfId="25831" priority="11608" stopIfTrue="1" operator="equal">
      <formula>"Napkin Hs"</formula>
    </cfRule>
  </conditionalFormatting>
  <conditionalFormatting sqref="C65">
    <cfRule type="cellIs" dxfId="25830" priority="11607" stopIfTrue="1" operator="equal">
      <formula>"Towel"</formula>
    </cfRule>
  </conditionalFormatting>
  <conditionalFormatting sqref="C65">
    <cfRule type="cellIs" dxfId="25829" priority="11603" stopIfTrue="1" operator="equal">
      <formula>"Towel"</formula>
    </cfRule>
    <cfRule type="cellIs" dxfId="25828" priority="11604" stopIfTrue="1" operator="equal">
      <formula>"Napkin Hs"</formula>
    </cfRule>
  </conditionalFormatting>
  <conditionalFormatting sqref="C65">
    <cfRule type="cellIs" dxfId="25827" priority="11601" stopIfTrue="1" operator="equal">
      <formula>"Towel"</formula>
    </cfRule>
    <cfRule type="cellIs" dxfId="25826" priority="11602" stopIfTrue="1" operator="equal">
      <formula>"Napkin Hs"</formula>
    </cfRule>
  </conditionalFormatting>
  <conditionalFormatting sqref="C65">
    <cfRule type="cellIs" dxfId="25825" priority="11585" stopIfTrue="1" operator="equal">
      <formula>"Towel"</formula>
    </cfRule>
    <cfRule type="cellIs" dxfId="25824" priority="11586" stopIfTrue="1" operator="equal">
      <formula>"Napkin Hs"</formula>
    </cfRule>
  </conditionalFormatting>
  <conditionalFormatting sqref="C65">
    <cfRule type="cellIs" dxfId="25823" priority="11583" stopIfTrue="1" operator="equal">
      <formula>"Towel"</formula>
    </cfRule>
    <cfRule type="cellIs" dxfId="25822" priority="11584" stopIfTrue="1" operator="equal">
      <formula>"Napkin Hs"</formula>
    </cfRule>
  </conditionalFormatting>
  <conditionalFormatting sqref="B65:C65">
    <cfRule type="cellIs" dxfId="25821" priority="11544" stopIfTrue="1" operator="equal">
      <formula>"Napkin Hs"</formula>
    </cfRule>
  </conditionalFormatting>
  <conditionalFormatting sqref="B65:C65">
    <cfRule type="cellIs" dxfId="25820" priority="11543" stopIfTrue="1" operator="equal">
      <formula>"Towel"</formula>
    </cfRule>
  </conditionalFormatting>
  <conditionalFormatting sqref="C65">
    <cfRule type="cellIs" dxfId="25819" priority="11542" stopIfTrue="1" operator="equal">
      <formula>"Napkin Hs"</formula>
    </cfRule>
  </conditionalFormatting>
  <conditionalFormatting sqref="C65">
    <cfRule type="cellIs" dxfId="25818" priority="11539" stopIfTrue="1" operator="equal">
      <formula>"Towel"</formula>
    </cfRule>
    <cfRule type="cellIs" dxfId="25817" priority="11540" stopIfTrue="1" operator="equal">
      <formula>"Napkin Hs"</formula>
    </cfRule>
  </conditionalFormatting>
  <conditionalFormatting sqref="C65">
    <cfRule type="cellIs" dxfId="25816" priority="11541" stopIfTrue="1" operator="equal">
      <formula>"Towel"</formula>
    </cfRule>
  </conditionalFormatting>
  <conditionalFormatting sqref="B70:C70">
    <cfRule type="cellIs" dxfId="25815" priority="11535" stopIfTrue="1" operator="equal">
      <formula>"Towel"</formula>
    </cfRule>
    <cfRule type="cellIs" dxfId="25814" priority="11536" stopIfTrue="1" operator="equal">
      <formula>"Napkin Hs"</formula>
    </cfRule>
  </conditionalFormatting>
  <conditionalFormatting sqref="C70">
    <cfRule type="cellIs" dxfId="25813" priority="11537" stopIfTrue="1" operator="equal">
      <formula>"Towel"</formula>
    </cfRule>
    <cfRule type="cellIs" dxfId="25812" priority="11538" stopIfTrue="1" operator="equal">
      <formula>"Napkin Hs"</formula>
    </cfRule>
  </conditionalFormatting>
  <conditionalFormatting sqref="C70">
    <cfRule type="cellIs" dxfId="25811" priority="11533" stopIfTrue="1" operator="equal">
      <formula>"Towel"</formula>
    </cfRule>
    <cfRule type="cellIs" dxfId="25810" priority="11534" stopIfTrue="1" operator="equal">
      <formula>"Napkin Hs"</formula>
    </cfRule>
  </conditionalFormatting>
  <conditionalFormatting sqref="B69:C69">
    <cfRule type="cellIs" dxfId="25809" priority="11531" stopIfTrue="1" operator="equal">
      <formula>"Towel"</formula>
    </cfRule>
    <cfRule type="cellIs" dxfId="25808" priority="11532" stopIfTrue="1" operator="equal">
      <formula>"Napkin Hs"</formula>
    </cfRule>
  </conditionalFormatting>
  <conditionalFormatting sqref="C69">
    <cfRule type="cellIs" dxfId="25807" priority="11527" stopIfTrue="1" operator="equal">
      <formula>"Towel"</formula>
    </cfRule>
    <cfRule type="cellIs" dxfId="25806" priority="11528" stopIfTrue="1" operator="equal">
      <formula>"Napkin Hs"</formula>
    </cfRule>
  </conditionalFormatting>
  <conditionalFormatting sqref="C69">
    <cfRule type="cellIs" dxfId="25805" priority="11529" stopIfTrue="1" operator="equal">
      <formula>"Towel"</formula>
    </cfRule>
    <cfRule type="cellIs" dxfId="25804" priority="11530" stopIfTrue="1" operator="equal">
      <formula>"Napkin Hs"</formula>
    </cfRule>
  </conditionalFormatting>
  <conditionalFormatting sqref="B69:C69">
    <cfRule type="cellIs" dxfId="25803" priority="11525" stopIfTrue="1" operator="equal">
      <formula>"Towel"</formula>
    </cfRule>
    <cfRule type="cellIs" dxfId="25802" priority="11526" stopIfTrue="1" operator="equal">
      <formula>"Napkin Hs"</formula>
    </cfRule>
  </conditionalFormatting>
  <conditionalFormatting sqref="C69">
    <cfRule type="cellIs" dxfId="25801" priority="11521" stopIfTrue="1" operator="equal">
      <formula>"Towel"</formula>
    </cfRule>
    <cfRule type="cellIs" dxfId="25800" priority="11522" stopIfTrue="1" operator="equal">
      <formula>"Napkin Hs"</formula>
    </cfRule>
  </conditionalFormatting>
  <conditionalFormatting sqref="C69">
    <cfRule type="cellIs" dxfId="25799" priority="11523" stopIfTrue="1" operator="equal">
      <formula>"Towel"</formula>
    </cfRule>
    <cfRule type="cellIs" dxfId="25798" priority="11524" stopIfTrue="1" operator="equal">
      <formula>"Napkin Hs"</formula>
    </cfRule>
  </conditionalFormatting>
  <conditionalFormatting sqref="B69:C69">
    <cfRule type="cellIs" dxfId="25797" priority="11519" stopIfTrue="1" operator="equal">
      <formula>"Towel"</formula>
    </cfRule>
    <cfRule type="cellIs" dxfId="25796" priority="11520" stopIfTrue="1" operator="equal">
      <formula>"Napkin Hs"</formula>
    </cfRule>
  </conditionalFormatting>
  <conditionalFormatting sqref="C69">
    <cfRule type="cellIs" dxfId="25795" priority="11517" stopIfTrue="1" operator="equal">
      <formula>"Towel"</formula>
    </cfRule>
    <cfRule type="cellIs" dxfId="25794" priority="11518" stopIfTrue="1" operator="equal">
      <formula>"Napkin Hs"</formula>
    </cfRule>
  </conditionalFormatting>
  <conditionalFormatting sqref="C69">
    <cfRule type="cellIs" dxfId="25793" priority="11515" stopIfTrue="1" operator="equal">
      <formula>"Towel"</formula>
    </cfRule>
    <cfRule type="cellIs" dxfId="25792" priority="11516" stopIfTrue="1" operator="equal">
      <formula>"Napkin Hs"</formula>
    </cfRule>
  </conditionalFormatting>
  <conditionalFormatting sqref="B69:C69">
    <cfRule type="cellIs" dxfId="25791" priority="11513" stopIfTrue="1" operator="equal">
      <formula>"Towel"</formula>
    </cfRule>
    <cfRule type="cellIs" dxfId="25790" priority="11514" stopIfTrue="1" operator="equal">
      <formula>"Napkin Hs"</formula>
    </cfRule>
  </conditionalFormatting>
  <conditionalFormatting sqref="C69">
    <cfRule type="cellIs" dxfId="25789" priority="11511" stopIfTrue="1" operator="equal">
      <formula>"Towel"</formula>
    </cfRule>
    <cfRule type="cellIs" dxfId="25788" priority="11512" stopIfTrue="1" operator="equal">
      <formula>"Napkin Hs"</formula>
    </cfRule>
  </conditionalFormatting>
  <conditionalFormatting sqref="C69">
    <cfRule type="cellIs" dxfId="25787" priority="11509" stopIfTrue="1" operator="equal">
      <formula>"Towel"</formula>
    </cfRule>
    <cfRule type="cellIs" dxfId="25786" priority="11510" stopIfTrue="1" operator="equal">
      <formula>"Napkin Hs"</formula>
    </cfRule>
  </conditionalFormatting>
  <conditionalFormatting sqref="B69:C69">
    <cfRule type="cellIs" dxfId="25785" priority="11507" stopIfTrue="1" operator="equal">
      <formula>"Towel"</formula>
    </cfRule>
    <cfRule type="cellIs" dxfId="25784" priority="11508" stopIfTrue="1" operator="equal">
      <formula>"Napkin Hs"</formula>
    </cfRule>
  </conditionalFormatting>
  <conditionalFormatting sqref="C69">
    <cfRule type="cellIs" dxfId="25783" priority="11505" stopIfTrue="1" operator="equal">
      <formula>"Towel"</formula>
    </cfRule>
    <cfRule type="cellIs" dxfId="25782" priority="11506" stopIfTrue="1" operator="equal">
      <formula>"Napkin Hs"</formula>
    </cfRule>
  </conditionalFormatting>
  <conditionalFormatting sqref="C69">
    <cfRule type="cellIs" dxfId="25781" priority="11503" stopIfTrue="1" operator="equal">
      <formula>"Towel"</formula>
    </cfRule>
    <cfRule type="cellIs" dxfId="25780" priority="11504" stopIfTrue="1" operator="equal">
      <formula>"Napkin Hs"</formula>
    </cfRule>
  </conditionalFormatting>
  <conditionalFormatting sqref="B69:C69">
    <cfRule type="cellIs" dxfId="25779" priority="11502" stopIfTrue="1" operator="equal">
      <formula>"Napkin Hs"</formula>
    </cfRule>
  </conditionalFormatting>
  <conditionalFormatting sqref="B69:C69">
    <cfRule type="cellIs" dxfId="25778" priority="11501" stopIfTrue="1" operator="equal">
      <formula>"Towel"</formula>
    </cfRule>
  </conditionalFormatting>
  <conditionalFormatting sqref="C69">
    <cfRule type="cellIs" dxfId="25777" priority="11500" stopIfTrue="1" operator="equal">
      <formula>"Napkin Hs"</formula>
    </cfRule>
  </conditionalFormatting>
  <conditionalFormatting sqref="C69">
    <cfRule type="cellIs" dxfId="25776" priority="11497" stopIfTrue="1" operator="equal">
      <formula>"Towel"</formula>
    </cfRule>
    <cfRule type="cellIs" dxfId="25775" priority="11498" stopIfTrue="1" operator="equal">
      <formula>"Napkin Hs"</formula>
    </cfRule>
  </conditionalFormatting>
  <conditionalFormatting sqref="C69">
    <cfRule type="cellIs" dxfId="25774" priority="11499" stopIfTrue="1" operator="equal">
      <formula>"Towel"</formula>
    </cfRule>
  </conditionalFormatting>
  <conditionalFormatting sqref="C72">
    <cfRule type="cellIs" dxfId="25773" priority="11461" stopIfTrue="1" operator="equal">
      <formula>"Towel"</formula>
    </cfRule>
    <cfRule type="cellIs" dxfId="25772" priority="11462" stopIfTrue="1" operator="equal">
      <formula>"Napkin Hs"</formula>
    </cfRule>
  </conditionalFormatting>
  <conditionalFormatting sqref="B72:C72">
    <cfRule type="cellIs" dxfId="25771" priority="11459" stopIfTrue="1" operator="equal">
      <formula>"Towel"</formula>
    </cfRule>
    <cfRule type="cellIs" dxfId="25770" priority="11460" stopIfTrue="1" operator="equal">
      <formula>"Napkin Hs"</formula>
    </cfRule>
  </conditionalFormatting>
  <conditionalFormatting sqref="C72">
    <cfRule type="cellIs" dxfId="25769" priority="11457" stopIfTrue="1" operator="equal">
      <formula>"Towel"</formula>
    </cfRule>
    <cfRule type="cellIs" dxfId="25768" priority="11458" stopIfTrue="1" operator="equal">
      <formula>"Napkin Hs"</formula>
    </cfRule>
  </conditionalFormatting>
  <conditionalFormatting sqref="C72">
    <cfRule type="cellIs" dxfId="25767" priority="11449" stopIfTrue="1" operator="equal">
      <formula>"Towel"</formula>
    </cfRule>
    <cfRule type="cellIs" dxfId="25766" priority="11450" stopIfTrue="1" operator="equal">
      <formula>"Napkin Hs"</formula>
    </cfRule>
  </conditionalFormatting>
  <conditionalFormatting sqref="B72:C72">
    <cfRule type="cellIs" dxfId="25765" priority="11495" stopIfTrue="1" operator="equal">
      <formula>"Towel"</formula>
    </cfRule>
    <cfRule type="cellIs" dxfId="25764" priority="11496" stopIfTrue="1" operator="equal">
      <formula>"Napkin Hs"</formula>
    </cfRule>
  </conditionalFormatting>
  <conditionalFormatting sqref="C72">
    <cfRule type="cellIs" dxfId="25763" priority="11491" stopIfTrue="1" operator="equal">
      <formula>"Towel"</formula>
    </cfRule>
    <cfRule type="cellIs" dxfId="25762" priority="11492" stopIfTrue="1" operator="equal">
      <formula>"Napkin Hs"</formula>
    </cfRule>
  </conditionalFormatting>
  <conditionalFormatting sqref="C72">
    <cfRule type="cellIs" dxfId="25761" priority="11493" stopIfTrue="1" operator="equal">
      <formula>"Towel"</formula>
    </cfRule>
    <cfRule type="cellIs" dxfId="25760" priority="11494" stopIfTrue="1" operator="equal">
      <formula>"Napkin Hs"</formula>
    </cfRule>
  </conditionalFormatting>
  <conditionalFormatting sqref="B72:C72">
    <cfRule type="cellIs" dxfId="25759" priority="11490" stopIfTrue="1" operator="equal">
      <formula>"Napkin Hs"</formula>
    </cfRule>
  </conditionalFormatting>
  <conditionalFormatting sqref="B72:C72">
    <cfRule type="cellIs" dxfId="25758" priority="11489" stopIfTrue="1" operator="equal">
      <formula>"Towel"</formula>
    </cfRule>
  </conditionalFormatting>
  <conditionalFormatting sqref="C72">
    <cfRule type="cellIs" dxfId="25757" priority="11488" stopIfTrue="1" operator="equal">
      <formula>"Napkin Hs"</formula>
    </cfRule>
  </conditionalFormatting>
  <conditionalFormatting sqref="C72">
    <cfRule type="cellIs" dxfId="25756" priority="11487" stopIfTrue="1" operator="equal">
      <formula>"Towel"</formula>
    </cfRule>
  </conditionalFormatting>
  <conditionalFormatting sqref="C72">
    <cfRule type="cellIs" dxfId="25755" priority="11485" stopIfTrue="1" operator="equal">
      <formula>"Towel"</formula>
    </cfRule>
    <cfRule type="cellIs" dxfId="25754" priority="11486" stopIfTrue="1" operator="equal">
      <formula>"Napkin Hs"</formula>
    </cfRule>
  </conditionalFormatting>
  <conditionalFormatting sqref="B72:C72">
    <cfRule type="cellIs" dxfId="25753" priority="11483" stopIfTrue="1" operator="equal">
      <formula>"Towel"</formula>
    </cfRule>
    <cfRule type="cellIs" dxfId="25752" priority="11484" stopIfTrue="1" operator="equal">
      <formula>"Napkin Hs"</formula>
    </cfRule>
  </conditionalFormatting>
  <conditionalFormatting sqref="C72">
    <cfRule type="cellIs" dxfId="25751" priority="11481" stopIfTrue="1" operator="equal">
      <formula>"Towel"</formula>
    </cfRule>
    <cfRule type="cellIs" dxfId="25750" priority="11482" stopIfTrue="1" operator="equal">
      <formula>"Napkin Hs"</formula>
    </cfRule>
  </conditionalFormatting>
  <conditionalFormatting sqref="C72">
    <cfRule type="cellIs" dxfId="25749" priority="11479" stopIfTrue="1" operator="equal">
      <formula>"Towel"</formula>
    </cfRule>
    <cfRule type="cellIs" dxfId="25748" priority="11480" stopIfTrue="1" operator="equal">
      <formula>"Napkin Hs"</formula>
    </cfRule>
  </conditionalFormatting>
  <conditionalFormatting sqref="B72:C72">
    <cfRule type="cellIs" dxfId="25747" priority="11477" stopIfTrue="1" operator="equal">
      <formula>"Towel"</formula>
    </cfRule>
    <cfRule type="cellIs" dxfId="25746" priority="11478" stopIfTrue="1" operator="equal">
      <formula>"Napkin Hs"</formula>
    </cfRule>
  </conditionalFormatting>
  <conditionalFormatting sqref="C72">
    <cfRule type="cellIs" dxfId="25745" priority="11475" stopIfTrue="1" operator="equal">
      <formula>"Towel"</formula>
    </cfRule>
    <cfRule type="cellIs" dxfId="25744" priority="11476" stopIfTrue="1" operator="equal">
      <formula>"Napkin Hs"</formula>
    </cfRule>
  </conditionalFormatting>
  <conditionalFormatting sqref="C72">
    <cfRule type="cellIs" dxfId="25743" priority="11473" stopIfTrue="1" operator="equal">
      <formula>"Towel"</formula>
    </cfRule>
    <cfRule type="cellIs" dxfId="25742" priority="11474" stopIfTrue="1" operator="equal">
      <formula>"Napkin Hs"</formula>
    </cfRule>
  </conditionalFormatting>
  <conditionalFormatting sqref="B72:C72">
    <cfRule type="cellIs" dxfId="25741" priority="11471" stopIfTrue="1" operator="equal">
      <formula>"Towel"</formula>
    </cfRule>
    <cfRule type="cellIs" dxfId="25740" priority="11472" stopIfTrue="1" operator="equal">
      <formula>"Napkin Hs"</formula>
    </cfRule>
  </conditionalFormatting>
  <conditionalFormatting sqref="C72">
    <cfRule type="cellIs" dxfId="25739" priority="11469" stopIfTrue="1" operator="equal">
      <formula>"Towel"</formula>
    </cfRule>
    <cfRule type="cellIs" dxfId="25738" priority="11470" stopIfTrue="1" operator="equal">
      <formula>"Napkin Hs"</formula>
    </cfRule>
  </conditionalFormatting>
  <conditionalFormatting sqref="C72">
    <cfRule type="cellIs" dxfId="25737" priority="11467" stopIfTrue="1" operator="equal">
      <formula>"Towel"</formula>
    </cfRule>
    <cfRule type="cellIs" dxfId="25736" priority="11468" stopIfTrue="1" operator="equal">
      <formula>"Napkin Hs"</formula>
    </cfRule>
  </conditionalFormatting>
  <conditionalFormatting sqref="B72:C72">
    <cfRule type="cellIs" dxfId="25735" priority="11465" stopIfTrue="1" operator="equal">
      <formula>"Towel"</formula>
    </cfRule>
    <cfRule type="cellIs" dxfId="25734" priority="11466" stopIfTrue="1" operator="equal">
      <formula>"Napkin Hs"</formula>
    </cfRule>
  </conditionalFormatting>
  <conditionalFormatting sqref="C72">
    <cfRule type="cellIs" dxfId="25733" priority="11463" stopIfTrue="1" operator="equal">
      <formula>"Towel"</formula>
    </cfRule>
    <cfRule type="cellIs" dxfId="25732" priority="11464" stopIfTrue="1" operator="equal">
      <formula>"Napkin Hs"</formula>
    </cfRule>
  </conditionalFormatting>
  <conditionalFormatting sqref="C72">
    <cfRule type="cellIs" dxfId="25731" priority="11455" stopIfTrue="1" operator="equal">
      <formula>"Towel"</formula>
    </cfRule>
    <cfRule type="cellIs" dxfId="25730" priority="11456" stopIfTrue="1" operator="equal">
      <formula>"Napkin Hs"</formula>
    </cfRule>
  </conditionalFormatting>
  <conditionalFormatting sqref="B72:C72">
    <cfRule type="cellIs" dxfId="25729" priority="11454" stopIfTrue="1" operator="equal">
      <formula>"Napkin Hs"</formula>
    </cfRule>
  </conditionalFormatting>
  <conditionalFormatting sqref="B72:C72">
    <cfRule type="cellIs" dxfId="25728" priority="11453" stopIfTrue="1" operator="equal">
      <formula>"Towel"</formula>
    </cfRule>
  </conditionalFormatting>
  <conditionalFormatting sqref="C72">
    <cfRule type="cellIs" dxfId="25727" priority="11452" stopIfTrue="1" operator="equal">
      <formula>"Napkin Hs"</formula>
    </cfRule>
  </conditionalFormatting>
  <conditionalFormatting sqref="C72">
    <cfRule type="cellIs" dxfId="25726" priority="11451" stopIfTrue="1" operator="equal">
      <formula>"Towel"</formula>
    </cfRule>
  </conditionalFormatting>
  <conditionalFormatting sqref="B71:C71">
    <cfRule type="cellIs" dxfId="25725" priority="11447" stopIfTrue="1" operator="equal">
      <formula>"Towel"</formula>
    </cfRule>
    <cfRule type="cellIs" dxfId="25724" priority="11448" stopIfTrue="1" operator="equal">
      <formula>"Napkin Hs"</formula>
    </cfRule>
  </conditionalFormatting>
  <conditionalFormatting sqref="C71">
    <cfRule type="cellIs" dxfId="25723" priority="11443" stopIfTrue="1" operator="equal">
      <formula>"Towel"</formula>
    </cfRule>
    <cfRule type="cellIs" dxfId="25722" priority="11444" stopIfTrue="1" operator="equal">
      <formula>"Napkin Hs"</formula>
    </cfRule>
  </conditionalFormatting>
  <conditionalFormatting sqref="C71">
    <cfRule type="cellIs" dxfId="25721" priority="11445" stopIfTrue="1" operator="equal">
      <formula>"Towel"</formula>
    </cfRule>
    <cfRule type="cellIs" dxfId="25720" priority="11446" stopIfTrue="1" operator="equal">
      <formula>"Napkin Hs"</formula>
    </cfRule>
  </conditionalFormatting>
  <conditionalFormatting sqref="B71:C71">
    <cfRule type="cellIs" dxfId="25719" priority="11442" stopIfTrue="1" operator="equal">
      <formula>"Napkin Hs"</formula>
    </cfRule>
  </conditionalFormatting>
  <conditionalFormatting sqref="B71:C71">
    <cfRule type="cellIs" dxfId="25718" priority="11441" stopIfTrue="1" operator="equal">
      <formula>"Towel"</formula>
    </cfRule>
  </conditionalFormatting>
  <conditionalFormatting sqref="C71">
    <cfRule type="cellIs" dxfId="25717" priority="11440" stopIfTrue="1" operator="equal">
      <formula>"Napkin Hs"</formula>
    </cfRule>
  </conditionalFormatting>
  <conditionalFormatting sqref="C71">
    <cfRule type="cellIs" dxfId="25716" priority="11439" stopIfTrue="1" operator="equal">
      <formula>"Towel"</formula>
    </cfRule>
  </conditionalFormatting>
  <conditionalFormatting sqref="C71">
    <cfRule type="cellIs" dxfId="25715" priority="11437" stopIfTrue="1" operator="equal">
      <formula>"Towel"</formula>
    </cfRule>
    <cfRule type="cellIs" dxfId="25714" priority="11438" stopIfTrue="1" operator="equal">
      <formula>"Napkin Hs"</formula>
    </cfRule>
  </conditionalFormatting>
  <conditionalFormatting sqref="B71:C71">
    <cfRule type="cellIs" dxfId="25713" priority="11435" stopIfTrue="1" operator="equal">
      <formula>"Towel"</formula>
    </cfRule>
    <cfRule type="cellIs" dxfId="25712" priority="11436" stopIfTrue="1" operator="equal">
      <formula>"Napkin Hs"</formula>
    </cfRule>
  </conditionalFormatting>
  <conditionalFormatting sqref="C71">
    <cfRule type="cellIs" dxfId="25711" priority="11433" stopIfTrue="1" operator="equal">
      <formula>"Towel"</formula>
    </cfRule>
    <cfRule type="cellIs" dxfId="25710" priority="11434" stopIfTrue="1" operator="equal">
      <formula>"Napkin Hs"</formula>
    </cfRule>
  </conditionalFormatting>
  <conditionalFormatting sqref="C71">
    <cfRule type="cellIs" dxfId="25709" priority="11431" stopIfTrue="1" operator="equal">
      <formula>"Towel"</formula>
    </cfRule>
    <cfRule type="cellIs" dxfId="25708" priority="11432" stopIfTrue="1" operator="equal">
      <formula>"Napkin Hs"</formula>
    </cfRule>
  </conditionalFormatting>
  <conditionalFormatting sqref="B71:C71">
    <cfRule type="cellIs" dxfId="25707" priority="11429" stopIfTrue="1" operator="equal">
      <formula>"Towel"</formula>
    </cfRule>
    <cfRule type="cellIs" dxfId="25706" priority="11430" stopIfTrue="1" operator="equal">
      <formula>"Napkin Hs"</formula>
    </cfRule>
  </conditionalFormatting>
  <conditionalFormatting sqref="C71">
    <cfRule type="cellIs" dxfId="25705" priority="11427" stopIfTrue="1" operator="equal">
      <formula>"Towel"</formula>
    </cfRule>
    <cfRule type="cellIs" dxfId="25704" priority="11428" stopIfTrue="1" operator="equal">
      <formula>"Napkin Hs"</formula>
    </cfRule>
  </conditionalFormatting>
  <conditionalFormatting sqref="C71">
    <cfRule type="cellIs" dxfId="25703" priority="11425" stopIfTrue="1" operator="equal">
      <formula>"Towel"</formula>
    </cfRule>
    <cfRule type="cellIs" dxfId="25702" priority="11426" stopIfTrue="1" operator="equal">
      <formula>"Napkin Hs"</formula>
    </cfRule>
  </conditionalFormatting>
  <conditionalFormatting sqref="B71:C71">
    <cfRule type="cellIs" dxfId="25701" priority="11423" stopIfTrue="1" operator="equal">
      <formula>"Towel"</formula>
    </cfRule>
    <cfRule type="cellIs" dxfId="25700" priority="11424" stopIfTrue="1" operator="equal">
      <formula>"Napkin Hs"</formula>
    </cfRule>
  </conditionalFormatting>
  <conditionalFormatting sqref="C71">
    <cfRule type="cellIs" dxfId="25699" priority="11421" stopIfTrue="1" operator="equal">
      <formula>"Towel"</formula>
    </cfRule>
    <cfRule type="cellIs" dxfId="25698" priority="11422" stopIfTrue="1" operator="equal">
      <formula>"Napkin Hs"</formula>
    </cfRule>
  </conditionalFormatting>
  <conditionalFormatting sqref="C71">
    <cfRule type="cellIs" dxfId="25697" priority="11419" stopIfTrue="1" operator="equal">
      <formula>"Towel"</formula>
    </cfRule>
    <cfRule type="cellIs" dxfId="25696" priority="11420" stopIfTrue="1" operator="equal">
      <formula>"Napkin Hs"</formula>
    </cfRule>
  </conditionalFormatting>
  <conditionalFormatting sqref="B71:C71">
    <cfRule type="cellIs" dxfId="25695" priority="11417" stopIfTrue="1" operator="equal">
      <formula>"Towel"</formula>
    </cfRule>
    <cfRule type="cellIs" dxfId="25694" priority="11418" stopIfTrue="1" operator="equal">
      <formula>"Napkin Hs"</formula>
    </cfRule>
  </conditionalFormatting>
  <conditionalFormatting sqref="C71">
    <cfRule type="cellIs" dxfId="25693" priority="11415" stopIfTrue="1" operator="equal">
      <formula>"Towel"</formula>
    </cfRule>
    <cfRule type="cellIs" dxfId="25692" priority="11416" stopIfTrue="1" operator="equal">
      <formula>"Napkin Hs"</formula>
    </cfRule>
  </conditionalFormatting>
  <conditionalFormatting sqref="C71">
    <cfRule type="cellIs" dxfId="25691" priority="11413" stopIfTrue="1" operator="equal">
      <formula>"Towel"</formula>
    </cfRule>
    <cfRule type="cellIs" dxfId="25690" priority="11414" stopIfTrue="1" operator="equal">
      <formula>"Napkin Hs"</formula>
    </cfRule>
  </conditionalFormatting>
  <conditionalFormatting sqref="B71:C71">
    <cfRule type="cellIs" dxfId="25689" priority="11411" stopIfTrue="1" operator="equal">
      <formula>"Towel"</formula>
    </cfRule>
    <cfRule type="cellIs" dxfId="25688" priority="11412" stopIfTrue="1" operator="equal">
      <formula>"Napkin Hs"</formula>
    </cfRule>
  </conditionalFormatting>
  <conditionalFormatting sqref="C71">
    <cfRule type="cellIs" dxfId="25687" priority="11409" stopIfTrue="1" operator="equal">
      <formula>"Towel"</formula>
    </cfRule>
    <cfRule type="cellIs" dxfId="25686" priority="11410" stopIfTrue="1" operator="equal">
      <formula>"Napkin Hs"</formula>
    </cfRule>
  </conditionalFormatting>
  <conditionalFormatting sqref="C71">
    <cfRule type="cellIs" dxfId="25685" priority="11407" stopIfTrue="1" operator="equal">
      <formula>"Towel"</formula>
    </cfRule>
    <cfRule type="cellIs" dxfId="25684" priority="11408" stopIfTrue="1" operator="equal">
      <formula>"Napkin Hs"</formula>
    </cfRule>
  </conditionalFormatting>
  <conditionalFormatting sqref="B71:C71">
    <cfRule type="cellIs" dxfId="25683" priority="11406" stopIfTrue="1" operator="equal">
      <formula>"Napkin Hs"</formula>
    </cfRule>
  </conditionalFormatting>
  <conditionalFormatting sqref="B71:C71">
    <cfRule type="cellIs" dxfId="25682" priority="11405" stopIfTrue="1" operator="equal">
      <formula>"Towel"</formula>
    </cfRule>
  </conditionalFormatting>
  <conditionalFormatting sqref="C71">
    <cfRule type="cellIs" dxfId="25681" priority="11404" stopIfTrue="1" operator="equal">
      <formula>"Napkin Hs"</formula>
    </cfRule>
  </conditionalFormatting>
  <conditionalFormatting sqref="C71">
    <cfRule type="cellIs" dxfId="25680" priority="11401" stopIfTrue="1" operator="equal">
      <formula>"Towel"</formula>
    </cfRule>
    <cfRule type="cellIs" dxfId="25679" priority="11402" stopIfTrue="1" operator="equal">
      <formula>"Napkin Hs"</formula>
    </cfRule>
  </conditionalFormatting>
  <conditionalFormatting sqref="C71">
    <cfRule type="cellIs" dxfId="25678" priority="11403" stopIfTrue="1" operator="equal">
      <formula>"Towel"</formula>
    </cfRule>
  </conditionalFormatting>
  <conditionalFormatting sqref="B70:C70">
    <cfRule type="cellIs" dxfId="25677" priority="11400" stopIfTrue="1" operator="equal">
      <formula>"Napkin Hs"</formula>
    </cfRule>
  </conditionalFormatting>
  <conditionalFormatting sqref="B70:C70">
    <cfRule type="cellIs" dxfId="25676" priority="11399" stopIfTrue="1" operator="equal">
      <formula>"Towel"</formula>
    </cfRule>
  </conditionalFormatting>
  <conditionalFormatting sqref="B69:C69">
    <cfRule type="cellIs" dxfId="25675" priority="11395" stopIfTrue="1" operator="equal">
      <formula>"Towel"</formula>
    </cfRule>
    <cfRule type="cellIs" dxfId="25674" priority="11396" stopIfTrue="1" operator="equal">
      <formula>"Napkin Hs"</formula>
    </cfRule>
  </conditionalFormatting>
  <conditionalFormatting sqref="C70">
    <cfRule type="cellIs" dxfId="25673" priority="11398" stopIfTrue="1" operator="equal">
      <formula>"Napkin Hs"</formula>
    </cfRule>
  </conditionalFormatting>
  <conditionalFormatting sqref="C70">
    <cfRule type="cellIs" dxfId="25672" priority="11397" stopIfTrue="1" operator="equal">
      <formula>"Towel"</formula>
    </cfRule>
  </conditionalFormatting>
  <conditionalFormatting sqref="C69">
    <cfRule type="cellIs" dxfId="25671" priority="11391" stopIfTrue="1" operator="equal">
      <formula>"Towel"</formula>
    </cfRule>
    <cfRule type="cellIs" dxfId="25670" priority="11392" stopIfTrue="1" operator="equal">
      <formula>"Napkin Hs"</formula>
    </cfRule>
  </conditionalFormatting>
  <conditionalFormatting sqref="C69:C71">
    <cfRule type="cellIs" dxfId="25669" priority="11393" stopIfTrue="1" operator="equal">
      <formula>"Towel"</formula>
    </cfRule>
    <cfRule type="cellIs" dxfId="25668" priority="11394" stopIfTrue="1" operator="equal">
      <formula>"Napkin Hs"</formula>
    </cfRule>
  </conditionalFormatting>
  <conditionalFormatting sqref="C72">
    <cfRule type="cellIs" dxfId="25667" priority="11355" stopIfTrue="1" operator="equal">
      <formula>"Towel"</formula>
    </cfRule>
    <cfRule type="cellIs" dxfId="25666" priority="11356" stopIfTrue="1" operator="equal">
      <formula>"Napkin Hs"</formula>
    </cfRule>
  </conditionalFormatting>
  <conditionalFormatting sqref="B72:C72">
    <cfRule type="cellIs" dxfId="25665" priority="11353" stopIfTrue="1" operator="equal">
      <formula>"Towel"</formula>
    </cfRule>
    <cfRule type="cellIs" dxfId="25664" priority="11354" stopIfTrue="1" operator="equal">
      <formula>"Napkin Hs"</formula>
    </cfRule>
  </conditionalFormatting>
  <conditionalFormatting sqref="C72">
    <cfRule type="cellIs" dxfId="25663" priority="11351" stopIfTrue="1" operator="equal">
      <formula>"Towel"</formula>
    </cfRule>
    <cfRule type="cellIs" dxfId="25662" priority="11352" stopIfTrue="1" operator="equal">
      <formula>"Napkin Hs"</formula>
    </cfRule>
  </conditionalFormatting>
  <conditionalFormatting sqref="C72">
    <cfRule type="cellIs" dxfId="25661" priority="11343" stopIfTrue="1" operator="equal">
      <formula>"Towel"</formula>
    </cfRule>
    <cfRule type="cellIs" dxfId="25660" priority="11344" stopIfTrue="1" operator="equal">
      <formula>"Napkin Hs"</formula>
    </cfRule>
  </conditionalFormatting>
  <conditionalFormatting sqref="B72:C72">
    <cfRule type="cellIs" dxfId="25659" priority="11389" stopIfTrue="1" operator="equal">
      <formula>"Towel"</formula>
    </cfRule>
    <cfRule type="cellIs" dxfId="25658" priority="11390" stopIfTrue="1" operator="equal">
      <formula>"Napkin Hs"</formula>
    </cfRule>
  </conditionalFormatting>
  <conditionalFormatting sqref="C72">
    <cfRule type="cellIs" dxfId="25657" priority="11385" stopIfTrue="1" operator="equal">
      <formula>"Towel"</formula>
    </cfRule>
    <cfRule type="cellIs" dxfId="25656" priority="11386" stopIfTrue="1" operator="equal">
      <formula>"Napkin Hs"</formula>
    </cfRule>
  </conditionalFormatting>
  <conditionalFormatting sqref="C72">
    <cfRule type="cellIs" dxfId="25655" priority="11387" stopIfTrue="1" operator="equal">
      <formula>"Towel"</formula>
    </cfRule>
    <cfRule type="cellIs" dxfId="25654" priority="11388" stopIfTrue="1" operator="equal">
      <formula>"Napkin Hs"</formula>
    </cfRule>
  </conditionalFormatting>
  <conditionalFormatting sqref="B72:C72">
    <cfRule type="cellIs" dxfId="25653" priority="11384" stopIfTrue="1" operator="equal">
      <formula>"Napkin Hs"</formula>
    </cfRule>
  </conditionalFormatting>
  <conditionalFormatting sqref="B72:C72">
    <cfRule type="cellIs" dxfId="25652" priority="11383" stopIfTrue="1" operator="equal">
      <formula>"Towel"</formula>
    </cfRule>
  </conditionalFormatting>
  <conditionalFormatting sqref="C72">
    <cfRule type="cellIs" dxfId="25651" priority="11382" stopIfTrue="1" operator="equal">
      <formula>"Napkin Hs"</formula>
    </cfRule>
  </conditionalFormatting>
  <conditionalFormatting sqref="C72">
    <cfRule type="cellIs" dxfId="25650" priority="11381" stopIfTrue="1" operator="equal">
      <formula>"Towel"</formula>
    </cfRule>
  </conditionalFormatting>
  <conditionalFormatting sqref="C72">
    <cfRule type="cellIs" dxfId="25649" priority="11379" stopIfTrue="1" operator="equal">
      <formula>"Towel"</formula>
    </cfRule>
    <cfRule type="cellIs" dxfId="25648" priority="11380" stopIfTrue="1" operator="equal">
      <formula>"Napkin Hs"</formula>
    </cfRule>
  </conditionalFormatting>
  <conditionalFormatting sqref="B72:C72">
    <cfRule type="cellIs" dxfId="25647" priority="11377" stopIfTrue="1" operator="equal">
      <formula>"Towel"</formula>
    </cfRule>
    <cfRule type="cellIs" dxfId="25646" priority="11378" stopIfTrue="1" operator="equal">
      <formula>"Napkin Hs"</formula>
    </cfRule>
  </conditionalFormatting>
  <conditionalFormatting sqref="C72">
    <cfRule type="cellIs" dxfId="25645" priority="11375" stopIfTrue="1" operator="equal">
      <formula>"Towel"</formula>
    </cfRule>
    <cfRule type="cellIs" dxfId="25644" priority="11376" stopIfTrue="1" operator="equal">
      <formula>"Napkin Hs"</formula>
    </cfRule>
  </conditionalFormatting>
  <conditionalFormatting sqref="C72">
    <cfRule type="cellIs" dxfId="25643" priority="11373" stopIfTrue="1" operator="equal">
      <formula>"Towel"</formula>
    </cfRule>
    <cfRule type="cellIs" dxfId="25642" priority="11374" stopIfTrue="1" operator="equal">
      <formula>"Napkin Hs"</formula>
    </cfRule>
  </conditionalFormatting>
  <conditionalFormatting sqref="B72:C72">
    <cfRule type="cellIs" dxfId="25641" priority="11371" stopIfTrue="1" operator="equal">
      <formula>"Towel"</formula>
    </cfRule>
    <cfRule type="cellIs" dxfId="25640" priority="11372" stopIfTrue="1" operator="equal">
      <formula>"Napkin Hs"</formula>
    </cfRule>
  </conditionalFormatting>
  <conditionalFormatting sqref="C72">
    <cfRule type="cellIs" dxfId="25639" priority="11369" stopIfTrue="1" operator="equal">
      <formula>"Towel"</formula>
    </cfRule>
    <cfRule type="cellIs" dxfId="25638" priority="11370" stopIfTrue="1" operator="equal">
      <formula>"Napkin Hs"</formula>
    </cfRule>
  </conditionalFormatting>
  <conditionalFormatting sqref="C72">
    <cfRule type="cellIs" dxfId="25637" priority="11367" stopIfTrue="1" operator="equal">
      <formula>"Towel"</formula>
    </cfRule>
    <cfRule type="cellIs" dxfId="25636" priority="11368" stopIfTrue="1" operator="equal">
      <formula>"Napkin Hs"</formula>
    </cfRule>
  </conditionalFormatting>
  <conditionalFormatting sqref="B72:C72">
    <cfRule type="cellIs" dxfId="25635" priority="11365" stopIfTrue="1" operator="equal">
      <formula>"Towel"</formula>
    </cfRule>
    <cfRule type="cellIs" dxfId="25634" priority="11366" stopIfTrue="1" operator="equal">
      <formula>"Napkin Hs"</formula>
    </cfRule>
  </conditionalFormatting>
  <conditionalFormatting sqref="C72">
    <cfRule type="cellIs" dxfId="25633" priority="11363" stopIfTrue="1" operator="equal">
      <formula>"Towel"</formula>
    </cfRule>
    <cfRule type="cellIs" dxfId="25632" priority="11364" stopIfTrue="1" operator="equal">
      <formula>"Napkin Hs"</formula>
    </cfRule>
  </conditionalFormatting>
  <conditionalFormatting sqref="C72">
    <cfRule type="cellIs" dxfId="25631" priority="11361" stopIfTrue="1" operator="equal">
      <formula>"Towel"</formula>
    </cfRule>
    <cfRule type="cellIs" dxfId="25630" priority="11362" stopIfTrue="1" operator="equal">
      <formula>"Napkin Hs"</formula>
    </cfRule>
  </conditionalFormatting>
  <conditionalFormatting sqref="B72:C72">
    <cfRule type="cellIs" dxfId="25629" priority="11359" stopIfTrue="1" operator="equal">
      <formula>"Towel"</formula>
    </cfRule>
    <cfRule type="cellIs" dxfId="25628" priority="11360" stopIfTrue="1" operator="equal">
      <formula>"Napkin Hs"</formula>
    </cfRule>
  </conditionalFormatting>
  <conditionalFormatting sqref="C72">
    <cfRule type="cellIs" dxfId="25627" priority="11357" stopIfTrue="1" operator="equal">
      <formula>"Towel"</formula>
    </cfRule>
    <cfRule type="cellIs" dxfId="25626" priority="11358" stopIfTrue="1" operator="equal">
      <formula>"Napkin Hs"</formula>
    </cfRule>
  </conditionalFormatting>
  <conditionalFormatting sqref="C72">
    <cfRule type="cellIs" dxfId="25625" priority="11349" stopIfTrue="1" operator="equal">
      <formula>"Towel"</formula>
    </cfRule>
    <cfRule type="cellIs" dxfId="25624" priority="11350" stopIfTrue="1" operator="equal">
      <formula>"Napkin Hs"</formula>
    </cfRule>
  </conditionalFormatting>
  <conditionalFormatting sqref="B72:C72">
    <cfRule type="cellIs" dxfId="25623" priority="11348" stopIfTrue="1" operator="equal">
      <formula>"Napkin Hs"</formula>
    </cfRule>
  </conditionalFormatting>
  <conditionalFormatting sqref="B72:C72">
    <cfRule type="cellIs" dxfId="25622" priority="11347" stopIfTrue="1" operator="equal">
      <formula>"Towel"</formula>
    </cfRule>
  </conditionalFormatting>
  <conditionalFormatting sqref="C72">
    <cfRule type="cellIs" dxfId="25621" priority="11346" stopIfTrue="1" operator="equal">
      <formula>"Napkin Hs"</formula>
    </cfRule>
  </conditionalFormatting>
  <conditionalFormatting sqref="C72">
    <cfRule type="cellIs" dxfId="25620" priority="11345" stopIfTrue="1" operator="equal">
      <formula>"Towel"</formula>
    </cfRule>
  </conditionalFormatting>
  <conditionalFormatting sqref="B71:C71">
    <cfRule type="cellIs" dxfId="25619" priority="11341" stopIfTrue="1" operator="equal">
      <formula>"Towel"</formula>
    </cfRule>
    <cfRule type="cellIs" dxfId="25618" priority="11342" stopIfTrue="1" operator="equal">
      <formula>"Napkin Hs"</formula>
    </cfRule>
  </conditionalFormatting>
  <conditionalFormatting sqref="C71">
    <cfRule type="cellIs" dxfId="25617" priority="11337" stopIfTrue="1" operator="equal">
      <formula>"Towel"</formula>
    </cfRule>
    <cfRule type="cellIs" dxfId="25616" priority="11338" stopIfTrue="1" operator="equal">
      <formula>"Napkin Hs"</formula>
    </cfRule>
  </conditionalFormatting>
  <conditionalFormatting sqref="C71">
    <cfRule type="cellIs" dxfId="25615" priority="11339" stopIfTrue="1" operator="equal">
      <formula>"Towel"</formula>
    </cfRule>
    <cfRule type="cellIs" dxfId="25614" priority="11340" stopIfTrue="1" operator="equal">
      <formula>"Napkin Hs"</formula>
    </cfRule>
  </conditionalFormatting>
  <conditionalFormatting sqref="B71:C71">
    <cfRule type="cellIs" dxfId="25613" priority="11336" stopIfTrue="1" operator="equal">
      <formula>"Napkin Hs"</formula>
    </cfRule>
  </conditionalFormatting>
  <conditionalFormatting sqref="B71:C71">
    <cfRule type="cellIs" dxfId="25612" priority="11335" stopIfTrue="1" operator="equal">
      <formula>"Towel"</formula>
    </cfRule>
  </conditionalFormatting>
  <conditionalFormatting sqref="C71">
    <cfRule type="cellIs" dxfId="25611" priority="11334" stopIfTrue="1" operator="equal">
      <formula>"Napkin Hs"</formula>
    </cfRule>
  </conditionalFormatting>
  <conditionalFormatting sqref="C71">
    <cfRule type="cellIs" dxfId="25610" priority="11333" stopIfTrue="1" operator="equal">
      <formula>"Towel"</formula>
    </cfRule>
  </conditionalFormatting>
  <conditionalFormatting sqref="C71">
    <cfRule type="cellIs" dxfId="25609" priority="11331" stopIfTrue="1" operator="equal">
      <formula>"Towel"</formula>
    </cfRule>
    <cfRule type="cellIs" dxfId="25608" priority="11332" stopIfTrue="1" operator="equal">
      <formula>"Napkin Hs"</formula>
    </cfRule>
  </conditionalFormatting>
  <conditionalFormatting sqref="B71:C71">
    <cfRule type="cellIs" dxfId="25607" priority="11329" stopIfTrue="1" operator="equal">
      <formula>"Towel"</formula>
    </cfRule>
    <cfRule type="cellIs" dxfId="25606" priority="11330" stopIfTrue="1" operator="equal">
      <formula>"Napkin Hs"</formula>
    </cfRule>
  </conditionalFormatting>
  <conditionalFormatting sqref="C71">
    <cfRule type="cellIs" dxfId="25605" priority="11327" stopIfTrue="1" operator="equal">
      <formula>"Towel"</formula>
    </cfRule>
    <cfRule type="cellIs" dxfId="25604" priority="11328" stopIfTrue="1" operator="equal">
      <formula>"Napkin Hs"</formula>
    </cfRule>
  </conditionalFormatting>
  <conditionalFormatting sqref="C71">
    <cfRule type="cellIs" dxfId="25603" priority="11325" stopIfTrue="1" operator="equal">
      <formula>"Towel"</formula>
    </cfRule>
    <cfRule type="cellIs" dxfId="25602" priority="11326" stopIfTrue="1" operator="equal">
      <formula>"Napkin Hs"</formula>
    </cfRule>
  </conditionalFormatting>
  <conditionalFormatting sqref="B71:C71">
    <cfRule type="cellIs" dxfId="25601" priority="11323" stopIfTrue="1" operator="equal">
      <formula>"Towel"</formula>
    </cfRule>
    <cfRule type="cellIs" dxfId="25600" priority="11324" stopIfTrue="1" operator="equal">
      <formula>"Napkin Hs"</formula>
    </cfRule>
  </conditionalFormatting>
  <conditionalFormatting sqref="C71">
    <cfRule type="cellIs" dxfId="25599" priority="11321" stopIfTrue="1" operator="equal">
      <formula>"Towel"</formula>
    </cfRule>
    <cfRule type="cellIs" dxfId="25598" priority="11322" stopIfTrue="1" operator="equal">
      <formula>"Napkin Hs"</formula>
    </cfRule>
  </conditionalFormatting>
  <conditionalFormatting sqref="C71">
    <cfRule type="cellIs" dxfId="25597" priority="11319" stopIfTrue="1" operator="equal">
      <formula>"Towel"</formula>
    </cfRule>
    <cfRule type="cellIs" dxfId="25596" priority="11320" stopIfTrue="1" operator="equal">
      <formula>"Napkin Hs"</formula>
    </cfRule>
  </conditionalFormatting>
  <conditionalFormatting sqref="B71:C71">
    <cfRule type="cellIs" dxfId="25595" priority="11317" stopIfTrue="1" operator="equal">
      <formula>"Towel"</formula>
    </cfRule>
    <cfRule type="cellIs" dxfId="25594" priority="11318" stopIfTrue="1" operator="equal">
      <formula>"Napkin Hs"</formula>
    </cfRule>
  </conditionalFormatting>
  <conditionalFormatting sqref="C71">
    <cfRule type="cellIs" dxfId="25593" priority="11315" stopIfTrue="1" operator="equal">
      <formula>"Towel"</formula>
    </cfRule>
    <cfRule type="cellIs" dxfId="25592" priority="11316" stopIfTrue="1" operator="equal">
      <formula>"Napkin Hs"</formula>
    </cfRule>
  </conditionalFormatting>
  <conditionalFormatting sqref="C71">
    <cfRule type="cellIs" dxfId="25591" priority="11313" stopIfTrue="1" operator="equal">
      <formula>"Towel"</formula>
    </cfRule>
    <cfRule type="cellIs" dxfId="25590" priority="11314" stopIfTrue="1" operator="equal">
      <formula>"Napkin Hs"</formula>
    </cfRule>
  </conditionalFormatting>
  <conditionalFormatting sqref="B71:C71">
    <cfRule type="cellIs" dxfId="25589" priority="11311" stopIfTrue="1" operator="equal">
      <formula>"Towel"</formula>
    </cfRule>
    <cfRule type="cellIs" dxfId="25588" priority="11312" stopIfTrue="1" operator="equal">
      <formula>"Napkin Hs"</formula>
    </cfRule>
  </conditionalFormatting>
  <conditionalFormatting sqref="C71">
    <cfRule type="cellIs" dxfId="25587" priority="11309" stopIfTrue="1" operator="equal">
      <formula>"Towel"</formula>
    </cfRule>
    <cfRule type="cellIs" dxfId="25586" priority="11310" stopIfTrue="1" operator="equal">
      <formula>"Napkin Hs"</formula>
    </cfRule>
  </conditionalFormatting>
  <conditionalFormatting sqref="C71">
    <cfRule type="cellIs" dxfId="25585" priority="11307" stopIfTrue="1" operator="equal">
      <formula>"Towel"</formula>
    </cfRule>
    <cfRule type="cellIs" dxfId="25584" priority="11308" stopIfTrue="1" operator="equal">
      <formula>"Napkin Hs"</formula>
    </cfRule>
  </conditionalFormatting>
  <conditionalFormatting sqref="B71:C71">
    <cfRule type="cellIs" dxfId="25583" priority="11305" stopIfTrue="1" operator="equal">
      <formula>"Towel"</formula>
    </cfRule>
    <cfRule type="cellIs" dxfId="25582" priority="11306" stopIfTrue="1" operator="equal">
      <formula>"Napkin Hs"</formula>
    </cfRule>
  </conditionalFormatting>
  <conditionalFormatting sqref="C71">
    <cfRule type="cellIs" dxfId="25581" priority="11303" stopIfTrue="1" operator="equal">
      <formula>"Towel"</formula>
    </cfRule>
    <cfRule type="cellIs" dxfId="25580" priority="11304" stopIfTrue="1" operator="equal">
      <formula>"Napkin Hs"</formula>
    </cfRule>
  </conditionalFormatting>
  <conditionalFormatting sqref="C71">
    <cfRule type="cellIs" dxfId="25579" priority="11301" stopIfTrue="1" operator="equal">
      <formula>"Towel"</formula>
    </cfRule>
    <cfRule type="cellIs" dxfId="25578" priority="11302" stopIfTrue="1" operator="equal">
      <formula>"Napkin Hs"</formula>
    </cfRule>
  </conditionalFormatting>
  <conditionalFormatting sqref="B71:C71">
    <cfRule type="cellIs" dxfId="25577" priority="11300" stopIfTrue="1" operator="equal">
      <formula>"Napkin Hs"</formula>
    </cfRule>
  </conditionalFormatting>
  <conditionalFormatting sqref="B71:C71">
    <cfRule type="cellIs" dxfId="25576" priority="11299" stopIfTrue="1" operator="equal">
      <formula>"Towel"</formula>
    </cfRule>
  </conditionalFormatting>
  <conditionalFormatting sqref="C71">
    <cfRule type="cellIs" dxfId="25575" priority="11298" stopIfTrue="1" operator="equal">
      <formula>"Napkin Hs"</formula>
    </cfRule>
  </conditionalFormatting>
  <conditionalFormatting sqref="C71">
    <cfRule type="cellIs" dxfId="25574" priority="11295" stopIfTrue="1" operator="equal">
      <formula>"Towel"</formula>
    </cfRule>
    <cfRule type="cellIs" dxfId="25573" priority="11296" stopIfTrue="1" operator="equal">
      <formula>"Napkin Hs"</formula>
    </cfRule>
  </conditionalFormatting>
  <conditionalFormatting sqref="C71">
    <cfRule type="cellIs" dxfId="25572" priority="11297" stopIfTrue="1" operator="equal">
      <formula>"Towel"</formula>
    </cfRule>
  </conditionalFormatting>
  <conditionalFormatting sqref="B72:C72">
    <cfRule type="cellIs" dxfId="25571" priority="11293" stopIfTrue="1" operator="equal">
      <formula>"Towel"</formula>
    </cfRule>
    <cfRule type="cellIs" dxfId="25570" priority="11294" stopIfTrue="1" operator="equal">
      <formula>"Napkin Hs"</formula>
    </cfRule>
  </conditionalFormatting>
  <conditionalFormatting sqref="C72">
    <cfRule type="cellIs" dxfId="25569" priority="11289" stopIfTrue="1" operator="equal">
      <formula>"Towel"</formula>
    </cfRule>
    <cfRule type="cellIs" dxfId="25568" priority="11290" stopIfTrue="1" operator="equal">
      <formula>"Napkin Hs"</formula>
    </cfRule>
  </conditionalFormatting>
  <conditionalFormatting sqref="C72">
    <cfRule type="cellIs" dxfId="25567" priority="11291" stopIfTrue="1" operator="equal">
      <formula>"Towel"</formula>
    </cfRule>
    <cfRule type="cellIs" dxfId="25566" priority="11292" stopIfTrue="1" operator="equal">
      <formula>"Napkin Hs"</formula>
    </cfRule>
  </conditionalFormatting>
  <conditionalFormatting sqref="B71:C71">
    <cfRule type="cellIs" dxfId="25565" priority="11287" stopIfTrue="1" operator="equal">
      <formula>"Towel"</formula>
    </cfRule>
    <cfRule type="cellIs" dxfId="25564" priority="11288" stopIfTrue="1" operator="equal">
      <formula>"Napkin Hs"</formula>
    </cfRule>
  </conditionalFormatting>
  <conditionalFormatting sqref="C71">
    <cfRule type="cellIs" dxfId="25563" priority="11283" stopIfTrue="1" operator="equal">
      <formula>"Towel"</formula>
    </cfRule>
    <cfRule type="cellIs" dxfId="25562" priority="11284" stopIfTrue="1" operator="equal">
      <formula>"Napkin Hs"</formula>
    </cfRule>
  </conditionalFormatting>
  <conditionalFormatting sqref="C71">
    <cfRule type="cellIs" dxfId="25561" priority="11285" stopIfTrue="1" operator="equal">
      <formula>"Towel"</formula>
    </cfRule>
    <cfRule type="cellIs" dxfId="25560" priority="11286" stopIfTrue="1" operator="equal">
      <formula>"Napkin Hs"</formula>
    </cfRule>
  </conditionalFormatting>
  <conditionalFormatting sqref="B71:C71">
    <cfRule type="cellIs" dxfId="25559" priority="11281" stopIfTrue="1" operator="equal">
      <formula>"Towel"</formula>
    </cfRule>
    <cfRule type="cellIs" dxfId="25558" priority="11282" stopIfTrue="1" operator="equal">
      <formula>"Napkin Hs"</formula>
    </cfRule>
  </conditionalFormatting>
  <conditionalFormatting sqref="C71">
    <cfRule type="cellIs" dxfId="25557" priority="11277" stopIfTrue="1" operator="equal">
      <formula>"Towel"</formula>
    </cfRule>
    <cfRule type="cellIs" dxfId="25556" priority="11278" stopIfTrue="1" operator="equal">
      <formula>"Napkin Hs"</formula>
    </cfRule>
  </conditionalFormatting>
  <conditionalFormatting sqref="C71">
    <cfRule type="cellIs" dxfId="25555" priority="11279" stopIfTrue="1" operator="equal">
      <formula>"Towel"</formula>
    </cfRule>
    <cfRule type="cellIs" dxfId="25554" priority="11280" stopIfTrue="1" operator="equal">
      <formula>"Napkin Hs"</formula>
    </cfRule>
  </conditionalFormatting>
  <conditionalFormatting sqref="B71:C71">
    <cfRule type="cellIs" dxfId="25553" priority="11275" stopIfTrue="1" operator="equal">
      <formula>"Towel"</formula>
    </cfRule>
    <cfRule type="cellIs" dxfId="25552" priority="11276" stopIfTrue="1" operator="equal">
      <formula>"Napkin Hs"</formula>
    </cfRule>
  </conditionalFormatting>
  <conditionalFormatting sqref="C71">
    <cfRule type="cellIs" dxfId="25551" priority="11273" stopIfTrue="1" operator="equal">
      <formula>"Towel"</formula>
    </cfRule>
    <cfRule type="cellIs" dxfId="25550" priority="11274" stopIfTrue="1" operator="equal">
      <formula>"Napkin Hs"</formula>
    </cfRule>
  </conditionalFormatting>
  <conditionalFormatting sqref="C71">
    <cfRule type="cellIs" dxfId="25549" priority="11271" stopIfTrue="1" operator="equal">
      <formula>"Towel"</formula>
    </cfRule>
    <cfRule type="cellIs" dxfId="25548" priority="11272" stopIfTrue="1" operator="equal">
      <formula>"Napkin Hs"</formula>
    </cfRule>
  </conditionalFormatting>
  <conditionalFormatting sqref="B71:C71">
    <cfRule type="cellIs" dxfId="25547" priority="11270" stopIfTrue="1" operator="equal">
      <formula>"Napkin Hs"</formula>
    </cfRule>
  </conditionalFormatting>
  <conditionalFormatting sqref="B71:C71">
    <cfRule type="cellIs" dxfId="25546" priority="11269" stopIfTrue="1" operator="equal">
      <formula>"Towel"</formula>
    </cfRule>
  </conditionalFormatting>
  <conditionalFormatting sqref="C71">
    <cfRule type="cellIs" dxfId="25545" priority="11268" stopIfTrue="1" operator="equal">
      <formula>"Napkin Hs"</formula>
    </cfRule>
  </conditionalFormatting>
  <conditionalFormatting sqref="C71">
    <cfRule type="cellIs" dxfId="25544" priority="11267" stopIfTrue="1" operator="equal">
      <formula>"Towel"</formula>
    </cfRule>
  </conditionalFormatting>
  <conditionalFormatting sqref="C71">
    <cfRule type="cellIs" dxfId="25543" priority="11265" stopIfTrue="1" operator="equal">
      <formula>"Towel"</formula>
    </cfRule>
    <cfRule type="cellIs" dxfId="25542" priority="11266" stopIfTrue="1" operator="equal">
      <formula>"Napkin Hs"</formula>
    </cfRule>
  </conditionalFormatting>
  <conditionalFormatting sqref="C71">
    <cfRule type="cellIs" dxfId="25541" priority="11263" stopIfTrue="1" operator="equal">
      <formula>"Towel"</formula>
    </cfRule>
    <cfRule type="cellIs" dxfId="25540" priority="11264" stopIfTrue="1" operator="equal">
      <formula>"Napkin Hs"</formula>
    </cfRule>
  </conditionalFormatting>
  <conditionalFormatting sqref="C71">
    <cfRule type="cellIs" dxfId="25539" priority="11179" stopIfTrue="1" operator="equal">
      <formula>"Towel"</formula>
    </cfRule>
    <cfRule type="cellIs" dxfId="25538" priority="11180" stopIfTrue="1" operator="equal">
      <formula>"Napkin Hs"</formula>
    </cfRule>
  </conditionalFormatting>
  <conditionalFormatting sqref="C71">
    <cfRule type="cellIs" dxfId="25537" priority="11173" stopIfTrue="1" operator="equal">
      <formula>"Towel"</formula>
    </cfRule>
    <cfRule type="cellIs" dxfId="25536" priority="11174" stopIfTrue="1" operator="equal">
      <formula>"Napkin Hs"</formula>
    </cfRule>
  </conditionalFormatting>
  <conditionalFormatting sqref="C71">
    <cfRule type="cellIs" dxfId="25535" priority="11154" stopIfTrue="1" operator="equal">
      <formula>"Napkin Hs"</formula>
    </cfRule>
  </conditionalFormatting>
  <conditionalFormatting sqref="C71">
    <cfRule type="cellIs" dxfId="25534" priority="11153" stopIfTrue="1" operator="equal">
      <formula>"Towel"</formula>
    </cfRule>
  </conditionalFormatting>
  <conditionalFormatting sqref="C71">
    <cfRule type="cellIs" dxfId="25533" priority="11152" stopIfTrue="1" operator="equal">
      <formula>"Napkin Hs"</formula>
    </cfRule>
  </conditionalFormatting>
  <conditionalFormatting sqref="C71">
    <cfRule type="cellIs" dxfId="25532" priority="11149" stopIfTrue="1" operator="equal">
      <formula>"Towel"</formula>
    </cfRule>
    <cfRule type="cellIs" dxfId="25531" priority="11150" stopIfTrue="1" operator="equal">
      <formula>"Napkin Hs"</formula>
    </cfRule>
  </conditionalFormatting>
  <conditionalFormatting sqref="C71">
    <cfRule type="cellIs" dxfId="25530" priority="11151" stopIfTrue="1" operator="equal">
      <formula>"Towel"</formula>
    </cfRule>
  </conditionalFormatting>
  <conditionalFormatting sqref="C71">
    <cfRule type="cellIs" dxfId="25529" priority="11148" stopIfTrue="1" operator="equal">
      <formula>"Napkin Hs"</formula>
    </cfRule>
  </conditionalFormatting>
  <conditionalFormatting sqref="C71">
    <cfRule type="cellIs" dxfId="25528" priority="11147" stopIfTrue="1" operator="equal">
      <formula>"Towel"</formula>
    </cfRule>
  </conditionalFormatting>
  <conditionalFormatting sqref="C71">
    <cfRule type="cellIs" dxfId="25527" priority="11146" stopIfTrue="1" operator="equal">
      <formula>"Napkin Hs"</formula>
    </cfRule>
  </conditionalFormatting>
  <conditionalFormatting sqref="C71">
    <cfRule type="cellIs" dxfId="25526" priority="11143" stopIfTrue="1" operator="equal">
      <formula>"Towel"</formula>
    </cfRule>
    <cfRule type="cellIs" dxfId="25525" priority="11144" stopIfTrue="1" operator="equal">
      <formula>"Napkin Hs"</formula>
    </cfRule>
  </conditionalFormatting>
  <conditionalFormatting sqref="C71">
    <cfRule type="cellIs" dxfId="25524" priority="11145" stopIfTrue="1" operator="equal">
      <formula>"Towel"</formula>
    </cfRule>
  </conditionalFormatting>
  <conditionalFormatting sqref="C71">
    <cfRule type="cellIs" dxfId="25523" priority="11249" stopIfTrue="1" operator="equal">
      <formula>"Towel"</formula>
    </cfRule>
    <cfRule type="cellIs" dxfId="25522" priority="11250" stopIfTrue="1" operator="equal">
      <formula>"Napkin Hs"</formula>
    </cfRule>
  </conditionalFormatting>
  <conditionalFormatting sqref="C71">
    <cfRule type="cellIs" dxfId="25521" priority="11247" stopIfTrue="1" operator="equal">
      <formula>"Towel"</formula>
    </cfRule>
    <cfRule type="cellIs" dxfId="25520" priority="11248" stopIfTrue="1" operator="equal">
      <formula>"Napkin Hs"</formula>
    </cfRule>
  </conditionalFormatting>
  <conditionalFormatting sqref="C71">
    <cfRule type="cellIs" dxfId="25519" priority="11245" stopIfTrue="1" operator="equal">
      <formula>"Towel"</formula>
    </cfRule>
    <cfRule type="cellIs" dxfId="25518" priority="11246" stopIfTrue="1" operator="equal">
      <formula>"Napkin Hs"</formula>
    </cfRule>
  </conditionalFormatting>
  <conditionalFormatting sqref="C71">
    <cfRule type="cellIs" dxfId="25517" priority="11244" stopIfTrue="1" operator="equal">
      <formula>"Napkin Hs"</formula>
    </cfRule>
  </conditionalFormatting>
  <conditionalFormatting sqref="C71">
    <cfRule type="cellIs" dxfId="25516" priority="11243" stopIfTrue="1" operator="equal">
      <formula>"Towel"</formula>
    </cfRule>
  </conditionalFormatting>
  <conditionalFormatting sqref="C71">
    <cfRule type="cellIs" dxfId="25515" priority="11242" stopIfTrue="1" operator="equal">
      <formula>"Napkin Hs"</formula>
    </cfRule>
  </conditionalFormatting>
  <conditionalFormatting sqref="C71">
    <cfRule type="cellIs" dxfId="25514" priority="11241" stopIfTrue="1" operator="equal">
      <formula>"Towel"</formula>
    </cfRule>
  </conditionalFormatting>
  <conditionalFormatting sqref="C71">
    <cfRule type="cellIs" dxfId="25513" priority="11239" stopIfTrue="1" operator="equal">
      <formula>"Towel"</formula>
    </cfRule>
    <cfRule type="cellIs" dxfId="25512" priority="11240" stopIfTrue="1" operator="equal">
      <formula>"Napkin Hs"</formula>
    </cfRule>
  </conditionalFormatting>
  <conditionalFormatting sqref="C71">
    <cfRule type="cellIs" dxfId="25511" priority="11237" stopIfTrue="1" operator="equal">
      <formula>"Towel"</formula>
    </cfRule>
    <cfRule type="cellIs" dxfId="25510" priority="11238" stopIfTrue="1" operator="equal">
      <formula>"Napkin Hs"</formula>
    </cfRule>
  </conditionalFormatting>
  <conditionalFormatting sqref="C71">
    <cfRule type="cellIs" dxfId="25509" priority="11233" stopIfTrue="1" operator="equal">
      <formula>"Towel"</formula>
    </cfRule>
    <cfRule type="cellIs" dxfId="25508" priority="11234" stopIfTrue="1" operator="equal">
      <formula>"Napkin Hs"</formula>
    </cfRule>
  </conditionalFormatting>
  <conditionalFormatting sqref="C71">
    <cfRule type="cellIs" dxfId="25507" priority="11235" stopIfTrue="1" operator="equal">
      <formula>"Towel"</formula>
    </cfRule>
    <cfRule type="cellIs" dxfId="25506" priority="11236" stopIfTrue="1" operator="equal">
      <formula>"Napkin Hs"</formula>
    </cfRule>
  </conditionalFormatting>
  <conditionalFormatting sqref="C71">
    <cfRule type="cellIs" dxfId="25505" priority="11227" stopIfTrue="1" operator="equal">
      <formula>"Towel"</formula>
    </cfRule>
    <cfRule type="cellIs" dxfId="25504" priority="11228" stopIfTrue="1" operator="equal">
      <formula>"Napkin Hs"</formula>
    </cfRule>
  </conditionalFormatting>
  <conditionalFormatting sqref="C71">
    <cfRule type="cellIs" dxfId="25503" priority="11225" stopIfTrue="1" operator="equal">
      <formula>"Towel"</formula>
    </cfRule>
    <cfRule type="cellIs" dxfId="25502" priority="11226" stopIfTrue="1" operator="equal">
      <formula>"Napkin Hs"</formula>
    </cfRule>
  </conditionalFormatting>
  <conditionalFormatting sqref="C71">
    <cfRule type="cellIs" dxfId="25501" priority="11223" stopIfTrue="1" operator="equal">
      <formula>"Towel"</formula>
    </cfRule>
    <cfRule type="cellIs" dxfId="25500" priority="11224" stopIfTrue="1" operator="equal">
      <formula>"Napkin Hs"</formula>
    </cfRule>
  </conditionalFormatting>
  <conditionalFormatting sqref="C71">
    <cfRule type="cellIs" dxfId="25499" priority="11221" stopIfTrue="1" operator="equal">
      <formula>"Towel"</formula>
    </cfRule>
    <cfRule type="cellIs" dxfId="25498" priority="11222" stopIfTrue="1" operator="equal">
      <formula>"Napkin Hs"</formula>
    </cfRule>
  </conditionalFormatting>
  <conditionalFormatting sqref="C71">
    <cfRule type="cellIs" dxfId="25497" priority="11219" stopIfTrue="1" operator="equal">
      <formula>"Towel"</formula>
    </cfRule>
    <cfRule type="cellIs" dxfId="25496" priority="11220" stopIfTrue="1" operator="equal">
      <formula>"Napkin Hs"</formula>
    </cfRule>
  </conditionalFormatting>
  <conditionalFormatting sqref="C71">
    <cfRule type="cellIs" dxfId="25495" priority="11217" stopIfTrue="1" operator="equal">
      <formula>"Towel"</formula>
    </cfRule>
    <cfRule type="cellIs" dxfId="25494" priority="11218" stopIfTrue="1" operator="equal">
      <formula>"Napkin Hs"</formula>
    </cfRule>
  </conditionalFormatting>
  <conditionalFormatting sqref="C71">
    <cfRule type="cellIs" dxfId="25493" priority="11215" stopIfTrue="1" operator="equal">
      <formula>"Towel"</formula>
    </cfRule>
    <cfRule type="cellIs" dxfId="25492" priority="11216" stopIfTrue="1" operator="equal">
      <formula>"Napkin Hs"</formula>
    </cfRule>
  </conditionalFormatting>
  <conditionalFormatting sqref="C71">
    <cfRule type="cellIs" dxfId="25491" priority="11213" stopIfTrue="1" operator="equal">
      <formula>"Towel"</formula>
    </cfRule>
    <cfRule type="cellIs" dxfId="25490" priority="11214" stopIfTrue="1" operator="equal">
      <formula>"Napkin Hs"</formula>
    </cfRule>
  </conditionalFormatting>
  <conditionalFormatting sqref="C71">
    <cfRule type="cellIs" dxfId="25489" priority="11211" stopIfTrue="1" operator="equal">
      <formula>"Towel"</formula>
    </cfRule>
    <cfRule type="cellIs" dxfId="25488" priority="11212" stopIfTrue="1" operator="equal">
      <formula>"Napkin Hs"</formula>
    </cfRule>
  </conditionalFormatting>
  <conditionalFormatting sqref="C71">
    <cfRule type="cellIs" dxfId="25487" priority="11209" stopIfTrue="1" operator="equal">
      <formula>"Towel"</formula>
    </cfRule>
    <cfRule type="cellIs" dxfId="25486" priority="11210" stopIfTrue="1" operator="equal">
      <formula>"Napkin Hs"</formula>
    </cfRule>
  </conditionalFormatting>
  <conditionalFormatting sqref="C71">
    <cfRule type="cellIs" dxfId="25485" priority="11203" stopIfTrue="1" operator="equal">
      <formula>"Towel"</formula>
    </cfRule>
    <cfRule type="cellIs" dxfId="25484" priority="11204" stopIfTrue="1" operator="equal">
      <formula>"Napkin Hs"</formula>
    </cfRule>
  </conditionalFormatting>
  <conditionalFormatting sqref="C71">
    <cfRule type="cellIs" dxfId="25483" priority="11197" stopIfTrue="1" operator="equal">
      <formula>"Towel"</formula>
    </cfRule>
    <cfRule type="cellIs" dxfId="25482" priority="11198" stopIfTrue="1" operator="equal">
      <formula>"Napkin Hs"</formula>
    </cfRule>
  </conditionalFormatting>
  <conditionalFormatting sqref="C71">
    <cfRule type="cellIs" dxfId="25481" priority="11191" stopIfTrue="1" operator="equal">
      <formula>"Towel"</formula>
    </cfRule>
    <cfRule type="cellIs" dxfId="25480" priority="11192" stopIfTrue="1" operator="equal">
      <formula>"Napkin Hs"</formula>
    </cfRule>
  </conditionalFormatting>
  <conditionalFormatting sqref="C71">
    <cfRule type="cellIs" dxfId="25479" priority="11190" stopIfTrue="1" operator="equal">
      <formula>"Napkin Hs"</formula>
    </cfRule>
  </conditionalFormatting>
  <conditionalFormatting sqref="C71">
    <cfRule type="cellIs" dxfId="25478" priority="11189" stopIfTrue="1" operator="equal">
      <formula>"Towel"</formula>
    </cfRule>
  </conditionalFormatting>
  <conditionalFormatting sqref="C71">
    <cfRule type="cellIs" dxfId="25477" priority="11188" stopIfTrue="1" operator="equal">
      <formula>"Napkin Hs"</formula>
    </cfRule>
  </conditionalFormatting>
  <conditionalFormatting sqref="C71">
    <cfRule type="cellIs" dxfId="25476" priority="11187" stopIfTrue="1" operator="equal">
      <formula>"Towel"</formula>
    </cfRule>
  </conditionalFormatting>
  <conditionalFormatting sqref="C71">
    <cfRule type="cellIs" dxfId="25475" priority="11185" stopIfTrue="1" operator="equal">
      <formula>"Towel"</formula>
    </cfRule>
    <cfRule type="cellIs" dxfId="25474" priority="11186" stopIfTrue="1" operator="equal">
      <formula>"Napkin Hs"</formula>
    </cfRule>
  </conditionalFormatting>
  <conditionalFormatting sqref="C71">
    <cfRule type="cellIs" dxfId="25473" priority="11183" stopIfTrue="1" operator="equal">
      <formula>"Towel"</formula>
    </cfRule>
    <cfRule type="cellIs" dxfId="25472" priority="11184" stopIfTrue="1" operator="equal">
      <formula>"Napkin Hs"</formula>
    </cfRule>
  </conditionalFormatting>
  <conditionalFormatting sqref="C71">
    <cfRule type="cellIs" dxfId="25471" priority="11181" stopIfTrue="1" operator="equal">
      <formula>"Towel"</formula>
    </cfRule>
    <cfRule type="cellIs" dxfId="25470" priority="11182" stopIfTrue="1" operator="equal">
      <formula>"Napkin Hs"</formula>
    </cfRule>
  </conditionalFormatting>
  <conditionalFormatting sqref="C71">
    <cfRule type="cellIs" dxfId="25469" priority="11171" stopIfTrue="1" operator="equal">
      <formula>"Towel"</formula>
    </cfRule>
    <cfRule type="cellIs" dxfId="25468" priority="11172" stopIfTrue="1" operator="equal">
      <formula>"Napkin Hs"</formula>
    </cfRule>
  </conditionalFormatting>
  <conditionalFormatting sqref="C71">
    <cfRule type="cellIs" dxfId="25467" priority="11169" stopIfTrue="1" operator="equal">
      <formula>"Towel"</formula>
    </cfRule>
    <cfRule type="cellIs" dxfId="25466" priority="11170" stopIfTrue="1" operator="equal">
      <formula>"Napkin Hs"</formula>
    </cfRule>
  </conditionalFormatting>
  <conditionalFormatting sqref="C71">
    <cfRule type="cellIs" dxfId="25465" priority="11167" stopIfTrue="1" operator="equal">
      <formula>"Towel"</formula>
    </cfRule>
    <cfRule type="cellIs" dxfId="25464" priority="11168" stopIfTrue="1" operator="equal">
      <formula>"Napkin Hs"</formula>
    </cfRule>
  </conditionalFormatting>
  <conditionalFormatting sqref="C71">
    <cfRule type="cellIs" dxfId="25463" priority="11165" stopIfTrue="1" operator="equal">
      <formula>"Towel"</formula>
    </cfRule>
    <cfRule type="cellIs" dxfId="25462" priority="11166" stopIfTrue="1" operator="equal">
      <formula>"Napkin Hs"</formula>
    </cfRule>
  </conditionalFormatting>
  <conditionalFormatting sqref="C71">
    <cfRule type="cellIs" dxfId="25461" priority="11163" stopIfTrue="1" operator="equal">
      <formula>"Towel"</formula>
    </cfRule>
    <cfRule type="cellIs" dxfId="25460" priority="11164" stopIfTrue="1" operator="equal">
      <formula>"Napkin Hs"</formula>
    </cfRule>
  </conditionalFormatting>
  <conditionalFormatting sqref="C71">
    <cfRule type="cellIs" dxfId="25459" priority="11161" stopIfTrue="1" operator="equal">
      <formula>"Towel"</formula>
    </cfRule>
    <cfRule type="cellIs" dxfId="25458" priority="11162" stopIfTrue="1" operator="equal">
      <formula>"Napkin Hs"</formula>
    </cfRule>
  </conditionalFormatting>
  <conditionalFormatting sqref="C71">
    <cfRule type="cellIs" dxfId="25457" priority="11159" stopIfTrue="1" operator="equal">
      <formula>"Towel"</formula>
    </cfRule>
    <cfRule type="cellIs" dxfId="25456" priority="11160" stopIfTrue="1" operator="equal">
      <formula>"Napkin Hs"</formula>
    </cfRule>
  </conditionalFormatting>
  <conditionalFormatting sqref="C71">
    <cfRule type="cellIs" dxfId="25455" priority="11157" stopIfTrue="1" operator="equal">
      <formula>"Towel"</formula>
    </cfRule>
    <cfRule type="cellIs" dxfId="25454" priority="11158" stopIfTrue="1" operator="equal">
      <formula>"Napkin Hs"</formula>
    </cfRule>
  </conditionalFormatting>
  <conditionalFormatting sqref="C71">
    <cfRule type="cellIs" dxfId="25453" priority="11155" stopIfTrue="1" operator="equal">
      <formula>"Towel"</formula>
    </cfRule>
    <cfRule type="cellIs" dxfId="25452" priority="11156" stopIfTrue="1" operator="equal">
      <formula>"Napkin Hs"</formula>
    </cfRule>
  </conditionalFormatting>
  <conditionalFormatting sqref="C71">
    <cfRule type="cellIs" dxfId="25451" priority="11142" stopIfTrue="1" operator="equal">
      <formula>"Napkin Hs"</formula>
    </cfRule>
  </conditionalFormatting>
  <conditionalFormatting sqref="C71">
    <cfRule type="cellIs" dxfId="25450" priority="11141" stopIfTrue="1" operator="equal">
      <formula>"Towel"</formula>
    </cfRule>
  </conditionalFormatting>
  <conditionalFormatting sqref="C71">
    <cfRule type="cellIs" dxfId="25449" priority="11140" stopIfTrue="1" operator="equal">
      <formula>"Napkin Hs"</formula>
    </cfRule>
  </conditionalFormatting>
  <conditionalFormatting sqref="C71">
    <cfRule type="cellIs" dxfId="25448" priority="11137" stopIfTrue="1" operator="equal">
      <formula>"Towel"</formula>
    </cfRule>
    <cfRule type="cellIs" dxfId="25447" priority="11138" stopIfTrue="1" operator="equal">
      <formula>"Napkin Hs"</formula>
    </cfRule>
  </conditionalFormatting>
  <conditionalFormatting sqref="C71">
    <cfRule type="cellIs" dxfId="25446" priority="11139" stopIfTrue="1" operator="equal">
      <formula>"Towel"</formula>
    </cfRule>
  </conditionalFormatting>
  <conditionalFormatting sqref="C71">
    <cfRule type="cellIs" dxfId="25445" priority="11257" stopIfTrue="1" operator="equal">
      <formula>"Towel"</formula>
    </cfRule>
    <cfRule type="cellIs" dxfId="25444" priority="11258" stopIfTrue="1" operator="equal">
      <formula>"Napkin Hs"</formula>
    </cfRule>
  </conditionalFormatting>
  <conditionalFormatting sqref="C71">
    <cfRule type="cellIs" dxfId="25443" priority="11256" stopIfTrue="1" operator="equal">
      <formula>"Napkin Hs"</formula>
    </cfRule>
  </conditionalFormatting>
  <conditionalFormatting sqref="C71">
    <cfRule type="cellIs" dxfId="25442" priority="11255" stopIfTrue="1" operator="equal">
      <formula>"Towel"</formula>
    </cfRule>
  </conditionalFormatting>
  <conditionalFormatting sqref="C71">
    <cfRule type="cellIs" dxfId="25441" priority="11254" stopIfTrue="1" operator="equal">
      <formula>"Napkin Hs"</formula>
    </cfRule>
  </conditionalFormatting>
  <conditionalFormatting sqref="C71">
    <cfRule type="cellIs" dxfId="25440" priority="11251" stopIfTrue="1" operator="equal">
      <formula>"Towel"</formula>
    </cfRule>
    <cfRule type="cellIs" dxfId="25439" priority="11252" stopIfTrue="1" operator="equal">
      <formula>"Napkin Hs"</formula>
    </cfRule>
  </conditionalFormatting>
  <conditionalFormatting sqref="C71">
    <cfRule type="cellIs" dxfId="25438" priority="11253" stopIfTrue="1" operator="equal">
      <formula>"Towel"</formula>
    </cfRule>
  </conditionalFormatting>
  <conditionalFormatting sqref="C71">
    <cfRule type="cellIs" dxfId="25437" priority="11261" stopIfTrue="1" operator="equal">
      <formula>"Towel"</formula>
    </cfRule>
    <cfRule type="cellIs" dxfId="25436" priority="11262" stopIfTrue="1" operator="equal">
      <formula>"Napkin Hs"</formula>
    </cfRule>
  </conditionalFormatting>
  <conditionalFormatting sqref="C71">
    <cfRule type="cellIs" dxfId="25435" priority="11259" stopIfTrue="1" operator="equal">
      <formula>"Towel"</formula>
    </cfRule>
    <cfRule type="cellIs" dxfId="25434" priority="11260" stopIfTrue="1" operator="equal">
      <formula>"Napkin Hs"</formula>
    </cfRule>
  </conditionalFormatting>
  <conditionalFormatting sqref="C71">
    <cfRule type="cellIs" dxfId="25433" priority="11231" stopIfTrue="1" operator="equal">
      <formula>"Towel"</formula>
    </cfRule>
    <cfRule type="cellIs" dxfId="25432" priority="11232" stopIfTrue="1" operator="equal">
      <formula>"Napkin Hs"</formula>
    </cfRule>
  </conditionalFormatting>
  <conditionalFormatting sqref="C71">
    <cfRule type="cellIs" dxfId="25431" priority="11229" stopIfTrue="1" operator="equal">
      <formula>"Towel"</formula>
    </cfRule>
    <cfRule type="cellIs" dxfId="25430" priority="11230" stopIfTrue="1" operator="equal">
      <formula>"Napkin Hs"</formula>
    </cfRule>
  </conditionalFormatting>
  <conditionalFormatting sqref="C71">
    <cfRule type="cellIs" dxfId="25429" priority="11208" stopIfTrue="1" operator="equal">
      <formula>"Napkin Hs"</formula>
    </cfRule>
  </conditionalFormatting>
  <conditionalFormatting sqref="C71">
    <cfRule type="cellIs" dxfId="25428" priority="11207" stopIfTrue="1" operator="equal">
      <formula>"Towel"</formula>
    </cfRule>
  </conditionalFormatting>
  <conditionalFormatting sqref="C71">
    <cfRule type="cellIs" dxfId="25427" priority="11206" stopIfTrue="1" operator="equal">
      <formula>"Napkin Hs"</formula>
    </cfRule>
  </conditionalFormatting>
  <conditionalFormatting sqref="C71">
    <cfRule type="cellIs" dxfId="25426" priority="11205" stopIfTrue="1" operator="equal">
      <formula>"Towel"</formula>
    </cfRule>
  </conditionalFormatting>
  <conditionalFormatting sqref="C71">
    <cfRule type="cellIs" dxfId="25425" priority="11202" stopIfTrue="1" operator="equal">
      <formula>"Napkin Hs"</formula>
    </cfRule>
  </conditionalFormatting>
  <conditionalFormatting sqref="C71">
    <cfRule type="cellIs" dxfId="25424" priority="11201" stopIfTrue="1" operator="equal">
      <formula>"Towel"</formula>
    </cfRule>
  </conditionalFormatting>
  <conditionalFormatting sqref="C71">
    <cfRule type="cellIs" dxfId="25423" priority="11200" stopIfTrue="1" operator="equal">
      <formula>"Napkin Hs"</formula>
    </cfRule>
  </conditionalFormatting>
  <conditionalFormatting sqref="C71">
    <cfRule type="cellIs" dxfId="25422" priority="11199" stopIfTrue="1" operator="equal">
      <formula>"Towel"</formula>
    </cfRule>
  </conditionalFormatting>
  <conditionalFormatting sqref="C71">
    <cfRule type="cellIs" dxfId="25421" priority="11195" stopIfTrue="1" operator="equal">
      <formula>"Towel"</formula>
    </cfRule>
    <cfRule type="cellIs" dxfId="25420" priority="11196" stopIfTrue="1" operator="equal">
      <formula>"Napkin Hs"</formula>
    </cfRule>
  </conditionalFormatting>
  <conditionalFormatting sqref="C71">
    <cfRule type="cellIs" dxfId="25419" priority="11193" stopIfTrue="1" operator="equal">
      <formula>"Towel"</formula>
    </cfRule>
    <cfRule type="cellIs" dxfId="25418" priority="11194" stopIfTrue="1" operator="equal">
      <formula>"Napkin Hs"</formula>
    </cfRule>
  </conditionalFormatting>
  <conditionalFormatting sqref="C71">
    <cfRule type="cellIs" dxfId="25417" priority="11177" stopIfTrue="1" operator="equal">
      <formula>"Towel"</formula>
    </cfRule>
    <cfRule type="cellIs" dxfId="25416" priority="11178" stopIfTrue="1" operator="equal">
      <formula>"Napkin Hs"</formula>
    </cfRule>
  </conditionalFormatting>
  <conditionalFormatting sqref="C71">
    <cfRule type="cellIs" dxfId="25415" priority="11175" stopIfTrue="1" operator="equal">
      <formula>"Towel"</formula>
    </cfRule>
    <cfRule type="cellIs" dxfId="25414" priority="11176" stopIfTrue="1" operator="equal">
      <formula>"Napkin Hs"</formula>
    </cfRule>
  </conditionalFormatting>
  <conditionalFormatting sqref="B71:C71">
    <cfRule type="cellIs" dxfId="25413" priority="11136" stopIfTrue="1" operator="equal">
      <formula>"Napkin Hs"</formula>
    </cfRule>
  </conditionalFormatting>
  <conditionalFormatting sqref="B71:C71">
    <cfRule type="cellIs" dxfId="25412" priority="11135" stopIfTrue="1" operator="equal">
      <formula>"Towel"</formula>
    </cfRule>
  </conditionalFormatting>
  <conditionalFormatting sqref="C71">
    <cfRule type="cellIs" dxfId="25411" priority="11134" stopIfTrue="1" operator="equal">
      <formula>"Napkin Hs"</formula>
    </cfRule>
  </conditionalFormatting>
  <conditionalFormatting sqref="C71">
    <cfRule type="cellIs" dxfId="25410" priority="11131" stopIfTrue="1" operator="equal">
      <formula>"Towel"</formula>
    </cfRule>
    <cfRule type="cellIs" dxfId="25409" priority="11132" stopIfTrue="1" operator="equal">
      <formula>"Napkin Hs"</formula>
    </cfRule>
  </conditionalFormatting>
  <conditionalFormatting sqref="C71">
    <cfRule type="cellIs" dxfId="25408" priority="11133" stopIfTrue="1" operator="equal">
      <formula>"Towel"</formula>
    </cfRule>
  </conditionalFormatting>
  <conditionalFormatting sqref="C69:C71">
    <cfRule type="cellIs" dxfId="25407" priority="11047" stopIfTrue="1" operator="equal">
      <formula>"Towel"</formula>
    </cfRule>
    <cfRule type="cellIs" dxfId="25406" priority="11048" stopIfTrue="1" operator="equal">
      <formula>"Napkin Hs"</formula>
    </cfRule>
  </conditionalFormatting>
  <conditionalFormatting sqref="C69:C71">
    <cfRule type="cellIs" dxfId="25405" priority="11041" stopIfTrue="1" operator="equal">
      <formula>"Towel"</formula>
    </cfRule>
    <cfRule type="cellIs" dxfId="25404" priority="11042" stopIfTrue="1" operator="equal">
      <formula>"Napkin Hs"</formula>
    </cfRule>
  </conditionalFormatting>
  <conditionalFormatting sqref="C69:C71">
    <cfRule type="cellIs" dxfId="25403" priority="11022" stopIfTrue="1" operator="equal">
      <formula>"Napkin Hs"</formula>
    </cfRule>
  </conditionalFormatting>
  <conditionalFormatting sqref="C69:C71">
    <cfRule type="cellIs" dxfId="25402" priority="11021" stopIfTrue="1" operator="equal">
      <formula>"Towel"</formula>
    </cfRule>
  </conditionalFormatting>
  <conditionalFormatting sqref="C69:C71">
    <cfRule type="cellIs" dxfId="25401" priority="11020" stopIfTrue="1" operator="equal">
      <formula>"Napkin Hs"</formula>
    </cfRule>
  </conditionalFormatting>
  <conditionalFormatting sqref="C69:C71">
    <cfRule type="cellIs" dxfId="25400" priority="11017" stopIfTrue="1" operator="equal">
      <formula>"Towel"</formula>
    </cfRule>
    <cfRule type="cellIs" dxfId="25399" priority="11018" stopIfTrue="1" operator="equal">
      <formula>"Napkin Hs"</formula>
    </cfRule>
  </conditionalFormatting>
  <conditionalFormatting sqref="C69:C71">
    <cfRule type="cellIs" dxfId="25398" priority="11019" stopIfTrue="1" operator="equal">
      <formula>"Towel"</formula>
    </cfRule>
  </conditionalFormatting>
  <conditionalFormatting sqref="C69:C71">
    <cfRule type="cellIs" dxfId="25397" priority="11016" stopIfTrue="1" operator="equal">
      <formula>"Napkin Hs"</formula>
    </cfRule>
  </conditionalFormatting>
  <conditionalFormatting sqref="C69:C71">
    <cfRule type="cellIs" dxfId="25396" priority="11015" stopIfTrue="1" operator="equal">
      <formula>"Towel"</formula>
    </cfRule>
  </conditionalFormatting>
  <conditionalFormatting sqref="C69:C71">
    <cfRule type="cellIs" dxfId="25395" priority="11014" stopIfTrue="1" operator="equal">
      <formula>"Napkin Hs"</formula>
    </cfRule>
  </conditionalFormatting>
  <conditionalFormatting sqref="C69:C71">
    <cfRule type="cellIs" dxfId="25394" priority="11011" stopIfTrue="1" operator="equal">
      <formula>"Towel"</formula>
    </cfRule>
    <cfRule type="cellIs" dxfId="25393" priority="11012" stopIfTrue="1" operator="equal">
      <formula>"Napkin Hs"</formula>
    </cfRule>
  </conditionalFormatting>
  <conditionalFormatting sqref="C69:C71">
    <cfRule type="cellIs" dxfId="25392" priority="11013" stopIfTrue="1" operator="equal">
      <formula>"Towel"</formula>
    </cfRule>
  </conditionalFormatting>
  <conditionalFormatting sqref="C69:C71">
    <cfRule type="cellIs" dxfId="25391" priority="11117" stopIfTrue="1" operator="equal">
      <formula>"Towel"</formula>
    </cfRule>
    <cfRule type="cellIs" dxfId="25390" priority="11118" stopIfTrue="1" operator="equal">
      <formula>"Napkin Hs"</formula>
    </cfRule>
  </conditionalFormatting>
  <conditionalFormatting sqref="C69:C71">
    <cfRule type="cellIs" dxfId="25389" priority="11115" stopIfTrue="1" operator="equal">
      <formula>"Towel"</formula>
    </cfRule>
    <cfRule type="cellIs" dxfId="25388" priority="11116" stopIfTrue="1" operator="equal">
      <formula>"Napkin Hs"</formula>
    </cfRule>
  </conditionalFormatting>
  <conditionalFormatting sqref="C69:C71">
    <cfRule type="cellIs" dxfId="25387" priority="11113" stopIfTrue="1" operator="equal">
      <formula>"Towel"</formula>
    </cfRule>
    <cfRule type="cellIs" dxfId="25386" priority="11114" stopIfTrue="1" operator="equal">
      <formula>"Napkin Hs"</formula>
    </cfRule>
  </conditionalFormatting>
  <conditionalFormatting sqref="C69:C71">
    <cfRule type="cellIs" dxfId="25385" priority="11112" stopIfTrue="1" operator="equal">
      <formula>"Napkin Hs"</formula>
    </cfRule>
  </conditionalFormatting>
  <conditionalFormatting sqref="C69:C71">
    <cfRule type="cellIs" dxfId="25384" priority="11111" stopIfTrue="1" operator="equal">
      <formula>"Towel"</formula>
    </cfRule>
  </conditionalFormatting>
  <conditionalFormatting sqref="C69:C71">
    <cfRule type="cellIs" dxfId="25383" priority="11110" stopIfTrue="1" operator="equal">
      <formula>"Napkin Hs"</formula>
    </cfRule>
  </conditionalFormatting>
  <conditionalFormatting sqref="C69:C71">
    <cfRule type="cellIs" dxfId="25382" priority="11109" stopIfTrue="1" operator="equal">
      <formula>"Towel"</formula>
    </cfRule>
  </conditionalFormatting>
  <conditionalFormatting sqref="C69:C71">
    <cfRule type="cellIs" dxfId="25381" priority="11107" stopIfTrue="1" operator="equal">
      <formula>"Towel"</formula>
    </cfRule>
    <cfRule type="cellIs" dxfId="25380" priority="11108" stopIfTrue="1" operator="equal">
      <formula>"Napkin Hs"</formula>
    </cfRule>
  </conditionalFormatting>
  <conditionalFormatting sqref="C69:C71">
    <cfRule type="cellIs" dxfId="25379" priority="11105" stopIfTrue="1" operator="equal">
      <formula>"Towel"</formula>
    </cfRule>
    <cfRule type="cellIs" dxfId="25378" priority="11106" stopIfTrue="1" operator="equal">
      <formula>"Napkin Hs"</formula>
    </cfRule>
  </conditionalFormatting>
  <conditionalFormatting sqref="C69:C71">
    <cfRule type="cellIs" dxfId="25377" priority="11101" stopIfTrue="1" operator="equal">
      <formula>"Towel"</formula>
    </cfRule>
    <cfRule type="cellIs" dxfId="25376" priority="11102" stopIfTrue="1" operator="equal">
      <formula>"Napkin Hs"</formula>
    </cfRule>
  </conditionalFormatting>
  <conditionalFormatting sqref="C69:C71">
    <cfRule type="cellIs" dxfId="25375" priority="11103" stopIfTrue="1" operator="equal">
      <formula>"Towel"</formula>
    </cfRule>
    <cfRule type="cellIs" dxfId="25374" priority="11104" stopIfTrue="1" operator="equal">
      <formula>"Napkin Hs"</formula>
    </cfRule>
  </conditionalFormatting>
  <conditionalFormatting sqref="C69:C71">
    <cfRule type="cellIs" dxfId="25373" priority="11095" stopIfTrue="1" operator="equal">
      <formula>"Towel"</formula>
    </cfRule>
    <cfRule type="cellIs" dxfId="25372" priority="11096" stopIfTrue="1" operator="equal">
      <formula>"Napkin Hs"</formula>
    </cfRule>
  </conditionalFormatting>
  <conditionalFormatting sqref="C69:C71">
    <cfRule type="cellIs" dxfId="25371" priority="11093" stopIfTrue="1" operator="equal">
      <formula>"Towel"</formula>
    </cfRule>
    <cfRule type="cellIs" dxfId="25370" priority="11094" stopIfTrue="1" operator="equal">
      <formula>"Napkin Hs"</formula>
    </cfRule>
  </conditionalFormatting>
  <conditionalFormatting sqref="C69:C71">
    <cfRule type="cellIs" dxfId="25369" priority="11091" stopIfTrue="1" operator="equal">
      <formula>"Towel"</formula>
    </cfRule>
    <cfRule type="cellIs" dxfId="25368" priority="11092" stopIfTrue="1" operator="equal">
      <formula>"Napkin Hs"</formula>
    </cfRule>
  </conditionalFormatting>
  <conditionalFormatting sqref="C69:C71">
    <cfRule type="cellIs" dxfId="25367" priority="11089" stopIfTrue="1" operator="equal">
      <formula>"Towel"</formula>
    </cfRule>
    <cfRule type="cellIs" dxfId="25366" priority="11090" stopIfTrue="1" operator="equal">
      <formula>"Napkin Hs"</formula>
    </cfRule>
  </conditionalFormatting>
  <conditionalFormatting sqref="C69:C71">
    <cfRule type="cellIs" dxfId="25365" priority="11087" stopIfTrue="1" operator="equal">
      <formula>"Towel"</formula>
    </cfRule>
    <cfRule type="cellIs" dxfId="25364" priority="11088" stopIfTrue="1" operator="equal">
      <formula>"Napkin Hs"</formula>
    </cfRule>
  </conditionalFormatting>
  <conditionalFormatting sqref="C69:C71">
    <cfRule type="cellIs" dxfId="25363" priority="11085" stopIfTrue="1" operator="equal">
      <formula>"Towel"</formula>
    </cfRule>
    <cfRule type="cellIs" dxfId="25362" priority="11086" stopIfTrue="1" operator="equal">
      <formula>"Napkin Hs"</formula>
    </cfRule>
  </conditionalFormatting>
  <conditionalFormatting sqref="C69:C71">
    <cfRule type="cellIs" dxfId="25361" priority="11083" stopIfTrue="1" operator="equal">
      <formula>"Towel"</formula>
    </cfRule>
    <cfRule type="cellIs" dxfId="25360" priority="11084" stopIfTrue="1" operator="equal">
      <formula>"Napkin Hs"</formula>
    </cfRule>
  </conditionalFormatting>
  <conditionalFormatting sqref="C69:C71">
    <cfRule type="cellIs" dxfId="25359" priority="11081" stopIfTrue="1" operator="equal">
      <formula>"Towel"</formula>
    </cfRule>
    <cfRule type="cellIs" dxfId="25358" priority="11082" stopIfTrue="1" operator="equal">
      <formula>"Napkin Hs"</formula>
    </cfRule>
  </conditionalFormatting>
  <conditionalFormatting sqref="C69:C71">
    <cfRule type="cellIs" dxfId="25357" priority="11079" stopIfTrue="1" operator="equal">
      <formula>"Towel"</formula>
    </cfRule>
    <cfRule type="cellIs" dxfId="25356" priority="11080" stopIfTrue="1" operator="equal">
      <formula>"Napkin Hs"</formula>
    </cfRule>
  </conditionalFormatting>
  <conditionalFormatting sqref="C69:C71">
    <cfRule type="cellIs" dxfId="25355" priority="11077" stopIfTrue="1" operator="equal">
      <formula>"Towel"</formula>
    </cfRule>
    <cfRule type="cellIs" dxfId="25354" priority="11078" stopIfTrue="1" operator="equal">
      <formula>"Napkin Hs"</formula>
    </cfRule>
  </conditionalFormatting>
  <conditionalFormatting sqref="C69:C71">
    <cfRule type="cellIs" dxfId="25353" priority="11071" stopIfTrue="1" operator="equal">
      <formula>"Towel"</formula>
    </cfRule>
    <cfRule type="cellIs" dxfId="25352" priority="11072" stopIfTrue="1" operator="equal">
      <formula>"Napkin Hs"</formula>
    </cfRule>
  </conditionalFormatting>
  <conditionalFormatting sqref="C69:C71">
    <cfRule type="cellIs" dxfId="25351" priority="11065" stopIfTrue="1" operator="equal">
      <formula>"Towel"</formula>
    </cfRule>
    <cfRule type="cellIs" dxfId="25350" priority="11066" stopIfTrue="1" operator="equal">
      <formula>"Napkin Hs"</formula>
    </cfRule>
  </conditionalFormatting>
  <conditionalFormatting sqref="C69:C71">
    <cfRule type="cellIs" dxfId="25349" priority="11059" stopIfTrue="1" operator="equal">
      <formula>"Towel"</formula>
    </cfRule>
    <cfRule type="cellIs" dxfId="25348" priority="11060" stopIfTrue="1" operator="equal">
      <formula>"Napkin Hs"</formula>
    </cfRule>
  </conditionalFormatting>
  <conditionalFormatting sqref="C69:C71">
    <cfRule type="cellIs" dxfId="25347" priority="11058" stopIfTrue="1" operator="equal">
      <formula>"Napkin Hs"</formula>
    </cfRule>
  </conditionalFormatting>
  <conditionalFormatting sqref="C69:C71">
    <cfRule type="cellIs" dxfId="25346" priority="11057" stopIfTrue="1" operator="equal">
      <formula>"Towel"</formula>
    </cfRule>
  </conditionalFormatting>
  <conditionalFormatting sqref="C69:C71">
    <cfRule type="cellIs" dxfId="25345" priority="11056" stopIfTrue="1" operator="equal">
      <formula>"Napkin Hs"</formula>
    </cfRule>
  </conditionalFormatting>
  <conditionalFormatting sqref="C69:C71">
    <cfRule type="cellIs" dxfId="25344" priority="11055" stopIfTrue="1" operator="equal">
      <formula>"Towel"</formula>
    </cfRule>
  </conditionalFormatting>
  <conditionalFormatting sqref="C69:C71">
    <cfRule type="cellIs" dxfId="25343" priority="11053" stopIfTrue="1" operator="equal">
      <formula>"Towel"</formula>
    </cfRule>
    <cfRule type="cellIs" dxfId="25342" priority="11054" stopIfTrue="1" operator="equal">
      <formula>"Napkin Hs"</formula>
    </cfRule>
  </conditionalFormatting>
  <conditionalFormatting sqref="C69:C71">
    <cfRule type="cellIs" dxfId="25341" priority="11051" stopIfTrue="1" operator="equal">
      <formula>"Towel"</formula>
    </cfRule>
    <cfRule type="cellIs" dxfId="25340" priority="11052" stopIfTrue="1" operator="equal">
      <formula>"Napkin Hs"</formula>
    </cfRule>
  </conditionalFormatting>
  <conditionalFormatting sqref="C69:C71">
    <cfRule type="cellIs" dxfId="25339" priority="11049" stopIfTrue="1" operator="equal">
      <formula>"Towel"</formula>
    </cfRule>
    <cfRule type="cellIs" dxfId="25338" priority="11050" stopIfTrue="1" operator="equal">
      <formula>"Napkin Hs"</formula>
    </cfRule>
  </conditionalFormatting>
  <conditionalFormatting sqref="C69:C71">
    <cfRule type="cellIs" dxfId="25337" priority="11039" stopIfTrue="1" operator="equal">
      <formula>"Towel"</formula>
    </cfRule>
    <cfRule type="cellIs" dxfId="25336" priority="11040" stopIfTrue="1" operator="equal">
      <formula>"Napkin Hs"</formula>
    </cfRule>
  </conditionalFormatting>
  <conditionalFormatting sqref="C69:C71">
    <cfRule type="cellIs" dxfId="25335" priority="11037" stopIfTrue="1" operator="equal">
      <formula>"Towel"</formula>
    </cfRule>
    <cfRule type="cellIs" dxfId="25334" priority="11038" stopIfTrue="1" operator="equal">
      <formula>"Napkin Hs"</formula>
    </cfRule>
  </conditionalFormatting>
  <conditionalFormatting sqref="C69:C71">
    <cfRule type="cellIs" dxfId="25333" priority="11035" stopIfTrue="1" operator="equal">
      <formula>"Towel"</formula>
    </cfRule>
    <cfRule type="cellIs" dxfId="25332" priority="11036" stopIfTrue="1" operator="equal">
      <formula>"Napkin Hs"</formula>
    </cfRule>
  </conditionalFormatting>
  <conditionalFormatting sqref="C69:C71">
    <cfRule type="cellIs" dxfId="25331" priority="11033" stopIfTrue="1" operator="equal">
      <formula>"Towel"</formula>
    </cfRule>
    <cfRule type="cellIs" dxfId="25330" priority="11034" stopIfTrue="1" operator="equal">
      <formula>"Napkin Hs"</formula>
    </cfRule>
  </conditionalFormatting>
  <conditionalFormatting sqref="C69:C71">
    <cfRule type="cellIs" dxfId="25329" priority="11031" stopIfTrue="1" operator="equal">
      <formula>"Towel"</formula>
    </cfRule>
    <cfRule type="cellIs" dxfId="25328" priority="11032" stopIfTrue="1" operator="equal">
      <formula>"Napkin Hs"</formula>
    </cfRule>
  </conditionalFormatting>
  <conditionalFormatting sqref="C69:C71">
    <cfRule type="cellIs" dxfId="25327" priority="11029" stopIfTrue="1" operator="equal">
      <formula>"Towel"</formula>
    </cfRule>
    <cfRule type="cellIs" dxfId="25326" priority="11030" stopIfTrue="1" operator="equal">
      <formula>"Napkin Hs"</formula>
    </cfRule>
  </conditionalFormatting>
  <conditionalFormatting sqref="C69:C71">
    <cfRule type="cellIs" dxfId="25325" priority="11027" stopIfTrue="1" operator="equal">
      <formula>"Towel"</formula>
    </cfRule>
    <cfRule type="cellIs" dxfId="25324" priority="11028" stopIfTrue="1" operator="equal">
      <formula>"Napkin Hs"</formula>
    </cfRule>
  </conditionalFormatting>
  <conditionalFormatting sqref="C69:C71">
    <cfRule type="cellIs" dxfId="25323" priority="11025" stopIfTrue="1" operator="equal">
      <formula>"Towel"</formula>
    </cfRule>
    <cfRule type="cellIs" dxfId="25322" priority="11026" stopIfTrue="1" operator="equal">
      <formula>"Napkin Hs"</formula>
    </cfRule>
  </conditionalFormatting>
  <conditionalFormatting sqref="C69:C71">
    <cfRule type="cellIs" dxfId="25321" priority="11023" stopIfTrue="1" operator="equal">
      <formula>"Towel"</formula>
    </cfRule>
    <cfRule type="cellIs" dxfId="25320" priority="11024" stopIfTrue="1" operator="equal">
      <formula>"Napkin Hs"</formula>
    </cfRule>
  </conditionalFormatting>
  <conditionalFormatting sqref="C69:C71">
    <cfRule type="cellIs" dxfId="25319" priority="11010" stopIfTrue="1" operator="equal">
      <formula>"Napkin Hs"</formula>
    </cfRule>
  </conditionalFormatting>
  <conditionalFormatting sqref="C69:C71">
    <cfRule type="cellIs" dxfId="25318" priority="11009" stopIfTrue="1" operator="equal">
      <formula>"Towel"</formula>
    </cfRule>
  </conditionalFormatting>
  <conditionalFormatting sqref="C69:C71">
    <cfRule type="cellIs" dxfId="25317" priority="11008" stopIfTrue="1" operator="equal">
      <formula>"Napkin Hs"</formula>
    </cfRule>
  </conditionalFormatting>
  <conditionalFormatting sqref="C69:C71">
    <cfRule type="cellIs" dxfId="25316" priority="11005" stopIfTrue="1" operator="equal">
      <formula>"Towel"</formula>
    </cfRule>
    <cfRule type="cellIs" dxfId="25315" priority="11006" stopIfTrue="1" operator="equal">
      <formula>"Napkin Hs"</formula>
    </cfRule>
  </conditionalFormatting>
  <conditionalFormatting sqref="C69:C71">
    <cfRule type="cellIs" dxfId="25314" priority="11007" stopIfTrue="1" operator="equal">
      <formula>"Towel"</formula>
    </cfRule>
  </conditionalFormatting>
  <conditionalFormatting sqref="C69:C71">
    <cfRule type="cellIs" dxfId="25313" priority="11125" stopIfTrue="1" operator="equal">
      <formula>"Towel"</formula>
    </cfRule>
    <cfRule type="cellIs" dxfId="25312" priority="11126" stopIfTrue="1" operator="equal">
      <formula>"Napkin Hs"</formula>
    </cfRule>
  </conditionalFormatting>
  <conditionalFormatting sqref="C69:C71">
    <cfRule type="cellIs" dxfId="25311" priority="11124" stopIfTrue="1" operator="equal">
      <formula>"Napkin Hs"</formula>
    </cfRule>
  </conditionalFormatting>
  <conditionalFormatting sqref="C69:C71">
    <cfRule type="cellIs" dxfId="25310" priority="11123" stopIfTrue="1" operator="equal">
      <formula>"Towel"</formula>
    </cfRule>
  </conditionalFormatting>
  <conditionalFormatting sqref="C69:C71">
    <cfRule type="cellIs" dxfId="25309" priority="11122" stopIfTrue="1" operator="equal">
      <formula>"Napkin Hs"</formula>
    </cfRule>
  </conditionalFormatting>
  <conditionalFormatting sqref="C69:C71">
    <cfRule type="cellIs" dxfId="25308" priority="11119" stopIfTrue="1" operator="equal">
      <formula>"Towel"</formula>
    </cfRule>
    <cfRule type="cellIs" dxfId="25307" priority="11120" stopIfTrue="1" operator="equal">
      <formula>"Napkin Hs"</formula>
    </cfRule>
  </conditionalFormatting>
  <conditionalFormatting sqref="C69:C71">
    <cfRule type="cellIs" dxfId="25306" priority="11121" stopIfTrue="1" operator="equal">
      <formula>"Towel"</formula>
    </cfRule>
  </conditionalFormatting>
  <conditionalFormatting sqref="C69:C71">
    <cfRule type="cellIs" dxfId="25305" priority="11129" stopIfTrue="1" operator="equal">
      <formula>"Towel"</formula>
    </cfRule>
    <cfRule type="cellIs" dxfId="25304" priority="11130" stopIfTrue="1" operator="equal">
      <formula>"Napkin Hs"</formula>
    </cfRule>
  </conditionalFormatting>
  <conditionalFormatting sqref="C69:C71">
    <cfRule type="cellIs" dxfId="25303" priority="11127" stopIfTrue="1" operator="equal">
      <formula>"Towel"</formula>
    </cfRule>
    <cfRule type="cellIs" dxfId="25302" priority="11128" stopIfTrue="1" operator="equal">
      <formula>"Napkin Hs"</formula>
    </cfRule>
  </conditionalFormatting>
  <conditionalFormatting sqref="C69:C71">
    <cfRule type="cellIs" dxfId="25301" priority="11099" stopIfTrue="1" operator="equal">
      <formula>"Towel"</formula>
    </cfRule>
    <cfRule type="cellIs" dxfId="25300" priority="11100" stopIfTrue="1" operator="equal">
      <formula>"Napkin Hs"</formula>
    </cfRule>
  </conditionalFormatting>
  <conditionalFormatting sqref="C69:C71">
    <cfRule type="cellIs" dxfId="25299" priority="11097" stopIfTrue="1" operator="equal">
      <formula>"Towel"</formula>
    </cfRule>
    <cfRule type="cellIs" dxfId="25298" priority="11098" stopIfTrue="1" operator="equal">
      <formula>"Napkin Hs"</formula>
    </cfRule>
  </conditionalFormatting>
  <conditionalFormatting sqref="C69:C71">
    <cfRule type="cellIs" dxfId="25297" priority="11076" stopIfTrue="1" operator="equal">
      <formula>"Napkin Hs"</formula>
    </cfRule>
  </conditionalFormatting>
  <conditionalFormatting sqref="C69:C71">
    <cfRule type="cellIs" dxfId="25296" priority="11075" stopIfTrue="1" operator="equal">
      <formula>"Towel"</formula>
    </cfRule>
  </conditionalFormatting>
  <conditionalFormatting sqref="C69:C71">
    <cfRule type="cellIs" dxfId="25295" priority="11074" stopIfTrue="1" operator="equal">
      <formula>"Napkin Hs"</formula>
    </cfRule>
  </conditionalFormatting>
  <conditionalFormatting sqref="C69:C71">
    <cfRule type="cellIs" dxfId="25294" priority="11073" stopIfTrue="1" operator="equal">
      <formula>"Towel"</formula>
    </cfRule>
  </conditionalFormatting>
  <conditionalFormatting sqref="C69:C71">
    <cfRule type="cellIs" dxfId="25293" priority="11070" stopIfTrue="1" operator="equal">
      <formula>"Napkin Hs"</formula>
    </cfRule>
  </conditionalFormatting>
  <conditionalFormatting sqref="C69:C71">
    <cfRule type="cellIs" dxfId="25292" priority="11069" stopIfTrue="1" operator="equal">
      <formula>"Towel"</formula>
    </cfRule>
  </conditionalFormatting>
  <conditionalFormatting sqref="C69:C71">
    <cfRule type="cellIs" dxfId="25291" priority="11068" stopIfTrue="1" operator="equal">
      <formula>"Napkin Hs"</formula>
    </cfRule>
  </conditionalFormatting>
  <conditionalFormatting sqref="C69:C71">
    <cfRule type="cellIs" dxfId="25290" priority="11067" stopIfTrue="1" operator="equal">
      <formula>"Towel"</formula>
    </cfRule>
  </conditionalFormatting>
  <conditionalFormatting sqref="C69:C71">
    <cfRule type="cellIs" dxfId="25289" priority="11063" stopIfTrue="1" operator="equal">
      <formula>"Towel"</formula>
    </cfRule>
    <cfRule type="cellIs" dxfId="25288" priority="11064" stopIfTrue="1" operator="equal">
      <formula>"Napkin Hs"</formula>
    </cfRule>
  </conditionalFormatting>
  <conditionalFormatting sqref="C69:C71">
    <cfRule type="cellIs" dxfId="25287" priority="11061" stopIfTrue="1" operator="equal">
      <formula>"Towel"</formula>
    </cfRule>
    <cfRule type="cellIs" dxfId="25286" priority="11062" stopIfTrue="1" operator="equal">
      <formula>"Napkin Hs"</formula>
    </cfRule>
  </conditionalFormatting>
  <conditionalFormatting sqref="C69:C71">
    <cfRule type="cellIs" dxfId="25285" priority="11045" stopIfTrue="1" operator="equal">
      <formula>"Towel"</formula>
    </cfRule>
    <cfRule type="cellIs" dxfId="25284" priority="11046" stopIfTrue="1" operator="equal">
      <formula>"Napkin Hs"</formula>
    </cfRule>
  </conditionalFormatting>
  <conditionalFormatting sqref="C69:C71">
    <cfRule type="cellIs" dxfId="25283" priority="11043" stopIfTrue="1" operator="equal">
      <formula>"Towel"</formula>
    </cfRule>
    <cfRule type="cellIs" dxfId="25282" priority="11044" stopIfTrue="1" operator="equal">
      <formula>"Napkin Hs"</formula>
    </cfRule>
  </conditionalFormatting>
  <conditionalFormatting sqref="B69:C71">
    <cfRule type="cellIs" dxfId="25281" priority="11004" stopIfTrue="1" operator="equal">
      <formula>"Napkin Hs"</formula>
    </cfRule>
  </conditionalFormatting>
  <conditionalFormatting sqref="B69:C71">
    <cfRule type="cellIs" dxfId="25280" priority="11003" stopIfTrue="1" operator="equal">
      <formula>"Towel"</formula>
    </cfRule>
  </conditionalFormatting>
  <conditionalFormatting sqref="C69:C71">
    <cfRule type="cellIs" dxfId="25279" priority="11002" stopIfTrue="1" operator="equal">
      <formula>"Napkin Hs"</formula>
    </cfRule>
  </conditionalFormatting>
  <conditionalFormatting sqref="C69:C71">
    <cfRule type="cellIs" dxfId="25278" priority="10999" stopIfTrue="1" operator="equal">
      <formula>"Towel"</formula>
    </cfRule>
    <cfRule type="cellIs" dxfId="25277" priority="11000" stopIfTrue="1" operator="equal">
      <formula>"Napkin Hs"</formula>
    </cfRule>
  </conditionalFormatting>
  <conditionalFormatting sqref="C69:C71">
    <cfRule type="cellIs" dxfId="25276" priority="11001" stopIfTrue="1" operator="equal">
      <formula>"Towel"</formula>
    </cfRule>
  </conditionalFormatting>
  <conditionalFormatting sqref="B71:C71">
    <cfRule type="cellIs" dxfId="25275" priority="10998" stopIfTrue="1" operator="equal">
      <formula>"Napkin Hs"</formula>
    </cfRule>
  </conditionalFormatting>
  <conditionalFormatting sqref="B71:C71">
    <cfRule type="cellIs" dxfId="25274" priority="10997" stopIfTrue="1" operator="equal">
      <formula>"Towel"</formula>
    </cfRule>
  </conditionalFormatting>
  <conditionalFormatting sqref="B70:C70">
    <cfRule type="cellIs" dxfId="25273" priority="10993" stopIfTrue="1" operator="equal">
      <formula>"Towel"</formula>
    </cfRule>
    <cfRule type="cellIs" dxfId="25272" priority="10994" stopIfTrue="1" operator="equal">
      <formula>"Napkin Hs"</formula>
    </cfRule>
  </conditionalFormatting>
  <conditionalFormatting sqref="C71">
    <cfRule type="cellIs" dxfId="25271" priority="10996" stopIfTrue="1" operator="equal">
      <formula>"Napkin Hs"</formula>
    </cfRule>
  </conditionalFormatting>
  <conditionalFormatting sqref="C71">
    <cfRule type="cellIs" dxfId="25270" priority="10995" stopIfTrue="1" operator="equal">
      <formula>"Towel"</formula>
    </cfRule>
  </conditionalFormatting>
  <conditionalFormatting sqref="C70">
    <cfRule type="cellIs" dxfId="25269" priority="10991" stopIfTrue="1" operator="equal">
      <formula>"Towel"</formula>
    </cfRule>
    <cfRule type="cellIs" dxfId="25268" priority="10992" stopIfTrue="1" operator="equal">
      <formula>"Napkin Hs"</formula>
    </cfRule>
  </conditionalFormatting>
  <conditionalFormatting sqref="B72:C72">
    <cfRule type="cellIs" dxfId="25267" priority="10989" stopIfTrue="1" operator="equal">
      <formula>"Towel"</formula>
    </cfRule>
    <cfRule type="cellIs" dxfId="25266" priority="10990" stopIfTrue="1" operator="equal">
      <formula>"Napkin Hs"</formula>
    </cfRule>
  </conditionalFormatting>
  <conditionalFormatting sqref="C72">
    <cfRule type="cellIs" dxfId="25265" priority="10985" stopIfTrue="1" operator="equal">
      <formula>"Towel"</formula>
    </cfRule>
    <cfRule type="cellIs" dxfId="25264" priority="10986" stopIfTrue="1" operator="equal">
      <formula>"Napkin Hs"</formula>
    </cfRule>
  </conditionalFormatting>
  <conditionalFormatting sqref="C72">
    <cfRule type="cellIs" dxfId="25263" priority="10987" stopIfTrue="1" operator="equal">
      <formula>"Towel"</formula>
    </cfRule>
    <cfRule type="cellIs" dxfId="25262" priority="10988" stopIfTrue="1" operator="equal">
      <formula>"Napkin Hs"</formula>
    </cfRule>
  </conditionalFormatting>
  <conditionalFormatting sqref="B72:C72">
    <cfRule type="cellIs" dxfId="25261" priority="10984" stopIfTrue="1" operator="equal">
      <formula>"Napkin Hs"</formula>
    </cfRule>
  </conditionalFormatting>
  <conditionalFormatting sqref="B72:C72">
    <cfRule type="cellIs" dxfId="25260" priority="10983" stopIfTrue="1" operator="equal">
      <formula>"Towel"</formula>
    </cfRule>
  </conditionalFormatting>
  <conditionalFormatting sqref="C72">
    <cfRule type="cellIs" dxfId="25259" priority="10982" stopIfTrue="1" operator="equal">
      <formula>"Napkin Hs"</formula>
    </cfRule>
  </conditionalFormatting>
  <conditionalFormatting sqref="C72">
    <cfRule type="cellIs" dxfId="25258" priority="10981" stopIfTrue="1" operator="equal">
      <formula>"Towel"</formula>
    </cfRule>
  </conditionalFormatting>
  <conditionalFormatting sqref="C72">
    <cfRule type="cellIs" dxfId="25257" priority="10979" stopIfTrue="1" operator="equal">
      <formula>"Towel"</formula>
    </cfRule>
    <cfRule type="cellIs" dxfId="25256" priority="10980" stopIfTrue="1" operator="equal">
      <formula>"Napkin Hs"</formula>
    </cfRule>
  </conditionalFormatting>
  <conditionalFormatting sqref="B72:C72">
    <cfRule type="cellIs" dxfId="25255" priority="10977" stopIfTrue="1" operator="equal">
      <formula>"Towel"</formula>
    </cfRule>
    <cfRule type="cellIs" dxfId="25254" priority="10978" stopIfTrue="1" operator="equal">
      <formula>"Napkin Hs"</formula>
    </cfRule>
  </conditionalFormatting>
  <conditionalFormatting sqref="C72">
    <cfRule type="cellIs" dxfId="25253" priority="10975" stopIfTrue="1" operator="equal">
      <formula>"Towel"</formula>
    </cfRule>
    <cfRule type="cellIs" dxfId="25252" priority="10976" stopIfTrue="1" operator="equal">
      <formula>"Napkin Hs"</formula>
    </cfRule>
  </conditionalFormatting>
  <conditionalFormatting sqref="C72">
    <cfRule type="cellIs" dxfId="25251" priority="10973" stopIfTrue="1" operator="equal">
      <formula>"Towel"</formula>
    </cfRule>
    <cfRule type="cellIs" dxfId="25250" priority="10974" stopIfTrue="1" operator="equal">
      <formula>"Napkin Hs"</formula>
    </cfRule>
  </conditionalFormatting>
  <conditionalFormatting sqref="B72:C72">
    <cfRule type="cellIs" dxfId="25249" priority="10971" stopIfTrue="1" operator="equal">
      <formula>"Towel"</formula>
    </cfRule>
    <cfRule type="cellIs" dxfId="25248" priority="10972" stopIfTrue="1" operator="equal">
      <formula>"Napkin Hs"</formula>
    </cfRule>
  </conditionalFormatting>
  <conditionalFormatting sqref="C72">
    <cfRule type="cellIs" dxfId="25247" priority="10969" stopIfTrue="1" operator="equal">
      <formula>"Towel"</formula>
    </cfRule>
    <cfRule type="cellIs" dxfId="25246" priority="10970" stopIfTrue="1" operator="equal">
      <formula>"Napkin Hs"</formula>
    </cfRule>
  </conditionalFormatting>
  <conditionalFormatting sqref="C72">
    <cfRule type="cellIs" dxfId="25245" priority="10967" stopIfTrue="1" operator="equal">
      <formula>"Towel"</formula>
    </cfRule>
    <cfRule type="cellIs" dxfId="25244" priority="10968" stopIfTrue="1" operator="equal">
      <formula>"Napkin Hs"</formula>
    </cfRule>
  </conditionalFormatting>
  <conditionalFormatting sqref="B72:C72">
    <cfRule type="cellIs" dxfId="25243" priority="10965" stopIfTrue="1" operator="equal">
      <formula>"Towel"</formula>
    </cfRule>
    <cfRule type="cellIs" dxfId="25242" priority="10966" stopIfTrue="1" operator="equal">
      <formula>"Napkin Hs"</formula>
    </cfRule>
  </conditionalFormatting>
  <conditionalFormatting sqref="C72">
    <cfRule type="cellIs" dxfId="25241" priority="10963" stopIfTrue="1" operator="equal">
      <formula>"Towel"</formula>
    </cfRule>
    <cfRule type="cellIs" dxfId="25240" priority="10964" stopIfTrue="1" operator="equal">
      <formula>"Napkin Hs"</formula>
    </cfRule>
  </conditionalFormatting>
  <conditionalFormatting sqref="C72">
    <cfRule type="cellIs" dxfId="25239" priority="10961" stopIfTrue="1" operator="equal">
      <formula>"Towel"</formula>
    </cfRule>
    <cfRule type="cellIs" dxfId="25238" priority="10962" stopIfTrue="1" operator="equal">
      <formula>"Napkin Hs"</formula>
    </cfRule>
  </conditionalFormatting>
  <conditionalFormatting sqref="B72:C72">
    <cfRule type="cellIs" dxfId="25237" priority="10959" stopIfTrue="1" operator="equal">
      <formula>"Towel"</formula>
    </cfRule>
    <cfRule type="cellIs" dxfId="25236" priority="10960" stopIfTrue="1" operator="equal">
      <formula>"Napkin Hs"</formula>
    </cfRule>
  </conditionalFormatting>
  <conditionalFormatting sqref="C72">
    <cfRule type="cellIs" dxfId="25235" priority="10957" stopIfTrue="1" operator="equal">
      <formula>"Towel"</formula>
    </cfRule>
    <cfRule type="cellIs" dxfId="25234" priority="10958" stopIfTrue="1" operator="equal">
      <formula>"Napkin Hs"</formula>
    </cfRule>
  </conditionalFormatting>
  <conditionalFormatting sqref="C72">
    <cfRule type="cellIs" dxfId="25233" priority="10955" stopIfTrue="1" operator="equal">
      <formula>"Towel"</formula>
    </cfRule>
    <cfRule type="cellIs" dxfId="25232" priority="10956" stopIfTrue="1" operator="equal">
      <formula>"Napkin Hs"</formula>
    </cfRule>
  </conditionalFormatting>
  <conditionalFormatting sqref="B72:C72">
    <cfRule type="cellIs" dxfId="25231" priority="10953" stopIfTrue="1" operator="equal">
      <formula>"Towel"</formula>
    </cfRule>
    <cfRule type="cellIs" dxfId="25230" priority="10954" stopIfTrue="1" operator="equal">
      <formula>"Napkin Hs"</formula>
    </cfRule>
  </conditionalFormatting>
  <conditionalFormatting sqref="C72">
    <cfRule type="cellIs" dxfId="25229" priority="10951" stopIfTrue="1" operator="equal">
      <formula>"Towel"</formula>
    </cfRule>
    <cfRule type="cellIs" dxfId="25228" priority="10952" stopIfTrue="1" operator="equal">
      <formula>"Napkin Hs"</formula>
    </cfRule>
  </conditionalFormatting>
  <conditionalFormatting sqref="C72">
    <cfRule type="cellIs" dxfId="25227" priority="10949" stopIfTrue="1" operator="equal">
      <formula>"Towel"</formula>
    </cfRule>
    <cfRule type="cellIs" dxfId="25226" priority="10950" stopIfTrue="1" operator="equal">
      <formula>"Napkin Hs"</formula>
    </cfRule>
  </conditionalFormatting>
  <conditionalFormatting sqref="B72:C72">
    <cfRule type="cellIs" dxfId="25225" priority="10948" stopIfTrue="1" operator="equal">
      <formula>"Napkin Hs"</formula>
    </cfRule>
  </conditionalFormatting>
  <conditionalFormatting sqref="B72:C72">
    <cfRule type="cellIs" dxfId="25224" priority="10947" stopIfTrue="1" operator="equal">
      <formula>"Towel"</formula>
    </cfRule>
  </conditionalFormatting>
  <conditionalFormatting sqref="C72">
    <cfRule type="cellIs" dxfId="25223" priority="10946" stopIfTrue="1" operator="equal">
      <formula>"Napkin Hs"</formula>
    </cfRule>
  </conditionalFormatting>
  <conditionalFormatting sqref="C72">
    <cfRule type="cellIs" dxfId="25222" priority="10943" stopIfTrue="1" operator="equal">
      <formula>"Towel"</formula>
    </cfRule>
    <cfRule type="cellIs" dxfId="25221" priority="10944" stopIfTrue="1" operator="equal">
      <formula>"Napkin Hs"</formula>
    </cfRule>
  </conditionalFormatting>
  <conditionalFormatting sqref="C72">
    <cfRule type="cellIs" dxfId="25220" priority="10945" stopIfTrue="1" operator="equal">
      <formula>"Towel"</formula>
    </cfRule>
  </conditionalFormatting>
  <conditionalFormatting sqref="B72:C72">
    <cfRule type="cellIs" dxfId="25219" priority="10941" stopIfTrue="1" operator="equal">
      <formula>"Towel"</formula>
    </cfRule>
    <cfRule type="cellIs" dxfId="25218" priority="10942" stopIfTrue="1" operator="equal">
      <formula>"Napkin Hs"</formula>
    </cfRule>
  </conditionalFormatting>
  <conditionalFormatting sqref="C72">
    <cfRule type="cellIs" dxfId="25217" priority="10937" stopIfTrue="1" operator="equal">
      <formula>"Towel"</formula>
    </cfRule>
    <cfRule type="cellIs" dxfId="25216" priority="10938" stopIfTrue="1" operator="equal">
      <formula>"Napkin Hs"</formula>
    </cfRule>
  </conditionalFormatting>
  <conditionalFormatting sqref="C72">
    <cfRule type="cellIs" dxfId="25215" priority="10939" stopIfTrue="1" operator="equal">
      <formula>"Towel"</formula>
    </cfRule>
    <cfRule type="cellIs" dxfId="25214" priority="10940" stopIfTrue="1" operator="equal">
      <formula>"Napkin Hs"</formula>
    </cfRule>
  </conditionalFormatting>
  <conditionalFormatting sqref="B72:C72">
    <cfRule type="cellIs" dxfId="25213" priority="10935" stopIfTrue="1" operator="equal">
      <formula>"Towel"</formula>
    </cfRule>
    <cfRule type="cellIs" dxfId="25212" priority="10936" stopIfTrue="1" operator="equal">
      <formula>"Napkin Hs"</formula>
    </cfRule>
  </conditionalFormatting>
  <conditionalFormatting sqref="C72">
    <cfRule type="cellIs" dxfId="25211" priority="10931" stopIfTrue="1" operator="equal">
      <formula>"Towel"</formula>
    </cfRule>
    <cfRule type="cellIs" dxfId="25210" priority="10932" stopIfTrue="1" operator="equal">
      <formula>"Napkin Hs"</formula>
    </cfRule>
  </conditionalFormatting>
  <conditionalFormatting sqref="C72">
    <cfRule type="cellIs" dxfId="25209" priority="10933" stopIfTrue="1" operator="equal">
      <formula>"Towel"</formula>
    </cfRule>
    <cfRule type="cellIs" dxfId="25208" priority="10934" stopIfTrue="1" operator="equal">
      <formula>"Napkin Hs"</formula>
    </cfRule>
  </conditionalFormatting>
  <conditionalFormatting sqref="B72:C72">
    <cfRule type="cellIs" dxfId="25207" priority="10929" stopIfTrue="1" operator="equal">
      <formula>"Towel"</formula>
    </cfRule>
    <cfRule type="cellIs" dxfId="25206" priority="10930" stopIfTrue="1" operator="equal">
      <formula>"Napkin Hs"</formula>
    </cfRule>
  </conditionalFormatting>
  <conditionalFormatting sqref="C72">
    <cfRule type="cellIs" dxfId="25205" priority="10927" stopIfTrue="1" operator="equal">
      <formula>"Towel"</formula>
    </cfRule>
    <cfRule type="cellIs" dxfId="25204" priority="10928" stopIfTrue="1" operator="equal">
      <formula>"Napkin Hs"</formula>
    </cfRule>
  </conditionalFormatting>
  <conditionalFormatting sqref="C72">
    <cfRule type="cellIs" dxfId="25203" priority="10925" stopIfTrue="1" operator="equal">
      <formula>"Towel"</formula>
    </cfRule>
    <cfRule type="cellIs" dxfId="25202" priority="10926" stopIfTrue="1" operator="equal">
      <formula>"Napkin Hs"</formula>
    </cfRule>
  </conditionalFormatting>
  <conditionalFormatting sqref="B72:C72">
    <cfRule type="cellIs" dxfId="25201" priority="10924" stopIfTrue="1" operator="equal">
      <formula>"Napkin Hs"</formula>
    </cfRule>
  </conditionalFormatting>
  <conditionalFormatting sqref="B72:C72">
    <cfRule type="cellIs" dxfId="25200" priority="10923" stopIfTrue="1" operator="equal">
      <formula>"Towel"</formula>
    </cfRule>
  </conditionalFormatting>
  <conditionalFormatting sqref="C72">
    <cfRule type="cellIs" dxfId="25199" priority="10922" stopIfTrue="1" operator="equal">
      <formula>"Napkin Hs"</formula>
    </cfRule>
  </conditionalFormatting>
  <conditionalFormatting sqref="C72">
    <cfRule type="cellIs" dxfId="25198" priority="10921" stopIfTrue="1" operator="equal">
      <formula>"Towel"</formula>
    </cfRule>
  </conditionalFormatting>
  <conditionalFormatting sqref="C72">
    <cfRule type="cellIs" dxfId="25197" priority="10919" stopIfTrue="1" operator="equal">
      <formula>"Towel"</formula>
    </cfRule>
    <cfRule type="cellIs" dxfId="25196" priority="10920" stopIfTrue="1" operator="equal">
      <formula>"Napkin Hs"</formula>
    </cfRule>
  </conditionalFormatting>
  <conditionalFormatting sqref="C72">
    <cfRule type="cellIs" dxfId="25195" priority="10917" stopIfTrue="1" operator="equal">
      <formula>"Towel"</formula>
    </cfRule>
    <cfRule type="cellIs" dxfId="25194" priority="10918" stopIfTrue="1" operator="equal">
      <formula>"Napkin Hs"</formula>
    </cfRule>
  </conditionalFormatting>
  <conditionalFormatting sqref="C72">
    <cfRule type="cellIs" dxfId="25193" priority="10833" stopIfTrue="1" operator="equal">
      <formula>"Towel"</formula>
    </cfRule>
    <cfRule type="cellIs" dxfId="25192" priority="10834" stopIfTrue="1" operator="equal">
      <formula>"Napkin Hs"</formula>
    </cfRule>
  </conditionalFormatting>
  <conditionalFormatting sqref="C72">
    <cfRule type="cellIs" dxfId="25191" priority="10827" stopIfTrue="1" operator="equal">
      <formula>"Towel"</formula>
    </cfRule>
    <cfRule type="cellIs" dxfId="25190" priority="10828" stopIfTrue="1" operator="equal">
      <formula>"Napkin Hs"</formula>
    </cfRule>
  </conditionalFormatting>
  <conditionalFormatting sqref="C72">
    <cfRule type="cellIs" dxfId="25189" priority="10808" stopIfTrue="1" operator="equal">
      <formula>"Napkin Hs"</formula>
    </cfRule>
  </conditionalFormatting>
  <conditionalFormatting sqref="C72">
    <cfRule type="cellIs" dxfId="25188" priority="10807" stopIfTrue="1" operator="equal">
      <formula>"Towel"</formula>
    </cfRule>
  </conditionalFormatting>
  <conditionalFormatting sqref="C72">
    <cfRule type="cellIs" dxfId="25187" priority="10806" stopIfTrue="1" operator="equal">
      <formula>"Napkin Hs"</formula>
    </cfRule>
  </conditionalFormatting>
  <conditionalFormatting sqref="C72">
    <cfRule type="cellIs" dxfId="25186" priority="10803" stopIfTrue="1" operator="equal">
      <formula>"Towel"</formula>
    </cfRule>
    <cfRule type="cellIs" dxfId="25185" priority="10804" stopIfTrue="1" operator="equal">
      <formula>"Napkin Hs"</formula>
    </cfRule>
  </conditionalFormatting>
  <conditionalFormatting sqref="C72">
    <cfRule type="cellIs" dxfId="25184" priority="10805" stopIfTrue="1" operator="equal">
      <formula>"Towel"</formula>
    </cfRule>
  </conditionalFormatting>
  <conditionalFormatting sqref="C72">
    <cfRule type="cellIs" dxfId="25183" priority="10802" stopIfTrue="1" operator="equal">
      <formula>"Napkin Hs"</formula>
    </cfRule>
  </conditionalFormatting>
  <conditionalFormatting sqref="C72">
    <cfRule type="cellIs" dxfId="25182" priority="10801" stopIfTrue="1" operator="equal">
      <formula>"Towel"</formula>
    </cfRule>
  </conditionalFormatting>
  <conditionalFormatting sqref="C72">
    <cfRule type="cellIs" dxfId="25181" priority="10800" stopIfTrue="1" operator="equal">
      <formula>"Napkin Hs"</formula>
    </cfRule>
  </conditionalFormatting>
  <conditionalFormatting sqref="C72">
    <cfRule type="cellIs" dxfId="25180" priority="10797" stopIfTrue="1" operator="equal">
      <formula>"Towel"</formula>
    </cfRule>
    <cfRule type="cellIs" dxfId="25179" priority="10798" stopIfTrue="1" operator="equal">
      <formula>"Napkin Hs"</formula>
    </cfRule>
  </conditionalFormatting>
  <conditionalFormatting sqref="C72">
    <cfRule type="cellIs" dxfId="25178" priority="10799" stopIfTrue="1" operator="equal">
      <formula>"Towel"</formula>
    </cfRule>
  </conditionalFormatting>
  <conditionalFormatting sqref="C72">
    <cfRule type="cellIs" dxfId="25177" priority="10903" stopIfTrue="1" operator="equal">
      <formula>"Towel"</formula>
    </cfRule>
    <cfRule type="cellIs" dxfId="25176" priority="10904" stopIfTrue="1" operator="equal">
      <formula>"Napkin Hs"</formula>
    </cfRule>
  </conditionalFormatting>
  <conditionalFormatting sqref="C72">
    <cfRule type="cellIs" dxfId="25175" priority="10901" stopIfTrue="1" operator="equal">
      <formula>"Towel"</formula>
    </cfRule>
    <cfRule type="cellIs" dxfId="25174" priority="10902" stopIfTrue="1" operator="equal">
      <formula>"Napkin Hs"</formula>
    </cfRule>
  </conditionalFormatting>
  <conditionalFormatting sqref="C72">
    <cfRule type="cellIs" dxfId="25173" priority="10899" stopIfTrue="1" operator="equal">
      <formula>"Towel"</formula>
    </cfRule>
    <cfRule type="cellIs" dxfId="25172" priority="10900" stopIfTrue="1" operator="equal">
      <formula>"Napkin Hs"</formula>
    </cfRule>
  </conditionalFormatting>
  <conditionalFormatting sqref="C72">
    <cfRule type="cellIs" dxfId="25171" priority="10898" stopIfTrue="1" operator="equal">
      <formula>"Napkin Hs"</formula>
    </cfRule>
  </conditionalFormatting>
  <conditionalFormatting sqref="C72">
    <cfRule type="cellIs" dxfId="25170" priority="10897" stopIfTrue="1" operator="equal">
      <formula>"Towel"</formula>
    </cfRule>
  </conditionalFormatting>
  <conditionalFormatting sqref="C72">
    <cfRule type="cellIs" dxfId="25169" priority="10896" stopIfTrue="1" operator="equal">
      <formula>"Napkin Hs"</formula>
    </cfRule>
  </conditionalFormatting>
  <conditionalFormatting sqref="C72">
    <cfRule type="cellIs" dxfId="25168" priority="10895" stopIfTrue="1" operator="equal">
      <formula>"Towel"</formula>
    </cfRule>
  </conditionalFormatting>
  <conditionalFormatting sqref="C72">
    <cfRule type="cellIs" dxfId="25167" priority="10893" stopIfTrue="1" operator="equal">
      <formula>"Towel"</formula>
    </cfRule>
    <cfRule type="cellIs" dxfId="25166" priority="10894" stopIfTrue="1" operator="equal">
      <formula>"Napkin Hs"</formula>
    </cfRule>
  </conditionalFormatting>
  <conditionalFormatting sqref="C72">
    <cfRule type="cellIs" dxfId="25165" priority="10891" stopIfTrue="1" operator="equal">
      <formula>"Towel"</formula>
    </cfRule>
    <cfRule type="cellIs" dxfId="25164" priority="10892" stopIfTrue="1" operator="equal">
      <formula>"Napkin Hs"</formula>
    </cfRule>
  </conditionalFormatting>
  <conditionalFormatting sqref="C72">
    <cfRule type="cellIs" dxfId="25163" priority="10887" stopIfTrue="1" operator="equal">
      <formula>"Towel"</formula>
    </cfRule>
    <cfRule type="cellIs" dxfId="25162" priority="10888" stopIfTrue="1" operator="equal">
      <formula>"Napkin Hs"</formula>
    </cfRule>
  </conditionalFormatting>
  <conditionalFormatting sqref="C72">
    <cfRule type="cellIs" dxfId="25161" priority="10889" stopIfTrue="1" operator="equal">
      <formula>"Towel"</formula>
    </cfRule>
    <cfRule type="cellIs" dxfId="25160" priority="10890" stopIfTrue="1" operator="equal">
      <formula>"Napkin Hs"</formula>
    </cfRule>
  </conditionalFormatting>
  <conditionalFormatting sqref="C72">
    <cfRule type="cellIs" dxfId="25159" priority="10881" stopIfTrue="1" operator="equal">
      <formula>"Towel"</formula>
    </cfRule>
    <cfRule type="cellIs" dxfId="25158" priority="10882" stopIfTrue="1" operator="equal">
      <formula>"Napkin Hs"</formula>
    </cfRule>
  </conditionalFormatting>
  <conditionalFormatting sqref="C72">
    <cfRule type="cellIs" dxfId="25157" priority="10879" stopIfTrue="1" operator="equal">
      <formula>"Towel"</formula>
    </cfRule>
    <cfRule type="cellIs" dxfId="25156" priority="10880" stopIfTrue="1" operator="equal">
      <formula>"Napkin Hs"</formula>
    </cfRule>
  </conditionalFormatting>
  <conditionalFormatting sqref="C72">
    <cfRule type="cellIs" dxfId="25155" priority="10877" stopIfTrue="1" operator="equal">
      <formula>"Towel"</formula>
    </cfRule>
    <cfRule type="cellIs" dxfId="25154" priority="10878" stopIfTrue="1" operator="equal">
      <formula>"Napkin Hs"</formula>
    </cfRule>
  </conditionalFormatting>
  <conditionalFormatting sqref="C72">
    <cfRule type="cellIs" dxfId="25153" priority="10875" stopIfTrue="1" operator="equal">
      <formula>"Towel"</formula>
    </cfRule>
    <cfRule type="cellIs" dxfId="25152" priority="10876" stopIfTrue="1" operator="equal">
      <formula>"Napkin Hs"</formula>
    </cfRule>
  </conditionalFormatting>
  <conditionalFormatting sqref="C72">
    <cfRule type="cellIs" dxfId="25151" priority="10873" stopIfTrue="1" operator="equal">
      <formula>"Towel"</formula>
    </cfRule>
    <cfRule type="cellIs" dxfId="25150" priority="10874" stopIfTrue="1" operator="equal">
      <formula>"Napkin Hs"</formula>
    </cfRule>
  </conditionalFormatting>
  <conditionalFormatting sqref="C72">
    <cfRule type="cellIs" dxfId="25149" priority="10871" stopIfTrue="1" operator="equal">
      <formula>"Towel"</formula>
    </cfRule>
    <cfRule type="cellIs" dxfId="25148" priority="10872" stopIfTrue="1" operator="equal">
      <formula>"Napkin Hs"</formula>
    </cfRule>
  </conditionalFormatting>
  <conditionalFormatting sqref="C72">
    <cfRule type="cellIs" dxfId="25147" priority="10869" stopIfTrue="1" operator="equal">
      <formula>"Towel"</formula>
    </cfRule>
    <cfRule type="cellIs" dxfId="25146" priority="10870" stopIfTrue="1" operator="equal">
      <formula>"Napkin Hs"</formula>
    </cfRule>
  </conditionalFormatting>
  <conditionalFormatting sqref="C72">
    <cfRule type="cellIs" dxfId="25145" priority="10867" stopIfTrue="1" operator="equal">
      <formula>"Towel"</formula>
    </cfRule>
    <cfRule type="cellIs" dxfId="25144" priority="10868" stopIfTrue="1" operator="equal">
      <formula>"Napkin Hs"</formula>
    </cfRule>
  </conditionalFormatting>
  <conditionalFormatting sqref="C72">
    <cfRule type="cellIs" dxfId="25143" priority="10865" stopIfTrue="1" operator="equal">
      <formula>"Towel"</formula>
    </cfRule>
    <cfRule type="cellIs" dxfId="25142" priority="10866" stopIfTrue="1" operator="equal">
      <formula>"Napkin Hs"</formula>
    </cfRule>
  </conditionalFormatting>
  <conditionalFormatting sqref="C72">
    <cfRule type="cellIs" dxfId="25141" priority="10863" stopIfTrue="1" operator="equal">
      <formula>"Towel"</formula>
    </cfRule>
    <cfRule type="cellIs" dxfId="25140" priority="10864" stopIfTrue="1" operator="equal">
      <formula>"Napkin Hs"</formula>
    </cfRule>
  </conditionalFormatting>
  <conditionalFormatting sqref="C72">
    <cfRule type="cellIs" dxfId="25139" priority="10857" stopIfTrue="1" operator="equal">
      <formula>"Towel"</formula>
    </cfRule>
    <cfRule type="cellIs" dxfId="25138" priority="10858" stopIfTrue="1" operator="equal">
      <formula>"Napkin Hs"</formula>
    </cfRule>
  </conditionalFormatting>
  <conditionalFormatting sqref="C72">
    <cfRule type="cellIs" dxfId="25137" priority="10851" stopIfTrue="1" operator="equal">
      <formula>"Towel"</formula>
    </cfRule>
    <cfRule type="cellIs" dxfId="25136" priority="10852" stopIfTrue="1" operator="equal">
      <formula>"Napkin Hs"</formula>
    </cfRule>
  </conditionalFormatting>
  <conditionalFormatting sqref="C72">
    <cfRule type="cellIs" dxfId="25135" priority="10845" stopIfTrue="1" operator="equal">
      <formula>"Towel"</formula>
    </cfRule>
    <cfRule type="cellIs" dxfId="25134" priority="10846" stopIfTrue="1" operator="equal">
      <formula>"Napkin Hs"</formula>
    </cfRule>
  </conditionalFormatting>
  <conditionalFormatting sqref="C72">
    <cfRule type="cellIs" dxfId="25133" priority="10844" stopIfTrue="1" operator="equal">
      <formula>"Napkin Hs"</formula>
    </cfRule>
  </conditionalFormatting>
  <conditionalFormatting sqref="C72">
    <cfRule type="cellIs" dxfId="25132" priority="10843" stopIfTrue="1" operator="equal">
      <formula>"Towel"</formula>
    </cfRule>
  </conditionalFormatting>
  <conditionalFormatting sqref="C72">
    <cfRule type="cellIs" dxfId="25131" priority="10842" stopIfTrue="1" operator="equal">
      <formula>"Napkin Hs"</formula>
    </cfRule>
  </conditionalFormatting>
  <conditionalFormatting sqref="C72">
    <cfRule type="cellIs" dxfId="25130" priority="10841" stopIfTrue="1" operator="equal">
      <formula>"Towel"</formula>
    </cfRule>
  </conditionalFormatting>
  <conditionalFormatting sqref="C72">
    <cfRule type="cellIs" dxfId="25129" priority="10839" stopIfTrue="1" operator="equal">
      <formula>"Towel"</formula>
    </cfRule>
    <cfRule type="cellIs" dxfId="25128" priority="10840" stopIfTrue="1" operator="equal">
      <formula>"Napkin Hs"</formula>
    </cfRule>
  </conditionalFormatting>
  <conditionalFormatting sqref="C72">
    <cfRule type="cellIs" dxfId="25127" priority="10837" stopIfTrue="1" operator="equal">
      <formula>"Towel"</formula>
    </cfRule>
    <cfRule type="cellIs" dxfId="25126" priority="10838" stopIfTrue="1" operator="equal">
      <formula>"Napkin Hs"</formula>
    </cfRule>
  </conditionalFormatting>
  <conditionalFormatting sqref="C72">
    <cfRule type="cellIs" dxfId="25125" priority="10835" stopIfTrue="1" operator="equal">
      <formula>"Towel"</formula>
    </cfRule>
    <cfRule type="cellIs" dxfId="25124" priority="10836" stopIfTrue="1" operator="equal">
      <formula>"Napkin Hs"</formula>
    </cfRule>
  </conditionalFormatting>
  <conditionalFormatting sqref="C72">
    <cfRule type="cellIs" dxfId="25123" priority="10825" stopIfTrue="1" operator="equal">
      <formula>"Towel"</formula>
    </cfRule>
    <cfRule type="cellIs" dxfId="25122" priority="10826" stopIfTrue="1" operator="equal">
      <formula>"Napkin Hs"</formula>
    </cfRule>
  </conditionalFormatting>
  <conditionalFormatting sqref="C72">
    <cfRule type="cellIs" dxfId="25121" priority="10823" stopIfTrue="1" operator="equal">
      <formula>"Towel"</formula>
    </cfRule>
    <cfRule type="cellIs" dxfId="25120" priority="10824" stopIfTrue="1" operator="equal">
      <formula>"Napkin Hs"</formula>
    </cfRule>
  </conditionalFormatting>
  <conditionalFormatting sqref="C72">
    <cfRule type="cellIs" dxfId="25119" priority="10821" stopIfTrue="1" operator="equal">
      <formula>"Towel"</formula>
    </cfRule>
    <cfRule type="cellIs" dxfId="25118" priority="10822" stopIfTrue="1" operator="equal">
      <formula>"Napkin Hs"</formula>
    </cfRule>
  </conditionalFormatting>
  <conditionalFormatting sqref="C72">
    <cfRule type="cellIs" dxfId="25117" priority="10819" stopIfTrue="1" operator="equal">
      <formula>"Towel"</formula>
    </cfRule>
    <cfRule type="cellIs" dxfId="25116" priority="10820" stopIfTrue="1" operator="equal">
      <formula>"Napkin Hs"</formula>
    </cfRule>
  </conditionalFormatting>
  <conditionalFormatting sqref="C72">
    <cfRule type="cellIs" dxfId="25115" priority="10817" stopIfTrue="1" operator="equal">
      <formula>"Towel"</formula>
    </cfRule>
    <cfRule type="cellIs" dxfId="25114" priority="10818" stopIfTrue="1" operator="equal">
      <formula>"Napkin Hs"</formula>
    </cfRule>
  </conditionalFormatting>
  <conditionalFormatting sqref="C72">
    <cfRule type="cellIs" dxfId="25113" priority="10815" stopIfTrue="1" operator="equal">
      <formula>"Towel"</formula>
    </cfRule>
    <cfRule type="cellIs" dxfId="25112" priority="10816" stopIfTrue="1" operator="equal">
      <formula>"Napkin Hs"</formula>
    </cfRule>
  </conditionalFormatting>
  <conditionalFormatting sqref="C72">
    <cfRule type="cellIs" dxfId="25111" priority="10813" stopIfTrue="1" operator="equal">
      <formula>"Towel"</formula>
    </cfRule>
    <cfRule type="cellIs" dxfId="25110" priority="10814" stopIfTrue="1" operator="equal">
      <formula>"Napkin Hs"</formula>
    </cfRule>
  </conditionalFormatting>
  <conditionalFormatting sqref="C72">
    <cfRule type="cellIs" dxfId="25109" priority="10811" stopIfTrue="1" operator="equal">
      <formula>"Towel"</formula>
    </cfRule>
    <cfRule type="cellIs" dxfId="25108" priority="10812" stopIfTrue="1" operator="equal">
      <formula>"Napkin Hs"</formula>
    </cfRule>
  </conditionalFormatting>
  <conditionalFormatting sqref="C72">
    <cfRule type="cellIs" dxfId="25107" priority="10809" stopIfTrue="1" operator="equal">
      <formula>"Towel"</formula>
    </cfRule>
    <cfRule type="cellIs" dxfId="25106" priority="10810" stopIfTrue="1" operator="equal">
      <formula>"Napkin Hs"</formula>
    </cfRule>
  </conditionalFormatting>
  <conditionalFormatting sqref="C72">
    <cfRule type="cellIs" dxfId="25105" priority="10796" stopIfTrue="1" operator="equal">
      <formula>"Napkin Hs"</formula>
    </cfRule>
  </conditionalFormatting>
  <conditionalFormatting sqref="C72">
    <cfRule type="cellIs" dxfId="25104" priority="10795" stopIfTrue="1" operator="equal">
      <formula>"Towel"</formula>
    </cfRule>
  </conditionalFormatting>
  <conditionalFormatting sqref="C72">
    <cfRule type="cellIs" dxfId="25103" priority="10794" stopIfTrue="1" operator="equal">
      <formula>"Napkin Hs"</formula>
    </cfRule>
  </conditionalFormatting>
  <conditionalFormatting sqref="C72">
    <cfRule type="cellIs" dxfId="25102" priority="10791" stopIfTrue="1" operator="equal">
      <formula>"Towel"</formula>
    </cfRule>
    <cfRule type="cellIs" dxfId="25101" priority="10792" stopIfTrue="1" operator="equal">
      <formula>"Napkin Hs"</formula>
    </cfRule>
  </conditionalFormatting>
  <conditionalFormatting sqref="C72">
    <cfRule type="cellIs" dxfId="25100" priority="10793" stopIfTrue="1" operator="equal">
      <formula>"Towel"</formula>
    </cfRule>
  </conditionalFormatting>
  <conditionalFormatting sqref="C72">
    <cfRule type="cellIs" dxfId="25099" priority="10911" stopIfTrue="1" operator="equal">
      <formula>"Towel"</formula>
    </cfRule>
    <cfRule type="cellIs" dxfId="25098" priority="10912" stopIfTrue="1" operator="equal">
      <formula>"Napkin Hs"</formula>
    </cfRule>
  </conditionalFormatting>
  <conditionalFormatting sqref="C72">
    <cfRule type="cellIs" dxfId="25097" priority="10910" stopIfTrue="1" operator="equal">
      <formula>"Napkin Hs"</formula>
    </cfRule>
  </conditionalFormatting>
  <conditionalFormatting sqref="C72">
    <cfRule type="cellIs" dxfId="25096" priority="10909" stopIfTrue="1" operator="equal">
      <formula>"Towel"</formula>
    </cfRule>
  </conditionalFormatting>
  <conditionalFormatting sqref="C72">
    <cfRule type="cellIs" dxfId="25095" priority="10908" stopIfTrue="1" operator="equal">
      <formula>"Napkin Hs"</formula>
    </cfRule>
  </conditionalFormatting>
  <conditionalFormatting sqref="C72">
    <cfRule type="cellIs" dxfId="25094" priority="10905" stopIfTrue="1" operator="equal">
      <formula>"Towel"</formula>
    </cfRule>
    <cfRule type="cellIs" dxfId="25093" priority="10906" stopIfTrue="1" operator="equal">
      <formula>"Napkin Hs"</formula>
    </cfRule>
  </conditionalFormatting>
  <conditionalFormatting sqref="C72">
    <cfRule type="cellIs" dxfId="25092" priority="10907" stopIfTrue="1" operator="equal">
      <formula>"Towel"</formula>
    </cfRule>
  </conditionalFormatting>
  <conditionalFormatting sqref="C72">
    <cfRule type="cellIs" dxfId="25091" priority="10915" stopIfTrue="1" operator="equal">
      <formula>"Towel"</formula>
    </cfRule>
    <cfRule type="cellIs" dxfId="25090" priority="10916" stopIfTrue="1" operator="equal">
      <formula>"Napkin Hs"</formula>
    </cfRule>
  </conditionalFormatting>
  <conditionalFormatting sqref="C72">
    <cfRule type="cellIs" dxfId="25089" priority="10913" stopIfTrue="1" operator="equal">
      <formula>"Towel"</formula>
    </cfRule>
    <cfRule type="cellIs" dxfId="25088" priority="10914" stopIfTrue="1" operator="equal">
      <formula>"Napkin Hs"</formula>
    </cfRule>
  </conditionalFormatting>
  <conditionalFormatting sqref="C72">
    <cfRule type="cellIs" dxfId="25087" priority="10885" stopIfTrue="1" operator="equal">
      <formula>"Towel"</formula>
    </cfRule>
    <cfRule type="cellIs" dxfId="25086" priority="10886" stopIfTrue="1" operator="equal">
      <formula>"Napkin Hs"</formula>
    </cfRule>
  </conditionalFormatting>
  <conditionalFormatting sqref="C72">
    <cfRule type="cellIs" dxfId="25085" priority="10883" stopIfTrue="1" operator="equal">
      <formula>"Towel"</formula>
    </cfRule>
    <cfRule type="cellIs" dxfId="25084" priority="10884" stopIfTrue="1" operator="equal">
      <formula>"Napkin Hs"</formula>
    </cfRule>
  </conditionalFormatting>
  <conditionalFormatting sqref="C72">
    <cfRule type="cellIs" dxfId="25083" priority="10862" stopIfTrue="1" operator="equal">
      <formula>"Napkin Hs"</formula>
    </cfRule>
  </conditionalFormatting>
  <conditionalFormatting sqref="C72">
    <cfRule type="cellIs" dxfId="25082" priority="10861" stopIfTrue="1" operator="equal">
      <formula>"Towel"</formula>
    </cfRule>
  </conditionalFormatting>
  <conditionalFormatting sqref="C72">
    <cfRule type="cellIs" dxfId="25081" priority="10860" stopIfTrue="1" operator="equal">
      <formula>"Napkin Hs"</formula>
    </cfRule>
  </conditionalFormatting>
  <conditionalFormatting sqref="C72">
    <cfRule type="cellIs" dxfId="25080" priority="10859" stopIfTrue="1" operator="equal">
      <formula>"Towel"</formula>
    </cfRule>
  </conditionalFormatting>
  <conditionalFormatting sqref="C72">
    <cfRule type="cellIs" dxfId="25079" priority="10856" stopIfTrue="1" operator="equal">
      <formula>"Napkin Hs"</formula>
    </cfRule>
  </conditionalFormatting>
  <conditionalFormatting sqref="C72">
    <cfRule type="cellIs" dxfId="25078" priority="10855" stopIfTrue="1" operator="equal">
      <formula>"Towel"</formula>
    </cfRule>
  </conditionalFormatting>
  <conditionalFormatting sqref="C72">
    <cfRule type="cellIs" dxfId="25077" priority="10854" stopIfTrue="1" operator="equal">
      <formula>"Napkin Hs"</formula>
    </cfRule>
  </conditionalFormatting>
  <conditionalFormatting sqref="C72">
    <cfRule type="cellIs" dxfId="25076" priority="10853" stopIfTrue="1" operator="equal">
      <formula>"Towel"</formula>
    </cfRule>
  </conditionalFormatting>
  <conditionalFormatting sqref="C72">
    <cfRule type="cellIs" dxfId="25075" priority="10849" stopIfTrue="1" operator="equal">
      <formula>"Towel"</formula>
    </cfRule>
    <cfRule type="cellIs" dxfId="25074" priority="10850" stopIfTrue="1" operator="equal">
      <formula>"Napkin Hs"</formula>
    </cfRule>
  </conditionalFormatting>
  <conditionalFormatting sqref="C72">
    <cfRule type="cellIs" dxfId="25073" priority="10847" stopIfTrue="1" operator="equal">
      <formula>"Towel"</formula>
    </cfRule>
    <cfRule type="cellIs" dxfId="25072" priority="10848" stopIfTrue="1" operator="equal">
      <formula>"Napkin Hs"</formula>
    </cfRule>
  </conditionalFormatting>
  <conditionalFormatting sqref="C72">
    <cfRule type="cellIs" dxfId="25071" priority="10831" stopIfTrue="1" operator="equal">
      <formula>"Towel"</formula>
    </cfRule>
    <cfRule type="cellIs" dxfId="25070" priority="10832" stopIfTrue="1" operator="equal">
      <formula>"Napkin Hs"</formula>
    </cfRule>
  </conditionalFormatting>
  <conditionalFormatting sqref="C72">
    <cfRule type="cellIs" dxfId="25069" priority="10829" stopIfTrue="1" operator="equal">
      <formula>"Towel"</formula>
    </cfRule>
    <cfRule type="cellIs" dxfId="25068" priority="10830" stopIfTrue="1" operator="equal">
      <formula>"Napkin Hs"</formula>
    </cfRule>
  </conditionalFormatting>
  <conditionalFormatting sqref="B72:C72">
    <cfRule type="cellIs" dxfId="25067" priority="10790" stopIfTrue="1" operator="equal">
      <formula>"Napkin Hs"</formula>
    </cfRule>
  </conditionalFormatting>
  <conditionalFormatting sqref="B72:C72">
    <cfRule type="cellIs" dxfId="25066" priority="10789" stopIfTrue="1" operator="equal">
      <formula>"Towel"</formula>
    </cfRule>
  </conditionalFormatting>
  <conditionalFormatting sqref="C72">
    <cfRule type="cellIs" dxfId="25065" priority="10788" stopIfTrue="1" operator="equal">
      <formula>"Napkin Hs"</formula>
    </cfRule>
  </conditionalFormatting>
  <conditionalFormatting sqref="C72">
    <cfRule type="cellIs" dxfId="25064" priority="10785" stopIfTrue="1" operator="equal">
      <formula>"Towel"</formula>
    </cfRule>
    <cfRule type="cellIs" dxfId="25063" priority="10786" stopIfTrue="1" operator="equal">
      <formula>"Napkin Hs"</formula>
    </cfRule>
  </conditionalFormatting>
  <conditionalFormatting sqref="C72">
    <cfRule type="cellIs" dxfId="25062" priority="10787" stopIfTrue="1" operator="equal">
      <formula>"Towel"</formula>
    </cfRule>
  </conditionalFormatting>
  <conditionalFormatting sqref="B69:C69">
    <cfRule type="cellIs" dxfId="25061" priority="10784" stopIfTrue="1" operator="equal">
      <formula>"Napkin Hs"</formula>
    </cfRule>
  </conditionalFormatting>
  <conditionalFormatting sqref="B69:C69">
    <cfRule type="cellIs" dxfId="25060" priority="10783" stopIfTrue="1" operator="equal">
      <formula>"Towel"</formula>
    </cfRule>
  </conditionalFormatting>
  <conditionalFormatting sqref="C69">
    <cfRule type="cellIs" dxfId="25059" priority="10782" stopIfTrue="1" operator="equal">
      <formula>"Napkin Hs"</formula>
    </cfRule>
  </conditionalFormatting>
  <conditionalFormatting sqref="C69">
    <cfRule type="cellIs" dxfId="25058" priority="10781" stopIfTrue="1" operator="equal">
      <formula>"Towel"</formula>
    </cfRule>
  </conditionalFormatting>
  <conditionalFormatting sqref="C69">
    <cfRule type="cellIs" dxfId="25057" priority="10779" stopIfTrue="1" operator="equal">
      <formula>"Towel"</formula>
    </cfRule>
    <cfRule type="cellIs" dxfId="25056" priority="10780" stopIfTrue="1" operator="equal">
      <formula>"Napkin Hs"</formula>
    </cfRule>
  </conditionalFormatting>
  <conditionalFormatting sqref="C69">
    <cfRule type="cellIs" dxfId="25055" priority="10695" stopIfTrue="1" operator="equal">
      <formula>"Towel"</formula>
    </cfRule>
    <cfRule type="cellIs" dxfId="25054" priority="10696" stopIfTrue="1" operator="equal">
      <formula>"Napkin Hs"</formula>
    </cfRule>
  </conditionalFormatting>
  <conditionalFormatting sqref="C69">
    <cfRule type="cellIs" dxfId="25053" priority="10689" stopIfTrue="1" operator="equal">
      <formula>"Towel"</formula>
    </cfRule>
    <cfRule type="cellIs" dxfId="25052" priority="10690" stopIfTrue="1" operator="equal">
      <formula>"Napkin Hs"</formula>
    </cfRule>
  </conditionalFormatting>
  <conditionalFormatting sqref="C69">
    <cfRule type="cellIs" dxfId="25051" priority="10670" stopIfTrue="1" operator="equal">
      <formula>"Napkin Hs"</formula>
    </cfRule>
  </conditionalFormatting>
  <conditionalFormatting sqref="C69">
    <cfRule type="cellIs" dxfId="25050" priority="10669" stopIfTrue="1" operator="equal">
      <formula>"Towel"</formula>
    </cfRule>
  </conditionalFormatting>
  <conditionalFormatting sqref="C69">
    <cfRule type="cellIs" dxfId="25049" priority="10668" stopIfTrue="1" operator="equal">
      <formula>"Napkin Hs"</formula>
    </cfRule>
  </conditionalFormatting>
  <conditionalFormatting sqref="C69">
    <cfRule type="cellIs" dxfId="25048" priority="10665" stopIfTrue="1" operator="equal">
      <formula>"Towel"</formula>
    </cfRule>
    <cfRule type="cellIs" dxfId="25047" priority="10666" stopIfTrue="1" operator="equal">
      <formula>"Napkin Hs"</formula>
    </cfRule>
  </conditionalFormatting>
  <conditionalFormatting sqref="C69">
    <cfRule type="cellIs" dxfId="25046" priority="10667" stopIfTrue="1" operator="equal">
      <formula>"Towel"</formula>
    </cfRule>
  </conditionalFormatting>
  <conditionalFormatting sqref="C69">
    <cfRule type="cellIs" dxfId="25045" priority="10664" stopIfTrue="1" operator="equal">
      <formula>"Napkin Hs"</formula>
    </cfRule>
  </conditionalFormatting>
  <conditionalFormatting sqref="C69">
    <cfRule type="cellIs" dxfId="25044" priority="10663" stopIfTrue="1" operator="equal">
      <formula>"Towel"</formula>
    </cfRule>
  </conditionalFormatting>
  <conditionalFormatting sqref="C69">
    <cfRule type="cellIs" dxfId="25043" priority="10662" stopIfTrue="1" operator="equal">
      <formula>"Napkin Hs"</formula>
    </cfRule>
  </conditionalFormatting>
  <conditionalFormatting sqref="C69">
    <cfRule type="cellIs" dxfId="25042" priority="10659" stopIfTrue="1" operator="equal">
      <formula>"Towel"</formula>
    </cfRule>
    <cfRule type="cellIs" dxfId="25041" priority="10660" stopIfTrue="1" operator="equal">
      <formula>"Napkin Hs"</formula>
    </cfRule>
  </conditionalFormatting>
  <conditionalFormatting sqref="C69">
    <cfRule type="cellIs" dxfId="25040" priority="10661" stopIfTrue="1" operator="equal">
      <formula>"Towel"</formula>
    </cfRule>
  </conditionalFormatting>
  <conditionalFormatting sqref="C69">
    <cfRule type="cellIs" dxfId="25039" priority="10765" stopIfTrue="1" operator="equal">
      <formula>"Towel"</formula>
    </cfRule>
    <cfRule type="cellIs" dxfId="25038" priority="10766" stopIfTrue="1" operator="equal">
      <formula>"Napkin Hs"</formula>
    </cfRule>
  </conditionalFormatting>
  <conditionalFormatting sqref="C69">
    <cfRule type="cellIs" dxfId="25037" priority="10763" stopIfTrue="1" operator="equal">
      <formula>"Towel"</formula>
    </cfRule>
    <cfRule type="cellIs" dxfId="25036" priority="10764" stopIfTrue="1" operator="equal">
      <formula>"Napkin Hs"</formula>
    </cfRule>
  </conditionalFormatting>
  <conditionalFormatting sqref="C69">
    <cfRule type="cellIs" dxfId="25035" priority="10761" stopIfTrue="1" operator="equal">
      <formula>"Towel"</formula>
    </cfRule>
    <cfRule type="cellIs" dxfId="25034" priority="10762" stopIfTrue="1" operator="equal">
      <formula>"Napkin Hs"</formula>
    </cfRule>
  </conditionalFormatting>
  <conditionalFormatting sqref="C69">
    <cfRule type="cellIs" dxfId="25033" priority="10760" stopIfTrue="1" operator="equal">
      <formula>"Napkin Hs"</formula>
    </cfRule>
  </conditionalFormatting>
  <conditionalFormatting sqref="C69">
    <cfRule type="cellIs" dxfId="25032" priority="10759" stopIfTrue="1" operator="equal">
      <formula>"Towel"</formula>
    </cfRule>
  </conditionalFormatting>
  <conditionalFormatting sqref="C69">
    <cfRule type="cellIs" dxfId="25031" priority="10758" stopIfTrue="1" operator="equal">
      <formula>"Napkin Hs"</formula>
    </cfRule>
  </conditionalFormatting>
  <conditionalFormatting sqref="C69">
    <cfRule type="cellIs" dxfId="25030" priority="10757" stopIfTrue="1" operator="equal">
      <formula>"Towel"</formula>
    </cfRule>
  </conditionalFormatting>
  <conditionalFormatting sqref="C69">
    <cfRule type="cellIs" dxfId="25029" priority="10755" stopIfTrue="1" operator="equal">
      <formula>"Towel"</formula>
    </cfRule>
    <cfRule type="cellIs" dxfId="25028" priority="10756" stopIfTrue="1" operator="equal">
      <formula>"Napkin Hs"</formula>
    </cfRule>
  </conditionalFormatting>
  <conditionalFormatting sqref="C69">
    <cfRule type="cellIs" dxfId="25027" priority="10753" stopIfTrue="1" operator="equal">
      <formula>"Towel"</formula>
    </cfRule>
    <cfRule type="cellIs" dxfId="25026" priority="10754" stopIfTrue="1" operator="equal">
      <formula>"Napkin Hs"</formula>
    </cfRule>
  </conditionalFormatting>
  <conditionalFormatting sqref="C69">
    <cfRule type="cellIs" dxfId="25025" priority="10749" stopIfTrue="1" operator="equal">
      <formula>"Towel"</formula>
    </cfRule>
    <cfRule type="cellIs" dxfId="25024" priority="10750" stopIfTrue="1" operator="equal">
      <formula>"Napkin Hs"</formula>
    </cfRule>
  </conditionalFormatting>
  <conditionalFormatting sqref="C69">
    <cfRule type="cellIs" dxfId="25023" priority="10751" stopIfTrue="1" operator="equal">
      <formula>"Towel"</formula>
    </cfRule>
    <cfRule type="cellIs" dxfId="25022" priority="10752" stopIfTrue="1" operator="equal">
      <formula>"Napkin Hs"</formula>
    </cfRule>
  </conditionalFormatting>
  <conditionalFormatting sqref="C69">
    <cfRule type="cellIs" dxfId="25021" priority="10743" stopIfTrue="1" operator="equal">
      <formula>"Towel"</formula>
    </cfRule>
    <cfRule type="cellIs" dxfId="25020" priority="10744" stopIfTrue="1" operator="equal">
      <formula>"Napkin Hs"</formula>
    </cfRule>
  </conditionalFormatting>
  <conditionalFormatting sqref="C69">
    <cfRule type="cellIs" dxfId="25019" priority="10741" stopIfTrue="1" operator="equal">
      <formula>"Towel"</formula>
    </cfRule>
    <cfRule type="cellIs" dxfId="25018" priority="10742" stopIfTrue="1" operator="equal">
      <formula>"Napkin Hs"</formula>
    </cfRule>
  </conditionalFormatting>
  <conditionalFormatting sqref="C69">
    <cfRule type="cellIs" dxfId="25017" priority="10739" stopIfTrue="1" operator="equal">
      <formula>"Towel"</formula>
    </cfRule>
    <cfRule type="cellIs" dxfId="25016" priority="10740" stopIfTrue="1" operator="equal">
      <formula>"Napkin Hs"</formula>
    </cfRule>
  </conditionalFormatting>
  <conditionalFormatting sqref="C69">
    <cfRule type="cellIs" dxfId="25015" priority="10737" stopIfTrue="1" operator="equal">
      <formula>"Towel"</formula>
    </cfRule>
    <cfRule type="cellIs" dxfId="25014" priority="10738" stopIfTrue="1" operator="equal">
      <formula>"Napkin Hs"</formula>
    </cfRule>
  </conditionalFormatting>
  <conditionalFormatting sqref="C69">
    <cfRule type="cellIs" dxfId="25013" priority="10735" stopIfTrue="1" operator="equal">
      <formula>"Towel"</formula>
    </cfRule>
    <cfRule type="cellIs" dxfId="25012" priority="10736" stopIfTrue="1" operator="equal">
      <formula>"Napkin Hs"</formula>
    </cfRule>
  </conditionalFormatting>
  <conditionalFormatting sqref="C69">
    <cfRule type="cellIs" dxfId="25011" priority="10733" stopIfTrue="1" operator="equal">
      <formula>"Towel"</formula>
    </cfRule>
    <cfRule type="cellIs" dxfId="25010" priority="10734" stopIfTrue="1" operator="equal">
      <formula>"Napkin Hs"</formula>
    </cfRule>
  </conditionalFormatting>
  <conditionalFormatting sqref="C69">
    <cfRule type="cellIs" dxfId="25009" priority="10731" stopIfTrue="1" operator="equal">
      <formula>"Towel"</formula>
    </cfRule>
    <cfRule type="cellIs" dxfId="25008" priority="10732" stopIfTrue="1" operator="equal">
      <formula>"Napkin Hs"</formula>
    </cfRule>
  </conditionalFormatting>
  <conditionalFormatting sqref="C69">
    <cfRule type="cellIs" dxfId="25007" priority="10729" stopIfTrue="1" operator="equal">
      <formula>"Towel"</formula>
    </cfRule>
    <cfRule type="cellIs" dxfId="25006" priority="10730" stopIfTrue="1" operator="equal">
      <formula>"Napkin Hs"</formula>
    </cfRule>
  </conditionalFormatting>
  <conditionalFormatting sqref="C69">
    <cfRule type="cellIs" dxfId="25005" priority="10727" stopIfTrue="1" operator="equal">
      <formula>"Towel"</formula>
    </cfRule>
    <cfRule type="cellIs" dxfId="25004" priority="10728" stopIfTrue="1" operator="equal">
      <formula>"Napkin Hs"</formula>
    </cfRule>
  </conditionalFormatting>
  <conditionalFormatting sqref="C69">
    <cfRule type="cellIs" dxfId="25003" priority="10725" stopIfTrue="1" operator="equal">
      <formula>"Towel"</formula>
    </cfRule>
    <cfRule type="cellIs" dxfId="25002" priority="10726" stopIfTrue="1" operator="equal">
      <formula>"Napkin Hs"</formula>
    </cfRule>
  </conditionalFormatting>
  <conditionalFormatting sqref="C69">
    <cfRule type="cellIs" dxfId="25001" priority="10719" stopIfTrue="1" operator="equal">
      <formula>"Towel"</formula>
    </cfRule>
    <cfRule type="cellIs" dxfId="25000" priority="10720" stopIfTrue="1" operator="equal">
      <formula>"Napkin Hs"</formula>
    </cfRule>
  </conditionalFormatting>
  <conditionalFormatting sqref="C69">
    <cfRule type="cellIs" dxfId="24999" priority="10713" stopIfTrue="1" operator="equal">
      <formula>"Towel"</formula>
    </cfRule>
    <cfRule type="cellIs" dxfId="24998" priority="10714" stopIfTrue="1" operator="equal">
      <formula>"Napkin Hs"</formula>
    </cfRule>
  </conditionalFormatting>
  <conditionalFormatting sqref="C69">
    <cfRule type="cellIs" dxfId="24997" priority="10707" stopIfTrue="1" operator="equal">
      <formula>"Towel"</formula>
    </cfRule>
    <cfRule type="cellIs" dxfId="24996" priority="10708" stopIfTrue="1" operator="equal">
      <formula>"Napkin Hs"</formula>
    </cfRule>
  </conditionalFormatting>
  <conditionalFormatting sqref="C69">
    <cfRule type="cellIs" dxfId="24995" priority="10706" stopIfTrue="1" operator="equal">
      <formula>"Napkin Hs"</formula>
    </cfRule>
  </conditionalFormatting>
  <conditionalFormatting sqref="C69">
    <cfRule type="cellIs" dxfId="24994" priority="10705" stopIfTrue="1" operator="equal">
      <formula>"Towel"</formula>
    </cfRule>
  </conditionalFormatting>
  <conditionalFormatting sqref="C69">
    <cfRule type="cellIs" dxfId="24993" priority="10704" stopIfTrue="1" operator="equal">
      <formula>"Napkin Hs"</formula>
    </cfRule>
  </conditionalFormatting>
  <conditionalFormatting sqref="C69">
    <cfRule type="cellIs" dxfId="24992" priority="10703" stopIfTrue="1" operator="equal">
      <formula>"Towel"</formula>
    </cfRule>
  </conditionalFormatting>
  <conditionalFormatting sqref="C69">
    <cfRule type="cellIs" dxfId="24991" priority="10701" stopIfTrue="1" operator="equal">
      <formula>"Towel"</formula>
    </cfRule>
    <cfRule type="cellIs" dxfId="24990" priority="10702" stopIfTrue="1" operator="equal">
      <formula>"Napkin Hs"</formula>
    </cfRule>
  </conditionalFormatting>
  <conditionalFormatting sqref="C69">
    <cfRule type="cellIs" dxfId="24989" priority="10699" stopIfTrue="1" operator="equal">
      <formula>"Towel"</formula>
    </cfRule>
    <cfRule type="cellIs" dxfId="24988" priority="10700" stopIfTrue="1" operator="equal">
      <formula>"Napkin Hs"</formula>
    </cfRule>
  </conditionalFormatting>
  <conditionalFormatting sqref="C69">
    <cfRule type="cellIs" dxfId="24987" priority="10697" stopIfTrue="1" operator="equal">
      <formula>"Towel"</formula>
    </cfRule>
    <cfRule type="cellIs" dxfId="24986" priority="10698" stopIfTrue="1" operator="equal">
      <formula>"Napkin Hs"</formula>
    </cfRule>
  </conditionalFormatting>
  <conditionalFormatting sqref="C69">
    <cfRule type="cellIs" dxfId="24985" priority="10687" stopIfTrue="1" operator="equal">
      <formula>"Towel"</formula>
    </cfRule>
    <cfRule type="cellIs" dxfId="24984" priority="10688" stopIfTrue="1" operator="equal">
      <formula>"Napkin Hs"</formula>
    </cfRule>
  </conditionalFormatting>
  <conditionalFormatting sqref="C69">
    <cfRule type="cellIs" dxfId="24983" priority="10685" stopIfTrue="1" operator="equal">
      <formula>"Towel"</formula>
    </cfRule>
    <cfRule type="cellIs" dxfId="24982" priority="10686" stopIfTrue="1" operator="equal">
      <formula>"Napkin Hs"</formula>
    </cfRule>
  </conditionalFormatting>
  <conditionalFormatting sqref="C69">
    <cfRule type="cellIs" dxfId="24981" priority="10683" stopIfTrue="1" operator="equal">
      <formula>"Towel"</formula>
    </cfRule>
    <cfRule type="cellIs" dxfId="24980" priority="10684" stopIfTrue="1" operator="equal">
      <formula>"Napkin Hs"</formula>
    </cfRule>
  </conditionalFormatting>
  <conditionalFormatting sqref="C69">
    <cfRule type="cellIs" dxfId="24979" priority="10681" stopIfTrue="1" operator="equal">
      <formula>"Towel"</formula>
    </cfRule>
    <cfRule type="cellIs" dxfId="24978" priority="10682" stopIfTrue="1" operator="equal">
      <formula>"Napkin Hs"</formula>
    </cfRule>
  </conditionalFormatting>
  <conditionalFormatting sqref="C69">
    <cfRule type="cellIs" dxfId="24977" priority="10679" stopIfTrue="1" operator="equal">
      <formula>"Towel"</formula>
    </cfRule>
    <cfRule type="cellIs" dxfId="24976" priority="10680" stopIfTrue="1" operator="equal">
      <formula>"Napkin Hs"</formula>
    </cfRule>
  </conditionalFormatting>
  <conditionalFormatting sqref="C69">
    <cfRule type="cellIs" dxfId="24975" priority="10677" stopIfTrue="1" operator="equal">
      <formula>"Towel"</formula>
    </cfRule>
    <cfRule type="cellIs" dxfId="24974" priority="10678" stopIfTrue="1" operator="equal">
      <formula>"Napkin Hs"</formula>
    </cfRule>
  </conditionalFormatting>
  <conditionalFormatting sqref="C69">
    <cfRule type="cellIs" dxfId="24973" priority="10675" stopIfTrue="1" operator="equal">
      <formula>"Towel"</formula>
    </cfRule>
    <cfRule type="cellIs" dxfId="24972" priority="10676" stopIfTrue="1" operator="equal">
      <formula>"Napkin Hs"</formula>
    </cfRule>
  </conditionalFormatting>
  <conditionalFormatting sqref="C69">
    <cfRule type="cellIs" dxfId="24971" priority="10673" stopIfTrue="1" operator="equal">
      <formula>"Towel"</formula>
    </cfRule>
    <cfRule type="cellIs" dxfId="24970" priority="10674" stopIfTrue="1" operator="equal">
      <formula>"Napkin Hs"</formula>
    </cfRule>
  </conditionalFormatting>
  <conditionalFormatting sqref="C69">
    <cfRule type="cellIs" dxfId="24969" priority="10671" stopIfTrue="1" operator="equal">
      <formula>"Towel"</formula>
    </cfRule>
    <cfRule type="cellIs" dxfId="24968" priority="10672" stopIfTrue="1" operator="equal">
      <formula>"Napkin Hs"</formula>
    </cfRule>
  </conditionalFormatting>
  <conditionalFormatting sqref="C69">
    <cfRule type="cellIs" dxfId="24967" priority="10658" stopIfTrue="1" operator="equal">
      <formula>"Napkin Hs"</formula>
    </cfRule>
  </conditionalFormatting>
  <conditionalFormatting sqref="C69">
    <cfRule type="cellIs" dxfId="24966" priority="10657" stopIfTrue="1" operator="equal">
      <formula>"Towel"</formula>
    </cfRule>
  </conditionalFormatting>
  <conditionalFormatting sqref="C69">
    <cfRule type="cellIs" dxfId="24965" priority="10656" stopIfTrue="1" operator="equal">
      <formula>"Napkin Hs"</formula>
    </cfRule>
  </conditionalFormatting>
  <conditionalFormatting sqref="C69">
    <cfRule type="cellIs" dxfId="24964" priority="10653" stopIfTrue="1" operator="equal">
      <formula>"Towel"</formula>
    </cfRule>
    <cfRule type="cellIs" dxfId="24963" priority="10654" stopIfTrue="1" operator="equal">
      <formula>"Napkin Hs"</formula>
    </cfRule>
  </conditionalFormatting>
  <conditionalFormatting sqref="C69">
    <cfRule type="cellIs" dxfId="24962" priority="10655" stopIfTrue="1" operator="equal">
      <formula>"Towel"</formula>
    </cfRule>
  </conditionalFormatting>
  <conditionalFormatting sqref="C69">
    <cfRule type="cellIs" dxfId="24961" priority="10773" stopIfTrue="1" operator="equal">
      <formula>"Towel"</formula>
    </cfRule>
    <cfRule type="cellIs" dxfId="24960" priority="10774" stopIfTrue="1" operator="equal">
      <formula>"Napkin Hs"</formula>
    </cfRule>
  </conditionalFormatting>
  <conditionalFormatting sqref="C69">
    <cfRule type="cellIs" dxfId="24959" priority="10772" stopIfTrue="1" operator="equal">
      <formula>"Napkin Hs"</formula>
    </cfRule>
  </conditionalFormatting>
  <conditionalFormatting sqref="C69">
    <cfRule type="cellIs" dxfId="24958" priority="10771" stopIfTrue="1" operator="equal">
      <formula>"Towel"</formula>
    </cfRule>
  </conditionalFormatting>
  <conditionalFormatting sqref="C69">
    <cfRule type="cellIs" dxfId="24957" priority="10770" stopIfTrue="1" operator="equal">
      <formula>"Napkin Hs"</formula>
    </cfRule>
  </conditionalFormatting>
  <conditionalFormatting sqref="C69">
    <cfRule type="cellIs" dxfId="24956" priority="10767" stopIfTrue="1" operator="equal">
      <formula>"Towel"</formula>
    </cfRule>
    <cfRule type="cellIs" dxfId="24955" priority="10768" stopIfTrue="1" operator="equal">
      <formula>"Napkin Hs"</formula>
    </cfRule>
  </conditionalFormatting>
  <conditionalFormatting sqref="C69">
    <cfRule type="cellIs" dxfId="24954" priority="10769" stopIfTrue="1" operator="equal">
      <formula>"Towel"</formula>
    </cfRule>
  </conditionalFormatting>
  <conditionalFormatting sqref="C69">
    <cfRule type="cellIs" dxfId="24953" priority="10777" stopIfTrue="1" operator="equal">
      <formula>"Towel"</formula>
    </cfRule>
    <cfRule type="cellIs" dxfId="24952" priority="10778" stopIfTrue="1" operator="equal">
      <formula>"Napkin Hs"</formula>
    </cfRule>
  </conditionalFormatting>
  <conditionalFormatting sqref="C69">
    <cfRule type="cellIs" dxfId="24951" priority="10775" stopIfTrue="1" operator="equal">
      <formula>"Towel"</formula>
    </cfRule>
    <cfRule type="cellIs" dxfId="24950" priority="10776" stopIfTrue="1" operator="equal">
      <formula>"Napkin Hs"</formula>
    </cfRule>
  </conditionalFormatting>
  <conditionalFormatting sqref="C69">
    <cfRule type="cellIs" dxfId="24949" priority="10747" stopIfTrue="1" operator="equal">
      <formula>"Towel"</formula>
    </cfRule>
    <cfRule type="cellIs" dxfId="24948" priority="10748" stopIfTrue="1" operator="equal">
      <formula>"Napkin Hs"</formula>
    </cfRule>
  </conditionalFormatting>
  <conditionalFormatting sqref="C69">
    <cfRule type="cellIs" dxfId="24947" priority="10745" stopIfTrue="1" operator="equal">
      <formula>"Towel"</formula>
    </cfRule>
    <cfRule type="cellIs" dxfId="24946" priority="10746" stopIfTrue="1" operator="equal">
      <formula>"Napkin Hs"</formula>
    </cfRule>
  </conditionalFormatting>
  <conditionalFormatting sqref="C69">
    <cfRule type="cellIs" dxfId="24945" priority="10724" stopIfTrue="1" operator="equal">
      <formula>"Napkin Hs"</formula>
    </cfRule>
  </conditionalFormatting>
  <conditionalFormatting sqref="C69">
    <cfRule type="cellIs" dxfId="24944" priority="10723" stopIfTrue="1" operator="equal">
      <formula>"Towel"</formula>
    </cfRule>
  </conditionalFormatting>
  <conditionalFormatting sqref="C69">
    <cfRule type="cellIs" dxfId="24943" priority="10722" stopIfTrue="1" operator="equal">
      <formula>"Napkin Hs"</formula>
    </cfRule>
  </conditionalFormatting>
  <conditionalFormatting sqref="C69">
    <cfRule type="cellIs" dxfId="24942" priority="10721" stopIfTrue="1" operator="equal">
      <formula>"Towel"</formula>
    </cfRule>
  </conditionalFormatting>
  <conditionalFormatting sqref="C69">
    <cfRule type="cellIs" dxfId="24941" priority="10718" stopIfTrue="1" operator="equal">
      <formula>"Napkin Hs"</formula>
    </cfRule>
  </conditionalFormatting>
  <conditionalFormatting sqref="C69">
    <cfRule type="cellIs" dxfId="24940" priority="10717" stopIfTrue="1" operator="equal">
      <formula>"Towel"</formula>
    </cfRule>
  </conditionalFormatting>
  <conditionalFormatting sqref="C69">
    <cfRule type="cellIs" dxfId="24939" priority="10716" stopIfTrue="1" operator="equal">
      <formula>"Napkin Hs"</formula>
    </cfRule>
  </conditionalFormatting>
  <conditionalFormatting sqref="C69">
    <cfRule type="cellIs" dxfId="24938" priority="10715" stopIfTrue="1" operator="equal">
      <formula>"Towel"</formula>
    </cfRule>
  </conditionalFormatting>
  <conditionalFormatting sqref="C69">
    <cfRule type="cellIs" dxfId="24937" priority="10711" stopIfTrue="1" operator="equal">
      <formula>"Towel"</formula>
    </cfRule>
    <cfRule type="cellIs" dxfId="24936" priority="10712" stopIfTrue="1" operator="equal">
      <formula>"Napkin Hs"</formula>
    </cfRule>
  </conditionalFormatting>
  <conditionalFormatting sqref="C69">
    <cfRule type="cellIs" dxfId="24935" priority="10709" stopIfTrue="1" operator="equal">
      <formula>"Towel"</formula>
    </cfRule>
    <cfRule type="cellIs" dxfId="24934" priority="10710" stopIfTrue="1" operator="equal">
      <formula>"Napkin Hs"</formula>
    </cfRule>
  </conditionalFormatting>
  <conditionalFormatting sqref="C69">
    <cfRule type="cellIs" dxfId="24933" priority="10693" stopIfTrue="1" operator="equal">
      <formula>"Towel"</formula>
    </cfRule>
    <cfRule type="cellIs" dxfId="24932" priority="10694" stopIfTrue="1" operator="equal">
      <formula>"Napkin Hs"</formula>
    </cfRule>
  </conditionalFormatting>
  <conditionalFormatting sqref="C69">
    <cfRule type="cellIs" dxfId="24931" priority="10691" stopIfTrue="1" operator="equal">
      <formula>"Towel"</formula>
    </cfRule>
    <cfRule type="cellIs" dxfId="24930" priority="10692" stopIfTrue="1" operator="equal">
      <formula>"Napkin Hs"</formula>
    </cfRule>
  </conditionalFormatting>
  <conditionalFormatting sqref="B69:C69">
    <cfRule type="cellIs" dxfId="24929" priority="10652" stopIfTrue="1" operator="equal">
      <formula>"Napkin Hs"</formula>
    </cfRule>
  </conditionalFormatting>
  <conditionalFormatting sqref="B69:C69">
    <cfRule type="cellIs" dxfId="24928" priority="10651" stopIfTrue="1" operator="equal">
      <formula>"Towel"</formula>
    </cfRule>
  </conditionalFormatting>
  <conditionalFormatting sqref="C69">
    <cfRule type="cellIs" dxfId="24927" priority="10650" stopIfTrue="1" operator="equal">
      <formula>"Napkin Hs"</formula>
    </cfRule>
  </conditionalFormatting>
  <conditionalFormatting sqref="C69">
    <cfRule type="cellIs" dxfId="24926" priority="10647" stopIfTrue="1" operator="equal">
      <formula>"Towel"</formula>
    </cfRule>
    <cfRule type="cellIs" dxfId="24925" priority="10648" stopIfTrue="1" operator="equal">
      <formula>"Napkin Hs"</formula>
    </cfRule>
  </conditionalFormatting>
  <conditionalFormatting sqref="C69">
    <cfRule type="cellIs" dxfId="24924" priority="10649" stopIfTrue="1" operator="equal">
      <formula>"Towel"</formula>
    </cfRule>
  </conditionalFormatting>
  <conditionalFormatting sqref="C78">
    <cfRule type="cellIs" dxfId="24923" priority="10577" stopIfTrue="1" operator="equal">
      <formula>"Towel"</formula>
    </cfRule>
    <cfRule type="cellIs" dxfId="24922" priority="10578" stopIfTrue="1" operator="equal">
      <formula>"Napkin Hs"</formula>
    </cfRule>
  </conditionalFormatting>
  <conditionalFormatting sqref="B78:C78">
    <cfRule type="cellIs" dxfId="24921" priority="10575" stopIfTrue="1" operator="equal">
      <formula>"Towel"</formula>
    </cfRule>
    <cfRule type="cellIs" dxfId="24920" priority="10576" stopIfTrue="1" operator="equal">
      <formula>"Napkin Hs"</formula>
    </cfRule>
  </conditionalFormatting>
  <conditionalFormatting sqref="C78">
    <cfRule type="cellIs" dxfId="24919" priority="10573" stopIfTrue="1" operator="equal">
      <formula>"Towel"</formula>
    </cfRule>
    <cfRule type="cellIs" dxfId="24918" priority="10574" stopIfTrue="1" operator="equal">
      <formula>"Napkin Hs"</formula>
    </cfRule>
  </conditionalFormatting>
  <conditionalFormatting sqref="C78">
    <cfRule type="cellIs" dxfId="24917" priority="10565" stopIfTrue="1" operator="equal">
      <formula>"Towel"</formula>
    </cfRule>
    <cfRule type="cellIs" dxfId="24916" priority="10566" stopIfTrue="1" operator="equal">
      <formula>"Napkin Hs"</formula>
    </cfRule>
  </conditionalFormatting>
  <conditionalFormatting sqref="B78:C78">
    <cfRule type="cellIs" dxfId="24915" priority="10641" stopIfTrue="1" operator="equal">
      <formula>"Towel"</formula>
    </cfRule>
    <cfRule type="cellIs" dxfId="24914" priority="10642" stopIfTrue="1" operator="equal">
      <formula>"Napkin Hs"</formula>
    </cfRule>
  </conditionalFormatting>
  <conditionalFormatting sqref="C78">
    <cfRule type="cellIs" dxfId="24913" priority="10637" stopIfTrue="1" operator="equal">
      <formula>"Towel"</formula>
    </cfRule>
    <cfRule type="cellIs" dxfId="24912" priority="10638" stopIfTrue="1" operator="equal">
      <formula>"Napkin Hs"</formula>
    </cfRule>
  </conditionalFormatting>
  <conditionalFormatting sqref="C78">
    <cfRule type="cellIs" dxfId="24911" priority="10639" stopIfTrue="1" operator="equal">
      <formula>"Towel"</formula>
    </cfRule>
    <cfRule type="cellIs" dxfId="24910" priority="10640" stopIfTrue="1" operator="equal">
      <formula>"Napkin Hs"</formula>
    </cfRule>
  </conditionalFormatting>
  <conditionalFormatting sqref="B78:C78">
    <cfRule type="cellIs" dxfId="24909" priority="10606" stopIfTrue="1" operator="equal">
      <formula>"Napkin Hs"</formula>
    </cfRule>
  </conditionalFormatting>
  <conditionalFormatting sqref="B78:C78">
    <cfRule type="cellIs" dxfId="24908" priority="10605" stopIfTrue="1" operator="equal">
      <formula>"Towel"</formula>
    </cfRule>
  </conditionalFormatting>
  <conditionalFormatting sqref="C78">
    <cfRule type="cellIs" dxfId="24907" priority="10604" stopIfTrue="1" operator="equal">
      <formula>"Napkin Hs"</formula>
    </cfRule>
  </conditionalFormatting>
  <conditionalFormatting sqref="C78">
    <cfRule type="cellIs" dxfId="24906" priority="10603" stopIfTrue="1" operator="equal">
      <formula>"Towel"</formula>
    </cfRule>
  </conditionalFormatting>
  <conditionalFormatting sqref="C78">
    <cfRule type="cellIs" dxfId="24905" priority="10601" stopIfTrue="1" operator="equal">
      <formula>"Towel"</formula>
    </cfRule>
    <cfRule type="cellIs" dxfId="24904" priority="10602" stopIfTrue="1" operator="equal">
      <formula>"Napkin Hs"</formula>
    </cfRule>
  </conditionalFormatting>
  <conditionalFormatting sqref="B78:C78">
    <cfRule type="cellIs" dxfId="24903" priority="10599" stopIfTrue="1" operator="equal">
      <formula>"Towel"</formula>
    </cfRule>
    <cfRule type="cellIs" dxfId="24902" priority="10600" stopIfTrue="1" operator="equal">
      <formula>"Napkin Hs"</formula>
    </cfRule>
  </conditionalFormatting>
  <conditionalFormatting sqref="C78">
    <cfRule type="cellIs" dxfId="24901" priority="10597" stopIfTrue="1" operator="equal">
      <formula>"Towel"</formula>
    </cfRule>
    <cfRule type="cellIs" dxfId="24900" priority="10598" stopIfTrue="1" operator="equal">
      <formula>"Napkin Hs"</formula>
    </cfRule>
  </conditionalFormatting>
  <conditionalFormatting sqref="C78">
    <cfRule type="cellIs" dxfId="24899" priority="10595" stopIfTrue="1" operator="equal">
      <formula>"Towel"</formula>
    </cfRule>
    <cfRule type="cellIs" dxfId="24898" priority="10596" stopIfTrue="1" operator="equal">
      <formula>"Napkin Hs"</formula>
    </cfRule>
  </conditionalFormatting>
  <conditionalFormatting sqref="B78:C78">
    <cfRule type="cellIs" dxfId="24897" priority="10593" stopIfTrue="1" operator="equal">
      <formula>"Towel"</formula>
    </cfRule>
    <cfRule type="cellIs" dxfId="24896" priority="10594" stopIfTrue="1" operator="equal">
      <formula>"Napkin Hs"</formula>
    </cfRule>
  </conditionalFormatting>
  <conditionalFormatting sqref="C78">
    <cfRule type="cellIs" dxfId="24895" priority="10591" stopIfTrue="1" operator="equal">
      <formula>"Towel"</formula>
    </cfRule>
    <cfRule type="cellIs" dxfId="24894" priority="10592" stopIfTrue="1" operator="equal">
      <formula>"Napkin Hs"</formula>
    </cfRule>
  </conditionalFormatting>
  <conditionalFormatting sqref="C78">
    <cfRule type="cellIs" dxfId="24893" priority="10589" stopIfTrue="1" operator="equal">
      <formula>"Towel"</formula>
    </cfRule>
    <cfRule type="cellIs" dxfId="24892" priority="10590" stopIfTrue="1" operator="equal">
      <formula>"Napkin Hs"</formula>
    </cfRule>
  </conditionalFormatting>
  <conditionalFormatting sqref="B78:C78">
    <cfRule type="cellIs" dxfId="24891" priority="10587" stopIfTrue="1" operator="equal">
      <formula>"Towel"</formula>
    </cfRule>
    <cfRule type="cellIs" dxfId="24890" priority="10588" stopIfTrue="1" operator="equal">
      <formula>"Napkin Hs"</formula>
    </cfRule>
  </conditionalFormatting>
  <conditionalFormatting sqref="C78">
    <cfRule type="cellIs" dxfId="24889" priority="10585" stopIfTrue="1" operator="equal">
      <formula>"Towel"</formula>
    </cfRule>
    <cfRule type="cellIs" dxfId="24888" priority="10586" stopIfTrue="1" operator="equal">
      <formula>"Napkin Hs"</formula>
    </cfRule>
  </conditionalFormatting>
  <conditionalFormatting sqref="C78">
    <cfRule type="cellIs" dxfId="24887" priority="10583" stopIfTrue="1" operator="equal">
      <formula>"Towel"</formula>
    </cfRule>
    <cfRule type="cellIs" dxfId="24886" priority="10584" stopIfTrue="1" operator="equal">
      <formula>"Napkin Hs"</formula>
    </cfRule>
  </conditionalFormatting>
  <conditionalFormatting sqref="B78:C78">
    <cfRule type="cellIs" dxfId="24885" priority="10581" stopIfTrue="1" operator="equal">
      <formula>"Towel"</formula>
    </cfRule>
    <cfRule type="cellIs" dxfId="24884" priority="10582" stopIfTrue="1" operator="equal">
      <formula>"Napkin Hs"</formula>
    </cfRule>
  </conditionalFormatting>
  <conditionalFormatting sqref="C78">
    <cfRule type="cellIs" dxfId="24883" priority="10579" stopIfTrue="1" operator="equal">
      <formula>"Towel"</formula>
    </cfRule>
    <cfRule type="cellIs" dxfId="24882" priority="10580" stopIfTrue="1" operator="equal">
      <formula>"Napkin Hs"</formula>
    </cfRule>
  </conditionalFormatting>
  <conditionalFormatting sqref="C78">
    <cfRule type="cellIs" dxfId="24881" priority="10571" stopIfTrue="1" operator="equal">
      <formula>"Towel"</formula>
    </cfRule>
    <cfRule type="cellIs" dxfId="24880" priority="10572" stopIfTrue="1" operator="equal">
      <formula>"Napkin Hs"</formula>
    </cfRule>
  </conditionalFormatting>
  <conditionalFormatting sqref="B78:C78">
    <cfRule type="cellIs" dxfId="24879" priority="10570" stopIfTrue="1" operator="equal">
      <formula>"Napkin Hs"</formula>
    </cfRule>
  </conditionalFormatting>
  <conditionalFormatting sqref="B78:C78">
    <cfRule type="cellIs" dxfId="24878" priority="10569" stopIfTrue="1" operator="equal">
      <formula>"Towel"</formula>
    </cfRule>
  </conditionalFormatting>
  <conditionalFormatting sqref="C78">
    <cfRule type="cellIs" dxfId="24877" priority="10568" stopIfTrue="1" operator="equal">
      <formula>"Napkin Hs"</formula>
    </cfRule>
  </conditionalFormatting>
  <conditionalFormatting sqref="C78">
    <cfRule type="cellIs" dxfId="24876" priority="10567" stopIfTrue="1" operator="equal">
      <formula>"Towel"</formula>
    </cfRule>
  </conditionalFormatting>
  <conditionalFormatting sqref="B75:C75">
    <cfRule type="cellIs" dxfId="24875" priority="10561" stopIfTrue="1" operator="equal">
      <formula>"Towel"</formula>
    </cfRule>
    <cfRule type="cellIs" dxfId="24874" priority="10562" stopIfTrue="1" operator="equal">
      <formula>"Napkin Hs"</formula>
    </cfRule>
  </conditionalFormatting>
  <conditionalFormatting sqref="C75">
    <cfRule type="cellIs" dxfId="24873" priority="10563" stopIfTrue="1" operator="equal">
      <formula>"Towel"</formula>
    </cfRule>
    <cfRule type="cellIs" dxfId="24872" priority="10564" stopIfTrue="1" operator="equal">
      <formula>"Napkin Hs"</formula>
    </cfRule>
  </conditionalFormatting>
  <conditionalFormatting sqref="C75">
    <cfRule type="cellIs" dxfId="24871" priority="10559" stopIfTrue="1" operator="equal">
      <formula>"Towel"</formula>
    </cfRule>
    <cfRule type="cellIs" dxfId="24870" priority="10560" stopIfTrue="1" operator="equal">
      <formula>"Napkin Hs"</formula>
    </cfRule>
  </conditionalFormatting>
  <conditionalFormatting sqref="B74:C74">
    <cfRule type="cellIs" dxfId="24869" priority="10557" stopIfTrue="1" operator="equal">
      <formula>"Towel"</formula>
    </cfRule>
    <cfRule type="cellIs" dxfId="24868" priority="10558" stopIfTrue="1" operator="equal">
      <formula>"Napkin Hs"</formula>
    </cfRule>
  </conditionalFormatting>
  <conditionalFormatting sqref="C74">
    <cfRule type="cellIs" dxfId="24867" priority="10553" stopIfTrue="1" operator="equal">
      <formula>"Towel"</formula>
    </cfRule>
    <cfRule type="cellIs" dxfId="24866" priority="10554" stopIfTrue="1" operator="equal">
      <formula>"Napkin Hs"</formula>
    </cfRule>
  </conditionalFormatting>
  <conditionalFormatting sqref="C74">
    <cfRule type="cellIs" dxfId="24865" priority="10555" stopIfTrue="1" operator="equal">
      <formula>"Towel"</formula>
    </cfRule>
    <cfRule type="cellIs" dxfId="24864" priority="10556" stopIfTrue="1" operator="equal">
      <formula>"Napkin Hs"</formula>
    </cfRule>
  </conditionalFormatting>
  <conditionalFormatting sqref="B74:C74">
    <cfRule type="cellIs" dxfId="24863" priority="10551" stopIfTrue="1" operator="equal">
      <formula>"Towel"</formula>
    </cfRule>
    <cfRule type="cellIs" dxfId="24862" priority="10552" stopIfTrue="1" operator="equal">
      <formula>"Napkin Hs"</formula>
    </cfRule>
  </conditionalFormatting>
  <conditionalFormatting sqref="C74">
    <cfRule type="cellIs" dxfId="24861" priority="10547" stopIfTrue="1" operator="equal">
      <formula>"Towel"</formula>
    </cfRule>
    <cfRule type="cellIs" dxfId="24860" priority="10548" stopIfTrue="1" operator="equal">
      <formula>"Napkin Hs"</formula>
    </cfRule>
  </conditionalFormatting>
  <conditionalFormatting sqref="C74">
    <cfRule type="cellIs" dxfId="24859" priority="10549" stopIfTrue="1" operator="equal">
      <formula>"Towel"</formula>
    </cfRule>
    <cfRule type="cellIs" dxfId="24858" priority="10550" stopIfTrue="1" operator="equal">
      <formula>"Napkin Hs"</formula>
    </cfRule>
  </conditionalFormatting>
  <conditionalFormatting sqref="B74:C74">
    <cfRule type="cellIs" dxfId="24857" priority="10545" stopIfTrue="1" operator="equal">
      <formula>"Towel"</formula>
    </cfRule>
    <cfRule type="cellIs" dxfId="24856" priority="10546" stopIfTrue="1" operator="equal">
      <formula>"Napkin Hs"</formula>
    </cfRule>
  </conditionalFormatting>
  <conditionalFormatting sqref="C74">
    <cfRule type="cellIs" dxfId="24855" priority="10543" stopIfTrue="1" operator="equal">
      <formula>"Towel"</formula>
    </cfRule>
    <cfRule type="cellIs" dxfId="24854" priority="10544" stopIfTrue="1" operator="equal">
      <formula>"Napkin Hs"</formula>
    </cfRule>
  </conditionalFormatting>
  <conditionalFormatting sqref="C74">
    <cfRule type="cellIs" dxfId="24853" priority="10541" stopIfTrue="1" operator="equal">
      <formula>"Towel"</formula>
    </cfRule>
    <cfRule type="cellIs" dxfId="24852" priority="10542" stopIfTrue="1" operator="equal">
      <formula>"Napkin Hs"</formula>
    </cfRule>
  </conditionalFormatting>
  <conditionalFormatting sqref="B74:C74">
    <cfRule type="cellIs" dxfId="24851" priority="10539" stopIfTrue="1" operator="equal">
      <formula>"Towel"</formula>
    </cfRule>
    <cfRule type="cellIs" dxfId="24850" priority="10540" stopIfTrue="1" operator="equal">
      <formula>"Napkin Hs"</formula>
    </cfRule>
  </conditionalFormatting>
  <conditionalFormatting sqref="C74">
    <cfRule type="cellIs" dxfId="24849" priority="10537" stopIfTrue="1" operator="equal">
      <formula>"Towel"</formula>
    </cfRule>
    <cfRule type="cellIs" dxfId="24848" priority="10538" stopIfTrue="1" operator="equal">
      <formula>"Napkin Hs"</formula>
    </cfRule>
  </conditionalFormatting>
  <conditionalFormatting sqref="C74">
    <cfRule type="cellIs" dxfId="24847" priority="10535" stopIfTrue="1" operator="equal">
      <formula>"Towel"</formula>
    </cfRule>
    <cfRule type="cellIs" dxfId="24846" priority="10536" stopIfTrue="1" operator="equal">
      <formula>"Napkin Hs"</formula>
    </cfRule>
  </conditionalFormatting>
  <conditionalFormatting sqref="B74:C74">
    <cfRule type="cellIs" dxfId="24845" priority="10533" stopIfTrue="1" operator="equal">
      <formula>"Towel"</formula>
    </cfRule>
    <cfRule type="cellIs" dxfId="24844" priority="10534" stopIfTrue="1" operator="equal">
      <formula>"Napkin Hs"</formula>
    </cfRule>
  </conditionalFormatting>
  <conditionalFormatting sqref="C74">
    <cfRule type="cellIs" dxfId="24843" priority="10531" stopIfTrue="1" operator="equal">
      <formula>"Towel"</formula>
    </cfRule>
    <cfRule type="cellIs" dxfId="24842" priority="10532" stopIfTrue="1" operator="equal">
      <formula>"Napkin Hs"</formula>
    </cfRule>
  </conditionalFormatting>
  <conditionalFormatting sqref="C74">
    <cfRule type="cellIs" dxfId="24841" priority="10529" stopIfTrue="1" operator="equal">
      <formula>"Towel"</formula>
    </cfRule>
    <cfRule type="cellIs" dxfId="24840" priority="10530" stopIfTrue="1" operator="equal">
      <formula>"Napkin Hs"</formula>
    </cfRule>
  </conditionalFormatting>
  <conditionalFormatting sqref="B74:C74">
    <cfRule type="cellIs" dxfId="24839" priority="10528" stopIfTrue="1" operator="equal">
      <formula>"Napkin Hs"</formula>
    </cfRule>
  </conditionalFormatting>
  <conditionalFormatting sqref="B74:C74">
    <cfRule type="cellIs" dxfId="24838" priority="10527" stopIfTrue="1" operator="equal">
      <formula>"Towel"</formula>
    </cfRule>
  </conditionalFormatting>
  <conditionalFormatting sqref="C74">
    <cfRule type="cellIs" dxfId="24837" priority="10526" stopIfTrue="1" operator="equal">
      <formula>"Napkin Hs"</formula>
    </cfRule>
  </conditionalFormatting>
  <conditionalFormatting sqref="C74">
    <cfRule type="cellIs" dxfId="24836" priority="10523" stopIfTrue="1" operator="equal">
      <formula>"Towel"</formula>
    </cfRule>
    <cfRule type="cellIs" dxfId="24835" priority="10524" stopIfTrue="1" operator="equal">
      <formula>"Napkin Hs"</formula>
    </cfRule>
  </conditionalFormatting>
  <conditionalFormatting sqref="C74">
    <cfRule type="cellIs" dxfId="24834" priority="10525" stopIfTrue="1" operator="equal">
      <formula>"Towel"</formula>
    </cfRule>
  </conditionalFormatting>
  <conditionalFormatting sqref="C77">
    <cfRule type="cellIs" dxfId="24833" priority="10487" stopIfTrue="1" operator="equal">
      <formula>"Towel"</formula>
    </cfRule>
    <cfRule type="cellIs" dxfId="24832" priority="10488" stopIfTrue="1" operator="equal">
      <formula>"Napkin Hs"</formula>
    </cfRule>
  </conditionalFormatting>
  <conditionalFormatting sqref="B77:C77">
    <cfRule type="cellIs" dxfId="24831" priority="10485" stopIfTrue="1" operator="equal">
      <formula>"Towel"</formula>
    </cfRule>
    <cfRule type="cellIs" dxfId="24830" priority="10486" stopIfTrue="1" operator="equal">
      <formula>"Napkin Hs"</formula>
    </cfRule>
  </conditionalFormatting>
  <conditionalFormatting sqref="C77">
    <cfRule type="cellIs" dxfId="24829" priority="10483" stopIfTrue="1" operator="equal">
      <formula>"Towel"</formula>
    </cfRule>
    <cfRule type="cellIs" dxfId="24828" priority="10484" stopIfTrue="1" operator="equal">
      <formula>"Napkin Hs"</formula>
    </cfRule>
  </conditionalFormatting>
  <conditionalFormatting sqref="C77">
    <cfRule type="cellIs" dxfId="24827" priority="10475" stopIfTrue="1" operator="equal">
      <formula>"Towel"</formula>
    </cfRule>
    <cfRule type="cellIs" dxfId="24826" priority="10476" stopIfTrue="1" operator="equal">
      <formula>"Napkin Hs"</formula>
    </cfRule>
  </conditionalFormatting>
  <conditionalFormatting sqref="B77:C77">
    <cfRule type="cellIs" dxfId="24825" priority="10521" stopIfTrue="1" operator="equal">
      <formula>"Towel"</formula>
    </cfRule>
    <cfRule type="cellIs" dxfId="24824" priority="10522" stopIfTrue="1" operator="equal">
      <formula>"Napkin Hs"</formula>
    </cfRule>
  </conditionalFormatting>
  <conditionalFormatting sqref="C77">
    <cfRule type="cellIs" dxfId="24823" priority="10517" stopIfTrue="1" operator="equal">
      <formula>"Towel"</formula>
    </cfRule>
    <cfRule type="cellIs" dxfId="24822" priority="10518" stopIfTrue="1" operator="equal">
      <formula>"Napkin Hs"</formula>
    </cfRule>
  </conditionalFormatting>
  <conditionalFormatting sqref="C77">
    <cfRule type="cellIs" dxfId="24821" priority="10519" stopIfTrue="1" operator="equal">
      <formula>"Towel"</formula>
    </cfRule>
    <cfRule type="cellIs" dxfId="24820" priority="10520" stopIfTrue="1" operator="equal">
      <formula>"Napkin Hs"</formula>
    </cfRule>
  </conditionalFormatting>
  <conditionalFormatting sqref="B77:C77">
    <cfRule type="cellIs" dxfId="24819" priority="10516" stopIfTrue="1" operator="equal">
      <formula>"Napkin Hs"</formula>
    </cfRule>
  </conditionalFormatting>
  <conditionalFormatting sqref="B77:C77">
    <cfRule type="cellIs" dxfId="24818" priority="10515" stopIfTrue="1" operator="equal">
      <formula>"Towel"</formula>
    </cfRule>
  </conditionalFormatting>
  <conditionalFormatting sqref="C77">
    <cfRule type="cellIs" dxfId="24817" priority="10514" stopIfTrue="1" operator="equal">
      <formula>"Napkin Hs"</formula>
    </cfRule>
  </conditionalFormatting>
  <conditionalFormatting sqref="C77">
    <cfRule type="cellIs" dxfId="24816" priority="10513" stopIfTrue="1" operator="equal">
      <formula>"Towel"</formula>
    </cfRule>
  </conditionalFormatting>
  <conditionalFormatting sqref="C77">
    <cfRule type="cellIs" dxfId="24815" priority="10511" stopIfTrue="1" operator="equal">
      <formula>"Towel"</formula>
    </cfRule>
    <cfRule type="cellIs" dxfId="24814" priority="10512" stopIfTrue="1" operator="equal">
      <formula>"Napkin Hs"</formula>
    </cfRule>
  </conditionalFormatting>
  <conditionalFormatting sqref="B77:C77">
    <cfRule type="cellIs" dxfId="24813" priority="10509" stopIfTrue="1" operator="equal">
      <formula>"Towel"</formula>
    </cfRule>
    <cfRule type="cellIs" dxfId="24812" priority="10510" stopIfTrue="1" operator="equal">
      <formula>"Napkin Hs"</formula>
    </cfRule>
  </conditionalFormatting>
  <conditionalFormatting sqref="C77">
    <cfRule type="cellIs" dxfId="24811" priority="10507" stopIfTrue="1" operator="equal">
      <formula>"Towel"</formula>
    </cfRule>
    <cfRule type="cellIs" dxfId="24810" priority="10508" stopIfTrue="1" operator="equal">
      <formula>"Napkin Hs"</formula>
    </cfRule>
  </conditionalFormatting>
  <conditionalFormatting sqref="C77">
    <cfRule type="cellIs" dxfId="24809" priority="10505" stopIfTrue="1" operator="equal">
      <formula>"Towel"</formula>
    </cfRule>
    <cfRule type="cellIs" dxfId="24808" priority="10506" stopIfTrue="1" operator="equal">
      <formula>"Napkin Hs"</formula>
    </cfRule>
  </conditionalFormatting>
  <conditionalFormatting sqref="B77:C77">
    <cfRule type="cellIs" dxfId="24807" priority="10503" stopIfTrue="1" operator="equal">
      <formula>"Towel"</formula>
    </cfRule>
    <cfRule type="cellIs" dxfId="24806" priority="10504" stopIfTrue="1" operator="equal">
      <formula>"Napkin Hs"</formula>
    </cfRule>
  </conditionalFormatting>
  <conditionalFormatting sqref="C77">
    <cfRule type="cellIs" dxfId="24805" priority="10501" stopIfTrue="1" operator="equal">
      <formula>"Towel"</formula>
    </cfRule>
    <cfRule type="cellIs" dxfId="24804" priority="10502" stopIfTrue="1" operator="equal">
      <formula>"Napkin Hs"</formula>
    </cfRule>
  </conditionalFormatting>
  <conditionalFormatting sqref="C77">
    <cfRule type="cellIs" dxfId="24803" priority="10499" stopIfTrue="1" operator="equal">
      <formula>"Towel"</formula>
    </cfRule>
    <cfRule type="cellIs" dxfId="24802" priority="10500" stopIfTrue="1" operator="equal">
      <formula>"Napkin Hs"</formula>
    </cfRule>
  </conditionalFormatting>
  <conditionalFormatting sqref="B77:C77">
    <cfRule type="cellIs" dxfId="24801" priority="10497" stopIfTrue="1" operator="equal">
      <formula>"Towel"</formula>
    </cfRule>
    <cfRule type="cellIs" dxfId="24800" priority="10498" stopIfTrue="1" operator="equal">
      <formula>"Napkin Hs"</formula>
    </cfRule>
  </conditionalFormatting>
  <conditionalFormatting sqref="C77">
    <cfRule type="cellIs" dxfId="24799" priority="10495" stopIfTrue="1" operator="equal">
      <formula>"Towel"</formula>
    </cfRule>
    <cfRule type="cellIs" dxfId="24798" priority="10496" stopIfTrue="1" operator="equal">
      <formula>"Napkin Hs"</formula>
    </cfRule>
  </conditionalFormatting>
  <conditionalFormatting sqref="C77">
    <cfRule type="cellIs" dxfId="24797" priority="10493" stopIfTrue="1" operator="equal">
      <formula>"Towel"</formula>
    </cfRule>
    <cfRule type="cellIs" dxfId="24796" priority="10494" stopIfTrue="1" operator="equal">
      <formula>"Napkin Hs"</formula>
    </cfRule>
  </conditionalFormatting>
  <conditionalFormatting sqref="B77:C77">
    <cfRule type="cellIs" dxfId="24795" priority="10491" stopIfTrue="1" operator="equal">
      <formula>"Towel"</formula>
    </cfRule>
    <cfRule type="cellIs" dxfId="24794" priority="10492" stopIfTrue="1" operator="equal">
      <formula>"Napkin Hs"</formula>
    </cfRule>
  </conditionalFormatting>
  <conditionalFormatting sqref="C77">
    <cfRule type="cellIs" dxfId="24793" priority="10489" stopIfTrue="1" operator="equal">
      <formula>"Towel"</formula>
    </cfRule>
    <cfRule type="cellIs" dxfId="24792" priority="10490" stopIfTrue="1" operator="equal">
      <formula>"Napkin Hs"</formula>
    </cfRule>
  </conditionalFormatting>
  <conditionalFormatting sqref="C77">
    <cfRule type="cellIs" dxfId="24791" priority="10481" stopIfTrue="1" operator="equal">
      <formula>"Towel"</formula>
    </cfRule>
    <cfRule type="cellIs" dxfId="24790" priority="10482" stopIfTrue="1" operator="equal">
      <formula>"Napkin Hs"</formula>
    </cfRule>
  </conditionalFormatting>
  <conditionalFormatting sqref="B77:C77">
    <cfRule type="cellIs" dxfId="24789" priority="10480" stopIfTrue="1" operator="equal">
      <formula>"Napkin Hs"</formula>
    </cfRule>
  </conditionalFormatting>
  <conditionalFormatting sqref="B77:C77">
    <cfRule type="cellIs" dxfId="24788" priority="10479" stopIfTrue="1" operator="equal">
      <formula>"Towel"</formula>
    </cfRule>
  </conditionalFormatting>
  <conditionalFormatting sqref="C77">
    <cfRule type="cellIs" dxfId="24787" priority="10478" stopIfTrue="1" operator="equal">
      <formula>"Napkin Hs"</formula>
    </cfRule>
  </conditionalFormatting>
  <conditionalFormatting sqref="C77">
    <cfRule type="cellIs" dxfId="24786" priority="10477" stopIfTrue="1" operator="equal">
      <formula>"Towel"</formula>
    </cfRule>
  </conditionalFormatting>
  <conditionalFormatting sqref="B76:C76">
    <cfRule type="cellIs" dxfId="24785" priority="10473" stopIfTrue="1" operator="equal">
      <formula>"Towel"</formula>
    </cfRule>
    <cfRule type="cellIs" dxfId="24784" priority="10474" stopIfTrue="1" operator="equal">
      <formula>"Napkin Hs"</formula>
    </cfRule>
  </conditionalFormatting>
  <conditionalFormatting sqref="C76">
    <cfRule type="cellIs" dxfId="24783" priority="10469" stopIfTrue="1" operator="equal">
      <formula>"Towel"</formula>
    </cfRule>
    <cfRule type="cellIs" dxfId="24782" priority="10470" stopIfTrue="1" operator="equal">
      <formula>"Napkin Hs"</formula>
    </cfRule>
  </conditionalFormatting>
  <conditionalFormatting sqref="C76">
    <cfRule type="cellIs" dxfId="24781" priority="10471" stopIfTrue="1" operator="equal">
      <formula>"Towel"</formula>
    </cfRule>
    <cfRule type="cellIs" dxfId="24780" priority="10472" stopIfTrue="1" operator="equal">
      <formula>"Napkin Hs"</formula>
    </cfRule>
  </conditionalFormatting>
  <conditionalFormatting sqref="B76:C76">
    <cfRule type="cellIs" dxfId="24779" priority="10468" stopIfTrue="1" operator="equal">
      <formula>"Napkin Hs"</formula>
    </cfRule>
  </conditionalFormatting>
  <conditionalFormatting sqref="B76:C76">
    <cfRule type="cellIs" dxfId="24778" priority="10467" stopIfTrue="1" operator="equal">
      <formula>"Towel"</formula>
    </cfRule>
  </conditionalFormatting>
  <conditionalFormatting sqref="C76">
    <cfRule type="cellIs" dxfId="24777" priority="10466" stopIfTrue="1" operator="equal">
      <formula>"Napkin Hs"</formula>
    </cfRule>
  </conditionalFormatting>
  <conditionalFormatting sqref="C76">
    <cfRule type="cellIs" dxfId="24776" priority="10465" stopIfTrue="1" operator="equal">
      <formula>"Towel"</formula>
    </cfRule>
  </conditionalFormatting>
  <conditionalFormatting sqref="C76">
    <cfRule type="cellIs" dxfId="24775" priority="10463" stopIfTrue="1" operator="equal">
      <formula>"Towel"</formula>
    </cfRule>
    <cfRule type="cellIs" dxfId="24774" priority="10464" stopIfTrue="1" operator="equal">
      <formula>"Napkin Hs"</formula>
    </cfRule>
  </conditionalFormatting>
  <conditionalFormatting sqref="B76:C76">
    <cfRule type="cellIs" dxfId="24773" priority="10461" stopIfTrue="1" operator="equal">
      <formula>"Towel"</formula>
    </cfRule>
    <cfRule type="cellIs" dxfId="24772" priority="10462" stopIfTrue="1" operator="equal">
      <formula>"Napkin Hs"</formula>
    </cfRule>
  </conditionalFormatting>
  <conditionalFormatting sqref="C76">
    <cfRule type="cellIs" dxfId="24771" priority="10459" stopIfTrue="1" operator="equal">
      <formula>"Towel"</formula>
    </cfRule>
    <cfRule type="cellIs" dxfId="24770" priority="10460" stopIfTrue="1" operator="equal">
      <formula>"Napkin Hs"</formula>
    </cfRule>
  </conditionalFormatting>
  <conditionalFormatting sqref="C76">
    <cfRule type="cellIs" dxfId="24769" priority="10457" stopIfTrue="1" operator="equal">
      <formula>"Towel"</formula>
    </cfRule>
    <cfRule type="cellIs" dxfId="24768" priority="10458" stopIfTrue="1" operator="equal">
      <formula>"Napkin Hs"</formula>
    </cfRule>
  </conditionalFormatting>
  <conditionalFormatting sqref="B76:C76">
    <cfRule type="cellIs" dxfId="24767" priority="10455" stopIfTrue="1" operator="equal">
      <formula>"Towel"</formula>
    </cfRule>
    <cfRule type="cellIs" dxfId="24766" priority="10456" stopIfTrue="1" operator="equal">
      <formula>"Napkin Hs"</formula>
    </cfRule>
  </conditionalFormatting>
  <conditionalFormatting sqref="C76">
    <cfRule type="cellIs" dxfId="24765" priority="10453" stopIfTrue="1" operator="equal">
      <formula>"Towel"</formula>
    </cfRule>
    <cfRule type="cellIs" dxfId="24764" priority="10454" stopIfTrue="1" operator="equal">
      <formula>"Napkin Hs"</formula>
    </cfRule>
  </conditionalFormatting>
  <conditionalFormatting sqref="C76">
    <cfRule type="cellIs" dxfId="24763" priority="10451" stopIfTrue="1" operator="equal">
      <formula>"Towel"</formula>
    </cfRule>
    <cfRule type="cellIs" dxfId="24762" priority="10452" stopIfTrue="1" operator="equal">
      <formula>"Napkin Hs"</formula>
    </cfRule>
  </conditionalFormatting>
  <conditionalFormatting sqref="B76:C76">
    <cfRule type="cellIs" dxfId="24761" priority="10449" stopIfTrue="1" operator="equal">
      <formula>"Towel"</formula>
    </cfRule>
    <cfRule type="cellIs" dxfId="24760" priority="10450" stopIfTrue="1" operator="equal">
      <formula>"Napkin Hs"</formula>
    </cfRule>
  </conditionalFormatting>
  <conditionalFormatting sqref="C76">
    <cfRule type="cellIs" dxfId="24759" priority="10447" stopIfTrue="1" operator="equal">
      <formula>"Towel"</formula>
    </cfRule>
    <cfRule type="cellIs" dxfId="24758" priority="10448" stopIfTrue="1" operator="equal">
      <formula>"Napkin Hs"</formula>
    </cfRule>
  </conditionalFormatting>
  <conditionalFormatting sqref="C76">
    <cfRule type="cellIs" dxfId="24757" priority="10445" stopIfTrue="1" operator="equal">
      <formula>"Towel"</formula>
    </cfRule>
    <cfRule type="cellIs" dxfId="24756" priority="10446" stopIfTrue="1" operator="equal">
      <formula>"Napkin Hs"</formula>
    </cfRule>
  </conditionalFormatting>
  <conditionalFormatting sqref="B76:C76">
    <cfRule type="cellIs" dxfId="24755" priority="10443" stopIfTrue="1" operator="equal">
      <formula>"Towel"</formula>
    </cfRule>
    <cfRule type="cellIs" dxfId="24754" priority="10444" stopIfTrue="1" operator="equal">
      <formula>"Napkin Hs"</formula>
    </cfRule>
  </conditionalFormatting>
  <conditionalFormatting sqref="C76">
    <cfRule type="cellIs" dxfId="24753" priority="10441" stopIfTrue="1" operator="equal">
      <formula>"Towel"</formula>
    </cfRule>
    <cfRule type="cellIs" dxfId="24752" priority="10442" stopIfTrue="1" operator="equal">
      <formula>"Napkin Hs"</formula>
    </cfRule>
  </conditionalFormatting>
  <conditionalFormatting sqref="C76">
    <cfRule type="cellIs" dxfId="24751" priority="10439" stopIfTrue="1" operator="equal">
      <formula>"Towel"</formula>
    </cfRule>
    <cfRule type="cellIs" dxfId="24750" priority="10440" stopIfTrue="1" operator="equal">
      <formula>"Napkin Hs"</formula>
    </cfRule>
  </conditionalFormatting>
  <conditionalFormatting sqref="B76:C76">
    <cfRule type="cellIs" dxfId="24749" priority="10437" stopIfTrue="1" operator="equal">
      <formula>"Towel"</formula>
    </cfRule>
    <cfRule type="cellIs" dxfId="24748" priority="10438" stopIfTrue="1" operator="equal">
      <formula>"Napkin Hs"</formula>
    </cfRule>
  </conditionalFormatting>
  <conditionalFormatting sqref="C76">
    <cfRule type="cellIs" dxfId="24747" priority="10435" stopIfTrue="1" operator="equal">
      <formula>"Towel"</formula>
    </cfRule>
    <cfRule type="cellIs" dxfId="24746" priority="10436" stopIfTrue="1" operator="equal">
      <formula>"Napkin Hs"</formula>
    </cfRule>
  </conditionalFormatting>
  <conditionalFormatting sqref="C76">
    <cfRule type="cellIs" dxfId="24745" priority="10433" stopIfTrue="1" operator="equal">
      <formula>"Towel"</formula>
    </cfRule>
    <cfRule type="cellIs" dxfId="24744" priority="10434" stopIfTrue="1" operator="equal">
      <formula>"Napkin Hs"</formula>
    </cfRule>
  </conditionalFormatting>
  <conditionalFormatting sqref="B76:C76">
    <cfRule type="cellIs" dxfId="24743" priority="10432" stopIfTrue="1" operator="equal">
      <formula>"Napkin Hs"</formula>
    </cfRule>
  </conditionalFormatting>
  <conditionalFormatting sqref="B76:C76">
    <cfRule type="cellIs" dxfId="24742" priority="10431" stopIfTrue="1" operator="equal">
      <formula>"Towel"</formula>
    </cfRule>
  </conditionalFormatting>
  <conditionalFormatting sqref="C76">
    <cfRule type="cellIs" dxfId="24741" priority="10430" stopIfTrue="1" operator="equal">
      <formula>"Napkin Hs"</formula>
    </cfRule>
  </conditionalFormatting>
  <conditionalFormatting sqref="C76">
    <cfRule type="cellIs" dxfId="24740" priority="10427" stopIfTrue="1" operator="equal">
      <formula>"Towel"</formula>
    </cfRule>
    <cfRule type="cellIs" dxfId="24739" priority="10428" stopIfTrue="1" operator="equal">
      <formula>"Napkin Hs"</formula>
    </cfRule>
  </conditionalFormatting>
  <conditionalFormatting sqref="C76">
    <cfRule type="cellIs" dxfId="24738" priority="10429" stopIfTrue="1" operator="equal">
      <formula>"Towel"</formula>
    </cfRule>
  </conditionalFormatting>
  <conditionalFormatting sqref="B75:C75">
    <cfRule type="cellIs" dxfId="24737" priority="10426" stopIfTrue="1" operator="equal">
      <formula>"Napkin Hs"</formula>
    </cfRule>
  </conditionalFormatting>
  <conditionalFormatting sqref="B75:C75">
    <cfRule type="cellIs" dxfId="24736" priority="10425" stopIfTrue="1" operator="equal">
      <formula>"Towel"</formula>
    </cfRule>
  </conditionalFormatting>
  <conditionalFormatting sqref="B74:C74">
    <cfRule type="cellIs" dxfId="24735" priority="10421" stopIfTrue="1" operator="equal">
      <formula>"Towel"</formula>
    </cfRule>
    <cfRule type="cellIs" dxfId="24734" priority="10422" stopIfTrue="1" operator="equal">
      <formula>"Napkin Hs"</formula>
    </cfRule>
  </conditionalFormatting>
  <conditionalFormatting sqref="C75">
    <cfRule type="cellIs" dxfId="24733" priority="10424" stopIfTrue="1" operator="equal">
      <formula>"Napkin Hs"</formula>
    </cfRule>
  </conditionalFormatting>
  <conditionalFormatting sqref="C75">
    <cfRule type="cellIs" dxfId="24732" priority="10423" stopIfTrue="1" operator="equal">
      <formula>"Towel"</formula>
    </cfRule>
  </conditionalFormatting>
  <conditionalFormatting sqref="C74">
    <cfRule type="cellIs" dxfId="24731" priority="10417" stopIfTrue="1" operator="equal">
      <formula>"Towel"</formula>
    </cfRule>
    <cfRule type="cellIs" dxfId="24730" priority="10418" stopIfTrue="1" operator="equal">
      <formula>"Napkin Hs"</formula>
    </cfRule>
  </conditionalFormatting>
  <conditionalFormatting sqref="C74:C76">
    <cfRule type="cellIs" dxfId="24729" priority="10419" stopIfTrue="1" operator="equal">
      <formula>"Towel"</formula>
    </cfRule>
    <cfRule type="cellIs" dxfId="24728" priority="10420" stopIfTrue="1" operator="equal">
      <formula>"Napkin Hs"</formula>
    </cfRule>
  </conditionalFormatting>
  <conditionalFormatting sqref="C77">
    <cfRule type="cellIs" dxfId="24727" priority="10381" stopIfTrue="1" operator="equal">
      <formula>"Towel"</formula>
    </cfRule>
    <cfRule type="cellIs" dxfId="24726" priority="10382" stopIfTrue="1" operator="equal">
      <formula>"Napkin Hs"</formula>
    </cfRule>
  </conditionalFormatting>
  <conditionalFormatting sqref="B77:C77">
    <cfRule type="cellIs" dxfId="24725" priority="10379" stopIfTrue="1" operator="equal">
      <formula>"Towel"</formula>
    </cfRule>
    <cfRule type="cellIs" dxfId="24724" priority="10380" stopIfTrue="1" operator="equal">
      <formula>"Napkin Hs"</formula>
    </cfRule>
  </conditionalFormatting>
  <conditionalFormatting sqref="C77">
    <cfRule type="cellIs" dxfId="24723" priority="10377" stopIfTrue="1" operator="equal">
      <formula>"Towel"</formula>
    </cfRule>
    <cfRule type="cellIs" dxfId="24722" priority="10378" stopIfTrue="1" operator="equal">
      <formula>"Napkin Hs"</formula>
    </cfRule>
  </conditionalFormatting>
  <conditionalFormatting sqref="C77">
    <cfRule type="cellIs" dxfId="24721" priority="10369" stopIfTrue="1" operator="equal">
      <formula>"Towel"</formula>
    </cfRule>
    <cfRule type="cellIs" dxfId="24720" priority="10370" stopIfTrue="1" operator="equal">
      <formula>"Napkin Hs"</formula>
    </cfRule>
  </conditionalFormatting>
  <conditionalFormatting sqref="B77:C77">
    <cfRule type="cellIs" dxfId="24719" priority="10415" stopIfTrue="1" operator="equal">
      <formula>"Towel"</formula>
    </cfRule>
    <cfRule type="cellIs" dxfId="24718" priority="10416" stopIfTrue="1" operator="equal">
      <formula>"Napkin Hs"</formula>
    </cfRule>
  </conditionalFormatting>
  <conditionalFormatting sqref="C77">
    <cfRule type="cellIs" dxfId="24717" priority="10411" stopIfTrue="1" operator="equal">
      <formula>"Towel"</formula>
    </cfRule>
    <cfRule type="cellIs" dxfId="24716" priority="10412" stopIfTrue="1" operator="equal">
      <formula>"Napkin Hs"</formula>
    </cfRule>
  </conditionalFormatting>
  <conditionalFormatting sqref="C77">
    <cfRule type="cellIs" dxfId="24715" priority="10413" stopIfTrue="1" operator="equal">
      <formula>"Towel"</formula>
    </cfRule>
    <cfRule type="cellIs" dxfId="24714" priority="10414" stopIfTrue="1" operator="equal">
      <formula>"Napkin Hs"</formula>
    </cfRule>
  </conditionalFormatting>
  <conditionalFormatting sqref="B77:C77">
    <cfRule type="cellIs" dxfId="24713" priority="10410" stopIfTrue="1" operator="equal">
      <formula>"Napkin Hs"</formula>
    </cfRule>
  </conditionalFormatting>
  <conditionalFormatting sqref="B77:C77">
    <cfRule type="cellIs" dxfId="24712" priority="10409" stopIfTrue="1" operator="equal">
      <formula>"Towel"</formula>
    </cfRule>
  </conditionalFormatting>
  <conditionalFormatting sqref="C77">
    <cfRule type="cellIs" dxfId="24711" priority="10408" stopIfTrue="1" operator="equal">
      <formula>"Napkin Hs"</formula>
    </cfRule>
  </conditionalFormatting>
  <conditionalFormatting sqref="C77">
    <cfRule type="cellIs" dxfId="24710" priority="10407" stopIfTrue="1" operator="equal">
      <formula>"Towel"</formula>
    </cfRule>
  </conditionalFormatting>
  <conditionalFormatting sqref="C77">
    <cfRule type="cellIs" dxfId="24709" priority="10405" stopIfTrue="1" operator="equal">
      <formula>"Towel"</formula>
    </cfRule>
    <cfRule type="cellIs" dxfId="24708" priority="10406" stopIfTrue="1" operator="equal">
      <formula>"Napkin Hs"</formula>
    </cfRule>
  </conditionalFormatting>
  <conditionalFormatting sqref="B77:C77">
    <cfRule type="cellIs" dxfId="24707" priority="10403" stopIfTrue="1" operator="equal">
      <formula>"Towel"</formula>
    </cfRule>
    <cfRule type="cellIs" dxfId="24706" priority="10404" stopIfTrue="1" operator="equal">
      <formula>"Napkin Hs"</formula>
    </cfRule>
  </conditionalFormatting>
  <conditionalFormatting sqref="C77">
    <cfRule type="cellIs" dxfId="24705" priority="10401" stopIfTrue="1" operator="equal">
      <formula>"Towel"</formula>
    </cfRule>
    <cfRule type="cellIs" dxfId="24704" priority="10402" stopIfTrue="1" operator="equal">
      <formula>"Napkin Hs"</formula>
    </cfRule>
  </conditionalFormatting>
  <conditionalFormatting sqref="C77">
    <cfRule type="cellIs" dxfId="24703" priority="10399" stopIfTrue="1" operator="equal">
      <formula>"Towel"</formula>
    </cfRule>
    <cfRule type="cellIs" dxfId="24702" priority="10400" stopIfTrue="1" operator="equal">
      <formula>"Napkin Hs"</formula>
    </cfRule>
  </conditionalFormatting>
  <conditionalFormatting sqref="B77:C77">
    <cfRule type="cellIs" dxfId="24701" priority="10397" stopIfTrue="1" operator="equal">
      <formula>"Towel"</formula>
    </cfRule>
    <cfRule type="cellIs" dxfId="24700" priority="10398" stopIfTrue="1" operator="equal">
      <formula>"Napkin Hs"</formula>
    </cfRule>
  </conditionalFormatting>
  <conditionalFormatting sqref="C77">
    <cfRule type="cellIs" dxfId="24699" priority="10395" stopIfTrue="1" operator="equal">
      <formula>"Towel"</formula>
    </cfRule>
    <cfRule type="cellIs" dxfId="24698" priority="10396" stopIfTrue="1" operator="equal">
      <formula>"Napkin Hs"</formula>
    </cfRule>
  </conditionalFormatting>
  <conditionalFormatting sqref="C77">
    <cfRule type="cellIs" dxfId="24697" priority="10393" stopIfTrue="1" operator="equal">
      <formula>"Towel"</formula>
    </cfRule>
    <cfRule type="cellIs" dxfId="24696" priority="10394" stopIfTrue="1" operator="equal">
      <formula>"Napkin Hs"</formula>
    </cfRule>
  </conditionalFormatting>
  <conditionalFormatting sqref="B77:C77">
    <cfRule type="cellIs" dxfId="24695" priority="10391" stopIfTrue="1" operator="equal">
      <formula>"Towel"</formula>
    </cfRule>
    <cfRule type="cellIs" dxfId="24694" priority="10392" stopIfTrue="1" operator="equal">
      <formula>"Napkin Hs"</formula>
    </cfRule>
  </conditionalFormatting>
  <conditionalFormatting sqref="C77">
    <cfRule type="cellIs" dxfId="24693" priority="10389" stopIfTrue="1" operator="equal">
      <formula>"Towel"</formula>
    </cfRule>
    <cfRule type="cellIs" dxfId="24692" priority="10390" stopIfTrue="1" operator="equal">
      <formula>"Napkin Hs"</formula>
    </cfRule>
  </conditionalFormatting>
  <conditionalFormatting sqref="C77">
    <cfRule type="cellIs" dxfId="24691" priority="10387" stopIfTrue="1" operator="equal">
      <formula>"Towel"</formula>
    </cfRule>
    <cfRule type="cellIs" dxfId="24690" priority="10388" stopIfTrue="1" operator="equal">
      <formula>"Napkin Hs"</formula>
    </cfRule>
  </conditionalFormatting>
  <conditionalFormatting sqref="B77:C77">
    <cfRule type="cellIs" dxfId="24689" priority="10385" stopIfTrue="1" operator="equal">
      <formula>"Towel"</formula>
    </cfRule>
    <cfRule type="cellIs" dxfId="24688" priority="10386" stopIfTrue="1" operator="equal">
      <formula>"Napkin Hs"</formula>
    </cfRule>
  </conditionalFormatting>
  <conditionalFormatting sqref="C77">
    <cfRule type="cellIs" dxfId="24687" priority="10383" stopIfTrue="1" operator="equal">
      <formula>"Towel"</formula>
    </cfRule>
    <cfRule type="cellIs" dxfId="24686" priority="10384" stopIfTrue="1" operator="equal">
      <formula>"Napkin Hs"</formula>
    </cfRule>
  </conditionalFormatting>
  <conditionalFormatting sqref="C77">
    <cfRule type="cellIs" dxfId="24685" priority="10375" stopIfTrue="1" operator="equal">
      <formula>"Towel"</formula>
    </cfRule>
    <cfRule type="cellIs" dxfId="24684" priority="10376" stopIfTrue="1" operator="equal">
      <formula>"Napkin Hs"</formula>
    </cfRule>
  </conditionalFormatting>
  <conditionalFormatting sqref="B77:C77">
    <cfRule type="cellIs" dxfId="24683" priority="10374" stopIfTrue="1" operator="equal">
      <formula>"Napkin Hs"</formula>
    </cfRule>
  </conditionalFormatting>
  <conditionalFormatting sqref="B77:C77">
    <cfRule type="cellIs" dxfId="24682" priority="10373" stopIfTrue="1" operator="equal">
      <formula>"Towel"</formula>
    </cfRule>
  </conditionalFormatting>
  <conditionalFormatting sqref="C77">
    <cfRule type="cellIs" dxfId="24681" priority="10372" stopIfTrue="1" operator="equal">
      <formula>"Napkin Hs"</formula>
    </cfRule>
  </conditionalFormatting>
  <conditionalFormatting sqref="C77">
    <cfRule type="cellIs" dxfId="24680" priority="10371" stopIfTrue="1" operator="equal">
      <formula>"Towel"</formula>
    </cfRule>
  </conditionalFormatting>
  <conditionalFormatting sqref="B76:C76">
    <cfRule type="cellIs" dxfId="24679" priority="10367" stopIfTrue="1" operator="equal">
      <formula>"Towel"</formula>
    </cfRule>
    <cfRule type="cellIs" dxfId="24678" priority="10368" stopIfTrue="1" operator="equal">
      <formula>"Napkin Hs"</formula>
    </cfRule>
  </conditionalFormatting>
  <conditionalFormatting sqref="C76">
    <cfRule type="cellIs" dxfId="24677" priority="10363" stopIfTrue="1" operator="equal">
      <formula>"Towel"</formula>
    </cfRule>
    <cfRule type="cellIs" dxfId="24676" priority="10364" stopIfTrue="1" operator="equal">
      <formula>"Napkin Hs"</formula>
    </cfRule>
  </conditionalFormatting>
  <conditionalFormatting sqref="C76">
    <cfRule type="cellIs" dxfId="24675" priority="10365" stopIfTrue="1" operator="equal">
      <formula>"Towel"</formula>
    </cfRule>
    <cfRule type="cellIs" dxfId="24674" priority="10366" stopIfTrue="1" operator="equal">
      <formula>"Napkin Hs"</formula>
    </cfRule>
  </conditionalFormatting>
  <conditionalFormatting sqref="B76:C76">
    <cfRule type="cellIs" dxfId="24673" priority="10362" stopIfTrue="1" operator="equal">
      <formula>"Napkin Hs"</formula>
    </cfRule>
  </conditionalFormatting>
  <conditionalFormatting sqref="B76:C76">
    <cfRule type="cellIs" dxfId="24672" priority="10361" stopIfTrue="1" operator="equal">
      <formula>"Towel"</formula>
    </cfRule>
  </conditionalFormatting>
  <conditionalFormatting sqref="C76">
    <cfRule type="cellIs" dxfId="24671" priority="10360" stopIfTrue="1" operator="equal">
      <formula>"Napkin Hs"</formula>
    </cfRule>
  </conditionalFormatting>
  <conditionalFormatting sqref="C76">
    <cfRule type="cellIs" dxfId="24670" priority="10359" stopIfTrue="1" operator="equal">
      <formula>"Towel"</formula>
    </cfRule>
  </conditionalFormatting>
  <conditionalFormatting sqref="C76">
    <cfRule type="cellIs" dxfId="24669" priority="10357" stopIfTrue="1" operator="equal">
      <formula>"Towel"</formula>
    </cfRule>
    <cfRule type="cellIs" dxfId="24668" priority="10358" stopIfTrue="1" operator="equal">
      <formula>"Napkin Hs"</formula>
    </cfRule>
  </conditionalFormatting>
  <conditionalFormatting sqref="B76:C76">
    <cfRule type="cellIs" dxfId="24667" priority="10355" stopIfTrue="1" operator="equal">
      <formula>"Towel"</formula>
    </cfRule>
    <cfRule type="cellIs" dxfId="24666" priority="10356" stopIfTrue="1" operator="equal">
      <formula>"Napkin Hs"</formula>
    </cfRule>
  </conditionalFormatting>
  <conditionalFormatting sqref="C76">
    <cfRule type="cellIs" dxfId="24665" priority="10353" stopIfTrue="1" operator="equal">
      <formula>"Towel"</formula>
    </cfRule>
    <cfRule type="cellIs" dxfId="24664" priority="10354" stopIfTrue="1" operator="equal">
      <formula>"Napkin Hs"</formula>
    </cfRule>
  </conditionalFormatting>
  <conditionalFormatting sqref="C76">
    <cfRule type="cellIs" dxfId="24663" priority="10351" stopIfTrue="1" operator="equal">
      <formula>"Towel"</formula>
    </cfRule>
    <cfRule type="cellIs" dxfId="24662" priority="10352" stopIfTrue="1" operator="equal">
      <formula>"Napkin Hs"</formula>
    </cfRule>
  </conditionalFormatting>
  <conditionalFormatting sqref="B76:C76">
    <cfRule type="cellIs" dxfId="24661" priority="10349" stopIfTrue="1" operator="equal">
      <formula>"Towel"</formula>
    </cfRule>
    <cfRule type="cellIs" dxfId="24660" priority="10350" stopIfTrue="1" operator="equal">
      <formula>"Napkin Hs"</formula>
    </cfRule>
  </conditionalFormatting>
  <conditionalFormatting sqref="C76">
    <cfRule type="cellIs" dxfId="24659" priority="10347" stopIfTrue="1" operator="equal">
      <formula>"Towel"</formula>
    </cfRule>
    <cfRule type="cellIs" dxfId="24658" priority="10348" stopIfTrue="1" operator="equal">
      <formula>"Napkin Hs"</formula>
    </cfRule>
  </conditionalFormatting>
  <conditionalFormatting sqref="C76">
    <cfRule type="cellIs" dxfId="24657" priority="10345" stopIfTrue="1" operator="equal">
      <formula>"Towel"</formula>
    </cfRule>
    <cfRule type="cellIs" dxfId="24656" priority="10346" stopIfTrue="1" operator="equal">
      <formula>"Napkin Hs"</formula>
    </cfRule>
  </conditionalFormatting>
  <conditionalFormatting sqref="B76:C76">
    <cfRule type="cellIs" dxfId="24655" priority="10343" stopIfTrue="1" operator="equal">
      <formula>"Towel"</formula>
    </cfRule>
    <cfRule type="cellIs" dxfId="24654" priority="10344" stopIfTrue="1" operator="equal">
      <formula>"Napkin Hs"</formula>
    </cfRule>
  </conditionalFormatting>
  <conditionalFormatting sqref="C76">
    <cfRule type="cellIs" dxfId="24653" priority="10341" stopIfTrue="1" operator="equal">
      <formula>"Towel"</formula>
    </cfRule>
    <cfRule type="cellIs" dxfId="24652" priority="10342" stopIfTrue="1" operator="equal">
      <formula>"Napkin Hs"</formula>
    </cfRule>
  </conditionalFormatting>
  <conditionalFormatting sqref="C76">
    <cfRule type="cellIs" dxfId="24651" priority="10339" stopIfTrue="1" operator="equal">
      <formula>"Towel"</formula>
    </cfRule>
    <cfRule type="cellIs" dxfId="24650" priority="10340" stopIfTrue="1" operator="equal">
      <formula>"Napkin Hs"</formula>
    </cfRule>
  </conditionalFormatting>
  <conditionalFormatting sqref="B76:C76">
    <cfRule type="cellIs" dxfId="24649" priority="10337" stopIfTrue="1" operator="equal">
      <formula>"Towel"</formula>
    </cfRule>
    <cfRule type="cellIs" dxfId="24648" priority="10338" stopIfTrue="1" operator="equal">
      <formula>"Napkin Hs"</formula>
    </cfRule>
  </conditionalFormatting>
  <conditionalFormatting sqref="C76">
    <cfRule type="cellIs" dxfId="24647" priority="10335" stopIfTrue="1" operator="equal">
      <formula>"Towel"</formula>
    </cfRule>
    <cfRule type="cellIs" dxfId="24646" priority="10336" stopIfTrue="1" operator="equal">
      <formula>"Napkin Hs"</formula>
    </cfRule>
  </conditionalFormatting>
  <conditionalFormatting sqref="C76">
    <cfRule type="cellIs" dxfId="24645" priority="10333" stopIfTrue="1" operator="equal">
      <formula>"Towel"</formula>
    </cfRule>
    <cfRule type="cellIs" dxfId="24644" priority="10334" stopIfTrue="1" operator="equal">
      <formula>"Napkin Hs"</formula>
    </cfRule>
  </conditionalFormatting>
  <conditionalFormatting sqref="B76:C76">
    <cfRule type="cellIs" dxfId="24643" priority="10331" stopIfTrue="1" operator="equal">
      <formula>"Towel"</formula>
    </cfRule>
    <cfRule type="cellIs" dxfId="24642" priority="10332" stopIfTrue="1" operator="equal">
      <formula>"Napkin Hs"</formula>
    </cfRule>
  </conditionalFormatting>
  <conditionalFormatting sqref="C76">
    <cfRule type="cellIs" dxfId="24641" priority="10329" stopIfTrue="1" operator="equal">
      <formula>"Towel"</formula>
    </cfRule>
    <cfRule type="cellIs" dxfId="24640" priority="10330" stopIfTrue="1" operator="equal">
      <formula>"Napkin Hs"</formula>
    </cfRule>
  </conditionalFormatting>
  <conditionalFormatting sqref="C76">
    <cfRule type="cellIs" dxfId="24639" priority="10327" stopIfTrue="1" operator="equal">
      <formula>"Towel"</formula>
    </cfRule>
    <cfRule type="cellIs" dxfId="24638" priority="10328" stopIfTrue="1" operator="equal">
      <formula>"Napkin Hs"</formula>
    </cfRule>
  </conditionalFormatting>
  <conditionalFormatting sqref="B76:C76">
    <cfRule type="cellIs" dxfId="24637" priority="10326" stopIfTrue="1" operator="equal">
      <formula>"Napkin Hs"</formula>
    </cfRule>
  </conditionalFormatting>
  <conditionalFormatting sqref="B76:C76">
    <cfRule type="cellIs" dxfId="24636" priority="10325" stopIfTrue="1" operator="equal">
      <formula>"Towel"</formula>
    </cfRule>
  </conditionalFormatting>
  <conditionalFormatting sqref="C76">
    <cfRule type="cellIs" dxfId="24635" priority="10324" stopIfTrue="1" operator="equal">
      <formula>"Napkin Hs"</formula>
    </cfRule>
  </conditionalFormatting>
  <conditionalFormatting sqref="C76">
    <cfRule type="cellIs" dxfId="24634" priority="10321" stopIfTrue="1" operator="equal">
      <formula>"Towel"</formula>
    </cfRule>
    <cfRule type="cellIs" dxfId="24633" priority="10322" stopIfTrue="1" operator="equal">
      <formula>"Napkin Hs"</formula>
    </cfRule>
  </conditionalFormatting>
  <conditionalFormatting sqref="C76">
    <cfRule type="cellIs" dxfId="24632" priority="10323" stopIfTrue="1" operator="equal">
      <formula>"Towel"</formula>
    </cfRule>
  </conditionalFormatting>
  <conditionalFormatting sqref="B77:C77">
    <cfRule type="cellIs" dxfId="24631" priority="10319" stopIfTrue="1" operator="equal">
      <formula>"Towel"</formula>
    </cfRule>
    <cfRule type="cellIs" dxfId="24630" priority="10320" stopIfTrue="1" operator="equal">
      <formula>"Napkin Hs"</formula>
    </cfRule>
  </conditionalFormatting>
  <conditionalFormatting sqref="C77">
    <cfRule type="cellIs" dxfId="24629" priority="10315" stopIfTrue="1" operator="equal">
      <formula>"Towel"</formula>
    </cfRule>
    <cfRule type="cellIs" dxfId="24628" priority="10316" stopIfTrue="1" operator="equal">
      <formula>"Napkin Hs"</formula>
    </cfRule>
  </conditionalFormatting>
  <conditionalFormatting sqref="C77">
    <cfRule type="cellIs" dxfId="24627" priority="10317" stopIfTrue="1" operator="equal">
      <formula>"Towel"</formula>
    </cfRule>
    <cfRule type="cellIs" dxfId="24626" priority="10318" stopIfTrue="1" operator="equal">
      <formula>"Napkin Hs"</formula>
    </cfRule>
  </conditionalFormatting>
  <conditionalFormatting sqref="B76:C76">
    <cfRule type="cellIs" dxfId="24625" priority="10313" stopIfTrue="1" operator="equal">
      <formula>"Towel"</formula>
    </cfRule>
    <cfRule type="cellIs" dxfId="24624" priority="10314" stopIfTrue="1" operator="equal">
      <formula>"Napkin Hs"</formula>
    </cfRule>
  </conditionalFormatting>
  <conditionalFormatting sqref="C76">
    <cfRule type="cellIs" dxfId="24623" priority="10309" stopIfTrue="1" operator="equal">
      <formula>"Towel"</formula>
    </cfRule>
    <cfRule type="cellIs" dxfId="24622" priority="10310" stopIfTrue="1" operator="equal">
      <formula>"Napkin Hs"</formula>
    </cfRule>
  </conditionalFormatting>
  <conditionalFormatting sqref="C76">
    <cfRule type="cellIs" dxfId="24621" priority="10311" stopIfTrue="1" operator="equal">
      <formula>"Towel"</formula>
    </cfRule>
    <cfRule type="cellIs" dxfId="24620" priority="10312" stopIfTrue="1" operator="equal">
      <formula>"Napkin Hs"</formula>
    </cfRule>
  </conditionalFormatting>
  <conditionalFormatting sqref="B76:C76">
    <cfRule type="cellIs" dxfId="24619" priority="10307" stopIfTrue="1" operator="equal">
      <formula>"Towel"</formula>
    </cfRule>
    <cfRule type="cellIs" dxfId="24618" priority="10308" stopIfTrue="1" operator="equal">
      <formula>"Napkin Hs"</formula>
    </cfRule>
  </conditionalFormatting>
  <conditionalFormatting sqref="C76">
    <cfRule type="cellIs" dxfId="24617" priority="10303" stopIfTrue="1" operator="equal">
      <formula>"Towel"</formula>
    </cfRule>
    <cfRule type="cellIs" dxfId="24616" priority="10304" stopIfTrue="1" operator="equal">
      <formula>"Napkin Hs"</formula>
    </cfRule>
  </conditionalFormatting>
  <conditionalFormatting sqref="C76">
    <cfRule type="cellIs" dxfId="24615" priority="10305" stopIfTrue="1" operator="equal">
      <formula>"Towel"</formula>
    </cfRule>
    <cfRule type="cellIs" dxfId="24614" priority="10306" stopIfTrue="1" operator="equal">
      <formula>"Napkin Hs"</formula>
    </cfRule>
  </conditionalFormatting>
  <conditionalFormatting sqref="B76:C76">
    <cfRule type="cellIs" dxfId="24613" priority="10301" stopIfTrue="1" operator="equal">
      <formula>"Towel"</formula>
    </cfRule>
    <cfRule type="cellIs" dxfId="24612" priority="10302" stopIfTrue="1" operator="equal">
      <formula>"Napkin Hs"</formula>
    </cfRule>
  </conditionalFormatting>
  <conditionalFormatting sqref="C76">
    <cfRule type="cellIs" dxfId="24611" priority="10299" stopIfTrue="1" operator="equal">
      <formula>"Towel"</formula>
    </cfRule>
    <cfRule type="cellIs" dxfId="24610" priority="10300" stopIfTrue="1" operator="equal">
      <formula>"Napkin Hs"</formula>
    </cfRule>
  </conditionalFormatting>
  <conditionalFormatting sqref="C76">
    <cfRule type="cellIs" dxfId="24609" priority="10297" stopIfTrue="1" operator="equal">
      <formula>"Towel"</formula>
    </cfRule>
    <cfRule type="cellIs" dxfId="24608" priority="10298" stopIfTrue="1" operator="equal">
      <formula>"Napkin Hs"</formula>
    </cfRule>
  </conditionalFormatting>
  <conditionalFormatting sqref="B76:C76">
    <cfRule type="cellIs" dxfId="24607" priority="10296" stopIfTrue="1" operator="equal">
      <formula>"Napkin Hs"</formula>
    </cfRule>
  </conditionalFormatting>
  <conditionalFormatting sqref="B76:C76">
    <cfRule type="cellIs" dxfId="24606" priority="10295" stopIfTrue="1" operator="equal">
      <formula>"Towel"</formula>
    </cfRule>
  </conditionalFormatting>
  <conditionalFormatting sqref="C76">
    <cfRule type="cellIs" dxfId="24605" priority="10294" stopIfTrue="1" operator="equal">
      <formula>"Napkin Hs"</formula>
    </cfRule>
  </conditionalFormatting>
  <conditionalFormatting sqref="C76">
    <cfRule type="cellIs" dxfId="24604" priority="10293" stopIfTrue="1" operator="equal">
      <formula>"Towel"</formula>
    </cfRule>
  </conditionalFormatting>
  <conditionalFormatting sqref="C76">
    <cfRule type="cellIs" dxfId="24603" priority="10291" stopIfTrue="1" operator="equal">
      <formula>"Towel"</formula>
    </cfRule>
    <cfRule type="cellIs" dxfId="24602" priority="10292" stopIfTrue="1" operator="equal">
      <formula>"Napkin Hs"</formula>
    </cfRule>
  </conditionalFormatting>
  <conditionalFormatting sqref="C76">
    <cfRule type="cellIs" dxfId="24601" priority="10289" stopIfTrue="1" operator="equal">
      <formula>"Towel"</formula>
    </cfRule>
    <cfRule type="cellIs" dxfId="24600" priority="10290" stopIfTrue="1" operator="equal">
      <formula>"Napkin Hs"</formula>
    </cfRule>
  </conditionalFormatting>
  <conditionalFormatting sqref="C76">
    <cfRule type="cellIs" dxfId="24599" priority="10205" stopIfTrue="1" operator="equal">
      <formula>"Towel"</formula>
    </cfRule>
    <cfRule type="cellIs" dxfId="24598" priority="10206" stopIfTrue="1" operator="equal">
      <formula>"Napkin Hs"</formula>
    </cfRule>
  </conditionalFormatting>
  <conditionalFormatting sqref="C76">
    <cfRule type="cellIs" dxfId="24597" priority="10199" stopIfTrue="1" operator="equal">
      <formula>"Towel"</formula>
    </cfRule>
    <cfRule type="cellIs" dxfId="24596" priority="10200" stopIfTrue="1" operator="equal">
      <formula>"Napkin Hs"</formula>
    </cfRule>
  </conditionalFormatting>
  <conditionalFormatting sqref="C76">
    <cfRule type="cellIs" dxfId="24595" priority="10180" stopIfTrue="1" operator="equal">
      <formula>"Napkin Hs"</formula>
    </cfRule>
  </conditionalFormatting>
  <conditionalFormatting sqref="C76">
    <cfRule type="cellIs" dxfId="24594" priority="10179" stopIfTrue="1" operator="equal">
      <formula>"Towel"</formula>
    </cfRule>
  </conditionalFormatting>
  <conditionalFormatting sqref="C76">
    <cfRule type="cellIs" dxfId="24593" priority="10178" stopIfTrue="1" operator="equal">
      <formula>"Napkin Hs"</formula>
    </cfRule>
  </conditionalFormatting>
  <conditionalFormatting sqref="C76">
    <cfRule type="cellIs" dxfId="24592" priority="10175" stopIfTrue="1" operator="equal">
      <formula>"Towel"</formula>
    </cfRule>
    <cfRule type="cellIs" dxfId="24591" priority="10176" stopIfTrue="1" operator="equal">
      <formula>"Napkin Hs"</formula>
    </cfRule>
  </conditionalFormatting>
  <conditionalFormatting sqref="C76">
    <cfRule type="cellIs" dxfId="24590" priority="10177" stopIfTrue="1" operator="equal">
      <formula>"Towel"</formula>
    </cfRule>
  </conditionalFormatting>
  <conditionalFormatting sqref="C76">
    <cfRule type="cellIs" dxfId="24589" priority="10174" stopIfTrue="1" operator="equal">
      <formula>"Napkin Hs"</formula>
    </cfRule>
  </conditionalFormatting>
  <conditionalFormatting sqref="C76">
    <cfRule type="cellIs" dxfId="24588" priority="10173" stopIfTrue="1" operator="equal">
      <formula>"Towel"</formula>
    </cfRule>
  </conditionalFormatting>
  <conditionalFormatting sqref="C76">
    <cfRule type="cellIs" dxfId="24587" priority="10172" stopIfTrue="1" operator="equal">
      <formula>"Napkin Hs"</formula>
    </cfRule>
  </conditionalFormatting>
  <conditionalFormatting sqref="C76">
    <cfRule type="cellIs" dxfId="24586" priority="10169" stopIfTrue="1" operator="equal">
      <formula>"Towel"</formula>
    </cfRule>
    <cfRule type="cellIs" dxfId="24585" priority="10170" stopIfTrue="1" operator="equal">
      <formula>"Napkin Hs"</formula>
    </cfRule>
  </conditionalFormatting>
  <conditionalFormatting sqref="C76">
    <cfRule type="cellIs" dxfId="24584" priority="10171" stopIfTrue="1" operator="equal">
      <formula>"Towel"</formula>
    </cfRule>
  </conditionalFormatting>
  <conditionalFormatting sqref="C76">
    <cfRule type="cellIs" dxfId="24583" priority="10275" stopIfTrue="1" operator="equal">
      <formula>"Towel"</formula>
    </cfRule>
    <cfRule type="cellIs" dxfId="24582" priority="10276" stopIfTrue="1" operator="equal">
      <formula>"Napkin Hs"</formula>
    </cfRule>
  </conditionalFormatting>
  <conditionalFormatting sqref="C76">
    <cfRule type="cellIs" dxfId="24581" priority="10273" stopIfTrue="1" operator="equal">
      <formula>"Towel"</formula>
    </cfRule>
    <cfRule type="cellIs" dxfId="24580" priority="10274" stopIfTrue="1" operator="equal">
      <formula>"Napkin Hs"</formula>
    </cfRule>
  </conditionalFormatting>
  <conditionalFormatting sqref="C76">
    <cfRule type="cellIs" dxfId="24579" priority="10271" stopIfTrue="1" operator="equal">
      <formula>"Towel"</formula>
    </cfRule>
    <cfRule type="cellIs" dxfId="24578" priority="10272" stopIfTrue="1" operator="equal">
      <formula>"Napkin Hs"</formula>
    </cfRule>
  </conditionalFormatting>
  <conditionalFormatting sqref="C76">
    <cfRule type="cellIs" dxfId="24577" priority="10270" stopIfTrue="1" operator="equal">
      <formula>"Napkin Hs"</formula>
    </cfRule>
  </conditionalFormatting>
  <conditionalFormatting sqref="C76">
    <cfRule type="cellIs" dxfId="24576" priority="10269" stopIfTrue="1" operator="equal">
      <formula>"Towel"</formula>
    </cfRule>
  </conditionalFormatting>
  <conditionalFormatting sqref="C76">
    <cfRule type="cellIs" dxfId="24575" priority="10268" stopIfTrue="1" operator="equal">
      <formula>"Napkin Hs"</formula>
    </cfRule>
  </conditionalFormatting>
  <conditionalFormatting sqref="C76">
    <cfRule type="cellIs" dxfId="24574" priority="10267" stopIfTrue="1" operator="equal">
      <formula>"Towel"</formula>
    </cfRule>
  </conditionalFormatting>
  <conditionalFormatting sqref="C76">
    <cfRule type="cellIs" dxfId="24573" priority="10265" stopIfTrue="1" operator="equal">
      <formula>"Towel"</formula>
    </cfRule>
    <cfRule type="cellIs" dxfId="24572" priority="10266" stopIfTrue="1" operator="equal">
      <formula>"Napkin Hs"</formula>
    </cfRule>
  </conditionalFormatting>
  <conditionalFormatting sqref="C76">
    <cfRule type="cellIs" dxfId="24571" priority="10263" stopIfTrue="1" operator="equal">
      <formula>"Towel"</formula>
    </cfRule>
    <cfRule type="cellIs" dxfId="24570" priority="10264" stopIfTrue="1" operator="equal">
      <formula>"Napkin Hs"</formula>
    </cfRule>
  </conditionalFormatting>
  <conditionalFormatting sqref="C76">
    <cfRule type="cellIs" dxfId="24569" priority="10259" stopIfTrue="1" operator="equal">
      <formula>"Towel"</formula>
    </cfRule>
    <cfRule type="cellIs" dxfId="24568" priority="10260" stopIfTrue="1" operator="equal">
      <formula>"Napkin Hs"</formula>
    </cfRule>
  </conditionalFormatting>
  <conditionalFormatting sqref="C76">
    <cfRule type="cellIs" dxfId="24567" priority="10261" stopIfTrue="1" operator="equal">
      <formula>"Towel"</formula>
    </cfRule>
    <cfRule type="cellIs" dxfId="24566" priority="10262" stopIfTrue="1" operator="equal">
      <formula>"Napkin Hs"</formula>
    </cfRule>
  </conditionalFormatting>
  <conditionalFormatting sqref="C76">
    <cfRule type="cellIs" dxfId="24565" priority="10253" stopIfTrue="1" operator="equal">
      <formula>"Towel"</formula>
    </cfRule>
    <cfRule type="cellIs" dxfId="24564" priority="10254" stopIfTrue="1" operator="equal">
      <formula>"Napkin Hs"</formula>
    </cfRule>
  </conditionalFormatting>
  <conditionalFormatting sqref="C76">
    <cfRule type="cellIs" dxfId="24563" priority="10251" stopIfTrue="1" operator="equal">
      <formula>"Towel"</formula>
    </cfRule>
    <cfRule type="cellIs" dxfId="24562" priority="10252" stopIfTrue="1" operator="equal">
      <formula>"Napkin Hs"</formula>
    </cfRule>
  </conditionalFormatting>
  <conditionalFormatting sqref="C76">
    <cfRule type="cellIs" dxfId="24561" priority="10249" stopIfTrue="1" operator="equal">
      <formula>"Towel"</formula>
    </cfRule>
    <cfRule type="cellIs" dxfId="24560" priority="10250" stopIfTrue="1" operator="equal">
      <formula>"Napkin Hs"</formula>
    </cfRule>
  </conditionalFormatting>
  <conditionalFormatting sqref="C76">
    <cfRule type="cellIs" dxfId="24559" priority="10247" stopIfTrue="1" operator="equal">
      <formula>"Towel"</formula>
    </cfRule>
    <cfRule type="cellIs" dxfId="24558" priority="10248" stopIfTrue="1" operator="equal">
      <formula>"Napkin Hs"</formula>
    </cfRule>
  </conditionalFormatting>
  <conditionalFormatting sqref="C76">
    <cfRule type="cellIs" dxfId="24557" priority="10245" stopIfTrue="1" operator="equal">
      <formula>"Towel"</formula>
    </cfRule>
    <cfRule type="cellIs" dxfId="24556" priority="10246" stopIfTrue="1" operator="equal">
      <formula>"Napkin Hs"</formula>
    </cfRule>
  </conditionalFormatting>
  <conditionalFormatting sqref="C76">
    <cfRule type="cellIs" dxfId="24555" priority="10243" stopIfTrue="1" operator="equal">
      <formula>"Towel"</formula>
    </cfRule>
    <cfRule type="cellIs" dxfId="24554" priority="10244" stopIfTrue="1" operator="equal">
      <formula>"Napkin Hs"</formula>
    </cfRule>
  </conditionalFormatting>
  <conditionalFormatting sqref="C76">
    <cfRule type="cellIs" dxfId="24553" priority="10241" stopIfTrue="1" operator="equal">
      <formula>"Towel"</formula>
    </cfRule>
    <cfRule type="cellIs" dxfId="24552" priority="10242" stopIfTrue="1" operator="equal">
      <formula>"Napkin Hs"</formula>
    </cfRule>
  </conditionalFormatting>
  <conditionalFormatting sqref="C76">
    <cfRule type="cellIs" dxfId="24551" priority="10239" stopIfTrue="1" operator="equal">
      <formula>"Towel"</formula>
    </cfRule>
    <cfRule type="cellIs" dxfId="24550" priority="10240" stopIfTrue="1" operator="equal">
      <formula>"Napkin Hs"</formula>
    </cfRule>
  </conditionalFormatting>
  <conditionalFormatting sqref="C76">
    <cfRule type="cellIs" dxfId="24549" priority="10237" stopIfTrue="1" operator="equal">
      <formula>"Towel"</formula>
    </cfRule>
    <cfRule type="cellIs" dxfId="24548" priority="10238" stopIfTrue="1" operator="equal">
      <formula>"Napkin Hs"</formula>
    </cfRule>
  </conditionalFormatting>
  <conditionalFormatting sqref="C76">
    <cfRule type="cellIs" dxfId="24547" priority="10235" stopIfTrue="1" operator="equal">
      <formula>"Towel"</formula>
    </cfRule>
    <cfRule type="cellIs" dxfId="24546" priority="10236" stopIfTrue="1" operator="equal">
      <formula>"Napkin Hs"</formula>
    </cfRule>
  </conditionalFormatting>
  <conditionalFormatting sqref="C76">
    <cfRule type="cellIs" dxfId="24545" priority="10229" stopIfTrue="1" operator="equal">
      <formula>"Towel"</formula>
    </cfRule>
    <cfRule type="cellIs" dxfId="24544" priority="10230" stopIfTrue="1" operator="equal">
      <formula>"Napkin Hs"</formula>
    </cfRule>
  </conditionalFormatting>
  <conditionalFormatting sqref="C76">
    <cfRule type="cellIs" dxfId="24543" priority="10223" stopIfTrue="1" operator="equal">
      <formula>"Towel"</formula>
    </cfRule>
    <cfRule type="cellIs" dxfId="24542" priority="10224" stopIfTrue="1" operator="equal">
      <formula>"Napkin Hs"</formula>
    </cfRule>
  </conditionalFormatting>
  <conditionalFormatting sqref="C76">
    <cfRule type="cellIs" dxfId="24541" priority="10217" stopIfTrue="1" operator="equal">
      <formula>"Towel"</formula>
    </cfRule>
    <cfRule type="cellIs" dxfId="24540" priority="10218" stopIfTrue="1" operator="equal">
      <formula>"Napkin Hs"</formula>
    </cfRule>
  </conditionalFormatting>
  <conditionalFormatting sqref="C76">
    <cfRule type="cellIs" dxfId="24539" priority="10216" stopIfTrue="1" operator="equal">
      <formula>"Napkin Hs"</formula>
    </cfRule>
  </conditionalFormatting>
  <conditionalFormatting sqref="C76">
    <cfRule type="cellIs" dxfId="24538" priority="10215" stopIfTrue="1" operator="equal">
      <formula>"Towel"</formula>
    </cfRule>
  </conditionalFormatting>
  <conditionalFormatting sqref="C76">
    <cfRule type="cellIs" dxfId="24537" priority="10214" stopIfTrue="1" operator="equal">
      <formula>"Napkin Hs"</formula>
    </cfRule>
  </conditionalFormatting>
  <conditionalFormatting sqref="C76">
    <cfRule type="cellIs" dxfId="24536" priority="10213" stopIfTrue="1" operator="equal">
      <formula>"Towel"</formula>
    </cfRule>
  </conditionalFormatting>
  <conditionalFormatting sqref="C76">
    <cfRule type="cellIs" dxfId="24535" priority="10211" stopIfTrue="1" operator="equal">
      <formula>"Towel"</formula>
    </cfRule>
    <cfRule type="cellIs" dxfId="24534" priority="10212" stopIfTrue="1" operator="equal">
      <formula>"Napkin Hs"</formula>
    </cfRule>
  </conditionalFormatting>
  <conditionalFormatting sqref="C76">
    <cfRule type="cellIs" dxfId="24533" priority="10209" stopIfTrue="1" operator="equal">
      <formula>"Towel"</formula>
    </cfRule>
    <cfRule type="cellIs" dxfId="24532" priority="10210" stopIfTrue="1" operator="equal">
      <formula>"Napkin Hs"</formula>
    </cfRule>
  </conditionalFormatting>
  <conditionalFormatting sqref="C76">
    <cfRule type="cellIs" dxfId="24531" priority="10207" stopIfTrue="1" operator="equal">
      <formula>"Towel"</formula>
    </cfRule>
    <cfRule type="cellIs" dxfId="24530" priority="10208" stopIfTrue="1" operator="equal">
      <formula>"Napkin Hs"</formula>
    </cfRule>
  </conditionalFormatting>
  <conditionalFormatting sqref="C76">
    <cfRule type="cellIs" dxfId="24529" priority="10197" stopIfTrue="1" operator="equal">
      <formula>"Towel"</formula>
    </cfRule>
    <cfRule type="cellIs" dxfId="24528" priority="10198" stopIfTrue="1" operator="equal">
      <formula>"Napkin Hs"</formula>
    </cfRule>
  </conditionalFormatting>
  <conditionalFormatting sqref="C76">
    <cfRule type="cellIs" dxfId="24527" priority="10195" stopIfTrue="1" operator="equal">
      <formula>"Towel"</formula>
    </cfRule>
    <cfRule type="cellIs" dxfId="24526" priority="10196" stopIfTrue="1" operator="equal">
      <formula>"Napkin Hs"</formula>
    </cfRule>
  </conditionalFormatting>
  <conditionalFormatting sqref="C76">
    <cfRule type="cellIs" dxfId="24525" priority="10193" stopIfTrue="1" operator="equal">
      <formula>"Towel"</formula>
    </cfRule>
    <cfRule type="cellIs" dxfId="24524" priority="10194" stopIfTrue="1" operator="equal">
      <formula>"Napkin Hs"</formula>
    </cfRule>
  </conditionalFormatting>
  <conditionalFormatting sqref="C76">
    <cfRule type="cellIs" dxfId="24523" priority="10191" stopIfTrue="1" operator="equal">
      <formula>"Towel"</formula>
    </cfRule>
    <cfRule type="cellIs" dxfId="24522" priority="10192" stopIfTrue="1" operator="equal">
      <formula>"Napkin Hs"</formula>
    </cfRule>
  </conditionalFormatting>
  <conditionalFormatting sqref="C76">
    <cfRule type="cellIs" dxfId="24521" priority="10189" stopIfTrue="1" operator="equal">
      <formula>"Towel"</formula>
    </cfRule>
    <cfRule type="cellIs" dxfId="24520" priority="10190" stopIfTrue="1" operator="equal">
      <formula>"Napkin Hs"</formula>
    </cfRule>
  </conditionalFormatting>
  <conditionalFormatting sqref="C76">
    <cfRule type="cellIs" dxfId="24519" priority="10187" stopIfTrue="1" operator="equal">
      <formula>"Towel"</formula>
    </cfRule>
    <cfRule type="cellIs" dxfId="24518" priority="10188" stopIfTrue="1" operator="equal">
      <formula>"Napkin Hs"</formula>
    </cfRule>
  </conditionalFormatting>
  <conditionalFormatting sqref="C76">
    <cfRule type="cellIs" dxfId="24517" priority="10185" stopIfTrue="1" operator="equal">
      <formula>"Towel"</formula>
    </cfRule>
    <cfRule type="cellIs" dxfId="24516" priority="10186" stopIfTrue="1" operator="equal">
      <formula>"Napkin Hs"</formula>
    </cfRule>
  </conditionalFormatting>
  <conditionalFormatting sqref="C76">
    <cfRule type="cellIs" dxfId="24515" priority="10183" stopIfTrue="1" operator="equal">
      <formula>"Towel"</formula>
    </cfRule>
    <cfRule type="cellIs" dxfId="24514" priority="10184" stopIfTrue="1" operator="equal">
      <formula>"Napkin Hs"</formula>
    </cfRule>
  </conditionalFormatting>
  <conditionalFormatting sqref="C76">
    <cfRule type="cellIs" dxfId="24513" priority="10181" stopIfTrue="1" operator="equal">
      <formula>"Towel"</formula>
    </cfRule>
    <cfRule type="cellIs" dxfId="24512" priority="10182" stopIfTrue="1" operator="equal">
      <formula>"Napkin Hs"</formula>
    </cfRule>
  </conditionalFormatting>
  <conditionalFormatting sqref="C76">
    <cfRule type="cellIs" dxfId="24511" priority="10168" stopIfTrue="1" operator="equal">
      <formula>"Napkin Hs"</formula>
    </cfRule>
  </conditionalFormatting>
  <conditionalFormatting sqref="C76">
    <cfRule type="cellIs" dxfId="24510" priority="10167" stopIfTrue="1" operator="equal">
      <formula>"Towel"</formula>
    </cfRule>
  </conditionalFormatting>
  <conditionalFormatting sqref="C76">
    <cfRule type="cellIs" dxfId="24509" priority="10166" stopIfTrue="1" operator="equal">
      <formula>"Napkin Hs"</formula>
    </cfRule>
  </conditionalFormatting>
  <conditionalFormatting sqref="C76">
    <cfRule type="cellIs" dxfId="24508" priority="10163" stopIfTrue="1" operator="equal">
      <formula>"Towel"</formula>
    </cfRule>
    <cfRule type="cellIs" dxfId="24507" priority="10164" stopIfTrue="1" operator="equal">
      <formula>"Napkin Hs"</formula>
    </cfRule>
  </conditionalFormatting>
  <conditionalFormatting sqref="C76">
    <cfRule type="cellIs" dxfId="24506" priority="10165" stopIfTrue="1" operator="equal">
      <formula>"Towel"</formula>
    </cfRule>
  </conditionalFormatting>
  <conditionalFormatting sqref="C76">
    <cfRule type="cellIs" dxfId="24505" priority="10283" stopIfTrue="1" operator="equal">
      <formula>"Towel"</formula>
    </cfRule>
    <cfRule type="cellIs" dxfId="24504" priority="10284" stopIfTrue="1" operator="equal">
      <formula>"Napkin Hs"</formula>
    </cfRule>
  </conditionalFormatting>
  <conditionalFormatting sqref="C76">
    <cfRule type="cellIs" dxfId="24503" priority="10282" stopIfTrue="1" operator="equal">
      <formula>"Napkin Hs"</formula>
    </cfRule>
  </conditionalFormatting>
  <conditionalFormatting sqref="C76">
    <cfRule type="cellIs" dxfId="24502" priority="10281" stopIfTrue="1" operator="equal">
      <formula>"Towel"</formula>
    </cfRule>
  </conditionalFormatting>
  <conditionalFormatting sqref="C76">
    <cfRule type="cellIs" dxfId="24501" priority="10280" stopIfTrue="1" operator="equal">
      <formula>"Napkin Hs"</formula>
    </cfRule>
  </conditionalFormatting>
  <conditionalFormatting sqref="C76">
    <cfRule type="cellIs" dxfId="24500" priority="10277" stopIfTrue="1" operator="equal">
      <formula>"Towel"</formula>
    </cfRule>
    <cfRule type="cellIs" dxfId="24499" priority="10278" stopIfTrue="1" operator="equal">
      <formula>"Napkin Hs"</formula>
    </cfRule>
  </conditionalFormatting>
  <conditionalFormatting sqref="C76">
    <cfRule type="cellIs" dxfId="24498" priority="10279" stopIfTrue="1" operator="equal">
      <formula>"Towel"</formula>
    </cfRule>
  </conditionalFormatting>
  <conditionalFormatting sqref="C76">
    <cfRule type="cellIs" dxfId="24497" priority="10287" stopIfTrue="1" operator="equal">
      <formula>"Towel"</formula>
    </cfRule>
    <cfRule type="cellIs" dxfId="24496" priority="10288" stopIfTrue="1" operator="equal">
      <formula>"Napkin Hs"</formula>
    </cfRule>
  </conditionalFormatting>
  <conditionalFormatting sqref="C76">
    <cfRule type="cellIs" dxfId="24495" priority="10285" stopIfTrue="1" operator="equal">
      <formula>"Towel"</formula>
    </cfRule>
    <cfRule type="cellIs" dxfId="24494" priority="10286" stopIfTrue="1" operator="equal">
      <formula>"Napkin Hs"</formula>
    </cfRule>
  </conditionalFormatting>
  <conditionalFormatting sqref="C76">
    <cfRule type="cellIs" dxfId="24493" priority="10257" stopIfTrue="1" operator="equal">
      <formula>"Towel"</formula>
    </cfRule>
    <cfRule type="cellIs" dxfId="24492" priority="10258" stopIfTrue="1" operator="equal">
      <formula>"Napkin Hs"</formula>
    </cfRule>
  </conditionalFormatting>
  <conditionalFormatting sqref="C76">
    <cfRule type="cellIs" dxfId="24491" priority="10255" stopIfTrue="1" operator="equal">
      <formula>"Towel"</formula>
    </cfRule>
    <cfRule type="cellIs" dxfId="24490" priority="10256" stopIfTrue="1" operator="equal">
      <formula>"Napkin Hs"</formula>
    </cfRule>
  </conditionalFormatting>
  <conditionalFormatting sqref="C76">
    <cfRule type="cellIs" dxfId="24489" priority="10234" stopIfTrue="1" operator="equal">
      <formula>"Napkin Hs"</formula>
    </cfRule>
  </conditionalFormatting>
  <conditionalFormatting sqref="C76">
    <cfRule type="cellIs" dxfId="24488" priority="10233" stopIfTrue="1" operator="equal">
      <formula>"Towel"</formula>
    </cfRule>
  </conditionalFormatting>
  <conditionalFormatting sqref="C76">
    <cfRule type="cellIs" dxfId="24487" priority="10232" stopIfTrue="1" operator="equal">
      <formula>"Napkin Hs"</formula>
    </cfRule>
  </conditionalFormatting>
  <conditionalFormatting sqref="C76">
    <cfRule type="cellIs" dxfId="24486" priority="10231" stopIfTrue="1" operator="equal">
      <formula>"Towel"</formula>
    </cfRule>
  </conditionalFormatting>
  <conditionalFormatting sqref="C76">
    <cfRule type="cellIs" dxfId="24485" priority="10228" stopIfTrue="1" operator="equal">
      <formula>"Napkin Hs"</formula>
    </cfRule>
  </conditionalFormatting>
  <conditionalFormatting sqref="C76">
    <cfRule type="cellIs" dxfId="24484" priority="10227" stopIfTrue="1" operator="equal">
      <formula>"Towel"</formula>
    </cfRule>
  </conditionalFormatting>
  <conditionalFormatting sqref="C76">
    <cfRule type="cellIs" dxfId="24483" priority="10226" stopIfTrue="1" operator="equal">
      <formula>"Napkin Hs"</formula>
    </cfRule>
  </conditionalFormatting>
  <conditionalFormatting sqref="C76">
    <cfRule type="cellIs" dxfId="24482" priority="10225" stopIfTrue="1" operator="equal">
      <formula>"Towel"</formula>
    </cfRule>
  </conditionalFormatting>
  <conditionalFormatting sqref="C76">
    <cfRule type="cellIs" dxfId="24481" priority="10221" stopIfTrue="1" operator="equal">
      <formula>"Towel"</formula>
    </cfRule>
    <cfRule type="cellIs" dxfId="24480" priority="10222" stopIfTrue="1" operator="equal">
      <formula>"Napkin Hs"</formula>
    </cfRule>
  </conditionalFormatting>
  <conditionalFormatting sqref="C76">
    <cfRule type="cellIs" dxfId="24479" priority="10219" stopIfTrue="1" operator="equal">
      <formula>"Towel"</formula>
    </cfRule>
    <cfRule type="cellIs" dxfId="24478" priority="10220" stopIfTrue="1" operator="equal">
      <formula>"Napkin Hs"</formula>
    </cfRule>
  </conditionalFormatting>
  <conditionalFormatting sqref="C76">
    <cfRule type="cellIs" dxfId="24477" priority="10203" stopIfTrue="1" operator="equal">
      <formula>"Towel"</formula>
    </cfRule>
    <cfRule type="cellIs" dxfId="24476" priority="10204" stopIfTrue="1" operator="equal">
      <formula>"Napkin Hs"</formula>
    </cfRule>
  </conditionalFormatting>
  <conditionalFormatting sqref="C76">
    <cfRule type="cellIs" dxfId="24475" priority="10201" stopIfTrue="1" operator="equal">
      <formula>"Towel"</formula>
    </cfRule>
    <cfRule type="cellIs" dxfId="24474" priority="10202" stopIfTrue="1" operator="equal">
      <formula>"Napkin Hs"</formula>
    </cfRule>
  </conditionalFormatting>
  <conditionalFormatting sqref="B76:C76">
    <cfRule type="cellIs" dxfId="24473" priority="10162" stopIfTrue="1" operator="equal">
      <formula>"Napkin Hs"</formula>
    </cfRule>
  </conditionalFormatting>
  <conditionalFormatting sqref="B76:C76">
    <cfRule type="cellIs" dxfId="24472" priority="10161" stopIfTrue="1" operator="equal">
      <formula>"Towel"</formula>
    </cfRule>
  </conditionalFormatting>
  <conditionalFormatting sqref="C76">
    <cfRule type="cellIs" dxfId="24471" priority="10160" stopIfTrue="1" operator="equal">
      <formula>"Napkin Hs"</formula>
    </cfRule>
  </conditionalFormatting>
  <conditionalFormatting sqref="C76">
    <cfRule type="cellIs" dxfId="24470" priority="10157" stopIfTrue="1" operator="equal">
      <formula>"Towel"</formula>
    </cfRule>
    <cfRule type="cellIs" dxfId="24469" priority="10158" stopIfTrue="1" operator="equal">
      <formula>"Napkin Hs"</formula>
    </cfRule>
  </conditionalFormatting>
  <conditionalFormatting sqref="C76">
    <cfRule type="cellIs" dxfId="24468" priority="10159" stopIfTrue="1" operator="equal">
      <formula>"Towel"</formula>
    </cfRule>
  </conditionalFormatting>
  <conditionalFormatting sqref="C74:C76">
    <cfRule type="cellIs" dxfId="24467" priority="10073" stopIfTrue="1" operator="equal">
      <formula>"Towel"</formula>
    </cfRule>
    <cfRule type="cellIs" dxfId="24466" priority="10074" stopIfTrue="1" operator="equal">
      <formula>"Napkin Hs"</formula>
    </cfRule>
  </conditionalFormatting>
  <conditionalFormatting sqref="C74:C76">
    <cfRule type="cellIs" dxfId="24465" priority="10067" stopIfTrue="1" operator="equal">
      <formula>"Towel"</formula>
    </cfRule>
    <cfRule type="cellIs" dxfId="24464" priority="10068" stopIfTrue="1" operator="equal">
      <formula>"Napkin Hs"</formula>
    </cfRule>
  </conditionalFormatting>
  <conditionalFormatting sqref="C74:C76">
    <cfRule type="cellIs" dxfId="24463" priority="10048" stopIfTrue="1" operator="equal">
      <formula>"Napkin Hs"</formula>
    </cfRule>
  </conditionalFormatting>
  <conditionalFormatting sqref="C74:C76">
    <cfRule type="cellIs" dxfId="24462" priority="10047" stopIfTrue="1" operator="equal">
      <formula>"Towel"</formula>
    </cfRule>
  </conditionalFormatting>
  <conditionalFormatting sqref="C74:C76">
    <cfRule type="cellIs" dxfId="24461" priority="10046" stopIfTrue="1" operator="equal">
      <formula>"Napkin Hs"</formula>
    </cfRule>
  </conditionalFormatting>
  <conditionalFormatting sqref="C74:C76">
    <cfRule type="cellIs" dxfId="24460" priority="10043" stopIfTrue="1" operator="equal">
      <formula>"Towel"</formula>
    </cfRule>
    <cfRule type="cellIs" dxfId="24459" priority="10044" stopIfTrue="1" operator="equal">
      <formula>"Napkin Hs"</formula>
    </cfRule>
  </conditionalFormatting>
  <conditionalFormatting sqref="C74:C76">
    <cfRule type="cellIs" dxfId="24458" priority="10045" stopIfTrue="1" operator="equal">
      <formula>"Towel"</formula>
    </cfRule>
  </conditionalFormatting>
  <conditionalFormatting sqref="C74:C76">
    <cfRule type="cellIs" dxfId="24457" priority="10042" stopIfTrue="1" operator="equal">
      <formula>"Napkin Hs"</formula>
    </cfRule>
  </conditionalFormatting>
  <conditionalFormatting sqref="C74:C76">
    <cfRule type="cellIs" dxfId="24456" priority="10041" stopIfTrue="1" operator="equal">
      <formula>"Towel"</formula>
    </cfRule>
  </conditionalFormatting>
  <conditionalFormatting sqref="C74:C76">
    <cfRule type="cellIs" dxfId="24455" priority="10040" stopIfTrue="1" operator="equal">
      <formula>"Napkin Hs"</formula>
    </cfRule>
  </conditionalFormatting>
  <conditionalFormatting sqref="C74:C76">
    <cfRule type="cellIs" dxfId="24454" priority="10037" stopIfTrue="1" operator="equal">
      <formula>"Towel"</formula>
    </cfRule>
    <cfRule type="cellIs" dxfId="24453" priority="10038" stopIfTrue="1" operator="equal">
      <formula>"Napkin Hs"</formula>
    </cfRule>
  </conditionalFormatting>
  <conditionalFormatting sqref="C74:C76">
    <cfRule type="cellIs" dxfId="24452" priority="10039" stopIfTrue="1" operator="equal">
      <formula>"Towel"</formula>
    </cfRule>
  </conditionalFormatting>
  <conditionalFormatting sqref="C74:C76">
    <cfRule type="cellIs" dxfId="24451" priority="10143" stopIfTrue="1" operator="equal">
      <formula>"Towel"</formula>
    </cfRule>
    <cfRule type="cellIs" dxfId="24450" priority="10144" stopIfTrue="1" operator="equal">
      <formula>"Napkin Hs"</formula>
    </cfRule>
  </conditionalFormatting>
  <conditionalFormatting sqref="C74:C76">
    <cfRule type="cellIs" dxfId="24449" priority="10141" stopIfTrue="1" operator="equal">
      <formula>"Towel"</formula>
    </cfRule>
    <cfRule type="cellIs" dxfId="24448" priority="10142" stopIfTrue="1" operator="equal">
      <formula>"Napkin Hs"</formula>
    </cfRule>
  </conditionalFormatting>
  <conditionalFormatting sqref="C74:C76">
    <cfRule type="cellIs" dxfId="24447" priority="10139" stopIfTrue="1" operator="equal">
      <formula>"Towel"</formula>
    </cfRule>
    <cfRule type="cellIs" dxfId="24446" priority="10140" stopIfTrue="1" operator="equal">
      <formula>"Napkin Hs"</formula>
    </cfRule>
  </conditionalFormatting>
  <conditionalFormatting sqref="C74:C76">
    <cfRule type="cellIs" dxfId="24445" priority="10138" stopIfTrue="1" operator="equal">
      <formula>"Napkin Hs"</formula>
    </cfRule>
  </conditionalFormatting>
  <conditionalFormatting sqref="C74:C76">
    <cfRule type="cellIs" dxfId="24444" priority="10137" stopIfTrue="1" operator="equal">
      <formula>"Towel"</formula>
    </cfRule>
  </conditionalFormatting>
  <conditionalFormatting sqref="C74:C76">
    <cfRule type="cellIs" dxfId="24443" priority="10136" stopIfTrue="1" operator="equal">
      <formula>"Napkin Hs"</formula>
    </cfRule>
  </conditionalFormatting>
  <conditionalFormatting sqref="C74:C76">
    <cfRule type="cellIs" dxfId="24442" priority="10135" stopIfTrue="1" operator="equal">
      <formula>"Towel"</formula>
    </cfRule>
  </conditionalFormatting>
  <conditionalFormatting sqref="C74:C76">
    <cfRule type="cellIs" dxfId="24441" priority="10133" stopIfTrue="1" operator="equal">
      <formula>"Towel"</formula>
    </cfRule>
    <cfRule type="cellIs" dxfId="24440" priority="10134" stopIfTrue="1" operator="equal">
      <formula>"Napkin Hs"</formula>
    </cfRule>
  </conditionalFormatting>
  <conditionalFormatting sqref="C74:C76">
    <cfRule type="cellIs" dxfId="24439" priority="10131" stopIfTrue="1" operator="equal">
      <formula>"Towel"</formula>
    </cfRule>
    <cfRule type="cellIs" dxfId="24438" priority="10132" stopIfTrue="1" operator="equal">
      <formula>"Napkin Hs"</formula>
    </cfRule>
  </conditionalFormatting>
  <conditionalFormatting sqref="C74:C76">
    <cfRule type="cellIs" dxfId="24437" priority="10127" stopIfTrue="1" operator="equal">
      <formula>"Towel"</formula>
    </cfRule>
    <cfRule type="cellIs" dxfId="24436" priority="10128" stopIfTrue="1" operator="equal">
      <formula>"Napkin Hs"</formula>
    </cfRule>
  </conditionalFormatting>
  <conditionalFormatting sqref="C74:C76">
    <cfRule type="cellIs" dxfId="24435" priority="10129" stopIfTrue="1" operator="equal">
      <formula>"Towel"</formula>
    </cfRule>
    <cfRule type="cellIs" dxfId="24434" priority="10130" stopIfTrue="1" operator="equal">
      <formula>"Napkin Hs"</formula>
    </cfRule>
  </conditionalFormatting>
  <conditionalFormatting sqref="C74:C76">
    <cfRule type="cellIs" dxfId="24433" priority="10121" stopIfTrue="1" operator="equal">
      <formula>"Towel"</formula>
    </cfRule>
    <cfRule type="cellIs" dxfId="24432" priority="10122" stopIfTrue="1" operator="equal">
      <formula>"Napkin Hs"</formula>
    </cfRule>
  </conditionalFormatting>
  <conditionalFormatting sqref="C74:C76">
    <cfRule type="cellIs" dxfId="24431" priority="10119" stopIfTrue="1" operator="equal">
      <formula>"Towel"</formula>
    </cfRule>
    <cfRule type="cellIs" dxfId="24430" priority="10120" stopIfTrue="1" operator="equal">
      <formula>"Napkin Hs"</formula>
    </cfRule>
  </conditionalFormatting>
  <conditionalFormatting sqref="C74:C76">
    <cfRule type="cellIs" dxfId="24429" priority="10117" stopIfTrue="1" operator="equal">
      <formula>"Towel"</formula>
    </cfRule>
    <cfRule type="cellIs" dxfId="24428" priority="10118" stopIfTrue="1" operator="equal">
      <formula>"Napkin Hs"</formula>
    </cfRule>
  </conditionalFormatting>
  <conditionalFormatting sqref="C74:C76">
    <cfRule type="cellIs" dxfId="24427" priority="10115" stopIfTrue="1" operator="equal">
      <formula>"Towel"</formula>
    </cfRule>
    <cfRule type="cellIs" dxfId="24426" priority="10116" stopIfTrue="1" operator="equal">
      <formula>"Napkin Hs"</formula>
    </cfRule>
  </conditionalFormatting>
  <conditionalFormatting sqref="C74:C76">
    <cfRule type="cellIs" dxfId="24425" priority="10113" stopIfTrue="1" operator="equal">
      <formula>"Towel"</formula>
    </cfRule>
    <cfRule type="cellIs" dxfId="24424" priority="10114" stopIfTrue="1" operator="equal">
      <formula>"Napkin Hs"</formula>
    </cfRule>
  </conditionalFormatting>
  <conditionalFormatting sqref="C74:C76">
    <cfRule type="cellIs" dxfId="24423" priority="10111" stopIfTrue="1" operator="equal">
      <formula>"Towel"</formula>
    </cfRule>
    <cfRule type="cellIs" dxfId="24422" priority="10112" stopIfTrue="1" operator="equal">
      <formula>"Napkin Hs"</formula>
    </cfRule>
  </conditionalFormatting>
  <conditionalFormatting sqref="C74:C76">
    <cfRule type="cellIs" dxfId="24421" priority="10109" stopIfTrue="1" operator="equal">
      <formula>"Towel"</formula>
    </cfRule>
    <cfRule type="cellIs" dxfId="24420" priority="10110" stopIfTrue="1" operator="equal">
      <formula>"Napkin Hs"</formula>
    </cfRule>
  </conditionalFormatting>
  <conditionalFormatting sqref="C74:C76">
    <cfRule type="cellIs" dxfId="24419" priority="10107" stopIfTrue="1" operator="equal">
      <formula>"Towel"</formula>
    </cfRule>
    <cfRule type="cellIs" dxfId="24418" priority="10108" stopIfTrue="1" operator="equal">
      <formula>"Napkin Hs"</formula>
    </cfRule>
  </conditionalFormatting>
  <conditionalFormatting sqref="C74:C76">
    <cfRule type="cellIs" dxfId="24417" priority="10105" stopIfTrue="1" operator="equal">
      <formula>"Towel"</formula>
    </cfRule>
    <cfRule type="cellIs" dxfId="24416" priority="10106" stopIfTrue="1" operator="equal">
      <formula>"Napkin Hs"</formula>
    </cfRule>
  </conditionalFormatting>
  <conditionalFormatting sqref="C74:C76">
    <cfRule type="cellIs" dxfId="24415" priority="10103" stopIfTrue="1" operator="equal">
      <formula>"Towel"</formula>
    </cfRule>
    <cfRule type="cellIs" dxfId="24414" priority="10104" stopIfTrue="1" operator="equal">
      <formula>"Napkin Hs"</formula>
    </cfRule>
  </conditionalFormatting>
  <conditionalFormatting sqref="C74:C76">
    <cfRule type="cellIs" dxfId="24413" priority="10097" stopIfTrue="1" operator="equal">
      <formula>"Towel"</formula>
    </cfRule>
    <cfRule type="cellIs" dxfId="24412" priority="10098" stopIfTrue="1" operator="equal">
      <formula>"Napkin Hs"</formula>
    </cfRule>
  </conditionalFormatting>
  <conditionalFormatting sqref="C74:C76">
    <cfRule type="cellIs" dxfId="24411" priority="10091" stopIfTrue="1" operator="equal">
      <formula>"Towel"</formula>
    </cfRule>
    <cfRule type="cellIs" dxfId="24410" priority="10092" stopIfTrue="1" operator="equal">
      <formula>"Napkin Hs"</formula>
    </cfRule>
  </conditionalFormatting>
  <conditionalFormatting sqref="C74:C76">
    <cfRule type="cellIs" dxfId="24409" priority="10085" stopIfTrue="1" operator="equal">
      <formula>"Towel"</formula>
    </cfRule>
    <cfRule type="cellIs" dxfId="24408" priority="10086" stopIfTrue="1" operator="equal">
      <formula>"Napkin Hs"</formula>
    </cfRule>
  </conditionalFormatting>
  <conditionalFormatting sqref="C74:C76">
    <cfRule type="cellIs" dxfId="24407" priority="10084" stopIfTrue="1" operator="equal">
      <formula>"Napkin Hs"</formula>
    </cfRule>
  </conditionalFormatting>
  <conditionalFormatting sqref="C74:C76">
    <cfRule type="cellIs" dxfId="24406" priority="10083" stopIfTrue="1" operator="equal">
      <formula>"Towel"</formula>
    </cfRule>
  </conditionalFormatting>
  <conditionalFormatting sqref="C74:C76">
    <cfRule type="cellIs" dxfId="24405" priority="10082" stopIfTrue="1" operator="equal">
      <formula>"Napkin Hs"</formula>
    </cfRule>
  </conditionalFormatting>
  <conditionalFormatting sqref="C74:C76">
    <cfRule type="cellIs" dxfId="24404" priority="10081" stopIfTrue="1" operator="equal">
      <formula>"Towel"</formula>
    </cfRule>
  </conditionalFormatting>
  <conditionalFormatting sqref="C74:C76">
    <cfRule type="cellIs" dxfId="24403" priority="10079" stopIfTrue="1" operator="equal">
      <formula>"Towel"</formula>
    </cfRule>
    <cfRule type="cellIs" dxfId="24402" priority="10080" stopIfTrue="1" operator="equal">
      <formula>"Napkin Hs"</formula>
    </cfRule>
  </conditionalFormatting>
  <conditionalFormatting sqref="C74:C76">
    <cfRule type="cellIs" dxfId="24401" priority="10077" stopIfTrue="1" operator="equal">
      <formula>"Towel"</formula>
    </cfRule>
    <cfRule type="cellIs" dxfId="24400" priority="10078" stopIfTrue="1" operator="equal">
      <formula>"Napkin Hs"</formula>
    </cfRule>
  </conditionalFormatting>
  <conditionalFormatting sqref="C74:C76">
    <cfRule type="cellIs" dxfId="24399" priority="10075" stopIfTrue="1" operator="equal">
      <formula>"Towel"</formula>
    </cfRule>
    <cfRule type="cellIs" dxfId="24398" priority="10076" stopIfTrue="1" operator="equal">
      <formula>"Napkin Hs"</formula>
    </cfRule>
  </conditionalFormatting>
  <conditionalFormatting sqref="C74:C76">
    <cfRule type="cellIs" dxfId="24397" priority="10065" stopIfTrue="1" operator="equal">
      <formula>"Towel"</formula>
    </cfRule>
    <cfRule type="cellIs" dxfId="24396" priority="10066" stopIfTrue="1" operator="equal">
      <formula>"Napkin Hs"</formula>
    </cfRule>
  </conditionalFormatting>
  <conditionalFormatting sqref="C74:C76">
    <cfRule type="cellIs" dxfId="24395" priority="10063" stopIfTrue="1" operator="equal">
      <formula>"Towel"</formula>
    </cfRule>
    <cfRule type="cellIs" dxfId="24394" priority="10064" stopIfTrue="1" operator="equal">
      <formula>"Napkin Hs"</formula>
    </cfRule>
  </conditionalFormatting>
  <conditionalFormatting sqref="C74:C76">
    <cfRule type="cellIs" dxfId="24393" priority="10061" stopIfTrue="1" operator="equal">
      <formula>"Towel"</formula>
    </cfRule>
    <cfRule type="cellIs" dxfId="24392" priority="10062" stopIfTrue="1" operator="equal">
      <formula>"Napkin Hs"</formula>
    </cfRule>
  </conditionalFormatting>
  <conditionalFormatting sqref="C74:C76">
    <cfRule type="cellIs" dxfId="24391" priority="10059" stopIfTrue="1" operator="equal">
      <formula>"Towel"</formula>
    </cfRule>
    <cfRule type="cellIs" dxfId="24390" priority="10060" stopIfTrue="1" operator="equal">
      <formula>"Napkin Hs"</formula>
    </cfRule>
  </conditionalFormatting>
  <conditionalFormatting sqref="C74:C76">
    <cfRule type="cellIs" dxfId="24389" priority="10057" stopIfTrue="1" operator="equal">
      <formula>"Towel"</formula>
    </cfRule>
    <cfRule type="cellIs" dxfId="24388" priority="10058" stopIfTrue="1" operator="equal">
      <formula>"Napkin Hs"</formula>
    </cfRule>
  </conditionalFormatting>
  <conditionalFormatting sqref="C74:C76">
    <cfRule type="cellIs" dxfId="24387" priority="10055" stopIfTrue="1" operator="equal">
      <formula>"Towel"</formula>
    </cfRule>
    <cfRule type="cellIs" dxfId="24386" priority="10056" stopIfTrue="1" operator="equal">
      <formula>"Napkin Hs"</formula>
    </cfRule>
  </conditionalFormatting>
  <conditionalFormatting sqref="C74:C76">
    <cfRule type="cellIs" dxfId="24385" priority="10053" stopIfTrue="1" operator="equal">
      <formula>"Towel"</formula>
    </cfRule>
    <cfRule type="cellIs" dxfId="24384" priority="10054" stopIfTrue="1" operator="equal">
      <formula>"Napkin Hs"</formula>
    </cfRule>
  </conditionalFormatting>
  <conditionalFormatting sqref="C74:C76">
    <cfRule type="cellIs" dxfId="24383" priority="10051" stopIfTrue="1" operator="equal">
      <formula>"Towel"</formula>
    </cfRule>
    <cfRule type="cellIs" dxfId="24382" priority="10052" stopIfTrue="1" operator="equal">
      <formula>"Napkin Hs"</formula>
    </cfRule>
  </conditionalFormatting>
  <conditionalFormatting sqref="C74:C76">
    <cfRule type="cellIs" dxfId="24381" priority="10049" stopIfTrue="1" operator="equal">
      <formula>"Towel"</formula>
    </cfRule>
    <cfRule type="cellIs" dxfId="24380" priority="10050" stopIfTrue="1" operator="equal">
      <formula>"Napkin Hs"</formula>
    </cfRule>
  </conditionalFormatting>
  <conditionalFormatting sqref="C74:C76">
    <cfRule type="cellIs" dxfId="24379" priority="10036" stopIfTrue="1" operator="equal">
      <formula>"Napkin Hs"</formula>
    </cfRule>
  </conditionalFormatting>
  <conditionalFormatting sqref="C74:C76">
    <cfRule type="cellIs" dxfId="24378" priority="10035" stopIfTrue="1" operator="equal">
      <formula>"Towel"</formula>
    </cfRule>
  </conditionalFormatting>
  <conditionalFormatting sqref="C74:C76">
    <cfRule type="cellIs" dxfId="24377" priority="10034" stopIfTrue="1" operator="equal">
      <formula>"Napkin Hs"</formula>
    </cfRule>
  </conditionalFormatting>
  <conditionalFormatting sqref="C74:C76">
    <cfRule type="cellIs" dxfId="24376" priority="10031" stopIfTrue="1" operator="equal">
      <formula>"Towel"</formula>
    </cfRule>
    <cfRule type="cellIs" dxfId="24375" priority="10032" stopIfTrue="1" operator="equal">
      <formula>"Napkin Hs"</formula>
    </cfRule>
  </conditionalFormatting>
  <conditionalFormatting sqref="C74:C76">
    <cfRule type="cellIs" dxfId="24374" priority="10033" stopIfTrue="1" operator="equal">
      <formula>"Towel"</formula>
    </cfRule>
  </conditionalFormatting>
  <conditionalFormatting sqref="C74:C76">
    <cfRule type="cellIs" dxfId="24373" priority="10151" stopIfTrue="1" operator="equal">
      <formula>"Towel"</formula>
    </cfRule>
    <cfRule type="cellIs" dxfId="24372" priority="10152" stopIfTrue="1" operator="equal">
      <formula>"Napkin Hs"</formula>
    </cfRule>
  </conditionalFormatting>
  <conditionalFormatting sqref="C74:C76">
    <cfRule type="cellIs" dxfId="24371" priority="10150" stopIfTrue="1" operator="equal">
      <formula>"Napkin Hs"</formula>
    </cfRule>
  </conditionalFormatting>
  <conditionalFormatting sqref="C74:C76">
    <cfRule type="cellIs" dxfId="24370" priority="10149" stopIfTrue="1" operator="equal">
      <formula>"Towel"</formula>
    </cfRule>
  </conditionalFormatting>
  <conditionalFormatting sqref="C74:C76">
    <cfRule type="cellIs" dxfId="24369" priority="10148" stopIfTrue="1" operator="equal">
      <formula>"Napkin Hs"</formula>
    </cfRule>
  </conditionalFormatting>
  <conditionalFormatting sqref="C74:C76">
    <cfRule type="cellIs" dxfId="24368" priority="10145" stopIfTrue="1" operator="equal">
      <formula>"Towel"</formula>
    </cfRule>
    <cfRule type="cellIs" dxfId="24367" priority="10146" stopIfTrue="1" operator="equal">
      <formula>"Napkin Hs"</formula>
    </cfRule>
  </conditionalFormatting>
  <conditionalFormatting sqref="C74:C76">
    <cfRule type="cellIs" dxfId="24366" priority="10147" stopIfTrue="1" operator="equal">
      <formula>"Towel"</formula>
    </cfRule>
  </conditionalFormatting>
  <conditionalFormatting sqref="C74:C76">
    <cfRule type="cellIs" dxfId="24365" priority="10155" stopIfTrue="1" operator="equal">
      <formula>"Towel"</formula>
    </cfRule>
    <cfRule type="cellIs" dxfId="24364" priority="10156" stopIfTrue="1" operator="equal">
      <formula>"Napkin Hs"</formula>
    </cfRule>
  </conditionalFormatting>
  <conditionalFormatting sqref="C74:C76">
    <cfRule type="cellIs" dxfId="24363" priority="10153" stopIfTrue="1" operator="equal">
      <formula>"Towel"</formula>
    </cfRule>
    <cfRule type="cellIs" dxfId="24362" priority="10154" stopIfTrue="1" operator="equal">
      <formula>"Napkin Hs"</formula>
    </cfRule>
  </conditionalFormatting>
  <conditionalFormatting sqref="C74:C76">
    <cfRule type="cellIs" dxfId="24361" priority="10125" stopIfTrue="1" operator="equal">
      <formula>"Towel"</formula>
    </cfRule>
    <cfRule type="cellIs" dxfId="24360" priority="10126" stopIfTrue="1" operator="equal">
      <formula>"Napkin Hs"</formula>
    </cfRule>
  </conditionalFormatting>
  <conditionalFormatting sqref="C74:C76">
    <cfRule type="cellIs" dxfId="24359" priority="10123" stopIfTrue="1" operator="equal">
      <formula>"Towel"</formula>
    </cfRule>
    <cfRule type="cellIs" dxfId="24358" priority="10124" stopIfTrue="1" operator="equal">
      <formula>"Napkin Hs"</formula>
    </cfRule>
  </conditionalFormatting>
  <conditionalFormatting sqref="C74:C76">
    <cfRule type="cellIs" dxfId="24357" priority="10102" stopIfTrue="1" operator="equal">
      <formula>"Napkin Hs"</formula>
    </cfRule>
  </conditionalFormatting>
  <conditionalFormatting sqref="C74:C76">
    <cfRule type="cellIs" dxfId="24356" priority="10101" stopIfTrue="1" operator="equal">
      <formula>"Towel"</formula>
    </cfRule>
  </conditionalFormatting>
  <conditionalFormatting sqref="C74:C76">
    <cfRule type="cellIs" dxfId="24355" priority="10100" stopIfTrue="1" operator="equal">
      <formula>"Napkin Hs"</formula>
    </cfRule>
  </conditionalFormatting>
  <conditionalFormatting sqref="C74:C76">
    <cfRule type="cellIs" dxfId="24354" priority="10099" stopIfTrue="1" operator="equal">
      <formula>"Towel"</formula>
    </cfRule>
  </conditionalFormatting>
  <conditionalFormatting sqref="C74:C76">
    <cfRule type="cellIs" dxfId="24353" priority="10096" stopIfTrue="1" operator="equal">
      <formula>"Napkin Hs"</formula>
    </cfRule>
  </conditionalFormatting>
  <conditionalFormatting sqref="C74:C76">
    <cfRule type="cellIs" dxfId="24352" priority="10095" stopIfTrue="1" operator="equal">
      <formula>"Towel"</formula>
    </cfRule>
  </conditionalFormatting>
  <conditionalFormatting sqref="C74:C76">
    <cfRule type="cellIs" dxfId="24351" priority="10094" stopIfTrue="1" operator="equal">
      <formula>"Napkin Hs"</formula>
    </cfRule>
  </conditionalFormatting>
  <conditionalFormatting sqref="C74:C76">
    <cfRule type="cellIs" dxfId="24350" priority="10093" stopIfTrue="1" operator="equal">
      <formula>"Towel"</formula>
    </cfRule>
  </conditionalFormatting>
  <conditionalFormatting sqref="C74:C76">
    <cfRule type="cellIs" dxfId="24349" priority="10089" stopIfTrue="1" operator="equal">
      <formula>"Towel"</formula>
    </cfRule>
    <cfRule type="cellIs" dxfId="24348" priority="10090" stopIfTrue="1" operator="equal">
      <formula>"Napkin Hs"</formula>
    </cfRule>
  </conditionalFormatting>
  <conditionalFormatting sqref="C74:C76">
    <cfRule type="cellIs" dxfId="24347" priority="10087" stopIfTrue="1" operator="equal">
      <formula>"Towel"</formula>
    </cfRule>
    <cfRule type="cellIs" dxfId="24346" priority="10088" stopIfTrue="1" operator="equal">
      <formula>"Napkin Hs"</formula>
    </cfRule>
  </conditionalFormatting>
  <conditionalFormatting sqref="C74:C76">
    <cfRule type="cellIs" dxfId="24345" priority="10071" stopIfTrue="1" operator="equal">
      <formula>"Towel"</formula>
    </cfRule>
    <cfRule type="cellIs" dxfId="24344" priority="10072" stopIfTrue="1" operator="equal">
      <formula>"Napkin Hs"</formula>
    </cfRule>
  </conditionalFormatting>
  <conditionalFormatting sqref="C74:C76">
    <cfRule type="cellIs" dxfId="24343" priority="10069" stopIfTrue="1" operator="equal">
      <formula>"Towel"</formula>
    </cfRule>
    <cfRule type="cellIs" dxfId="24342" priority="10070" stopIfTrue="1" operator="equal">
      <formula>"Napkin Hs"</formula>
    </cfRule>
  </conditionalFormatting>
  <conditionalFormatting sqref="B74:C76">
    <cfRule type="cellIs" dxfId="24341" priority="10030" stopIfTrue="1" operator="equal">
      <formula>"Napkin Hs"</formula>
    </cfRule>
  </conditionalFormatting>
  <conditionalFormatting sqref="B74:C76">
    <cfRule type="cellIs" dxfId="24340" priority="10029" stopIfTrue="1" operator="equal">
      <formula>"Towel"</formula>
    </cfRule>
  </conditionalFormatting>
  <conditionalFormatting sqref="C74:C76">
    <cfRule type="cellIs" dxfId="24339" priority="10028" stopIfTrue="1" operator="equal">
      <formula>"Napkin Hs"</formula>
    </cfRule>
  </conditionalFormatting>
  <conditionalFormatting sqref="C74:C76">
    <cfRule type="cellIs" dxfId="24338" priority="10025" stopIfTrue="1" operator="equal">
      <formula>"Towel"</formula>
    </cfRule>
    <cfRule type="cellIs" dxfId="24337" priority="10026" stopIfTrue="1" operator="equal">
      <formula>"Napkin Hs"</formula>
    </cfRule>
  </conditionalFormatting>
  <conditionalFormatting sqref="C74:C76">
    <cfRule type="cellIs" dxfId="24336" priority="10027" stopIfTrue="1" operator="equal">
      <formula>"Towel"</formula>
    </cfRule>
  </conditionalFormatting>
  <conditionalFormatting sqref="B76:C76">
    <cfRule type="cellIs" dxfId="24335" priority="10024" stopIfTrue="1" operator="equal">
      <formula>"Napkin Hs"</formula>
    </cfRule>
  </conditionalFormatting>
  <conditionalFormatting sqref="B76:C76">
    <cfRule type="cellIs" dxfId="24334" priority="10023" stopIfTrue="1" operator="equal">
      <formula>"Towel"</formula>
    </cfRule>
  </conditionalFormatting>
  <conditionalFormatting sqref="B75:C75">
    <cfRule type="cellIs" dxfId="24333" priority="10019" stopIfTrue="1" operator="equal">
      <formula>"Towel"</formula>
    </cfRule>
    <cfRule type="cellIs" dxfId="24332" priority="10020" stopIfTrue="1" operator="equal">
      <formula>"Napkin Hs"</formula>
    </cfRule>
  </conditionalFormatting>
  <conditionalFormatting sqref="C76">
    <cfRule type="cellIs" dxfId="24331" priority="10022" stopIfTrue="1" operator="equal">
      <formula>"Napkin Hs"</formula>
    </cfRule>
  </conditionalFormatting>
  <conditionalFormatting sqref="C76">
    <cfRule type="cellIs" dxfId="24330" priority="10021" stopIfTrue="1" operator="equal">
      <formula>"Towel"</formula>
    </cfRule>
  </conditionalFormatting>
  <conditionalFormatting sqref="C75">
    <cfRule type="cellIs" dxfId="24329" priority="10017" stopIfTrue="1" operator="equal">
      <formula>"Towel"</formula>
    </cfRule>
    <cfRule type="cellIs" dxfId="24328" priority="10018" stopIfTrue="1" operator="equal">
      <formula>"Napkin Hs"</formula>
    </cfRule>
  </conditionalFormatting>
  <conditionalFormatting sqref="B77:C77">
    <cfRule type="cellIs" dxfId="24327" priority="10015" stopIfTrue="1" operator="equal">
      <formula>"Towel"</formula>
    </cfRule>
    <cfRule type="cellIs" dxfId="24326" priority="10016" stopIfTrue="1" operator="equal">
      <formula>"Napkin Hs"</formula>
    </cfRule>
  </conditionalFormatting>
  <conditionalFormatting sqref="C77">
    <cfRule type="cellIs" dxfId="24325" priority="10011" stopIfTrue="1" operator="equal">
      <formula>"Towel"</formula>
    </cfRule>
    <cfRule type="cellIs" dxfId="24324" priority="10012" stopIfTrue="1" operator="equal">
      <formula>"Napkin Hs"</formula>
    </cfRule>
  </conditionalFormatting>
  <conditionalFormatting sqref="C77">
    <cfRule type="cellIs" dxfId="24323" priority="10013" stopIfTrue="1" operator="equal">
      <formula>"Towel"</formula>
    </cfRule>
    <cfRule type="cellIs" dxfId="24322" priority="10014" stopIfTrue="1" operator="equal">
      <formula>"Napkin Hs"</formula>
    </cfRule>
  </conditionalFormatting>
  <conditionalFormatting sqref="B77:C77">
    <cfRule type="cellIs" dxfId="24321" priority="10010" stopIfTrue="1" operator="equal">
      <formula>"Napkin Hs"</formula>
    </cfRule>
  </conditionalFormatting>
  <conditionalFormatting sqref="B77:C77">
    <cfRule type="cellIs" dxfId="24320" priority="10009" stopIfTrue="1" operator="equal">
      <formula>"Towel"</formula>
    </cfRule>
  </conditionalFormatting>
  <conditionalFormatting sqref="C77">
    <cfRule type="cellIs" dxfId="24319" priority="10008" stopIfTrue="1" operator="equal">
      <formula>"Napkin Hs"</formula>
    </cfRule>
  </conditionalFormatting>
  <conditionalFormatting sqref="C77">
    <cfRule type="cellIs" dxfId="24318" priority="10007" stopIfTrue="1" operator="equal">
      <formula>"Towel"</formula>
    </cfRule>
  </conditionalFormatting>
  <conditionalFormatting sqref="C77">
    <cfRule type="cellIs" dxfId="24317" priority="10005" stopIfTrue="1" operator="equal">
      <formula>"Towel"</formula>
    </cfRule>
    <cfRule type="cellIs" dxfId="24316" priority="10006" stopIfTrue="1" operator="equal">
      <formula>"Napkin Hs"</formula>
    </cfRule>
  </conditionalFormatting>
  <conditionalFormatting sqref="B77:C77">
    <cfRule type="cellIs" dxfId="24315" priority="10003" stopIfTrue="1" operator="equal">
      <formula>"Towel"</formula>
    </cfRule>
    <cfRule type="cellIs" dxfId="24314" priority="10004" stopIfTrue="1" operator="equal">
      <formula>"Napkin Hs"</formula>
    </cfRule>
  </conditionalFormatting>
  <conditionalFormatting sqref="C77">
    <cfRule type="cellIs" dxfId="24313" priority="10001" stopIfTrue="1" operator="equal">
      <formula>"Towel"</formula>
    </cfRule>
    <cfRule type="cellIs" dxfId="24312" priority="10002" stopIfTrue="1" operator="equal">
      <formula>"Napkin Hs"</formula>
    </cfRule>
  </conditionalFormatting>
  <conditionalFormatting sqref="C77">
    <cfRule type="cellIs" dxfId="24311" priority="9999" stopIfTrue="1" operator="equal">
      <formula>"Towel"</formula>
    </cfRule>
    <cfRule type="cellIs" dxfId="24310" priority="10000" stopIfTrue="1" operator="equal">
      <formula>"Napkin Hs"</formula>
    </cfRule>
  </conditionalFormatting>
  <conditionalFormatting sqref="B77:C77">
    <cfRule type="cellIs" dxfId="24309" priority="9997" stopIfTrue="1" operator="equal">
      <formula>"Towel"</formula>
    </cfRule>
    <cfRule type="cellIs" dxfId="24308" priority="9998" stopIfTrue="1" operator="equal">
      <formula>"Napkin Hs"</formula>
    </cfRule>
  </conditionalFormatting>
  <conditionalFormatting sqref="C77">
    <cfRule type="cellIs" dxfId="24307" priority="9995" stopIfTrue="1" operator="equal">
      <formula>"Towel"</formula>
    </cfRule>
    <cfRule type="cellIs" dxfId="24306" priority="9996" stopIfTrue="1" operator="equal">
      <formula>"Napkin Hs"</formula>
    </cfRule>
  </conditionalFormatting>
  <conditionalFormatting sqref="C77">
    <cfRule type="cellIs" dxfId="24305" priority="9993" stopIfTrue="1" operator="equal">
      <formula>"Towel"</formula>
    </cfRule>
    <cfRule type="cellIs" dxfId="24304" priority="9994" stopIfTrue="1" operator="equal">
      <formula>"Napkin Hs"</formula>
    </cfRule>
  </conditionalFormatting>
  <conditionalFormatting sqref="B77:C77">
    <cfRule type="cellIs" dxfId="24303" priority="9991" stopIfTrue="1" operator="equal">
      <formula>"Towel"</formula>
    </cfRule>
    <cfRule type="cellIs" dxfId="24302" priority="9992" stopIfTrue="1" operator="equal">
      <formula>"Napkin Hs"</formula>
    </cfRule>
  </conditionalFormatting>
  <conditionalFormatting sqref="C77">
    <cfRule type="cellIs" dxfId="24301" priority="9989" stopIfTrue="1" operator="equal">
      <formula>"Towel"</formula>
    </cfRule>
    <cfRule type="cellIs" dxfId="24300" priority="9990" stopIfTrue="1" operator="equal">
      <formula>"Napkin Hs"</formula>
    </cfRule>
  </conditionalFormatting>
  <conditionalFormatting sqref="C77">
    <cfRule type="cellIs" dxfId="24299" priority="9987" stopIfTrue="1" operator="equal">
      <formula>"Towel"</formula>
    </cfRule>
    <cfRule type="cellIs" dxfId="24298" priority="9988" stopIfTrue="1" operator="equal">
      <formula>"Napkin Hs"</formula>
    </cfRule>
  </conditionalFormatting>
  <conditionalFormatting sqref="B77:C77">
    <cfRule type="cellIs" dxfId="24297" priority="9985" stopIfTrue="1" operator="equal">
      <formula>"Towel"</formula>
    </cfRule>
    <cfRule type="cellIs" dxfId="24296" priority="9986" stopIfTrue="1" operator="equal">
      <formula>"Napkin Hs"</formula>
    </cfRule>
  </conditionalFormatting>
  <conditionalFormatting sqref="C77">
    <cfRule type="cellIs" dxfId="24295" priority="9983" stopIfTrue="1" operator="equal">
      <formula>"Towel"</formula>
    </cfRule>
    <cfRule type="cellIs" dxfId="24294" priority="9984" stopIfTrue="1" operator="equal">
      <formula>"Napkin Hs"</formula>
    </cfRule>
  </conditionalFormatting>
  <conditionalFormatting sqref="C77">
    <cfRule type="cellIs" dxfId="24293" priority="9981" stopIfTrue="1" operator="equal">
      <formula>"Towel"</formula>
    </cfRule>
    <cfRule type="cellIs" dxfId="24292" priority="9982" stopIfTrue="1" operator="equal">
      <formula>"Napkin Hs"</formula>
    </cfRule>
  </conditionalFormatting>
  <conditionalFormatting sqref="B77:C77">
    <cfRule type="cellIs" dxfId="24291" priority="9979" stopIfTrue="1" operator="equal">
      <formula>"Towel"</formula>
    </cfRule>
    <cfRule type="cellIs" dxfId="24290" priority="9980" stopIfTrue="1" operator="equal">
      <formula>"Napkin Hs"</formula>
    </cfRule>
  </conditionalFormatting>
  <conditionalFormatting sqref="C77">
    <cfRule type="cellIs" dxfId="24289" priority="9977" stopIfTrue="1" operator="equal">
      <formula>"Towel"</formula>
    </cfRule>
    <cfRule type="cellIs" dxfId="24288" priority="9978" stopIfTrue="1" operator="equal">
      <formula>"Napkin Hs"</formula>
    </cfRule>
  </conditionalFormatting>
  <conditionalFormatting sqref="C77">
    <cfRule type="cellIs" dxfId="24287" priority="9975" stopIfTrue="1" operator="equal">
      <formula>"Towel"</formula>
    </cfRule>
    <cfRule type="cellIs" dxfId="24286" priority="9976" stopIfTrue="1" operator="equal">
      <formula>"Napkin Hs"</formula>
    </cfRule>
  </conditionalFormatting>
  <conditionalFormatting sqref="B77:C77">
    <cfRule type="cellIs" dxfId="24285" priority="9974" stopIfTrue="1" operator="equal">
      <formula>"Napkin Hs"</formula>
    </cfRule>
  </conditionalFormatting>
  <conditionalFormatting sqref="B77:C77">
    <cfRule type="cellIs" dxfId="24284" priority="9973" stopIfTrue="1" operator="equal">
      <formula>"Towel"</formula>
    </cfRule>
  </conditionalFormatting>
  <conditionalFormatting sqref="C77">
    <cfRule type="cellIs" dxfId="24283" priority="9972" stopIfTrue="1" operator="equal">
      <formula>"Napkin Hs"</formula>
    </cfRule>
  </conditionalFormatting>
  <conditionalFormatting sqref="C77">
    <cfRule type="cellIs" dxfId="24282" priority="9969" stopIfTrue="1" operator="equal">
      <formula>"Towel"</formula>
    </cfRule>
    <cfRule type="cellIs" dxfId="24281" priority="9970" stopIfTrue="1" operator="equal">
      <formula>"Napkin Hs"</formula>
    </cfRule>
  </conditionalFormatting>
  <conditionalFormatting sqref="C77">
    <cfRule type="cellIs" dxfId="24280" priority="9971" stopIfTrue="1" operator="equal">
      <formula>"Towel"</formula>
    </cfRule>
  </conditionalFormatting>
  <conditionalFormatting sqref="B77:C77">
    <cfRule type="cellIs" dxfId="24279" priority="9967" stopIfTrue="1" operator="equal">
      <formula>"Towel"</formula>
    </cfRule>
    <cfRule type="cellIs" dxfId="24278" priority="9968" stopIfTrue="1" operator="equal">
      <formula>"Napkin Hs"</formula>
    </cfRule>
  </conditionalFormatting>
  <conditionalFormatting sqref="C77">
    <cfRule type="cellIs" dxfId="24277" priority="9963" stopIfTrue="1" operator="equal">
      <formula>"Towel"</formula>
    </cfRule>
    <cfRule type="cellIs" dxfId="24276" priority="9964" stopIfTrue="1" operator="equal">
      <formula>"Napkin Hs"</formula>
    </cfRule>
  </conditionalFormatting>
  <conditionalFormatting sqref="C77">
    <cfRule type="cellIs" dxfId="24275" priority="9965" stopIfTrue="1" operator="equal">
      <formula>"Towel"</formula>
    </cfRule>
    <cfRule type="cellIs" dxfId="24274" priority="9966" stopIfTrue="1" operator="equal">
      <formula>"Napkin Hs"</formula>
    </cfRule>
  </conditionalFormatting>
  <conditionalFormatting sqref="B77:C77">
    <cfRule type="cellIs" dxfId="24273" priority="9961" stopIfTrue="1" operator="equal">
      <formula>"Towel"</formula>
    </cfRule>
    <cfRule type="cellIs" dxfId="24272" priority="9962" stopIfTrue="1" operator="equal">
      <formula>"Napkin Hs"</formula>
    </cfRule>
  </conditionalFormatting>
  <conditionalFormatting sqref="C77">
    <cfRule type="cellIs" dxfId="24271" priority="9957" stopIfTrue="1" operator="equal">
      <formula>"Towel"</formula>
    </cfRule>
    <cfRule type="cellIs" dxfId="24270" priority="9958" stopIfTrue="1" operator="equal">
      <formula>"Napkin Hs"</formula>
    </cfRule>
  </conditionalFormatting>
  <conditionalFormatting sqref="C77">
    <cfRule type="cellIs" dxfId="24269" priority="9959" stopIfTrue="1" operator="equal">
      <formula>"Towel"</formula>
    </cfRule>
    <cfRule type="cellIs" dxfId="24268" priority="9960" stopIfTrue="1" operator="equal">
      <formula>"Napkin Hs"</formula>
    </cfRule>
  </conditionalFormatting>
  <conditionalFormatting sqref="B77:C77">
    <cfRule type="cellIs" dxfId="24267" priority="9955" stopIfTrue="1" operator="equal">
      <formula>"Towel"</formula>
    </cfRule>
    <cfRule type="cellIs" dxfId="24266" priority="9956" stopIfTrue="1" operator="equal">
      <formula>"Napkin Hs"</formula>
    </cfRule>
  </conditionalFormatting>
  <conditionalFormatting sqref="C77">
    <cfRule type="cellIs" dxfId="24265" priority="9953" stopIfTrue="1" operator="equal">
      <formula>"Towel"</formula>
    </cfRule>
    <cfRule type="cellIs" dxfId="24264" priority="9954" stopIfTrue="1" operator="equal">
      <formula>"Napkin Hs"</formula>
    </cfRule>
  </conditionalFormatting>
  <conditionalFormatting sqref="C77">
    <cfRule type="cellIs" dxfId="24263" priority="9951" stopIfTrue="1" operator="equal">
      <formula>"Towel"</formula>
    </cfRule>
    <cfRule type="cellIs" dxfId="24262" priority="9952" stopIfTrue="1" operator="equal">
      <formula>"Napkin Hs"</formula>
    </cfRule>
  </conditionalFormatting>
  <conditionalFormatting sqref="B77:C77">
    <cfRule type="cellIs" dxfId="24261" priority="9950" stopIfTrue="1" operator="equal">
      <formula>"Napkin Hs"</formula>
    </cfRule>
  </conditionalFormatting>
  <conditionalFormatting sqref="B77:C77">
    <cfRule type="cellIs" dxfId="24260" priority="9949" stopIfTrue="1" operator="equal">
      <formula>"Towel"</formula>
    </cfRule>
  </conditionalFormatting>
  <conditionalFormatting sqref="C77">
    <cfRule type="cellIs" dxfId="24259" priority="9948" stopIfTrue="1" operator="equal">
      <formula>"Napkin Hs"</formula>
    </cfRule>
  </conditionalFormatting>
  <conditionalFormatting sqref="C77">
    <cfRule type="cellIs" dxfId="24258" priority="9947" stopIfTrue="1" operator="equal">
      <formula>"Towel"</formula>
    </cfRule>
  </conditionalFormatting>
  <conditionalFormatting sqref="C77">
    <cfRule type="cellIs" dxfId="24257" priority="9945" stopIfTrue="1" operator="equal">
      <formula>"Towel"</formula>
    </cfRule>
    <cfRule type="cellIs" dxfId="24256" priority="9946" stopIfTrue="1" operator="equal">
      <formula>"Napkin Hs"</formula>
    </cfRule>
  </conditionalFormatting>
  <conditionalFormatting sqref="C77">
    <cfRule type="cellIs" dxfId="24255" priority="9943" stopIfTrue="1" operator="equal">
      <formula>"Towel"</formula>
    </cfRule>
    <cfRule type="cellIs" dxfId="24254" priority="9944" stopIfTrue="1" operator="equal">
      <formula>"Napkin Hs"</formula>
    </cfRule>
  </conditionalFormatting>
  <conditionalFormatting sqref="C77">
    <cfRule type="cellIs" dxfId="24253" priority="9859" stopIfTrue="1" operator="equal">
      <formula>"Towel"</formula>
    </cfRule>
    <cfRule type="cellIs" dxfId="24252" priority="9860" stopIfTrue="1" operator="equal">
      <formula>"Napkin Hs"</formula>
    </cfRule>
  </conditionalFormatting>
  <conditionalFormatting sqref="C77">
    <cfRule type="cellIs" dxfId="24251" priority="9853" stopIfTrue="1" operator="equal">
      <formula>"Towel"</formula>
    </cfRule>
    <cfRule type="cellIs" dxfId="24250" priority="9854" stopIfTrue="1" operator="equal">
      <formula>"Napkin Hs"</formula>
    </cfRule>
  </conditionalFormatting>
  <conditionalFormatting sqref="C77">
    <cfRule type="cellIs" dxfId="24249" priority="9834" stopIfTrue="1" operator="equal">
      <formula>"Napkin Hs"</formula>
    </cfRule>
  </conditionalFormatting>
  <conditionalFormatting sqref="C77">
    <cfRule type="cellIs" dxfId="24248" priority="9833" stopIfTrue="1" operator="equal">
      <formula>"Towel"</formula>
    </cfRule>
  </conditionalFormatting>
  <conditionalFormatting sqref="C77">
    <cfRule type="cellIs" dxfId="24247" priority="9832" stopIfTrue="1" operator="equal">
      <formula>"Napkin Hs"</formula>
    </cfRule>
  </conditionalFormatting>
  <conditionalFormatting sqref="C77">
    <cfRule type="cellIs" dxfId="24246" priority="9829" stopIfTrue="1" operator="equal">
      <formula>"Towel"</formula>
    </cfRule>
    <cfRule type="cellIs" dxfId="24245" priority="9830" stopIfTrue="1" operator="equal">
      <formula>"Napkin Hs"</formula>
    </cfRule>
  </conditionalFormatting>
  <conditionalFormatting sqref="C77">
    <cfRule type="cellIs" dxfId="24244" priority="9831" stopIfTrue="1" operator="equal">
      <formula>"Towel"</formula>
    </cfRule>
  </conditionalFormatting>
  <conditionalFormatting sqref="C77">
    <cfRule type="cellIs" dxfId="24243" priority="9828" stopIfTrue="1" operator="equal">
      <formula>"Napkin Hs"</formula>
    </cfRule>
  </conditionalFormatting>
  <conditionalFormatting sqref="C77">
    <cfRule type="cellIs" dxfId="24242" priority="9827" stopIfTrue="1" operator="equal">
      <formula>"Towel"</formula>
    </cfRule>
  </conditionalFormatting>
  <conditionalFormatting sqref="C77">
    <cfRule type="cellIs" dxfId="24241" priority="9826" stopIfTrue="1" operator="equal">
      <formula>"Napkin Hs"</formula>
    </cfRule>
  </conditionalFormatting>
  <conditionalFormatting sqref="C77">
    <cfRule type="cellIs" dxfId="24240" priority="9823" stopIfTrue="1" operator="equal">
      <formula>"Towel"</formula>
    </cfRule>
    <cfRule type="cellIs" dxfId="24239" priority="9824" stopIfTrue="1" operator="equal">
      <formula>"Napkin Hs"</formula>
    </cfRule>
  </conditionalFormatting>
  <conditionalFormatting sqref="C77">
    <cfRule type="cellIs" dxfId="24238" priority="9825" stopIfTrue="1" operator="equal">
      <formula>"Towel"</formula>
    </cfRule>
  </conditionalFormatting>
  <conditionalFormatting sqref="C77">
    <cfRule type="cellIs" dxfId="24237" priority="9929" stopIfTrue="1" operator="equal">
      <formula>"Towel"</formula>
    </cfRule>
    <cfRule type="cellIs" dxfId="24236" priority="9930" stopIfTrue="1" operator="equal">
      <formula>"Napkin Hs"</formula>
    </cfRule>
  </conditionalFormatting>
  <conditionalFormatting sqref="C77">
    <cfRule type="cellIs" dxfId="24235" priority="9927" stopIfTrue="1" operator="equal">
      <formula>"Towel"</formula>
    </cfRule>
    <cfRule type="cellIs" dxfId="24234" priority="9928" stopIfTrue="1" operator="equal">
      <formula>"Napkin Hs"</formula>
    </cfRule>
  </conditionalFormatting>
  <conditionalFormatting sqref="C77">
    <cfRule type="cellIs" dxfId="24233" priority="9925" stopIfTrue="1" operator="equal">
      <formula>"Towel"</formula>
    </cfRule>
    <cfRule type="cellIs" dxfId="24232" priority="9926" stopIfTrue="1" operator="equal">
      <formula>"Napkin Hs"</formula>
    </cfRule>
  </conditionalFormatting>
  <conditionalFormatting sqref="C77">
    <cfRule type="cellIs" dxfId="24231" priority="9924" stopIfTrue="1" operator="equal">
      <formula>"Napkin Hs"</formula>
    </cfRule>
  </conditionalFormatting>
  <conditionalFormatting sqref="C77">
    <cfRule type="cellIs" dxfId="24230" priority="9923" stopIfTrue="1" operator="equal">
      <formula>"Towel"</formula>
    </cfRule>
  </conditionalFormatting>
  <conditionalFormatting sqref="C77">
    <cfRule type="cellIs" dxfId="24229" priority="9922" stopIfTrue="1" operator="equal">
      <formula>"Napkin Hs"</formula>
    </cfRule>
  </conditionalFormatting>
  <conditionalFormatting sqref="C77">
    <cfRule type="cellIs" dxfId="24228" priority="9921" stopIfTrue="1" operator="equal">
      <formula>"Towel"</formula>
    </cfRule>
  </conditionalFormatting>
  <conditionalFormatting sqref="C77">
    <cfRule type="cellIs" dxfId="24227" priority="9919" stopIfTrue="1" operator="equal">
      <formula>"Towel"</formula>
    </cfRule>
    <cfRule type="cellIs" dxfId="24226" priority="9920" stopIfTrue="1" operator="equal">
      <formula>"Napkin Hs"</formula>
    </cfRule>
  </conditionalFormatting>
  <conditionalFormatting sqref="C77">
    <cfRule type="cellIs" dxfId="24225" priority="9917" stopIfTrue="1" operator="equal">
      <formula>"Towel"</formula>
    </cfRule>
    <cfRule type="cellIs" dxfId="24224" priority="9918" stopIfTrue="1" operator="equal">
      <formula>"Napkin Hs"</formula>
    </cfRule>
  </conditionalFormatting>
  <conditionalFormatting sqref="C77">
    <cfRule type="cellIs" dxfId="24223" priority="9913" stopIfTrue="1" operator="equal">
      <formula>"Towel"</formula>
    </cfRule>
    <cfRule type="cellIs" dxfId="24222" priority="9914" stopIfTrue="1" operator="equal">
      <formula>"Napkin Hs"</formula>
    </cfRule>
  </conditionalFormatting>
  <conditionalFormatting sqref="C77">
    <cfRule type="cellIs" dxfId="24221" priority="9915" stopIfTrue="1" operator="equal">
      <formula>"Towel"</formula>
    </cfRule>
    <cfRule type="cellIs" dxfId="24220" priority="9916" stopIfTrue="1" operator="equal">
      <formula>"Napkin Hs"</formula>
    </cfRule>
  </conditionalFormatting>
  <conditionalFormatting sqref="C77">
    <cfRule type="cellIs" dxfId="24219" priority="9907" stopIfTrue="1" operator="equal">
      <formula>"Towel"</formula>
    </cfRule>
    <cfRule type="cellIs" dxfId="24218" priority="9908" stopIfTrue="1" operator="equal">
      <formula>"Napkin Hs"</formula>
    </cfRule>
  </conditionalFormatting>
  <conditionalFormatting sqref="C77">
    <cfRule type="cellIs" dxfId="24217" priority="9905" stopIfTrue="1" operator="equal">
      <formula>"Towel"</formula>
    </cfRule>
    <cfRule type="cellIs" dxfId="24216" priority="9906" stopIfTrue="1" operator="equal">
      <formula>"Napkin Hs"</formula>
    </cfRule>
  </conditionalFormatting>
  <conditionalFormatting sqref="C77">
    <cfRule type="cellIs" dxfId="24215" priority="9903" stopIfTrue="1" operator="equal">
      <formula>"Towel"</formula>
    </cfRule>
    <cfRule type="cellIs" dxfId="24214" priority="9904" stopIfTrue="1" operator="equal">
      <formula>"Napkin Hs"</formula>
    </cfRule>
  </conditionalFormatting>
  <conditionalFormatting sqref="C77">
    <cfRule type="cellIs" dxfId="24213" priority="9901" stopIfTrue="1" operator="equal">
      <formula>"Towel"</formula>
    </cfRule>
    <cfRule type="cellIs" dxfId="24212" priority="9902" stopIfTrue="1" operator="equal">
      <formula>"Napkin Hs"</formula>
    </cfRule>
  </conditionalFormatting>
  <conditionalFormatting sqref="C77">
    <cfRule type="cellIs" dxfId="24211" priority="9899" stopIfTrue="1" operator="equal">
      <formula>"Towel"</formula>
    </cfRule>
    <cfRule type="cellIs" dxfId="24210" priority="9900" stopIfTrue="1" operator="equal">
      <formula>"Napkin Hs"</formula>
    </cfRule>
  </conditionalFormatting>
  <conditionalFormatting sqref="C77">
    <cfRule type="cellIs" dxfId="24209" priority="9897" stopIfTrue="1" operator="equal">
      <formula>"Towel"</formula>
    </cfRule>
    <cfRule type="cellIs" dxfId="24208" priority="9898" stopIfTrue="1" operator="equal">
      <formula>"Napkin Hs"</formula>
    </cfRule>
  </conditionalFormatting>
  <conditionalFormatting sqref="C77">
    <cfRule type="cellIs" dxfId="24207" priority="9895" stopIfTrue="1" operator="equal">
      <formula>"Towel"</formula>
    </cfRule>
    <cfRule type="cellIs" dxfId="24206" priority="9896" stopIfTrue="1" operator="equal">
      <formula>"Napkin Hs"</formula>
    </cfRule>
  </conditionalFormatting>
  <conditionalFormatting sqref="C77">
    <cfRule type="cellIs" dxfId="24205" priority="9893" stopIfTrue="1" operator="equal">
      <formula>"Towel"</formula>
    </cfRule>
    <cfRule type="cellIs" dxfId="24204" priority="9894" stopIfTrue="1" operator="equal">
      <formula>"Napkin Hs"</formula>
    </cfRule>
  </conditionalFormatting>
  <conditionalFormatting sqref="C77">
    <cfRule type="cellIs" dxfId="24203" priority="9891" stopIfTrue="1" operator="equal">
      <formula>"Towel"</formula>
    </cfRule>
    <cfRule type="cellIs" dxfId="24202" priority="9892" stopIfTrue="1" operator="equal">
      <formula>"Napkin Hs"</formula>
    </cfRule>
  </conditionalFormatting>
  <conditionalFormatting sqref="C77">
    <cfRule type="cellIs" dxfId="24201" priority="9889" stopIfTrue="1" operator="equal">
      <formula>"Towel"</formula>
    </cfRule>
    <cfRule type="cellIs" dxfId="24200" priority="9890" stopIfTrue="1" operator="equal">
      <formula>"Napkin Hs"</formula>
    </cfRule>
  </conditionalFormatting>
  <conditionalFormatting sqref="C77">
    <cfRule type="cellIs" dxfId="24199" priority="9883" stopIfTrue="1" operator="equal">
      <formula>"Towel"</formula>
    </cfRule>
    <cfRule type="cellIs" dxfId="24198" priority="9884" stopIfTrue="1" operator="equal">
      <formula>"Napkin Hs"</formula>
    </cfRule>
  </conditionalFormatting>
  <conditionalFormatting sqref="C77">
    <cfRule type="cellIs" dxfId="24197" priority="9877" stopIfTrue="1" operator="equal">
      <formula>"Towel"</formula>
    </cfRule>
    <cfRule type="cellIs" dxfId="24196" priority="9878" stopIfTrue="1" operator="equal">
      <formula>"Napkin Hs"</formula>
    </cfRule>
  </conditionalFormatting>
  <conditionalFormatting sqref="C77">
    <cfRule type="cellIs" dxfId="24195" priority="9871" stopIfTrue="1" operator="equal">
      <formula>"Towel"</formula>
    </cfRule>
    <cfRule type="cellIs" dxfId="24194" priority="9872" stopIfTrue="1" operator="equal">
      <formula>"Napkin Hs"</formula>
    </cfRule>
  </conditionalFormatting>
  <conditionalFormatting sqref="C77">
    <cfRule type="cellIs" dxfId="24193" priority="9870" stopIfTrue="1" operator="equal">
      <formula>"Napkin Hs"</formula>
    </cfRule>
  </conditionalFormatting>
  <conditionalFormatting sqref="C77">
    <cfRule type="cellIs" dxfId="24192" priority="9869" stopIfTrue="1" operator="equal">
      <formula>"Towel"</formula>
    </cfRule>
  </conditionalFormatting>
  <conditionalFormatting sqref="C77">
    <cfRule type="cellIs" dxfId="24191" priority="9868" stopIfTrue="1" operator="equal">
      <formula>"Napkin Hs"</formula>
    </cfRule>
  </conditionalFormatting>
  <conditionalFormatting sqref="C77">
    <cfRule type="cellIs" dxfId="24190" priority="9867" stopIfTrue="1" operator="equal">
      <formula>"Towel"</formula>
    </cfRule>
  </conditionalFormatting>
  <conditionalFormatting sqref="C77">
    <cfRule type="cellIs" dxfId="24189" priority="9865" stopIfTrue="1" operator="equal">
      <formula>"Towel"</formula>
    </cfRule>
    <cfRule type="cellIs" dxfId="24188" priority="9866" stopIfTrue="1" operator="equal">
      <formula>"Napkin Hs"</formula>
    </cfRule>
  </conditionalFormatting>
  <conditionalFormatting sqref="C77">
    <cfRule type="cellIs" dxfId="24187" priority="9863" stopIfTrue="1" operator="equal">
      <formula>"Towel"</formula>
    </cfRule>
    <cfRule type="cellIs" dxfId="24186" priority="9864" stopIfTrue="1" operator="equal">
      <formula>"Napkin Hs"</formula>
    </cfRule>
  </conditionalFormatting>
  <conditionalFormatting sqref="C77">
    <cfRule type="cellIs" dxfId="24185" priority="9861" stopIfTrue="1" operator="equal">
      <formula>"Towel"</formula>
    </cfRule>
    <cfRule type="cellIs" dxfId="24184" priority="9862" stopIfTrue="1" operator="equal">
      <formula>"Napkin Hs"</formula>
    </cfRule>
  </conditionalFormatting>
  <conditionalFormatting sqref="C77">
    <cfRule type="cellIs" dxfId="24183" priority="9851" stopIfTrue="1" operator="equal">
      <formula>"Towel"</formula>
    </cfRule>
    <cfRule type="cellIs" dxfId="24182" priority="9852" stopIfTrue="1" operator="equal">
      <formula>"Napkin Hs"</formula>
    </cfRule>
  </conditionalFormatting>
  <conditionalFormatting sqref="C77">
    <cfRule type="cellIs" dxfId="24181" priority="9849" stopIfTrue="1" operator="equal">
      <formula>"Towel"</formula>
    </cfRule>
    <cfRule type="cellIs" dxfId="24180" priority="9850" stopIfTrue="1" operator="equal">
      <formula>"Napkin Hs"</formula>
    </cfRule>
  </conditionalFormatting>
  <conditionalFormatting sqref="C77">
    <cfRule type="cellIs" dxfId="24179" priority="9847" stopIfTrue="1" operator="equal">
      <formula>"Towel"</formula>
    </cfRule>
    <cfRule type="cellIs" dxfId="24178" priority="9848" stopIfTrue="1" operator="equal">
      <formula>"Napkin Hs"</formula>
    </cfRule>
  </conditionalFormatting>
  <conditionalFormatting sqref="C77">
    <cfRule type="cellIs" dxfId="24177" priority="9845" stopIfTrue="1" operator="equal">
      <formula>"Towel"</formula>
    </cfRule>
    <cfRule type="cellIs" dxfId="24176" priority="9846" stopIfTrue="1" operator="equal">
      <formula>"Napkin Hs"</formula>
    </cfRule>
  </conditionalFormatting>
  <conditionalFormatting sqref="C77">
    <cfRule type="cellIs" dxfId="24175" priority="9843" stopIfTrue="1" operator="equal">
      <formula>"Towel"</formula>
    </cfRule>
    <cfRule type="cellIs" dxfId="24174" priority="9844" stopIfTrue="1" operator="equal">
      <formula>"Napkin Hs"</formula>
    </cfRule>
  </conditionalFormatting>
  <conditionalFormatting sqref="C77">
    <cfRule type="cellIs" dxfId="24173" priority="9841" stopIfTrue="1" operator="equal">
      <formula>"Towel"</formula>
    </cfRule>
    <cfRule type="cellIs" dxfId="24172" priority="9842" stopIfTrue="1" operator="equal">
      <formula>"Napkin Hs"</formula>
    </cfRule>
  </conditionalFormatting>
  <conditionalFormatting sqref="C77">
    <cfRule type="cellIs" dxfId="24171" priority="9839" stopIfTrue="1" operator="equal">
      <formula>"Towel"</formula>
    </cfRule>
    <cfRule type="cellIs" dxfId="24170" priority="9840" stopIfTrue="1" operator="equal">
      <formula>"Napkin Hs"</formula>
    </cfRule>
  </conditionalFormatting>
  <conditionalFormatting sqref="C77">
    <cfRule type="cellIs" dxfId="24169" priority="9837" stopIfTrue="1" operator="equal">
      <formula>"Towel"</formula>
    </cfRule>
    <cfRule type="cellIs" dxfId="24168" priority="9838" stopIfTrue="1" operator="equal">
      <formula>"Napkin Hs"</formula>
    </cfRule>
  </conditionalFormatting>
  <conditionalFormatting sqref="C77">
    <cfRule type="cellIs" dxfId="24167" priority="9835" stopIfTrue="1" operator="equal">
      <formula>"Towel"</formula>
    </cfRule>
    <cfRule type="cellIs" dxfId="24166" priority="9836" stopIfTrue="1" operator="equal">
      <formula>"Napkin Hs"</formula>
    </cfRule>
  </conditionalFormatting>
  <conditionalFormatting sqref="C77">
    <cfRule type="cellIs" dxfId="24165" priority="9822" stopIfTrue="1" operator="equal">
      <formula>"Napkin Hs"</formula>
    </cfRule>
  </conditionalFormatting>
  <conditionalFormatting sqref="C77">
    <cfRule type="cellIs" dxfId="24164" priority="9821" stopIfTrue="1" operator="equal">
      <formula>"Towel"</formula>
    </cfRule>
  </conditionalFormatting>
  <conditionalFormatting sqref="C77">
    <cfRule type="cellIs" dxfId="24163" priority="9820" stopIfTrue="1" operator="equal">
      <formula>"Napkin Hs"</formula>
    </cfRule>
  </conditionalFormatting>
  <conditionalFormatting sqref="C77">
    <cfRule type="cellIs" dxfId="24162" priority="9817" stopIfTrue="1" operator="equal">
      <formula>"Towel"</formula>
    </cfRule>
    <cfRule type="cellIs" dxfId="24161" priority="9818" stopIfTrue="1" operator="equal">
      <formula>"Napkin Hs"</formula>
    </cfRule>
  </conditionalFormatting>
  <conditionalFormatting sqref="C77">
    <cfRule type="cellIs" dxfId="24160" priority="9819" stopIfTrue="1" operator="equal">
      <formula>"Towel"</formula>
    </cfRule>
  </conditionalFormatting>
  <conditionalFormatting sqref="C77">
    <cfRule type="cellIs" dxfId="24159" priority="9937" stopIfTrue="1" operator="equal">
      <formula>"Towel"</formula>
    </cfRule>
    <cfRule type="cellIs" dxfId="24158" priority="9938" stopIfTrue="1" operator="equal">
      <formula>"Napkin Hs"</formula>
    </cfRule>
  </conditionalFormatting>
  <conditionalFormatting sqref="C77">
    <cfRule type="cellIs" dxfId="24157" priority="9936" stopIfTrue="1" operator="equal">
      <formula>"Napkin Hs"</formula>
    </cfRule>
  </conditionalFormatting>
  <conditionalFormatting sqref="C77">
    <cfRule type="cellIs" dxfId="24156" priority="9935" stopIfTrue="1" operator="equal">
      <formula>"Towel"</formula>
    </cfRule>
  </conditionalFormatting>
  <conditionalFormatting sqref="C77">
    <cfRule type="cellIs" dxfId="24155" priority="9934" stopIfTrue="1" operator="equal">
      <formula>"Napkin Hs"</formula>
    </cfRule>
  </conditionalFormatting>
  <conditionalFormatting sqref="C77">
    <cfRule type="cellIs" dxfId="24154" priority="9931" stopIfTrue="1" operator="equal">
      <formula>"Towel"</formula>
    </cfRule>
    <cfRule type="cellIs" dxfId="24153" priority="9932" stopIfTrue="1" operator="equal">
      <formula>"Napkin Hs"</formula>
    </cfRule>
  </conditionalFormatting>
  <conditionalFormatting sqref="C77">
    <cfRule type="cellIs" dxfId="24152" priority="9933" stopIfTrue="1" operator="equal">
      <formula>"Towel"</formula>
    </cfRule>
  </conditionalFormatting>
  <conditionalFormatting sqref="C77">
    <cfRule type="cellIs" dxfId="24151" priority="9941" stopIfTrue="1" operator="equal">
      <formula>"Towel"</formula>
    </cfRule>
    <cfRule type="cellIs" dxfId="24150" priority="9942" stopIfTrue="1" operator="equal">
      <formula>"Napkin Hs"</formula>
    </cfRule>
  </conditionalFormatting>
  <conditionalFormatting sqref="C77">
    <cfRule type="cellIs" dxfId="24149" priority="9939" stopIfTrue="1" operator="equal">
      <formula>"Towel"</formula>
    </cfRule>
    <cfRule type="cellIs" dxfId="24148" priority="9940" stopIfTrue="1" operator="equal">
      <formula>"Napkin Hs"</formula>
    </cfRule>
  </conditionalFormatting>
  <conditionalFormatting sqref="C77">
    <cfRule type="cellIs" dxfId="24147" priority="9911" stopIfTrue="1" operator="equal">
      <formula>"Towel"</formula>
    </cfRule>
    <cfRule type="cellIs" dxfId="24146" priority="9912" stopIfTrue="1" operator="equal">
      <formula>"Napkin Hs"</formula>
    </cfRule>
  </conditionalFormatting>
  <conditionalFormatting sqref="C77">
    <cfRule type="cellIs" dxfId="24145" priority="9909" stopIfTrue="1" operator="equal">
      <formula>"Towel"</formula>
    </cfRule>
    <cfRule type="cellIs" dxfId="24144" priority="9910" stopIfTrue="1" operator="equal">
      <formula>"Napkin Hs"</formula>
    </cfRule>
  </conditionalFormatting>
  <conditionalFormatting sqref="C77">
    <cfRule type="cellIs" dxfId="24143" priority="9888" stopIfTrue="1" operator="equal">
      <formula>"Napkin Hs"</formula>
    </cfRule>
  </conditionalFormatting>
  <conditionalFormatting sqref="C77">
    <cfRule type="cellIs" dxfId="24142" priority="9887" stopIfTrue="1" operator="equal">
      <formula>"Towel"</formula>
    </cfRule>
  </conditionalFormatting>
  <conditionalFormatting sqref="C77">
    <cfRule type="cellIs" dxfId="24141" priority="9886" stopIfTrue="1" operator="equal">
      <formula>"Napkin Hs"</formula>
    </cfRule>
  </conditionalFormatting>
  <conditionalFormatting sqref="C77">
    <cfRule type="cellIs" dxfId="24140" priority="9885" stopIfTrue="1" operator="equal">
      <formula>"Towel"</formula>
    </cfRule>
  </conditionalFormatting>
  <conditionalFormatting sqref="C77">
    <cfRule type="cellIs" dxfId="24139" priority="9882" stopIfTrue="1" operator="equal">
      <formula>"Napkin Hs"</formula>
    </cfRule>
  </conditionalFormatting>
  <conditionalFormatting sqref="C77">
    <cfRule type="cellIs" dxfId="24138" priority="9881" stopIfTrue="1" operator="equal">
      <formula>"Towel"</formula>
    </cfRule>
  </conditionalFormatting>
  <conditionalFormatting sqref="C77">
    <cfRule type="cellIs" dxfId="24137" priority="9880" stopIfTrue="1" operator="equal">
      <formula>"Napkin Hs"</formula>
    </cfRule>
  </conditionalFormatting>
  <conditionalFormatting sqref="C77">
    <cfRule type="cellIs" dxfId="24136" priority="9879" stopIfTrue="1" operator="equal">
      <formula>"Towel"</formula>
    </cfRule>
  </conditionalFormatting>
  <conditionalFormatting sqref="C77">
    <cfRule type="cellIs" dxfId="24135" priority="9875" stopIfTrue="1" operator="equal">
      <formula>"Towel"</formula>
    </cfRule>
    <cfRule type="cellIs" dxfId="24134" priority="9876" stopIfTrue="1" operator="equal">
      <formula>"Napkin Hs"</formula>
    </cfRule>
  </conditionalFormatting>
  <conditionalFormatting sqref="C77">
    <cfRule type="cellIs" dxfId="24133" priority="9873" stopIfTrue="1" operator="equal">
      <formula>"Towel"</formula>
    </cfRule>
    <cfRule type="cellIs" dxfId="24132" priority="9874" stopIfTrue="1" operator="equal">
      <formula>"Napkin Hs"</formula>
    </cfRule>
  </conditionalFormatting>
  <conditionalFormatting sqref="C77">
    <cfRule type="cellIs" dxfId="24131" priority="9857" stopIfTrue="1" operator="equal">
      <formula>"Towel"</formula>
    </cfRule>
    <cfRule type="cellIs" dxfId="24130" priority="9858" stopIfTrue="1" operator="equal">
      <formula>"Napkin Hs"</formula>
    </cfRule>
  </conditionalFormatting>
  <conditionalFormatting sqref="C77">
    <cfRule type="cellIs" dxfId="24129" priority="9855" stopIfTrue="1" operator="equal">
      <formula>"Towel"</formula>
    </cfRule>
    <cfRule type="cellIs" dxfId="24128" priority="9856" stopIfTrue="1" operator="equal">
      <formula>"Napkin Hs"</formula>
    </cfRule>
  </conditionalFormatting>
  <conditionalFormatting sqref="B77:C77">
    <cfRule type="cellIs" dxfId="24127" priority="9816" stopIfTrue="1" operator="equal">
      <formula>"Napkin Hs"</formula>
    </cfRule>
  </conditionalFormatting>
  <conditionalFormatting sqref="B77:C77">
    <cfRule type="cellIs" dxfId="24126" priority="9815" stopIfTrue="1" operator="equal">
      <formula>"Towel"</formula>
    </cfRule>
  </conditionalFormatting>
  <conditionalFormatting sqref="C77">
    <cfRule type="cellIs" dxfId="24125" priority="9814" stopIfTrue="1" operator="equal">
      <formula>"Napkin Hs"</formula>
    </cfRule>
  </conditionalFormatting>
  <conditionalFormatting sqref="C77">
    <cfRule type="cellIs" dxfId="24124" priority="9811" stopIfTrue="1" operator="equal">
      <formula>"Towel"</formula>
    </cfRule>
    <cfRule type="cellIs" dxfId="24123" priority="9812" stopIfTrue="1" operator="equal">
      <formula>"Napkin Hs"</formula>
    </cfRule>
  </conditionalFormatting>
  <conditionalFormatting sqref="C77">
    <cfRule type="cellIs" dxfId="24122" priority="9813" stopIfTrue="1" operator="equal">
      <formula>"Towel"</formula>
    </cfRule>
  </conditionalFormatting>
  <conditionalFormatting sqref="B74:C74">
    <cfRule type="cellIs" dxfId="24121" priority="9810" stopIfTrue="1" operator="equal">
      <formula>"Napkin Hs"</formula>
    </cfRule>
  </conditionalFormatting>
  <conditionalFormatting sqref="B74:C74">
    <cfRule type="cellIs" dxfId="24120" priority="9809" stopIfTrue="1" operator="equal">
      <formula>"Towel"</formula>
    </cfRule>
  </conditionalFormatting>
  <conditionalFormatting sqref="C74">
    <cfRule type="cellIs" dxfId="24119" priority="9808" stopIfTrue="1" operator="equal">
      <formula>"Napkin Hs"</formula>
    </cfRule>
  </conditionalFormatting>
  <conditionalFormatting sqref="C74">
    <cfRule type="cellIs" dxfId="24118" priority="9807" stopIfTrue="1" operator="equal">
      <formula>"Towel"</formula>
    </cfRule>
  </conditionalFormatting>
  <conditionalFormatting sqref="C74">
    <cfRule type="cellIs" dxfId="24117" priority="9805" stopIfTrue="1" operator="equal">
      <formula>"Towel"</formula>
    </cfRule>
    <cfRule type="cellIs" dxfId="24116" priority="9806" stopIfTrue="1" operator="equal">
      <formula>"Napkin Hs"</formula>
    </cfRule>
  </conditionalFormatting>
  <conditionalFormatting sqref="C74">
    <cfRule type="cellIs" dxfId="24115" priority="9721" stopIfTrue="1" operator="equal">
      <formula>"Towel"</formula>
    </cfRule>
    <cfRule type="cellIs" dxfId="24114" priority="9722" stopIfTrue="1" operator="equal">
      <formula>"Napkin Hs"</formula>
    </cfRule>
  </conditionalFormatting>
  <conditionalFormatting sqref="C74">
    <cfRule type="cellIs" dxfId="24113" priority="9715" stopIfTrue="1" operator="equal">
      <formula>"Towel"</formula>
    </cfRule>
    <cfRule type="cellIs" dxfId="24112" priority="9716" stopIfTrue="1" operator="equal">
      <formula>"Napkin Hs"</formula>
    </cfRule>
  </conditionalFormatting>
  <conditionalFormatting sqref="C74">
    <cfRule type="cellIs" dxfId="24111" priority="9696" stopIfTrue="1" operator="equal">
      <formula>"Napkin Hs"</formula>
    </cfRule>
  </conditionalFormatting>
  <conditionalFormatting sqref="C74">
    <cfRule type="cellIs" dxfId="24110" priority="9695" stopIfTrue="1" operator="equal">
      <formula>"Towel"</formula>
    </cfRule>
  </conditionalFormatting>
  <conditionalFormatting sqref="C74">
    <cfRule type="cellIs" dxfId="24109" priority="9694" stopIfTrue="1" operator="equal">
      <formula>"Napkin Hs"</formula>
    </cfRule>
  </conditionalFormatting>
  <conditionalFormatting sqref="C74">
    <cfRule type="cellIs" dxfId="24108" priority="9691" stopIfTrue="1" operator="equal">
      <formula>"Towel"</formula>
    </cfRule>
    <cfRule type="cellIs" dxfId="24107" priority="9692" stopIfTrue="1" operator="equal">
      <formula>"Napkin Hs"</formula>
    </cfRule>
  </conditionalFormatting>
  <conditionalFormatting sqref="C74">
    <cfRule type="cellIs" dxfId="24106" priority="9693" stopIfTrue="1" operator="equal">
      <formula>"Towel"</formula>
    </cfRule>
  </conditionalFormatting>
  <conditionalFormatting sqref="C74">
    <cfRule type="cellIs" dxfId="24105" priority="9690" stopIfTrue="1" operator="equal">
      <formula>"Napkin Hs"</formula>
    </cfRule>
  </conditionalFormatting>
  <conditionalFormatting sqref="C74">
    <cfRule type="cellIs" dxfId="24104" priority="9689" stopIfTrue="1" operator="equal">
      <formula>"Towel"</formula>
    </cfRule>
  </conditionalFormatting>
  <conditionalFormatting sqref="C74">
    <cfRule type="cellIs" dxfId="24103" priority="9688" stopIfTrue="1" operator="equal">
      <formula>"Napkin Hs"</formula>
    </cfRule>
  </conditionalFormatting>
  <conditionalFormatting sqref="C74">
    <cfRule type="cellIs" dxfId="24102" priority="9685" stopIfTrue="1" operator="equal">
      <formula>"Towel"</formula>
    </cfRule>
    <cfRule type="cellIs" dxfId="24101" priority="9686" stopIfTrue="1" operator="equal">
      <formula>"Napkin Hs"</formula>
    </cfRule>
  </conditionalFormatting>
  <conditionalFormatting sqref="C74">
    <cfRule type="cellIs" dxfId="24100" priority="9687" stopIfTrue="1" operator="equal">
      <formula>"Towel"</formula>
    </cfRule>
  </conditionalFormatting>
  <conditionalFormatting sqref="C74">
    <cfRule type="cellIs" dxfId="24099" priority="9791" stopIfTrue="1" operator="equal">
      <formula>"Towel"</formula>
    </cfRule>
    <cfRule type="cellIs" dxfId="24098" priority="9792" stopIfTrue="1" operator="equal">
      <formula>"Napkin Hs"</formula>
    </cfRule>
  </conditionalFormatting>
  <conditionalFormatting sqref="C74">
    <cfRule type="cellIs" dxfId="24097" priority="9789" stopIfTrue="1" operator="equal">
      <formula>"Towel"</formula>
    </cfRule>
    <cfRule type="cellIs" dxfId="24096" priority="9790" stopIfTrue="1" operator="equal">
      <formula>"Napkin Hs"</formula>
    </cfRule>
  </conditionalFormatting>
  <conditionalFormatting sqref="C74">
    <cfRule type="cellIs" dxfId="24095" priority="9787" stopIfTrue="1" operator="equal">
      <formula>"Towel"</formula>
    </cfRule>
    <cfRule type="cellIs" dxfId="24094" priority="9788" stopIfTrue="1" operator="equal">
      <formula>"Napkin Hs"</formula>
    </cfRule>
  </conditionalFormatting>
  <conditionalFormatting sqref="C74">
    <cfRule type="cellIs" dxfId="24093" priority="9786" stopIfTrue="1" operator="equal">
      <formula>"Napkin Hs"</formula>
    </cfRule>
  </conditionalFormatting>
  <conditionalFormatting sqref="C74">
    <cfRule type="cellIs" dxfId="24092" priority="9785" stopIfTrue="1" operator="equal">
      <formula>"Towel"</formula>
    </cfRule>
  </conditionalFormatting>
  <conditionalFormatting sqref="C74">
    <cfRule type="cellIs" dxfId="24091" priority="9784" stopIfTrue="1" operator="equal">
      <formula>"Napkin Hs"</formula>
    </cfRule>
  </conditionalFormatting>
  <conditionalFormatting sqref="C74">
    <cfRule type="cellIs" dxfId="24090" priority="9783" stopIfTrue="1" operator="equal">
      <formula>"Towel"</formula>
    </cfRule>
  </conditionalFormatting>
  <conditionalFormatting sqref="C74">
    <cfRule type="cellIs" dxfId="24089" priority="9781" stopIfTrue="1" operator="equal">
      <formula>"Towel"</formula>
    </cfRule>
    <cfRule type="cellIs" dxfId="24088" priority="9782" stopIfTrue="1" operator="equal">
      <formula>"Napkin Hs"</formula>
    </cfRule>
  </conditionalFormatting>
  <conditionalFormatting sqref="C74">
    <cfRule type="cellIs" dxfId="24087" priority="9779" stopIfTrue="1" operator="equal">
      <formula>"Towel"</formula>
    </cfRule>
    <cfRule type="cellIs" dxfId="24086" priority="9780" stopIfTrue="1" operator="equal">
      <formula>"Napkin Hs"</formula>
    </cfRule>
  </conditionalFormatting>
  <conditionalFormatting sqref="C74">
    <cfRule type="cellIs" dxfId="24085" priority="9775" stopIfTrue="1" operator="equal">
      <formula>"Towel"</formula>
    </cfRule>
    <cfRule type="cellIs" dxfId="24084" priority="9776" stopIfTrue="1" operator="equal">
      <formula>"Napkin Hs"</formula>
    </cfRule>
  </conditionalFormatting>
  <conditionalFormatting sqref="C74">
    <cfRule type="cellIs" dxfId="24083" priority="9777" stopIfTrue="1" operator="equal">
      <formula>"Towel"</formula>
    </cfRule>
    <cfRule type="cellIs" dxfId="24082" priority="9778" stopIfTrue="1" operator="equal">
      <formula>"Napkin Hs"</formula>
    </cfRule>
  </conditionalFormatting>
  <conditionalFormatting sqref="C74">
    <cfRule type="cellIs" dxfId="24081" priority="9769" stopIfTrue="1" operator="equal">
      <formula>"Towel"</formula>
    </cfRule>
    <cfRule type="cellIs" dxfId="24080" priority="9770" stopIfTrue="1" operator="equal">
      <formula>"Napkin Hs"</formula>
    </cfRule>
  </conditionalFormatting>
  <conditionalFormatting sqref="C74">
    <cfRule type="cellIs" dxfId="24079" priority="9767" stopIfTrue="1" operator="equal">
      <formula>"Towel"</formula>
    </cfRule>
    <cfRule type="cellIs" dxfId="24078" priority="9768" stopIfTrue="1" operator="equal">
      <formula>"Napkin Hs"</formula>
    </cfRule>
  </conditionalFormatting>
  <conditionalFormatting sqref="C74">
    <cfRule type="cellIs" dxfId="24077" priority="9765" stopIfTrue="1" operator="equal">
      <formula>"Towel"</formula>
    </cfRule>
    <cfRule type="cellIs" dxfId="24076" priority="9766" stopIfTrue="1" operator="equal">
      <formula>"Napkin Hs"</formula>
    </cfRule>
  </conditionalFormatting>
  <conditionalFormatting sqref="C74">
    <cfRule type="cellIs" dxfId="24075" priority="9763" stopIfTrue="1" operator="equal">
      <formula>"Towel"</formula>
    </cfRule>
    <cfRule type="cellIs" dxfId="24074" priority="9764" stopIfTrue="1" operator="equal">
      <formula>"Napkin Hs"</formula>
    </cfRule>
  </conditionalFormatting>
  <conditionalFormatting sqref="C74">
    <cfRule type="cellIs" dxfId="24073" priority="9761" stopIfTrue="1" operator="equal">
      <formula>"Towel"</formula>
    </cfRule>
    <cfRule type="cellIs" dxfId="24072" priority="9762" stopIfTrue="1" operator="equal">
      <formula>"Napkin Hs"</formula>
    </cfRule>
  </conditionalFormatting>
  <conditionalFormatting sqref="C74">
    <cfRule type="cellIs" dxfId="24071" priority="9759" stopIfTrue="1" operator="equal">
      <formula>"Towel"</formula>
    </cfRule>
    <cfRule type="cellIs" dxfId="24070" priority="9760" stopIfTrue="1" operator="equal">
      <formula>"Napkin Hs"</formula>
    </cfRule>
  </conditionalFormatting>
  <conditionalFormatting sqref="C74">
    <cfRule type="cellIs" dxfId="24069" priority="9757" stopIfTrue="1" operator="equal">
      <formula>"Towel"</formula>
    </cfRule>
    <cfRule type="cellIs" dxfId="24068" priority="9758" stopIfTrue="1" operator="equal">
      <formula>"Napkin Hs"</formula>
    </cfRule>
  </conditionalFormatting>
  <conditionalFormatting sqref="C74">
    <cfRule type="cellIs" dxfId="24067" priority="9755" stopIfTrue="1" operator="equal">
      <formula>"Towel"</formula>
    </cfRule>
    <cfRule type="cellIs" dxfId="24066" priority="9756" stopIfTrue="1" operator="equal">
      <formula>"Napkin Hs"</formula>
    </cfRule>
  </conditionalFormatting>
  <conditionalFormatting sqref="C74">
    <cfRule type="cellIs" dxfId="24065" priority="9753" stopIfTrue="1" operator="equal">
      <formula>"Towel"</formula>
    </cfRule>
    <cfRule type="cellIs" dxfId="24064" priority="9754" stopIfTrue="1" operator="equal">
      <formula>"Napkin Hs"</formula>
    </cfRule>
  </conditionalFormatting>
  <conditionalFormatting sqref="C74">
    <cfRule type="cellIs" dxfId="24063" priority="9751" stopIfTrue="1" operator="equal">
      <formula>"Towel"</formula>
    </cfRule>
    <cfRule type="cellIs" dxfId="24062" priority="9752" stopIfTrue="1" operator="equal">
      <formula>"Napkin Hs"</formula>
    </cfRule>
  </conditionalFormatting>
  <conditionalFormatting sqref="C74">
    <cfRule type="cellIs" dxfId="24061" priority="9745" stopIfTrue="1" operator="equal">
      <formula>"Towel"</formula>
    </cfRule>
    <cfRule type="cellIs" dxfId="24060" priority="9746" stopIfTrue="1" operator="equal">
      <formula>"Napkin Hs"</formula>
    </cfRule>
  </conditionalFormatting>
  <conditionalFormatting sqref="C74">
    <cfRule type="cellIs" dxfId="24059" priority="9739" stopIfTrue="1" operator="equal">
      <formula>"Towel"</formula>
    </cfRule>
    <cfRule type="cellIs" dxfId="24058" priority="9740" stopIfTrue="1" operator="equal">
      <formula>"Napkin Hs"</formula>
    </cfRule>
  </conditionalFormatting>
  <conditionalFormatting sqref="C74">
    <cfRule type="cellIs" dxfId="24057" priority="9733" stopIfTrue="1" operator="equal">
      <formula>"Towel"</formula>
    </cfRule>
    <cfRule type="cellIs" dxfId="24056" priority="9734" stopIfTrue="1" operator="equal">
      <formula>"Napkin Hs"</formula>
    </cfRule>
  </conditionalFormatting>
  <conditionalFormatting sqref="C74">
    <cfRule type="cellIs" dxfId="24055" priority="9732" stopIfTrue="1" operator="equal">
      <formula>"Napkin Hs"</formula>
    </cfRule>
  </conditionalFormatting>
  <conditionalFormatting sqref="C74">
    <cfRule type="cellIs" dxfId="24054" priority="9731" stopIfTrue="1" operator="equal">
      <formula>"Towel"</formula>
    </cfRule>
  </conditionalFormatting>
  <conditionalFormatting sqref="C74">
    <cfRule type="cellIs" dxfId="24053" priority="9730" stopIfTrue="1" operator="equal">
      <formula>"Napkin Hs"</formula>
    </cfRule>
  </conditionalFormatting>
  <conditionalFormatting sqref="C74">
    <cfRule type="cellIs" dxfId="24052" priority="9729" stopIfTrue="1" operator="equal">
      <formula>"Towel"</formula>
    </cfRule>
  </conditionalFormatting>
  <conditionalFormatting sqref="C74">
    <cfRule type="cellIs" dxfId="24051" priority="9727" stopIfTrue="1" operator="equal">
      <formula>"Towel"</formula>
    </cfRule>
    <cfRule type="cellIs" dxfId="24050" priority="9728" stopIfTrue="1" operator="equal">
      <formula>"Napkin Hs"</formula>
    </cfRule>
  </conditionalFormatting>
  <conditionalFormatting sqref="C74">
    <cfRule type="cellIs" dxfId="24049" priority="9725" stopIfTrue="1" operator="equal">
      <formula>"Towel"</formula>
    </cfRule>
    <cfRule type="cellIs" dxfId="24048" priority="9726" stopIfTrue="1" operator="equal">
      <formula>"Napkin Hs"</formula>
    </cfRule>
  </conditionalFormatting>
  <conditionalFormatting sqref="C74">
    <cfRule type="cellIs" dxfId="24047" priority="9723" stopIfTrue="1" operator="equal">
      <formula>"Towel"</formula>
    </cfRule>
    <cfRule type="cellIs" dxfId="24046" priority="9724" stopIfTrue="1" operator="equal">
      <formula>"Napkin Hs"</formula>
    </cfRule>
  </conditionalFormatting>
  <conditionalFormatting sqref="C74">
    <cfRule type="cellIs" dxfId="24045" priority="9713" stopIfTrue="1" operator="equal">
      <formula>"Towel"</formula>
    </cfRule>
    <cfRule type="cellIs" dxfId="24044" priority="9714" stopIfTrue="1" operator="equal">
      <formula>"Napkin Hs"</formula>
    </cfRule>
  </conditionalFormatting>
  <conditionalFormatting sqref="C74">
    <cfRule type="cellIs" dxfId="24043" priority="9711" stopIfTrue="1" operator="equal">
      <formula>"Towel"</formula>
    </cfRule>
    <cfRule type="cellIs" dxfId="24042" priority="9712" stopIfTrue="1" operator="equal">
      <formula>"Napkin Hs"</formula>
    </cfRule>
  </conditionalFormatting>
  <conditionalFormatting sqref="C74">
    <cfRule type="cellIs" dxfId="24041" priority="9709" stopIfTrue="1" operator="equal">
      <formula>"Towel"</formula>
    </cfRule>
    <cfRule type="cellIs" dxfId="24040" priority="9710" stopIfTrue="1" operator="equal">
      <formula>"Napkin Hs"</formula>
    </cfRule>
  </conditionalFormatting>
  <conditionalFormatting sqref="C74">
    <cfRule type="cellIs" dxfId="24039" priority="9707" stopIfTrue="1" operator="equal">
      <formula>"Towel"</formula>
    </cfRule>
    <cfRule type="cellIs" dxfId="24038" priority="9708" stopIfTrue="1" operator="equal">
      <formula>"Napkin Hs"</formula>
    </cfRule>
  </conditionalFormatting>
  <conditionalFormatting sqref="C74">
    <cfRule type="cellIs" dxfId="24037" priority="9705" stopIfTrue="1" operator="equal">
      <formula>"Towel"</formula>
    </cfRule>
    <cfRule type="cellIs" dxfId="24036" priority="9706" stopIfTrue="1" operator="equal">
      <formula>"Napkin Hs"</formula>
    </cfRule>
  </conditionalFormatting>
  <conditionalFormatting sqref="C74">
    <cfRule type="cellIs" dxfId="24035" priority="9703" stopIfTrue="1" operator="equal">
      <formula>"Towel"</formula>
    </cfRule>
    <cfRule type="cellIs" dxfId="24034" priority="9704" stopIfTrue="1" operator="equal">
      <formula>"Napkin Hs"</formula>
    </cfRule>
  </conditionalFormatting>
  <conditionalFormatting sqref="C74">
    <cfRule type="cellIs" dxfId="24033" priority="9701" stopIfTrue="1" operator="equal">
      <formula>"Towel"</formula>
    </cfRule>
    <cfRule type="cellIs" dxfId="24032" priority="9702" stopIfTrue="1" operator="equal">
      <formula>"Napkin Hs"</formula>
    </cfRule>
  </conditionalFormatting>
  <conditionalFormatting sqref="C74">
    <cfRule type="cellIs" dxfId="24031" priority="9699" stopIfTrue="1" operator="equal">
      <formula>"Towel"</formula>
    </cfRule>
    <cfRule type="cellIs" dxfId="24030" priority="9700" stopIfTrue="1" operator="equal">
      <formula>"Napkin Hs"</formula>
    </cfRule>
  </conditionalFormatting>
  <conditionalFormatting sqref="C74">
    <cfRule type="cellIs" dxfId="24029" priority="9697" stopIfTrue="1" operator="equal">
      <formula>"Towel"</formula>
    </cfRule>
    <cfRule type="cellIs" dxfId="24028" priority="9698" stopIfTrue="1" operator="equal">
      <formula>"Napkin Hs"</formula>
    </cfRule>
  </conditionalFormatting>
  <conditionalFormatting sqref="C74">
    <cfRule type="cellIs" dxfId="24027" priority="9684" stopIfTrue="1" operator="equal">
      <formula>"Napkin Hs"</formula>
    </cfRule>
  </conditionalFormatting>
  <conditionalFormatting sqref="C74">
    <cfRule type="cellIs" dxfId="24026" priority="9683" stopIfTrue="1" operator="equal">
      <formula>"Towel"</formula>
    </cfRule>
  </conditionalFormatting>
  <conditionalFormatting sqref="C74">
    <cfRule type="cellIs" dxfId="24025" priority="9682" stopIfTrue="1" operator="equal">
      <formula>"Napkin Hs"</formula>
    </cfRule>
  </conditionalFormatting>
  <conditionalFormatting sqref="C74">
    <cfRule type="cellIs" dxfId="24024" priority="9679" stopIfTrue="1" operator="equal">
      <formula>"Towel"</formula>
    </cfRule>
    <cfRule type="cellIs" dxfId="24023" priority="9680" stopIfTrue="1" operator="equal">
      <formula>"Napkin Hs"</formula>
    </cfRule>
  </conditionalFormatting>
  <conditionalFormatting sqref="C74">
    <cfRule type="cellIs" dxfId="24022" priority="9681" stopIfTrue="1" operator="equal">
      <formula>"Towel"</formula>
    </cfRule>
  </conditionalFormatting>
  <conditionalFormatting sqref="C74">
    <cfRule type="cellIs" dxfId="24021" priority="9799" stopIfTrue="1" operator="equal">
      <formula>"Towel"</formula>
    </cfRule>
    <cfRule type="cellIs" dxfId="24020" priority="9800" stopIfTrue="1" operator="equal">
      <formula>"Napkin Hs"</formula>
    </cfRule>
  </conditionalFormatting>
  <conditionalFormatting sqref="C74">
    <cfRule type="cellIs" dxfId="24019" priority="9798" stopIfTrue="1" operator="equal">
      <formula>"Napkin Hs"</formula>
    </cfRule>
  </conditionalFormatting>
  <conditionalFormatting sqref="C74">
    <cfRule type="cellIs" dxfId="24018" priority="9797" stopIfTrue="1" operator="equal">
      <formula>"Towel"</formula>
    </cfRule>
  </conditionalFormatting>
  <conditionalFormatting sqref="C74">
    <cfRule type="cellIs" dxfId="24017" priority="9796" stopIfTrue="1" operator="equal">
      <formula>"Napkin Hs"</formula>
    </cfRule>
  </conditionalFormatting>
  <conditionalFormatting sqref="C74">
    <cfRule type="cellIs" dxfId="24016" priority="9793" stopIfTrue="1" operator="equal">
      <formula>"Towel"</formula>
    </cfRule>
    <cfRule type="cellIs" dxfId="24015" priority="9794" stopIfTrue="1" operator="equal">
      <formula>"Napkin Hs"</formula>
    </cfRule>
  </conditionalFormatting>
  <conditionalFormatting sqref="C74">
    <cfRule type="cellIs" dxfId="24014" priority="9795" stopIfTrue="1" operator="equal">
      <formula>"Towel"</formula>
    </cfRule>
  </conditionalFormatting>
  <conditionalFormatting sqref="C74">
    <cfRule type="cellIs" dxfId="24013" priority="9803" stopIfTrue="1" operator="equal">
      <formula>"Towel"</formula>
    </cfRule>
    <cfRule type="cellIs" dxfId="24012" priority="9804" stopIfTrue="1" operator="equal">
      <formula>"Napkin Hs"</formula>
    </cfRule>
  </conditionalFormatting>
  <conditionalFormatting sqref="C74">
    <cfRule type="cellIs" dxfId="24011" priority="9801" stopIfTrue="1" operator="equal">
      <formula>"Towel"</formula>
    </cfRule>
    <cfRule type="cellIs" dxfId="24010" priority="9802" stopIfTrue="1" operator="equal">
      <formula>"Napkin Hs"</formula>
    </cfRule>
  </conditionalFormatting>
  <conditionalFormatting sqref="C74">
    <cfRule type="cellIs" dxfId="24009" priority="9773" stopIfTrue="1" operator="equal">
      <formula>"Towel"</formula>
    </cfRule>
    <cfRule type="cellIs" dxfId="24008" priority="9774" stopIfTrue="1" operator="equal">
      <formula>"Napkin Hs"</formula>
    </cfRule>
  </conditionalFormatting>
  <conditionalFormatting sqref="C74">
    <cfRule type="cellIs" dxfId="24007" priority="9771" stopIfTrue="1" operator="equal">
      <formula>"Towel"</formula>
    </cfRule>
    <cfRule type="cellIs" dxfId="24006" priority="9772" stopIfTrue="1" operator="equal">
      <formula>"Napkin Hs"</formula>
    </cfRule>
  </conditionalFormatting>
  <conditionalFormatting sqref="C74">
    <cfRule type="cellIs" dxfId="24005" priority="9750" stopIfTrue="1" operator="equal">
      <formula>"Napkin Hs"</formula>
    </cfRule>
  </conditionalFormatting>
  <conditionalFormatting sqref="C74">
    <cfRule type="cellIs" dxfId="24004" priority="9749" stopIfTrue="1" operator="equal">
      <formula>"Towel"</formula>
    </cfRule>
  </conditionalFormatting>
  <conditionalFormatting sqref="C74">
    <cfRule type="cellIs" dxfId="24003" priority="9748" stopIfTrue="1" operator="equal">
      <formula>"Napkin Hs"</formula>
    </cfRule>
  </conditionalFormatting>
  <conditionalFormatting sqref="C74">
    <cfRule type="cellIs" dxfId="24002" priority="9747" stopIfTrue="1" operator="equal">
      <formula>"Towel"</formula>
    </cfRule>
  </conditionalFormatting>
  <conditionalFormatting sqref="C74">
    <cfRule type="cellIs" dxfId="24001" priority="9744" stopIfTrue="1" operator="equal">
      <formula>"Napkin Hs"</formula>
    </cfRule>
  </conditionalFormatting>
  <conditionalFormatting sqref="C74">
    <cfRule type="cellIs" dxfId="24000" priority="9743" stopIfTrue="1" operator="equal">
      <formula>"Towel"</formula>
    </cfRule>
  </conditionalFormatting>
  <conditionalFormatting sqref="C74">
    <cfRule type="cellIs" dxfId="23999" priority="9742" stopIfTrue="1" operator="equal">
      <formula>"Napkin Hs"</formula>
    </cfRule>
  </conditionalFormatting>
  <conditionalFormatting sqref="C74">
    <cfRule type="cellIs" dxfId="23998" priority="9741" stopIfTrue="1" operator="equal">
      <formula>"Towel"</formula>
    </cfRule>
  </conditionalFormatting>
  <conditionalFormatting sqref="C74">
    <cfRule type="cellIs" dxfId="23997" priority="9737" stopIfTrue="1" operator="equal">
      <formula>"Towel"</formula>
    </cfRule>
    <cfRule type="cellIs" dxfId="23996" priority="9738" stopIfTrue="1" operator="equal">
      <formula>"Napkin Hs"</formula>
    </cfRule>
  </conditionalFormatting>
  <conditionalFormatting sqref="C74">
    <cfRule type="cellIs" dxfId="23995" priority="9735" stopIfTrue="1" operator="equal">
      <formula>"Towel"</formula>
    </cfRule>
    <cfRule type="cellIs" dxfId="23994" priority="9736" stopIfTrue="1" operator="equal">
      <formula>"Napkin Hs"</formula>
    </cfRule>
  </conditionalFormatting>
  <conditionalFormatting sqref="C74">
    <cfRule type="cellIs" dxfId="23993" priority="9719" stopIfTrue="1" operator="equal">
      <formula>"Towel"</formula>
    </cfRule>
    <cfRule type="cellIs" dxfId="23992" priority="9720" stopIfTrue="1" operator="equal">
      <formula>"Napkin Hs"</formula>
    </cfRule>
  </conditionalFormatting>
  <conditionalFormatting sqref="C74">
    <cfRule type="cellIs" dxfId="23991" priority="9717" stopIfTrue="1" operator="equal">
      <formula>"Towel"</formula>
    </cfRule>
    <cfRule type="cellIs" dxfId="23990" priority="9718" stopIfTrue="1" operator="equal">
      <formula>"Napkin Hs"</formula>
    </cfRule>
  </conditionalFormatting>
  <conditionalFormatting sqref="B74:C74">
    <cfRule type="cellIs" dxfId="23989" priority="9678" stopIfTrue="1" operator="equal">
      <formula>"Napkin Hs"</formula>
    </cfRule>
  </conditionalFormatting>
  <conditionalFormatting sqref="B74:C74">
    <cfRule type="cellIs" dxfId="23988" priority="9677" stopIfTrue="1" operator="equal">
      <formula>"Towel"</formula>
    </cfRule>
  </conditionalFormatting>
  <conditionalFormatting sqref="C74">
    <cfRule type="cellIs" dxfId="23987" priority="9676" stopIfTrue="1" operator="equal">
      <formula>"Napkin Hs"</formula>
    </cfRule>
  </conditionalFormatting>
  <conditionalFormatting sqref="C74">
    <cfRule type="cellIs" dxfId="23986" priority="9673" stopIfTrue="1" operator="equal">
      <formula>"Towel"</formula>
    </cfRule>
    <cfRule type="cellIs" dxfId="23985" priority="9674" stopIfTrue="1" operator="equal">
      <formula>"Napkin Hs"</formula>
    </cfRule>
  </conditionalFormatting>
  <conditionalFormatting sqref="C74">
    <cfRule type="cellIs" dxfId="23984" priority="9675" stopIfTrue="1" operator="equal">
      <formula>"Towel"</formula>
    </cfRule>
  </conditionalFormatting>
  <conditionalFormatting sqref="B83:C83">
    <cfRule type="cellIs" dxfId="23983" priority="9665" stopIfTrue="1" operator="equal">
      <formula>"Towel"</formula>
    </cfRule>
    <cfRule type="cellIs" dxfId="23982" priority="9666" stopIfTrue="1" operator="equal">
      <formula>"Napkin Hs"</formula>
    </cfRule>
  </conditionalFormatting>
  <conditionalFormatting sqref="C83">
    <cfRule type="cellIs" dxfId="23981" priority="9661" stopIfTrue="1" operator="equal">
      <formula>"Towel"</formula>
    </cfRule>
    <cfRule type="cellIs" dxfId="23980" priority="9662" stopIfTrue="1" operator="equal">
      <formula>"Napkin Hs"</formula>
    </cfRule>
  </conditionalFormatting>
  <conditionalFormatting sqref="C83">
    <cfRule type="cellIs" dxfId="23979" priority="9663" stopIfTrue="1" operator="equal">
      <formula>"Towel"</formula>
    </cfRule>
    <cfRule type="cellIs" dxfId="23978" priority="9664" stopIfTrue="1" operator="equal">
      <formula>"Napkin Hs"</formula>
    </cfRule>
  </conditionalFormatting>
  <conditionalFormatting sqref="B78:C78">
    <cfRule type="cellIs" dxfId="23977" priority="9659" stopIfTrue="1" operator="equal">
      <formula>"Towel"</formula>
    </cfRule>
    <cfRule type="cellIs" dxfId="23976" priority="9660" stopIfTrue="1" operator="equal">
      <formula>"Napkin Hs"</formula>
    </cfRule>
  </conditionalFormatting>
  <conditionalFormatting sqref="C78">
    <cfRule type="cellIs" dxfId="23975" priority="9655" stopIfTrue="1" operator="equal">
      <formula>"Towel"</formula>
    </cfRule>
    <cfRule type="cellIs" dxfId="23974" priority="9656" stopIfTrue="1" operator="equal">
      <formula>"Napkin Hs"</formula>
    </cfRule>
  </conditionalFormatting>
  <conditionalFormatting sqref="C78">
    <cfRule type="cellIs" dxfId="23973" priority="9657" stopIfTrue="1" operator="equal">
      <formula>"Towel"</formula>
    </cfRule>
    <cfRule type="cellIs" dxfId="23972" priority="9658" stopIfTrue="1" operator="equal">
      <formula>"Napkin Hs"</formula>
    </cfRule>
  </conditionalFormatting>
  <conditionalFormatting sqref="B78:C78">
    <cfRule type="cellIs" dxfId="23971" priority="9653" stopIfTrue="1" operator="equal">
      <formula>"Towel"</formula>
    </cfRule>
    <cfRule type="cellIs" dxfId="23970" priority="9654" stopIfTrue="1" operator="equal">
      <formula>"Napkin Hs"</formula>
    </cfRule>
  </conditionalFormatting>
  <conditionalFormatting sqref="C78">
    <cfRule type="cellIs" dxfId="23969" priority="9649" stopIfTrue="1" operator="equal">
      <formula>"Towel"</formula>
    </cfRule>
    <cfRule type="cellIs" dxfId="23968" priority="9650" stopIfTrue="1" operator="equal">
      <formula>"Napkin Hs"</formula>
    </cfRule>
  </conditionalFormatting>
  <conditionalFormatting sqref="C78">
    <cfRule type="cellIs" dxfId="23967" priority="9651" stopIfTrue="1" operator="equal">
      <formula>"Towel"</formula>
    </cfRule>
    <cfRule type="cellIs" dxfId="23966" priority="9652" stopIfTrue="1" operator="equal">
      <formula>"Napkin Hs"</formula>
    </cfRule>
  </conditionalFormatting>
  <conditionalFormatting sqref="B78:C78">
    <cfRule type="cellIs" dxfId="23965" priority="9647" stopIfTrue="1" operator="equal">
      <formula>"Towel"</formula>
    </cfRule>
    <cfRule type="cellIs" dxfId="23964" priority="9648" stopIfTrue="1" operator="equal">
      <formula>"Napkin Hs"</formula>
    </cfRule>
  </conditionalFormatting>
  <conditionalFormatting sqref="C78">
    <cfRule type="cellIs" dxfId="23963" priority="9645" stopIfTrue="1" operator="equal">
      <formula>"Towel"</formula>
    </cfRule>
    <cfRule type="cellIs" dxfId="23962" priority="9646" stopIfTrue="1" operator="equal">
      <formula>"Napkin Hs"</formula>
    </cfRule>
  </conditionalFormatting>
  <conditionalFormatting sqref="C78">
    <cfRule type="cellIs" dxfId="23961" priority="9643" stopIfTrue="1" operator="equal">
      <formula>"Towel"</formula>
    </cfRule>
    <cfRule type="cellIs" dxfId="23960" priority="9644" stopIfTrue="1" operator="equal">
      <formula>"Napkin Hs"</formula>
    </cfRule>
  </conditionalFormatting>
  <conditionalFormatting sqref="B78:C78">
    <cfRule type="cellIs" dxfId="23959" priority="9641" stopIfTrue="1" operator="equal">
      <formula>"Towel"</formula>
    </cfRule>
    <cfRule type="cellIs" dxfId="23958" priority="9642" stopIfTrue="1" operator="equal">
      <formula>"Napkin Hs"</formula>
    </cfRule>
  </conditionalFormatting>
  <conditionalFormatting sqref="C78">
    <cfRule type="cellIs" dxfId="23957" priority="9639" stopIfTrue="1" operator="equal">
      <formula>"Towel"</formula>
    </cfRule>
    <cfRule type="cellIs" dxfId="23956" priority="9640" stopIfTrue="1" operator="equal">
      <formula>"Napkin Hs"</formula>
    </cfRule>
  </conditionalFormatting>
  <conditionalFormatting sqref="C78">
    <cfRule type="cellIs" dxfId="23955" priority="9637" stopIfTrue="1" operator="equal">
      <formula>"Towel"</formula>
    </cfRule>
    <cfRule type="cellIs" dxfId="23954" priority="9638" stopIfTrue="1" operator="equal">
      <formula>"Napkin Hs"</formula>
    </cfRule>
  </conditionalFormatting>
  <conditionalFormatting sqref="B78:C78">
    <cfRule type="cellIs" dxfId="23953" priority="9635" stopIfTrue="1" operator="equal">
      <formula>"Towel"</formula>
    </cfRule>
    <cfRule type="cellIs" dxfId="23952" priority="9636" stopIfTrue="1" operator="equal">
      <formula>"Napkin Hs"</formula>
    </cfRule>
  </conditionalFormatting>
  <conditionalFormatting sqref="C78">
    <cfRule type="cellIs" dxfId="23951" priority="9633" stopIfTrue="1" operator="equal">
      <formula>"Towel"</formula>
    </cfRule>
    <cfRule type="cellIs" dxfId="23950" priority="9634" stopIfTrue="1" operator="equal">
      <formula>"Napkin Hs"</formula>
    </cfRule>
  </conditionalFormatting>
  <conditionalFormatting sqref="C78">
    <cfRule type="cellIs" dxfId="23949" priority="9631" stopIfTrue="1" operator="equal">
      <formula>"Towel"</formula>
    </cfRule>
    <cfRule type="cellIs" dxfId="23948" priority="9632" stopIfTrue="1" operator="equal">
      <formula>"Napkin Hs"</formula>
    </cfRule>
  </conditionalFormatting>
  <conditionalFormatting sqref="B78:C78">
    <cfRule type="cellIs" dxfId="23947" priority="9630" stopIfTrue="1" operator="equal">
      <formula>"Napkin Hs"</formula>
    </cfRule>
  </conditionalFormatting>
  <conditionalFormatting sqref="B78:C78">
    <cfRule type="cellIs" dxfId="23946" priority="9629" stopIfTrue="1" operator="equal">
      <formula>"Towel"</formula>
    </cfRule>
  </conditionalFormatting>
  <conditionalFormatting sqref="C78">
    <cfRule type="cellIs" dxfId="23945" priority="9628" stopIfTrue="1" operator="equal">
      <formula>"Napkin Hs"</formula>
    </cfRule>
  </conditionalFormatting>
  <conditionalFormatting sqref="C78">
    <cfRule type="cellIs" dxfId="23944" priority="9625" stopIfTrue="1" operator="equal">
      <formula>"Towel"</formula>
    </cfRule>
    <cfRule type="cellIs" dxfId="23943" priority="9626" stopIfTrue="1" operator="equal">
      <formula>"Napkin Hs"</formula>
    </cfRule>
  </conditionalFormatting>
  <conditionalFormatting sqref="C78">
    <cfRule type="cellIs" dxfId="23942" priority="9627" stopIfTrue="1" operator="equal">
      <formula>"Towel"</formula>
    </cfRule>
  </conditionalFormatting>
  <conditionalFormatting sqref="C80">
    <cfRule type="cellIs" dxfId="23941" priority="9553" stopIfTrue="1" operator="equal">
      <formula>"Towel"</formula>
    </cfRule>
    <cfRule type="cellIs" dxfId="23940" priority="9554" stopIfTrue="1" operator="equal">
      <formula>"Napkin Hs"</formula>
    </cfRule>
  </conditionalFormatting>
  <conditionalFormatting sqref="B80:C80">
    <cfRule type="cellIs" dxfId="23939" priority="9551" stopIfTrue="1" operator="equal">
      <formula>"Towel"</formula>
    </cfRule>
    <cfRule type="cellIs" dxfId="23938" priority="9552" stopIfTrue="1" operator="equal">
      <formula>"Napkin Hs"</formula>
    </cfRule>
  </conditionalFormatting>
  <conditionalFormatting sqref="C80">
    <cfRule type="cellIs" dxfId="23937" priority="9549" stopIfTrue="1" operator="equal">
      <formula>"Towel"</formula>
    </cfRule>
    <cfRule type="cellIs" dxfId="23936" priority="9550" stopIfTrue="1" operator="equal">
      <formula>"Napkin Hs"</formula>
    </cfRule>
  </conditionalFormatting>
  <conditionalFormatting sqref="C80">
    <cfRule type="cellIs" dxfId="23935" priority="9541" stopIfTrue="1" operator="equal">
      <formula>"Towel"</formula>
    </cfRule>
    <cfRule type="cellIs" dxfId="23934" priority="9542" stopIfTrue="1" operator="equal">
      <formula>"Napkin Hs"</formula>
    </cfRule>
  </conditionalFormatting>
  <conditionalFormatting sqref="B82:C82">
    <cfRule type="cellIs" dxfId="23933" priority="9623" stopIfTrue="1" operator="equal">
      <formula>"Towel"</formula>
    </cfRule>
    <cfRule type="cellIs" dxfId="23932" priority="9624" stopIfTrue="1" operator="equal">
      <formula>"Napkin Hs"</formula>
    </cfRule>
  </conditionalFormatting>
  <conditionalFormatting sqref="C82">
    <cfRule type="cellIs" dxfId="23931" priority="9619" stopIfTrue="1" operator="equal">
      <formula>"Towel"</formula>
    </cfRule>
    <cfRule type="cellIs" dxfId="23930" priority="9620" stopIfTrue="1" operator="equal">
      <formula>"Napkin Hs"</formula>
    </cfRule>
  </conditionalFormatting>
  <conditionalFormatting sqref="C82">
    <cfRule type="cellIs" dxfId="23929" priority="9621" stopIfTrue="1" operator="equal">
      <formula>"Towel"</formula>
    </cfRule>
    <cfRule type="cellIs" dxfId="23928" priority="9622" stopIfTrue="1" operator="equal">
      <formula>"Napkin Hs"</formula>
    </cfRule>
  </conditionalFormatting>
  <conditionalFormatting sqref="B82:C82">
    <cfRule type="cellIs" dxfId="23927" priority="9617" stopIfTrue="1" operator="equal">
      <formula>"Towel"</formula>
    </cfRule>
    <cfRule type="cellIs" dxfId="23926" priority="9618" stopIfTrue="1" operator="equal">
      <formula>"Napkin Hs"</formula>
    </cfRule>
  </conditionalFormatting>
  <conditionalFormatting sqref="C82">
    <cfRule type="cellIs" dxfId="23925" priority="9613" stopIfTrue="1" operator="equal">
      <formula>"Towel"</formula>
    </cfRule>
    <cfRule type="cellIs" dxfId="23924" priority="9614" stopIfTrue="1" operator="equal">
      <formula>"Napkin Hs"</formula>
    </cfRule>
  </conditionalFormatting>
  <conditionalFormatting sqref="C82">
    <cfRule type="cellIs" dxfId="23923" priority="9615" stopIfTrue="1" operator="equal">
      <formula>"Towel"</formula>
    </cfRule>
    <cfRule type="cellIs" dxfId="23922" priority="9616" stopIfTrue="1" operator="equal">
      <formula>"Napkin Hs"</formula>
    </cfRule>
  </conditionalFormatting>
  <conditionalFormatting sqref="B82:C82">
    <cfRule type="cellIs" dxfId="23921" priority="9611" stopIfTrue="1" operator="equal">
      <formula>"Towel"</formula>
    </cfRule>
    <cfRule type="cellIs" dxfId="23920" priority="9612" stopIfTrue="1" operator="equal">
      <formula>"Napkin Hs"</formula>
    </cfRule>
  </conditionalFormatting>
  <conditionalFormatting sqref="C82">
    <cfRule type="cellIs" dxfId="23919" priority="9609" stopIfTrue="1" operator="equal">
      <formula>"Towel"</formula>
    </cfRule>
    <cfRule type="cellIs" dxfId="23918" priority="9610" stopIfTrue="1" operator="equal">
      <formula>"Napkin Hs"</formula>
    </cfRule>
  </conditionalFormatting>
  <conditionalFormatting sqref="C82">
    <cfRule type="cellIs" dxfId="23917" priority="9607" stopIfTrue="1" operator="equal">
      <formula>"Towel"</formula>
    </cfRule>
    <cfRule type="cellIs" dxfId="23916" priority="9608" stopIfTrue="1" operator="equal">
      <formula>"Napkin Hs"</formula>
    </cfRule>
  </conditionalFormatting>
  <conditionalFormatting sqref="B82:C82">
    <cfRule type="cellIs" dxfId="23915" priority="9605" stopIfTrue="1" operator="equal">
      <formula>"Towel"</formula>
    </cfRule>
    <cfRule type="cellIs" dxfId="23914" priority="9606" stopIfTrue="1" operator="equal">
      <formula>"Napkin Hs"</formula>
    </cfRule>
  </conditionalFormatting>
  <conditionalFormatting sqref="C82">
    <cfRule type="cellIs" dxfId="23913" priority="9603" stopIfTrue="1" operator="equal">
      <formula>"Towel"</formula>
    </cfRule>
    <cfRule type="cellIs" dxfId="23912" priority="9604" stopIfTrue="1" operator="equal">
      <formula>"Napkin Hs"</formula>
    </cfRule>
  </conditionalFormatting>
  <conditionalFormatting sqref="C82">
    <cfRule type="cellIs" dxfId="23911" priority="9601" stopIfTrue="1" operator="equal">
      <formula>"Towel"</formula>
    </cfRule>
    <cfRule type="cellIs" dxfId="23910" priority="9602" stopIfTrue="1" operator="equal">
      <formula>"Napkin Hs"</formula>
    </cfRule>
  </conditionalFormatting>
  <conditionalFormatting sqref="B82:C82">
    <cfRule type="cellIs" dxfId="23909" priority="9599" stopIfTrue="1" operator="equal">
      <formula>"Towel"</formula>
    </cfRule>
    <cfRule type="cellIs" dxfId="23908" priority="9600" stopIfTrue="1" operator="equal">
      <formula>"Napkin Hs"</formula>
    </cfRule>
  </conditionalFormatting>
  <conditionalFormatting sqref="C82">
    <cfRule type="cellIs" dxfId="23907" priority="9597" stopIfTrue="1" operator="equal">
      <formula>"Towel"</formula>
    </cfRule>
    <cfRule type="cellIs" dxfId="23906" priority="9598" stopIfTrue="1" operator="equal">
      <formula>"Napkin Hs"</formula>
    </cfRule>
  </conditionalFormatting>
  <conditionalFormatting sqref="C82">
    <cfRule type="cellIs" dxfId="23905" priority="9595" stopIfTrue="1" operator="equal">
      <formula>"Towel"</formula>
    </cfRule>
    <cfRule type="cellIs" dxfId="23904" priority="9596" stopIfTrue="1" operator="equal">
      <formula>"Napkin Hs"</formula>
    </cfRule>
  </conditionalFormatting>
  <conditionalFormatting sqref="B82:C82">
    <cfRule type="cellIs" dxfId="23903" priority="9594" stopIfTrue="1" operator="equal">
      <formula>"Napkin Hs"</formula>
    </cfRule>
  </conditionalFormatting>
  <conditionalFormatting sqref="B82:C82">
    <cfRule type="cellIs" dxfId="23902" priority="9593" stopIfTrue="1" operator="equal">
      <formula>"Towel"</formula>
    </cfRule>
  </conditionalFormatting>
  <conditionalFormatting sqref="C82">
    <cfRule type="cellIs" dxfId="23901" priority="9592" stopIfTrue="1" operator="equal">
      <formula>"Napkin Hs"</formula>
    </cfRule>
  </conditionalFormatting>
  <conditionalFormatting sqref="C82">
    <cfRule type="cellIs" dxfId="23900" priority="9589" stopIfTrue="1" operator="equal">
      <formula>"Towel"</formula>
    </cfRule>
    <cfRule type="cellIs" dxfId="23899" priority="9590" stopIfTrue="1" operator="equal">
      <formula>"Napkin Hs"</formula>
    </cfRule>
  </conditionalFormatting>
  <conditionalFormatting sqref="C82">
    <cfRule type="cellIs" dxfId="23898" priority="9591" stopIfTrue="1" operator="equal">
      <formula>"Towel"</formula>
    </cfRule>
  </conditionalFormatting>
  <conditionalFormatting sqref="B80:C80">
    <cfRule type="cellIs" dxfId="23897" priority="9582" stopIfTrue="1" operator="equal">
      <formula>"Napkin Hs"</formula>
    </cfRule>
  </conditionalFormatting>
  <conditionalFormatting sqref="B80:C80">
    <cfRule type="cellIs" dxfId="23896" priority="9581" stopIfTrue="1" operator="equal">
      <formula>"Towel"</formula>
    </cfRule>
  </conditionalFormatting>
  <conditionalFormatting sqref="C80">
    <cfRule type="cellIs" dxfId="23895" priority="9580" stopIfTrue="1" operator="equal">
      <formula>"Napkin Hs"</formula>
    </cfRule>
  </conditionalFormatting>
  <conditionalFormatting sqref="C80">
    <cfRule type="cellIs" dxfId="23894" priority="9579" stopIfTrue="1" operator="equal">
      <formula>"Towel"</formula>
    </cfRule>
  </conditionalFormatting>
  <conditionalFormatting sqref="C80">
    <cfRule type="cellIs" dxfId="23893" priority="9577" stopIfTrue="1" operator="equal">
      <formula>"Towel"</formula>
    </cfRule>
    <cfRule type="cellIs" dxfId="23892" priority="9578" stopIfTrue="1" operator="equal">
      <formula>"Napkin Hs"</formula>
    </cfRule>
  </conditionalFormatting>
  <conditionalFormatting sqref="B80:C80">
    <cfRule type="cellIs" dxfId="23891" priority="9575" stopIfTrue="1" operator="equal">
      <formula>"Towel"</formula>
    </cfRule>
    <cfRule type="cellIs" dxfId="23890" priority="9576" stopIfTrue="1" operator="equal">
      <formula>"Napkin Hs"</formula>
    </cfRule>
  </conditionalFormatting>
  <conditionalFormatting sqref="C80">
    <cfRule type="cellIs" dxfId="23889" priority="9573" stopIfTrue="1" operator="equal">
      <formula>"Towel"</formula>
    </cfRule>
    <cfRule type="cellIs" dxfId="23888" priority="9574" stopIfTrue="1" operator="equal">
      <formula>"Napkin Hs"</formula>
    </cfRule>
  </conditionalFormatting>
  <conditionalFormatting sqref="C80">
    <cfRule type="cellIs" dxfId="23887" priority="9571" stopIfTrue="1" operator="equal">
      <formula>"Towel"</formula>
    </cfRule>
    <cfRule type="cellIs" dxfId="23886" priority="9572" stopIfTrue="1" operator="equal">
      <formula>"Napkin Hs"</formula>
    </cfRule>
  </conditionalFormatting>
  <conditionalFormatting sqref="B80:C80">
    <cfRule type="cellIs" dxfId="23885" priority="9569" stopIfTrue="1" operator="equal">
      <formula>"Towel"</formula>
    </cfRule>
    <cfRule type="cellIs" dxfId="23884" priority="9570" stopIfTrue="1" operator="equal">
      <formula>"Napkin Hs"</formula>
    </cfRule>
  </conditionalFormatting>
  <conditionalFormatting sqref="C80">
    <cfRule type="cellIs" dxfId="23883" priority="9567" stopIfTrue="1" operator="equal">
      <formula>"Towel"</formula>
    </cfRule>
    <cfRule type="cellIs" dxfId="23882" priority="9568" stopIfTrue="1" operator="equal">
      <formula>"Napkin Hs"</formula>
    </cfRule>
  </conditionalFormatting>
  <conditionalFormatting sqref="C80">
    <cfRule type="cellIs" dxfId="23881" priority="9565" stopIfTrue="1" operator="equal">
      <formula>"Towel"</formula>
    </cfRule>
    <cfRule type="cellIs" dxfId="23880" priority="9566" stopIfTrue="1" operator="equal">
      <formula>"Napkin Hs"</formula>
    </cfRule>
  </conditionalFormatting>
  <conditionalFormatting sqref="B80:C80">
    <cfRule type="cellIs" dxfId="23879" priority="9563" stopIfTrue="1" operator="equal">
      <formula>"Towel"</formula>
    </cfRule>
    <cfRule type="cellIs" dxfId="23878" priority="9564" stopIfTrue="1" operator="equal">
      <formula>"Napkin Hs"</formula>
    </cfRule>
  </conditionalFormatting>
  <conditionalFormatting sqref="C80">
    <cfRule type="cellIs" dxfId="23877" priority="9561" stopIfTrue="1" operator="equal">
      <formula>"Towel"</formula>
    </cfRule>
    <cfRule type="cellIs" dxfId="23876" priority="9562" stopIfTrue="1" operator="equal">
      <formula>"Napkin Hs"</formula>
    </cfRule>
  </conditionalFormatting>
  <conditionalFormatting sqref="C80">
    <cfRule type="cellIs" dxfId="23875" priority="9559" stopIfTrue="1" operator="equal">
      <formula>"Towel"</formula>
    </cfRule>
    <cfRule type="cellIs" dxfId="23874" priority="9560" stopIfTrue="1" operator="equal">
      <formula>"Napkin Hs"</formula>
    </cfRule>
  </conditionalFormatting>
  <conditionalFormatting sqref="B80:C80">
    <cfRule type="cellIs" dxfId="23873" priority="9557" stopIfTrue="1" operator="equal">
      <formula>"Towel"</formula>
    </cfRule>
    <cfRule type="cellIs" dxfId="23872" priority="9558" stopIfTrue="1" operator="equal">
      <formula>"Napkin Hs"</formula>
    </cfRule>
  </conditionalFormatting>
  <conditionalFormatting sqref="C80">
    <cfRule type="cellIs" dxfId="23871" priority="9555" stopIfTrue="1" operator="equal">
      <formula>"Towel"</formula>
    </cfRule>
    <cfRule type="cellIs" dxfId="23870" priority="9556" stopIfTrue="1" operator="equal">
      <formula>"Napkin Hs"</formula>
    </cfRule>
  </conditionalFormatting>
  <conditionalFormatting sqref="C80">
    <cfRule type="cellIs" dxfId="23869" priority="9547" stopIfTrue="1" operator="equal">
      <formula>"Towel"</formula>
    </cfRule>
    <cfRule type="cellIs" dxfId="23868" priority="9548" stopIfTrue="1" operator="equal">
      <formula>"Napkin Hs"</formula>
    </cfRule>
  </conditionalFormatting>
  <conditionalFormatting sqref="B80:C80">
    <cfRule type="cellIs" dxfId="23867" priority="9546" stopIfTrue="1" operator="equal">
      <formula>"Napkin Hs"</formula>
    </cfRule>
  </conditionalFormatting>
  <conditionalFormatting sqref="B80:C80">
    <cfRule type="cellIs" dxfId="23866" priority="9545" stopIfTrue="1" operator="equal">
      <formula>"Towel"</formula>
    </cfRule>
  </conditionalFormatting>
  <conditionalFormatting sqref="C80">
    <cfRule type="cellIs" dxfId="23865" priority="9544" stopIfTrue="1" operator="equal">
      <formula>"Napkin Hs"</formula>
    </cfRule>
  </conditionalFormatting>
  <conditionalFormatting sqref="C80">
    <cfRule type="cellIs" dxfId="23864" priority="9543" stopIfTrue="1" operator="equal">
      <formula>"Towel"</formula>
    </cfRule>
  </conditionalFormatting>
  <conditionalFormatting sqref="B80:C80">
    <cfRule type="cellIs" dxfId="23863" priority="9587" stopIfTrue="1" operator="equal">
      <formula>"Towel"</formula>
    </cfRule>
    <cfRule type="cellIs" dxfId="23862" priority="9588" stopIfTrue="1" operator="equal">
      <formula>"Napkin Hs"</formula>
    </cfRule>
  </conditionalFormatting>
  <conditionalFormatting sqref="C80">
    <cfRule type="cellIs" dxfId="23861" priority="9583" stopIfTrue="1" operator="equal">
      <formula>"Towel"</formula>
    </cfRule>
    <cfRule type="cellIs" dxfId="23860" priority="9584" stopIfTrue="1" operator="equal">
      <formula>"Napkin Hs"</formula>
    </cfRule>
  </conditionalFormatting>
  <conditionalFormatting sqref="C80">
    <cfRule type="cellIs" dxfId="23859" priority="9585" stopIfTrue="1" operator="equal">
      <formula>"Towel"</formula>
    </cfRule>
    <cfRule type="cellIs" dxfId="23858" priority="9586" stopIfTrue="1" operator="equal">
      <formula>"Napkin Hs"</formula>
    </cfRule>
  </conditionalFormatting>
  <conditionalFormatting sqref="B81:C81">
    <cfRule type="cellIs" dxfId="23857" priority="9539" stopIfTrue="1" operator="equal">
      <formula>"Towel"</formula>
    </cfRule>
    <cfRule type="cellIs" dxfId="23856" priority="9540" stopIfTrue="1" operator="equal">
      <formula>"Napkin Hs"</formula>
    </cfRule>
  </conditionalFormatting>
  <conditionalFormatting sqref="C81">
    <cfRule type="cellIs" dxfId="23855" priority="9535" stopIfTrue="1" operator="equal">
      <formula>"Towel"</formula>
    </cfRule>
    <cfRule type="cellIs" dxfId="23854" priority="9536" stopIfTrue="1" operator="equal">
      <formula>"Napkin Hs"</formula>
    </cfRule>
  </conditionalFormatting>
  <conditionalFormatting sqref="C81">
    <cfRule type="cellIs" dxfId="23853" priority="9537" stopIfTrue="1" operator="equal">
      <formula>"Towel"</formula>
    </cfRule>
    <cfRule type="cellIs" dxfId="23852" priority="9538" stopIfTrue="1" operator="equal">
      <formula>"Napkin Hs"</formula>
    </cfRule>
  </conditionalFormatting>
  <conditionalFormatting sqref="B81:C81">
    <cfRule type="cellIs" dxfId="23851" priority="9534" stopIfTrue="1" operator="equal">
      <formula>"Napkin Hs"</formula>
    </cfRule>
  </conditionalFormatting>
  <conditionalFormatting sqref="B81:C81">
    <cfRule type="cellIs" dxfId="23850" priority="9533" stopIfTrue="1" operator="equal">
      <formula>"Towel"</formula>
    </cfRule>
  </conditionalFormatting>
  <conditionalFormatting sqref="C81">
    <cfRule type="cellIs" dxfId="23849" priority="9532" stopIfTrue="1" operator="equal">
      <formula>"Napkin Hs"</formula>
    </cfRule>
  </conditionalFormatting>
  <conditionalFormatting sqref="C81">
    <cfRule type="cellIs" dxfId="23848" priority="9531" stopIfTrue="1" operator="equal">
      <formula>"Towel"</formula>
    </cfRule>
  </conditionalFormatting>
  <conditionalFormatting sqref="C81">
    <cfRule type="cellIs" dxfId="23847" priority="9529" stopIfTrue="1" operator="equal">
      <formula>"Towel"</formula>
    </cfRule>
    <cfRule type="cellIs" dxfId="23846" priority="9530" stopIfTrue="1" operator="equal">
      <formula>"Napkin Hs"</formula>
    </cfRule>
  </conditionalFormatting>
  <conditionalFormatting sqref="B81:C81">
    <cfRule type="cellIs" dxfId="23845" priority="9527" stopIfTrue="1" operator="equal">
      <formula>"Towel"</formula>
    </cfRule>
    <cfRule type="cellIs" dxfId="23844" priority="9528" stopIfTrue="1" operator="equal">
      <formula>"Napkin Hs"</formula>
    </cfRule>
  </conditionalFormatting>
  <conditionalFormatting sqref="C81">
    <cfRule type="cellIs" dxfId="23843" priority="9525" stopIfTrue="1" operator="equal">
      <formula>"Towel"</formula>
    </cfRule>
    <cfRule type="cellIs" dxfId="23842" priority="9526" stopIfTrue="1" operator="equal">
      <formula>"Napkin Hs"</formula>
    </cfRule>
  </conditionalFormatting>
  <conditionalFormatting sqref="C81">
    <cfRule type="cellIs" dxfId="23841" priority="9523" stopIfTrue="1" operator="equal">
      <formula>"Towel"</formula>
    </cfRule>
    <cfRule type="cellIs" dxfId="23840" priority="9524" stopIfTrue="1" operator="equal">
      <formula>"Napkin Hs"</formula>
    </cfRule>
  </conditionalFormatting>
  <conditionalFormatting sqref="B81:C81">
    <cfRule type="cellIs" dxfId="23839" priority="9521" stopIfTrue="1" operator="equal">
      <formula>"Towel"</formula>
    </cfRule>
    <cfRule type="cellIs" dxfId="23838" priority="9522" stopIfTrue="1" operator="equal">
      <formula>"Napkin Hs"</formula>
    </cfRule>
  </conditionalFormatting>
  <conditionalFormatting sqref="C81">
    <cfRule type="cellIs" dxfId="23837" priority="9519" stopIfTrue="1" operator="equal">
      <formula>"Towel"</formula>
    </cfRule>
    <cfRule type="cellIs" dxfId="23836" priority="9520" stopIfTrue="1" operator="equal">
      <formula>"Napkin Hs"</formula>
    </cfRule>
  </conditionalFormatting>
  <conditionalFormatting sqref="C81">
    <cfRule type="cellIs" dxfId="23835" priority="9517" stopIfTrue="1" operator="equal">
      <formula>"Towel"</formula>
    </cfRule>
    <cfRule type="cellIs" dxfId="23834" priority="9518" stopIfTrue="1" operator="equal">
      <formula>"Napkin Hs"</formula>
    </cfRule>
  </conditionalFormatting>
  <conditionalFormatting sqref="B81:C81">
    <cfRule type="cellIs" dxfId="23833" priority="9515" stopIfTrue="1" operator="equal">
      <formula>"Towel"</formula>
    </cfRule>
    <cfRule type="cellIs" dxfId="23832" priority="9516" stopIfTrue="1" operator="equal">
      <formula>"Napkin Hs"</formula>
    </cfRule>
  </conditionalFormatting>
  <conditionalFormatting sqref="C81">
    <cfRule type="cellIs" dxfId="23831" priority="9513" stopIfTrue="1" operator="equal">
      <formula>"Towel"</formula>
    </cfRule>
    <cfRule type="cellIs" dxfId="23830" priority="9514" stopIfTrue="1" operator="equal">
      <formula>"Napkin Hs"</formula>
    </cfRule>
  </conditionalFormatting>
  <conditionalFormatting sqref="C81">
    <cfRule type="cellIs" dxfId="23829" priority="9511" stopIfTrue="1" operator="equal">
      <formula>"Towel"</formula>
    </cfRule>
    <cfRule type="cellIs" dxfId="23828" priority="9512" stopIfTrue="1" operator="equal">
      <formula>"Napkin Hs"</formula>
    </cfRule>
  </conditionalFormatting>
  <conditionalFormatting sqref="B81:C81">
    <cfRule type="cellIs" dxfId="23827" priority="9509" stopIfTrue="1" operator="equal">
      <formula>"Towel"</formula>
    </cfRule>
    <cfRule type="cellIs" dxfId="23826" priority="9510" stopIfTrue="1" operator="equal">
      <formula>"Napkin Hs"</formula>
    </cfRule>
  </conditionalFormatting>
  <conditionalFormatting sqref="C81">
    <cfRule type="cellIs" dxfId="23825" priority="9507" stopIfTrue="1" operator="equal">
      <formula>"Towel"</formula>
    </cfRule>
    <cfRule type="cellIs" dxfId="23824" priority="9508" stopIfTrue="1" operator="equal">
      <formula>"Napkin Hs"</formula>
    </cfRule>
  </conditionalFormatting>
  <conditionalFormatting sqref="C81">
    <cfRule type="cellIs" dxfId="23823" priority="9505" stopIfTrue="1" operator="equal">
      <formula>"Towel"</formula>
    </cfRule>
    <cfRule type="cellIs" dxfId="23822" priority="9506" stopIfTrue="1" operator="equal">
      <formula>"Napkin Hs"</formula>
    </cfRule>
  </conditionalFormatting>
  <conditionalFormatting sqref="B81:C81">
    <cfRule type="cellIs" dxfId="23821" priority="9503" stopIfTrue="1" operator="equal">
      <formula>"Towel"</formula>
    </cfRule>
    <cfRule type="cellIs" dxfId="23820" priority="9504" stopIfTrue="1" operator="equal">
      <formula>"Napkin Hs"</formula>
    </cfRule>
  </conditionalFormatting>
  <conditionalFormatting sqref="C81">
    <cfRule type="cellIs" dxfId="23819" priority="9501" stopIfTrue="1" operator="equal">
      <formula>"Towel"</formula>
    </cfRule>
    <cfRule type="cellIs" dxfId="23818" priority="9502" stopIfTrue="1" operator="equal">
      <formula>"Napkin Hs"</formula>
    </cfRule>
  </conditionalFormatting>
  <conditionalFormatting sqref="C81">
    <cfRule type="cellIs" dxfId="23817" priority="9499" stopIfTrue="1" operator="equal">
      <formula>"Towel"</formula>
    </cfRule>
    <cfRule type="cellIs" dxfId="23816" priority="9500" stopIfTrue="1" operator="equal">
      <formula>"Napkin Hs"</formula>
    </cfRule>
  </conditionalFormatting>
  <conditionalFormatting sqref="B81:C81">
    <cfRule type="cellIs" dxfId="23815" priority="9498" stopIfTrue="1" operator="equal">
      <formula>"Napkin Hs"</formula>
    </cfRule>
  </conditionalFormatting>
  <conditionalFormatting sqref="B81:C81">
    <cfRule type="cellIs" dxfId="23814" priority="9497" stopIfTrue="1" operator="equal">
      <formula>"Towel"</formula>
    </cfRule>
  </conditionalFormatting>
  <conditionalFormatting sqref="C81">
    <cfRule type="cellIs" dxfId="23813" priority="9496" stopIfTrue="1" operator="equal">
      <formula>"Napkin Hs"</formula>
    </cfRule>
  </conditionalFormatting>
  <conditionalFormatting sqref="C81">
    <cfRule type="cellIs" dxfId="23812" priority="9493" stopIfTrue="1" operator="equal">
      <formula>"Towel"</formula>
    </cfRule>
    <cfRule type="cellIs" dxfId="23811" priority="9494" stopIfTrue="1" operator="equal">
      <formula>"Napkin Hs"</formula>
    </cfRule>
  </conditionalFormatting>
  <conditionalFormatting sqref="C81">
    <cfRule type="cellIs" dxfId="23810" priority="9495" stopIfTrue="1" operator="equal">
      <formula>"Towel"</formula>
    </cfRule>
  </conditionalFormatting>
  <conditionalFormatting sqref="C82">
    <cfRule type="cellIs" dxfId="23809" priority="9423" stopIfTrue="1" operator="equal">
      <formula>"Towel"</formula>
    </cfRule>
    <cfRule type="cellIs" dxfId="23808" priority="9424" stopIfTrue="1" operator="equal">
      <formula>"Napkin Hs"</formula>
    </cfRule>
  </conditionalFormatting>
  <conditionalFormatting sqref="B82:C82">
    <cfRule type="cellIs" dxfId="23807" priority="9421" stopIfTrue="1" operator="equal">
      <formula>"Towel"</formula>
    </cfRule>
    <cfRule type="cellIs" dxfId="23806" priority="9422" stopIfTrue="1" operator="equal">
      <formula>"Napkin Hs"</formula>
    </cfRule>
  </conditionalFormatting>
  <conditionalFormatting sqref="C82">
    <cfRule type="cellIs" dxfId="23805" priority="9419" stopIfTrue="1" operator="equal">
      <formula>"Towel"</formula>
    </cfRule>
    <cfRule type="cellIs" dxfId="23804" priority="9420" stopIfTrue="1" operator="equal">
      <formula>"Napkin Hs"</formula>
    </cfRule>
  </conditionalFormatting>
  <conditionalFormatting sqref="C82">
    <cfRule type="cellIs" dxfId="23803" priority="9411" stopIfTrue="1" operator="equal">
      <formula>"Towel"</formula>
    </cfRule>
    <cfRule type="cellIs" dxfId="23802" priority="9412" stopIfTrue="1" operator="equal">
      <formula>"Napkin Hs"</formula>
    </cfRule>
  </conditionalFormatting>
  <conditionalFormatting sqref="B82:C82">
    <cfRule type="cellIs" dxfId="23801" priority="9487" stopIfTrue="1" operator="equal">
      <formula>"Towel"</formula>
    </cfRule>
    <cfRule type="cellIs" dxfId="23800" priority="9488" stopIfTrue="1" operator="equal">
      <formula>"Napkin Hs"</formula>
    </cfRule>
  </conditionalFormatting>
  <conditionalFormatting sqref="B83:C83">
    <cfRule type="cellIs" dxfId="23799" priority="9491" stopIfTrue="1" operator="equal">
      <formula>"Towel"</formula>
    </cfRule>
    <cfRule type="cellIs" dxfId="23798" priority="9492" stopIfTrue="1" operator="equal">
      <formula>"Napkin Hs"</formula>
    </cfRule>
  </conditionalFormatting>
  <conditionalFormatting sqref="C82">
    <cfRule type="cellIs" dxfId="23797" priority="9483" stopIfTrue="1" operator="equal">
      <formula>"Towel"</formula>
    </cfRule>
    <cfRule type="cellIs" dxfId="23796" priority="9484" stopIfTrue="1" operator="equal">
      <formula>"Napkin Hs"</formula>
    </cfRule>
  </conditionalFormatting>
  <conditionalFormatting sqref="C82:C83">
    <cfRule type="cellIs" dxfId="23795" priority="9485" stopIfTrue="1" operator="equal">
      <formula>"Towel"</formula>
    </cfRule>
    <cfRule type="cellIs" dxfId="23794" priority="9486" stopIfTrue="1" operator="equal">
      <formula>"Napkin Hs"</formula>
    </cfRule>
  </conditionalFormatting>
  <conditionalFormatting sqref="C83">
    <cfRule type="cellIs" dxfId="23793" priority="9489" stopIfTrue="1" operator="equal">
      <formula>"Towel"</formula>
    </cfRule>
    <cfRule type="cellIs" dxfId="23792" priority="9490" stopIfTrue="1" operator="equal">
      <formula>"Napkin Hs"</formula>
    </cfRule>
  </conditionalFormatting>
  <conditionalFormatting sqref="B83:C83">
    <cfRule type="cellIs" dxfId="23791" priority="9481" stopIfTrue="1" operator="equal">
      <formula>"Towel"</formula>
    </cfRule>
    <cfRule type="cellIs" dxfId="23790" priority="9482" stopIfTrue="1" operator="equal">
      <formula>"Napkin Hs"</formula>
    </cfRule>
  </conditionalFormatting>
  <conditionalFormatting sqref="C83">
    <cfRule type="cellIs" dxfId="23789" priority="9477" stopIfTrue="1" operator="equal">
      <formula>"Towel"</formula>
    </cfRule>
    <cfRule type="cellIs" dxfId="23788" priority="9478" stopIfTrue="1" operator="equal">
      <formula>"Napkin Hs"</formula>
    </cfRule>
  </conditionalFormatting>
  <conditionalFormatting sqref="C83">
    <cfRule type="cellIs" dxfId="23787" priority="9479" stopIfTrue="1" operator="equal">
      <formula>"Towel"</formula>
    </cfRule>
    <cfRule type="cellIs" dxfId="23786" priority="9480" stopIfTrue="1" operator="equal">
      <formula>"Napkin Hs"</formula>
    </cfRule>
  </conditionalFormatting>
  <conditionalFormatting sqref="B83:C83">
    <cfRule type="cellIs" dxfId="23785" priority="9475" stopIfTrue="1" operator="equal">
      <formula>"Towel"</formula>
    </cfRule>
    <cfRule type="cellIs" dxfId="23784" priority="9476" stopIfTrue="1" operator="equal">
      <formula>"Napkin Hs"</formula>
    </cfRule>
  </conditionalFormatting>
  <conditionalFormatting sqref="C83">
    <cfRule type="cellIs" dxfId="23783" priority="9473" stopIfTrue="1" operator="equal">
      <formula>"Towel"</formula>
    </cfRule>
    <cfRule type="cellIs" dxfId="23782" priority="9474" stopIfTrue="1" operator="equal">
      <formula>"Napkin Hs"</formula>
    </cfRule>
  </conditionalFormatting>
  <conditionalFormatting sqref="C83">
    <cfRule type="cellIs" dxfId="23781" priority="9471" stopIfTrue="1" operator="equal">
      <formula>"Towel"</formula>
    </cfRule>
    <cfRule type="cellIs" dxfId="23780" priority="9472" stopIfTrue="1" operator="equal">
      <formula>"Napkin Hs"</formula>
    </cfRule>
  </conditionalFormatting>
  <conditionalFormatting sqref="B83:C83">
    <cfRule type="cellIs" dxfId="23779" priority="9469" stopIfTrue="1" operator="equal">
      <formula>"Towel"</formula>
    </cfRule>
    <cfRule type="cellIs" dxfId="23778" priority="9470" stopIfTrue="1" operator="equal">
      <formula>"Napkin Hs"</formula>
    </cfRule>
  </conditionalFormatting>
  <conditionalFormatting sqref="C83">
    <cfRule type="cellIs" dxfId="23777" priority="9467" stopIfTrue="1" operator="equal">
      <formula>"Towel"</formula>
    </cfRule>
    <cfRule type="cellIs" dxfId="23776" priority="9468" stopIfTrue="1" operator="equal">
      <formula>"Napkin Hs"</formula>
    </cfRule>
  </conditionalFormatting>
  <conditionalFormatting sqref="C83">
    <cfRule type="cellIs" dxfId="23775" priority="9465" stopIfTrue="1" operator="equal">
      <formula>"Towel"</formula>
    </cfRule>
    <cfRule type="cellIs" dxfId="23774" priority="9466" stopIfTrue="1" operator="equal">
      <formula>"Napkin Hs"</formula>
    </cfRule>
  </conditionalFormatting>
  <conditionalFormatting sqref="B83:C83">
    <cfRule type="cellIs" dxfId="23773" priority="9463" stopIfTrue="1" operator="equal">
      <formula>"Towel"</formula>
    </cfRule>
    <cfRule type="cellIs" dxfId="23772" priority="9464" stopIfTrue="1" operator="equal">
      <formula>"Napkin Hs"</formula>
    </cfRule>
  </conditionalFormatting>
  <conditionalFormatting sqref="C83">
    <cfRule type="cellIs" dxfId="23771" priority="9461" stopIfTrue="1" operator="equal">
      <formula>"Towel"</formula>
    </cfRule>
    <cfRule type="cellIs" dxfId="23770" priority="9462" stopIfTrue="1" operator="equal">
      <formula>"Napkin Hs"</formula>
    </cfRule>
  </conditionalFormatting>
  <conditionalFormatting sqref="C83">
    <cfRule type="cellIs" dxfId="23769" priority="9459" stopIfTrue="1" operator="equal">
      <formula>"Towel"</formula>
    </cfRule>
    <cfRule type="cellIs" dxfId="23768" priority="9460" stopIfTrue="1" operator="equal">
      <formula>"Napkin Hs"</formula>
    </cfRule>
  </conditionalFormatting>
  <conditionalFormatting sqref="B83:C83">
    <cfRule type="cellIs" dxfId="23767" priority="9458" stopIfTrue="1" operator="equal">
      <formula>"Napkin Hs"</formula>
    </cfRule>
  </conditionalFormatting>
  <conditionalFormatting sqref="B83:C83">
    <cfRule type="cellIs" dxfId="23766" priority="9457" stopIfTrue="1" operator="equal">
      <formula>"Towel"</formula>
    </cfRule>
  </conditionalFormatting>
  <conditionalFormatting sqref="C83">
    <cfRule type="cellIs" dxfId="23765" priority="9456" stopIfTrue="1" operator="equal">
      <formula>"Napkin Hs"</formula>
    </cfRule>
  </conditionalFormatting>
  <conditionalFormatting sqref="C83">
    <cfRule type="cellIs" dxfId="23764" priority="9453" stopIfTrue="1" operator="equal">
      <formula>"Towel"</formula>
    </cfRule>
    <cfRule type="cellIs" dxfId="23763" priority="9454" stopIfTrue="1" operator="equal">
      <formula>"Napkin Hs"</formula>
    </cfRule>
  </conditionalFormatting>
  <conditionalFormatting sqref="C83">
    <cfRule type="cellIs" dxfId="23762" priority="9455" stopIfTrue="1" operator="equal">
      <formula>"Towel"</formula>
    </cfRule>
  </conditionalFormatting>
  <conditionalFormatting sqref="B82:C82">
    <cfRule type="cellIs" dxfId="23761" priority="9452" stopIfTrue="1" operator="equal">
      <formula>"Napkin Hs"</formula>
    </cfRule>
  </conditionalFormatting>
  <conditionalFormatting sqref="B82:C82">
    <cfRule type="cellIs" dxfId="23760" priority="9451" stopIfTrue="1" operator="equal">
      <formula>"Towel"</formula>
    </cfRule>
  </conditionalFormatting>
  <conditionalFormatting sqref="C82">
    <cfRule type="cellIs" dxfId="23759" priority="9450" stopIfTrue="1" operator="equal">
      <formula>"Napkin Hs"</formula>
    </cfRule>
  </conditionalFormatting>
  <conditionalFormatting sqref="C82">
    <cfRule type="cellIs" dxfId="23758" priority="9449" stopIfTrue="1" operator="equal">
      <formula>"Towel"</formula>
    </cfRule>
  </conditionalFormatting>
  <conditionalFormatting sqref="C82">
    <cfRule type="cellIs" dxfId="23757" priority="9447" stopIfTrue="1" operator="equal">
      <formula>"Towel"</formula>
    </cfRule>
    <cfRule type="cellIs" dxfId="23756" priority="9448" stopIfTrue="1" operator="equal">
      <formula>"Napkin Hs"</formula>
    </cfRule>
  </conditionalFormatting>
  <conditionalFormatting sqref="B82:C82">
    <cfRule type="cellIs" dxfId="23755" priority="9445" stopIfTrue="1" operator="equal">
      <formula>"Towel"</formula>
    </cfRule>
    <cfRule type="cellIs" dxfId="23754" priority="9446" stopIfTrue="1" operator="equal">
      <formula>"Napkin Hs"</formula>
    </cfRule>
  </conditionalFormatting>
  <conditionalFormatting sqref="C82">
    <cfRule type="cellIs" dxfId="23753" priority="9443" stopIfTrue="1" operator="equal">
      <formula>"Towel"</formula>
    </cfRule>
    <cfRule type="cellIs" dxfId="23752" priority="9444" stopIfTrue="1" operator="equal">
      <formula>"Napkin Hs"</formula>
    </cfRule>
  </conditionalFormatting>
  <conditionalFormatting sqref="C82">
    <cfRule type="cellIs" dxfId="23751" priority="9441" stopIfTrue="1" operator="equal">
      <formula>"Towel"</formula>
    </cfRule>
    <cfRule type="cellIs" dxfId="23750" priority="9442" stopIfTrue="1" operator="equal">
      <formula>"Napkin Hs"</formula>
    </cfRule>
  </conditionalFormatting>
  <conditionalFormatting sqref="B82:C82">
    <cfRule type="cellIs" dxfId="23749" priority="9439" stopIfTrue="1" operator="equal">
      <formula>"Towel"</formula>
    </cfRule>
    <cfRule type="cellIs" dxfId="23748" priority="9440" stopIfTrue="1" operator="equal">
      <formula>"Napkin Hs"</formula>
    </cfRule>
  </conditionalFormatting>
  <conditionalFormatting sqref="C82">
    <cfRule type="cellIs" dxfId="23747" priority="9437" stopIfTrue="1" operator="equal">
      <formula>"Towel"</formula>
    </cfRule>
    <cfRule type="cellIs" dxfId="23746" priority="9438" stopIfTrue="1" operator="equal">
      <formula>"Napkin Hs"</formula>
    </cfRule>
  </conditionalFormatting>
  <conditionalFormatting sqref="C82">
    <cfRule type="cellIs" dxfId="23745" priority="9435" stopIfTrue="1" operator="equal">
      <formula>"Towel"</formula>
    </cfRule>
    <cfRule type="cellIs" dxfId="23744" priority="9436" stopIfTrue="1" operator="equal">
      <formula>"Napkin Hs"</formula>
    </cfRule>
  </conditionalFormatting>
  <conditionalFormatting sqref="B82:C82">
    <cfRule type="cellIs" dxfId="23743" priority="9433" stopIfTrue="1" operator="equal">
      <formula>"Towel"</formula>
    </cfRule>
    <cfRule type="cellIs" dxfId="23742" priority="9434" stopIfTrue="1" operator="equal">
      <formula>"Napkin Hs"</formula>
    </cfRule>
  </conditionalFormatting>
  <conditionalFormatting sqref="C82">
    <cfRule type="cellIs" dxfId="23741" priority="9431" stopIfTrue="1" operator="equal">
      <formula>"Towel"</formula>
    </cfRule>
    <cfRule type="cellIs" dxfId="23740" priority="9432" stopIfTrue="1" operator="equal">
      <formula>"Napkin Hs"</formula>
    </cfRule>
  </conditionalFormatting>
  <conditionalFormatting sqref="C82">
    <cfRule type="cellIs" dxfId="23739" priority="9429" stopIfTrue="1" operator="equal">
      <formula>"Towel"</formula>
    </cfRule>
    <cfRule type="cellIs" dxfId="23738" priority="9430" stopIfTrue="1" operator="equal">
      <formula>"Napkin Hs"</formula>
    </cfRule>
  </conditionalFormatting>
  <conditionalFormatting sqref="B82:C82">
    <cfRule type="cellIs" dxfId="23737" priority="9427" stopIfTrue="1" operator="equal">
      <formula>"Towel"</formula>
    </cfRule>
    <cfRule type="cellIs" dxfId="23736" priority="9428" stopIfTrue="1" operator="equal">
      <formula>"Napkin Hs"</formula>
    </cfRule>
  </conditionalFormatting>
  <conditionalFormatting sqref="C82">
    <cfRule type="cellIs" dxfId="23735" priority="9425" stopIfTrue="1" operator="equal">
      <formula>"Towel"</formula>
    </cfRule>
    <cfRule type="cellIs" dxfId="23734" priority="9426" stopIfTrue="1" operator="equal">
      <formula>"Napkin Hs"</formula>
    </cfRule>
  </conditionalFormatting>
  <conditionalFormatting sqref="C82">
    <cfRule type="cellIs" dxfId="23733" priority="9417" stopIfTrue="1" operator="equal">
      <formula>"Towel"</formula>
    </cfRule>
    <cfRule type="cellIs" dxfId="23732" priority="9418" stopIfTrue="1" operator="equal">
      <formula>"Napkin Hs"</formula>
    </cfRule>
  </conditionalFormatting>
  <conditionalFormatting sqref="B82:C82">
    <cfRule type="cellIs" dxfId="23731" priority="9416" stopIfTrue="1" operator="equal">
      <formula>"Napkin Hs"</formula>
    </cfRule>
  </conditionalFormatting>
  <conditionalFormatting sqref="B82:C82">
    <cfRule type="cellIs" dxfId="23730" priority="9415" stopIfTrue="1" operator="equal">
      <formula>"Towel"</formula>
    </cfRule>
  </conditionalFormatting>
  <conditionalFormatting sqref="C82">
    <cfRule type="cellIs" dxfId="23729" priority="9414" stopIfTrue="1" operator="equal">
      <formula>"Napkin Hs"</formula>
    </cfRule>
  </conditionalFormatting>
  <conditionalFormatting sqref="C82">
    <cfRule type="cellIs" dxfId="23728" priority="9413" stopIfTrue="1" operator="equal">
      <formula>"Towel"</formula>
    </cfRule>
  </conditionalFormatting>
  <conditionalFormatting sqref="B78:C78">
    <cfRule type="cellIs" dxfId="23727" priority="9403" stopIfTrue="1" operator="equal">
      <formula>"Towel"</formula>
    </cfRule>
    <cfRule type="cellIs" dxfId="23726" priority="9404" stopIfTrue="1" operator="equal">
      <formula>"Napkin Hs"</formula>
    </cfRule>
  </conditionalFormatting>
  <conditionalFormatting sqref="C78">
    <cfRule type="cellIs" dxfId="23725" priority="9399" stopIfTrue="1" operator="equal">
      <formula>"Towel"</formula>
    </cfRule>
    <cfRule type="cellIs" dxfId="23724" priority="9400" stopIfTrue="1" operator="equal">
      <formula>"Napkin Hs"</formula>
    </cfRule>
  </conditionalFormatting>
  <conditionalFormatting sqref="C78">
    <cfRule type="cellIs" dxfId="23723" priority="9401" stopIfTrue="1" operator="equal">
      <formula>"Towel"</formula>
    </cfRule>
    <cfRule type="cellIs" dxfId="23722" priority="9402" stopIfTrue="1" operator="equal">
      <formula>"Napkin Hs"</formula>
    </cfRule>
  </conditionalFormatting>
  <conditionalFormatting sqref="B78:C78">
    <cfRule type="cellIs" dxfId="23721" priority="9397" stopIfTrue="1" operator="equal">
      <formula>"Towel"</formula>
    </cfRule>
    <cfRule type="cellIs" dxfId="23720" priority="9398" stopIfTrue="1" operator="equal">
      <formula>"Napkin Hs"</formula>
    </cfRule>
  </conditionalFormatting>
  <conditionalFormatting sqref="C78">
    <cfRule type="cellIs" dxfId="23719" priority="9393" stopIfTrue="1" operator="equal">
      <formula>"Towel"</formula>
    </cfRule>
    <cfRule type="cellIs" dxfId="23718" priority="9394" stopIfTrue="1" operator="equal">
      <formula>"Napkin Hs"</formula>
    </cfRule>
  </conditionalFormatting>
  <conditionalFormatting sqref="C78">
    <cfRule type="cellIs" dxfId="23717" priority="9395" stopIfTrue="1" operator="equal">
      <formula>"Towel"</formula>
    </cfRule>
    <cfRule type="cellIs" dxfId="23716" priority="9396" stopIfTrue="1" operator="equal">
      <formula>"Napkin Hs"</formula>
    </cfRule>
  </conditionalFormatting>
  <conditionalFormatting sqref="B78:C78">
    <cfRule type="cellIs" dxfId="23715" priority="9391" stopIfTrue="1" operator="equal">
      <formula>"Towel"</formula>
    </cfRule>
    <cfRule type="cellIs" dxfId="23714" priority="9392" stopIfTrue="1" operator="equal">
      <formula>"Napkin Hs"</formula>
    </cfRule>
  </conditionalFormatting>
  <conditionalFormatting sqref="C78">
    <cfRule type="cellIs" dxfId="23713" priority="9389" stopIfTrue="1" operator="equal">
      <formula>"Towel"</formula>
    </cfRule>
    <cfRule type="cellIs" dxfId="23712" priority="9390" stopIfTrue="1" operator="equal">
      <formula>"Napkin Hs"</formula>
    </cfRule>
  </conditionalFormatting>
  <conditionalFormatting sqref="C78">
    <cfRule type="cellIs" dxfId="23711" priority="9387" stopIfTrue="1" operator="equal">
      <formula>"Towel"</formula>
    </cfRule>
    <cfRule type="cellIs" dxfId="23710" priority="9388" stopIfTrue="1" operator="equal">
      <formula>"Napkin Hs"</formula>
    </cfRule>
  </conditionalFormatting>
  <conditionalFormatting sqref="B78:C78">
    <cfRule type="cellIs" dxfId="23709" priority="9385" stopIfTrue="1" operator="equal">
      <formula>"Towel"</formula>
    </cfRule>
    <cfRule type="cellIs" dxfId="23708" priority="9386" stopIfTrue="1" operator="equal">
      <formula>"Napkin Hs"</formula>
    </cfRule>
  </conditionalFormatting>
  <conditionalFormatting sqref="C78">
    <cfRule type="cellIs" dxfId="23707" priority="9383" stopIfTrue="1" operator="equal">
      <formula>"Towel"</formula>
    </cfRule>
    <cfRule type="cellIs" dxfId="23706" priority="9384" stopIfTrue="1" operator="equal">
      <formula>"Napkin Hs"</formula>
    </cfRule>
  </conditionalFormatting>
  <conditionalFormatting sqref="C78">
    <cfRule type="cellIs" dxfId="23705" priority="9381" stopIfTrue="1" operator="equal">
      <formula>"Towel"</formula>
    </cfRule>
    <cfRule type="cellIs" dxfId="23704" priority="9382" stopIfTrue="1" operator="equal">
      <formula>"Napkin Hs"</formula>
    </cfRule>
  </conditionalFormatting>
  <conditionalFormatting sqref="B78:C78">
    <cfRule type="cellIs" dxfId="23703" priority="9379" stopIfTrue="1" operator="equal">
      <formula>"Towel"</formula>
    </cfRule>
    <cfRule type="cellIs" dxfId="23702" priority="9380" stopIfTrue="1" operator="equal">
      <formula>"Napkin Hs"</formula>
    </cfRule>
  </conditionalFormatting>
  <conditionalFormatting sqref="C78">
    <cfRule type="cellIs" dxfId="23701" priority="9377" stopIfTrue="1" operator="equal">
      <formula>"Towel"</formula>
    </cfRule>
    <cfRule type="cellIs" dxfId="23700" priority="9378" stopIfTrue="1" operator="equal">
      <formula>"Napkin Hs"</formula>
    </cfRule>
  </conditionalFormatting>
  <conditionalFormatting sqref="C78">
    <cfRule type="cellIs" dxfId="23699" priority="9375" stopIfTrue="1" operator="equal">
      <formula>"Towel"</formula>
    </cfRule>
    <cfRule type="cellIs" dxfId="23698" priority="9376" stopIfTrue="1" operator="equal">
      <formula>"Napkin Hs"</formula>
    </cfRule>
  </conditionalFormatting>
  <conditionalFormatting sqref="B78:C78">
    <cfRule type="cellIs" dxfId="23697" priority="9374" stopIfTrue="1" operator="equal">
      <formula>"Napkin Hs"</formula>
    </cfRule>
  </conditionalFormatting>
  <conditionalFormatting sqref="B78:C78">
    <cfRule type="cellIs" dxfId="23696" priority="9373" stopIfTrue="1" operator="equal">
      <formula>"Towel"</formula>
    </cfRule>
  </conditionalFormatting>
  <conditionalFormatting sqref="C78">
    <cfRule type="cellIs" dxfId="23695" priority="9372" stopIfTrue="1" operator="equal">
      <formula>"Napkin Hs"</formula>
    </cfRule>
  </conditionalFormatting>
  <conditionalFormatting sqref="C78">
    <cfRule type="cellIs" dxfId="23694" priority="9369" stopIfTrue="1" operator="equal">
      <formula>"Towel"</formula>
    </cfRule>
    <cfRule type="cellIs" dxfId="23693" priority="9370" stopIfTrue="1" operator="equal">
      <formula>"Napkin Hs"</formula>
    </cfRule>
  </conditionalFormatting>
  <conditionalFormatting sqref="C78">
    <cfRule type="cellIs" dxfId="23692" priority="9371" stopIfTrue="1" operator="equal">
      <formula>"Towel"</formula>
    </cfRule>
  </conditionalFormatting>
  <conditionalFormatting sqref="C81">
    <cfRule type="cellIs" dxfId="23691" priority="9333" stopIfTrue="1" operator="equal">
      <formula>"Towel"</formula>
    </cfRule>
    <cfRule type="cellIs" dxfId="23690" priority="9334" stopIfTrue="1" operator="equal">
      <formula>"Napkin Hs"</formula>
    </cfRule>
  </conditionalFormatting>
  <conditionalFormatting sqref="B81:C81">
    <cfRule type="cellIs" dxfId="23689" priority="9331" stopIfTrue="1" operator="equal">
      <formula>"Towel"</formula>
    </cfRule>
    <cfRule type="cellIs" dxfId="23688" priority="9332" stopIfTrue="1" operator="equal">
      <formula>"Napkin Hs"</formula>
    </cfRule>
  </conditionalFormatting>
  <conditionalFormatting sqref="C81">
    <cfRule type="cellIs" dxfId="23687" priority="9329" stopIfTrue="1" operator="equal">
      <formula>"Towel"</formula>
    </cfRule>
    <cfRule type="cellIs" dxfId="23686" priority="9330" stopIfTrue="1" operator="equal">
      <formula>"Napkin Hs"</formula>
    </cfRule>
  </conditionalFormatting>
  <conditionalFormatting sqref="C81">
    <cfRule type="cellIs" dxfId="23685" priority="9321" stopIfTrue="1" operator="equal">
      <formula>"Towel"</formula>
    </cfRule>
    <cfRule type="cellIs" dxfId="23684" priority="9322" stopIfTrue="1" operator="equal">
      <formula>"Napkin Hs"</formula>
    </cfRule>
  </conditionalFormatting>
  <conditionalFormatting sqref="B81:C81">
    <cfRule type="cellIs" dxfId="23683" priority="9367" stopIfTrue="1" operator="equal">
      <formula>"Towel"</formula>
    </cfRule>
    <cfRule type="cellIs" dxfId="23682" priority="9368" stopIfTrue="1" operator="equal">
      <formula>"Napkin Hs"</formula>
    </cfRule>
  </conditionalFormatting>
  <conditionalFormatting sqref="C81">
    <cfRule type="cellIs" dxfId="23681" priority="9363" stopIfTrue="1" operator="equal">
      <formula>"Towel"</formula>
    </cfRule>
    <cfRule type="cellIs" dxfId="23680" priority="9364" stopIfTrue="1" operator="equal">
      <formula>"Napkin Hs"</formula>
    </cfRule>
  </conditionalFormatting>
  <conditionalFormatting sqref="C81">
    <cfRule type="cellIs" dxfId="23679" priority="9365" stopIfTrue="1" operator="equal">
      <formula>"Towel"</formula>
    </cfRule>
    <cfRule type="cellIs" dxfId="23678" priority="9366" stopIfTrue="1" operator="equal">
      <formula>"Napkin Hs"</formula>
    </cfRule>
  </conditionalFormatting>
  <conditionalFormatting sqref="B81:C81">
    <cfRule type="cellIs" dxfId="23677" priority="9362" stopIfTrue="1" operator="equal">
      <formula>"Napkin Hs"</formula>
    </cfRule>
  </conditionalFormatting>
  <conditionalFormatting sqref="B81:C81">
    <cfRule type="cellIs" dxfId="23676" priority="9361" stopIfTrue="1" operator="equal">
      <formula>"Towel"</formula>
    </cfRule>
  </conditionalFormatting>
  <conditionalFormatting sqref="C81">
    <cfRule type="cellIs" dxfId="23675" priority="9360" stopIfTrue="1" operator="equal">
      <formula>"Napkin Hs"</formula>
    </cfRule>
  </conditionalFormatting>
  <conditionalFormatting sqref="C81">
    <cfRule type="cellIs" dxfId="23674" priority="9359" stopIfTrue="1" operator="equal">
      <formula>"Towel"</formula>
    </cfRule>
  </conditionalFormatting>
  <conditionalFormatting sqref="C81">
    <cfRule type="cellIs" dxfId="23673" priority="9357" stopIfTrue="1" operator="equal">
      <formula>"Towel"</formula>
    </cfRule>
    <cfRule type="cellIs" dxfId="23672" priority="9358" stopIfTrue="1" operator="equal">
      <formula>"Napkin Hs"</formula>
    </cfRule>
  </conditionalFormatting>
  <conditionalFormatting sqref="B81:C81">
    <cfRule type="cellIs" dxfId="23671" priority="9355" stopIfTrue="1" operator="equal">
      <formula>"Towel"</formula>
    </cfRule>
    <cfRule type="cellIs" dxfId="23670" priority="9356" stopIfTrue="1" operator="equal">
      <formula>"Napkin Hs"</formula>
    </cfRule>
  </conditionalFormatting>
  <conditionalFormatting sqref="C81">
    <cfRule type="cellIs" dxfId="23669" priority="9353" stopIfTrue="1" operator="equal">
      <formula>"Towel"</formula>
    </cfRule>
    <cfRule type="cellIs" dxfId="23668" priority="9354" stopIfTrue="1" operator="equal">
      <formula>"Napkin Hs"</formula>
    </cfRule>
  </conditionalFormatting>
  <conditionalFormatting sqref="C81">
    <cfRule type="cellIs" dxfId="23667" priority="9351" stopIfTrue="1" operator="equal">
      <formula>"Towel"</formula>
    </cfRule>
    <cfRule type="cellIs" dxfId="23666" priority="9352" stopIfTrue="1" operator="equal">
      <formula>"Napkin Hs"</formula>
    </cfRule>
  </conditionalFormatting>
  <conditionalFormatting sqref="B81:C81">
    <cfRule type="cellIs" dxfId="23665" priority="9349" stopIfTrue="1" operator="equal">
      <formula>"Towel"</formula>
    </cfRule>
    <cfRule type="cellIs" dxfId="23664" priority="9350" stopIfTrue="1" operator="equal">
      <formula>"Napkin Hs"</formula>
    </cfRule>
  </conditionalFormatting>
  <conditionalFormatting sqref="C81">
    <cfRule type="cellIs" dxfId="23663" priority="9347" stopIfTrue="1" operator="equal">
      <formula>"Towel"</formula>
    </cfRule>
    <cfRule type="cellIs" dxfId="23662" priority="9348" stopIfTrue="1" operator="equal">
      <formula>"Napkin Hs"</formula>
    </cfRule>
  </conditionalFormatting>
  <conditionalFormatting sqref="C81">
    <cfRule type="cellIs" dxfId="23661" priority="9345" stopIfTrue="1" operator="equal">
      <formula>"Towel"</formula>
    </cfRule>
    <cfRule type="cellIs" dxfId="23660" priority="9346" stopIfTrue="1" operator="equal">
      <formula>"Napkin Hs"</formula>
    </cfRule>
  </conditionalFormatting>
  <conditionalFormatting sqref="B81:C81">
    <cfRule type="cellIs" dxfId="23659" priority="9343" stopIfTrue="1" operator="equal">
      <formula>"Towel"</formula>
    </cfRule>
    <cfRule type="cellIs" dxfId="23658" priority="9344" stopIfTrue="1" operator="equal">
      <formula>"Napkin Hs"</formula>
    </cfRule>
  </conditionalFormatting>
  <conditionalFormatting sqref="C81">
    <cfRule type="cellIs" dxfId="23657" priority="9341" stopIfTrue="1" operator="equal">
      <formula>"Towel"</formula>
    </cfRule>
    <cfRule type="cellIs" dxfId="23656" priority="9342" stopIfTrue="1" operator="equal">
      <formula>"Napkin Hs"</formula>
    </cfRule>
  </conditionalFormatting>
  <conditionalFormatting sqref="C81">
    <cfRule type="cellIs" dxfId="23655" priority="9339" stopIfTrue="1" operator="equal">
      <formula>"Towel"</formula>
    </cfRule>
    <cfRule type="cellIs" dxfId="23654" priority="9340" stopIfTrue="1" operator="equal">
      <formula>"Napkin Hs"</formula>
    </cfRule>
  </conditionalFormatting>
  <conditionalFormatting sqref="B81:C81">
    <cfRule type="cellIs" dxfId="23653" priority="9337" stopIfTrue="1" operator="equal">
      <formula>"Towel"</formula>
    </cfRule>
    <cfRule type="cellIs" dxfId="23652" priority="9338" stopIfTrue="1" operator="equal">
      <formula>"Napkin Hs"</formula>
    </cfRule>
  </conditionalFormatting>
  <conditionalFormatting sqref="C81">
    <cfRule type="cellIs" dxfId="23651" priority="9335" stopIfTrue="1" operator="equal">
      <formula>"Towel"</formula>
    </cfRule>
    <cfRule type="cellIs" dxfId="23650" priority="9336" stopIfTrue="1" operator="equal">
      <formula>"Napkin Hs"</formula>
    </cfRule>
  </conditionalFormatting>
  <conditionalFormatting sqref="C81">
    <cfRule type="cellIs" dxfId="23649" priority="9327" stopIfTrue="1" operator="equal">
      <formula>"Towel"</formula>
    </cfRule>
    <cfRule type="cellIs" dxfId="23648" priority="9328" stopIfTrue="1" operator="equal">
      <formula>"Napkin Hs"</formula>
    </cfRule>
  </conditionalFormatting>
  <conditionalFormatting sqref="B81:C81">
    <cfRule type="cellIs" dxfId="23647" priority="9326" stopIfTrue="1" operator="equal">
      <formula>"Napkin Hs"</formula>
    </cfRule>
  </conditionalFormatting>
  <conditionalFormatting sqref="B81:C81">
    <cfRule type="cellIs" dxfId="23646" priority="9325" stopIfTrue="1" operator="equal">
      <formula>"Towel"</formula>
    </cfRule>
  </conditionalFormatting>
  <conditionalFormatting sqref="C81">
    <cfRule type="cellIs" dxfId="23645" priority="9324" stopIfTrue="1" operator="equal">
      <formula>"Napkin Hs"</formula>
    </cfRule>
  </conditionalFormatting>
  <conditionalFormatting sqref="C81">
    <cfRule type="cellIs" dxfId="23644" priority="9323" stopIfTrue="1" operator="equal">
      <formula>"Towel"</formula>
    </cfRule>
  </conditionalFormatting>
  <conditionalFormatting sqref="B80:C80">
    <cfRule type="cellIs" dxfId="23643" priority="9319" stopIfTrue="1" operator="equal">
      <formula>"Towel"</formula>
    </cfRule>
    <cfRule type="cellIs" dxfId="23642" priority="9320" stopIfTrue="1" operator="equal">
      <formula>"Napkin Hs"</formula>
    </cfRule>
  </conditionalFormatting>
  <conditionalFormatting sqref="C80">
    <cfRule type="cellIs" dxfId="23641" priority="9315" stopIfTrue="1" operator="equal">
      <formula>"Towel"</formula>
    </cfRule>
    <cfRule type="cellIs" dxfId="23640" priority="9316" stopIfTrue="1" operator="equal">
      <formula>"Napkin Hs"</formula>
    </cfRule>
  </conditionalFormatting>
  <conditionalFormatting sqref="C80">
    <cfRule type="cellIs" dxfId="23639" priority="9317" stopIfTrue="1" operator="equal">
      <formula>"Towel"</formula>
    </cfRule>
    <cfRule type="cellIs" dxfId="23638" priority="9318" stopIfTrue="1" operator="equal">
      <formula>"Napkin Hs"</formula>
    </cfRule>
  </conditionalFormatting>
  <conditionalFormatting sqref="B80:C80">
    <cfRule type="cellIs" dxfId="23637" priority="9314" stopIfTrue="1" operator="equal">
      <formula>"Napkin Hs"</formula>
    </cfRule>
  </conditionalFormatting>
  <conditionalFormatting sqref="B80:C80">
    <cfRule type="cellIs" dxfId="23636" priority="9313" stopIfTrue="1" operator="equal">
      <formula>"Towel"</formula>
    </cfRule>
  </conditionalFormatting>
  <conditionalFormatting sqref="C80">
    <cfRule type="cellIs" dxfId="23635" priority="9312" stopIfTrue="1" operator="equal">
      <formula>"Napkin Hs"</formula>
    </cfRule>
  </conditionalFormatting>
  <conditionalFormatting sqref="C80">
    <cfRule type="cellIs" dxfId="23634" priority="9311" stopIfTrue="1" operator="equal">
      <formula>"Towel"</formula>
    </cfRule>
  </conditionalFormatting>
  <conditionalFormatting sqref="C80">
    <cfRule type="cellIs" dxfId="23633" priority="9309" stopIfTrue="1" operator="equal">
      <formula>"Towel"</formula>
    </cfRule>
    <cfRule type="cellIs" dxfId="23632" priority="9310" stopIfTrue="1" operator="equal">
      <formula>"Napkin Hs"</formula>
    </cfRule>
  </conditionalFormatting>
  <conditionalFormatting sqref="B80:C80">
    <cfRule type="cellIs" dxfId="23631" priority="9307" stopIfTrue="1" operator="equal">
      <formula>"Towel"</formula>
    </cfRule>
    <cfRule type="cellIs" dxfId="23630" priority="9308" stopIfTrue="1" operator="equal">
      <formula>"Napkin Hs"</formula>
    </cfRule>
  </conditionalFormatting>
  <conditionalFormatting sqref="C80">
    <cfRule type="cellIs" dxfId="23629" priority="9305" stopIfTrue="1" operator="equal">
      <formula>"Towel"</formula>
    </cfRule>
    <cfRule type="cellIs" dxfId="23628" priority="9306" stopIfTrue="1" operator="equal">
      <formula>"Napkin Hs"</formula>
    </cfRule>
  </conditionalFormatting>
  <conditionalFormatting sqref="C80">
    <cfRule type="cellIs" dxfId="23627" priority="9303" stopIfTrue="1" operator="equal">
      <formula>"Towel"</formula>
    </cfRule>
    <cfRule type="cellIs" dxfId="23626" priority="9304" stopIfTrue="1" operator="equal">
      <formula>"Napkin Hs"</formula>
    </cfRule>
  </conditionalFormatting>
  <conditionalFormatting sqref="B80:C80">
    <cfRule type="cellIs" dxfId="23625" priority="9301" stopIfTrue="1" operator="equal">
      <formula>"Towel"</formula>
    </cfRule>
    <cfRule type="cellIs" dxfId="23624" priority="9302" stopIfTrue="1" operator="equal">
      <formula>"Napkin Hs"</formula>
    </cfRule>
  </conditionalFormatting>
  <conditionalFormatting sqref="C80">
    <cfRule type="cellIs" dxfId="23623" priority="9299" stopIfTrue="1" operator="equal">
      <formula>"Towel"</formula>
    </cfRule>
    <cfRule type="cellIs" dxfId="23622" priority="9300" stopIfTrue="1" operator="equal">
      <formula>"Napkin Hs"</formula>
    </cfRule>
  </conditionalFormatting>
  <conditionalFormatting sqref="C80">
    <cfRule type="cellIs" dxfId="23621" priority="9297" stopIfTrue="1" operator="equal">
      <formula>"Towel"</formula>
    </cfRule>
    <cfRule type="cellIs" dxfId="23620" priority="9298" stopIfTrue="1" operator="equal">
      <formula>"Napkin Hs"</formula>
    </cfRule>
  </conditionalFormatting>
  <conditionalFormatting sqref="B80:C80">
    <cfRule type="cellIs" dxfId="23619" priority="9295" stopIfTrue="1" operator="equal">
      <formula>"Towel"</formula>
    </cfRule>
    <cfRule type="cellIs" dxfId="23618" priority="9296" stopIfTrue="1" operator="equal">
      <formula>"Napkin Hs"</formula>
    </cfRule>
  </conditionalFormatting>
  <conditionalFormatting sqref="C80">
    <cfRule type="cellIs" dxfId="23617" priority="9293" stopIfTrue="1" operator="equal">
      <formula>"Towel"</formula>
    </cfRule>
    <cfRule type="cellIs" dxfId="23616" priority="9294" stopIfTrue="1" operator="equal">
      <formula>"Napkin Hs"</formula>
    </cfRule>
  </conditionalFormatting>
  <conditionalFormatting sqref="C80">
    <cfRule type="cellIs" dxfId="23615" priority="9291" stopIfTrue="1" operator="equal">
      <formula>"Towel"</formula>
    </cfRule>
    <cfRule type="cellIs" dxfId="23614" priority="9292" stopIfTrue="1" operator="equal">
      <formula>"Napkin Hs"</formula>
    </cfRule>
  </conditionalFormatting>
  <conditionalFormatting sqref="B80:C80">
    <cfRule type="cellIs" dxfId="23613" priority="9289" stopIfTrue="1" operator="equal">
      <formula>"Towel"</formula>
    </cfRule>
    <cfRule type="cellIs" dxfId="23612" priority="9290" stopIfTrue="1" operator="equal">
      <formula>"Napkin Hs"</formula>
    </cfRule>
  </conditionalFormatting>
  <conditionalFormatting sqref="C80">
    <cfRule type="cellIs" dxfId="23611" priority="9287" stopIfTrue="1" operator="equal">
      <formula>"Towel"</formula>
    </cfRule>
    <cfRule type="cellIs" dxfId="23610" priority="9288" stopIfTrue="1" operator="equal">
      <formula>"Napkin Hs"</formula>
    </cfRule>
  </conditionalFormatting>
  <conditionalFormatting sqref="C80">
    <cfRule type="cellIs" dxfId="23609" priority="9285" stopIfTrue="1" operator="equal">
      <formula>"Towel"</formula>
    </cfRule>
    <cfRule type="cellIs" dxfId="23608" priority="9286" stopIfTrue="1" operator="equal">
      <formula>"Napkin Hs"</formula>
    </cfRule>
  </conditionalFormatting>
  <conditionalFormatting sqref="B80:C80">
    <cfRule type="cellIs" dxfId="23607" priority="9283" stopIfTrue="1" operator="equal">
      <formula>"Towel"</formula>
    </cfRule>
    <cfRule type="cellIs" dxfId="23606" priority="9284" stopIfTrue="1" operator="equal">
      <formula>"Napkin Hs"</formula>
    </cfRule>
  </conditionalFormatting>
  <conditionalFormatting sqref="C80">
    <cfRule type="cellIs" dxfId="23605" priority="9281" stopIfTrue="1" operator="equal">
      <formula>"Towel"</formula>
    </cfRule>
    <cfRule type="cellIs" dxfId="23604" priority="9282" stopIfTrue="1" operator="equal">
      <formula>"Napkin Hs"</formula>
    </cfRule>
  </conditionalFormatting>
  <conditionalFormatting sqref="C80">
    <cfRule type="cellIs" dxfId="23603" priority="9279" stopIfTrue="1" operator="equal">
      <formula>"Towel"</formula>
    </cfRule>
    <cfRule type="cellIs" dxfId="23602" priority="9280" stopIfTrue="1" operator="equal">
      <formula>"Napkin Hs"</formula>
    </cfRule>
  </conditionalFormatting>
  <conditionalFormatting sqref="B80:C80">
    <cfRule type="cellIs" dxfId="23601" priority="9278" stopIfTrue="1" operator="equal">
      <formula>"Napkin Hs"</formula>
    </cfRule>
  </conditionalFormatting>
  <conditionalFormatting sqref="B80:C80">
    <cfRule type="cellIs" dxfId="23600" priority="9277" stopIfTrue="1" operator="equal">
      <formula>"Towel"</formula>
    </cfRule>
  </conditionalFormatting>
  <conditionalFormatting sqref="C80">
    <cfRule type="cellIs" dxfId="23599" priority="9276" stopIfTrue="1" operator="equal">
      <formula>"Napkin Hs"</formula>
    </cfRule>
  </conditionalFormatting>
  <conditionalFormatting sqref="C80">
    <cfRule type="cellIs" dxfId="23598" priority="9273" stopIfTrue="1" operator="equal">
      <formula>"Towel"</formula>
    </cfRule>
    <cfRule type="cellIs" dxfId="23597" priority="9274" stopIfTrue="1" operator="equal">
      <formula>"Napkin Hs"</formula>
    </cfRule>
  </conditionalFormatting>
  <conditionalFormatting sqref="C80">
    <cfRule type="cellIs" dxfId="23596" priority="9275" stopIfTrue="1" operator="equal">
      <formula>"Towel"</formula>
    </cfRule>
  </conditionalFormatting>
  <conditionalFormatting sqref="B78:C78">
    <cfRule type="cellIs" dxfId="23595" priority="9267" stopIfTrue="1" operator="equal">
      <formula>"Towel"</formula>
    </cfRule>
    <cfRule type="cellIs" dxfId="23594" priority="9268" stopIfTrue="1" operator="equal">
      <formula>"Napkin Hs"</formula>
    </cfRule>
  </conditionalFormatting>
  <conditionalFormatting sqref="C78">
    <cfRule type="cellIs" dxfId="23593" priority="9263" stopIfTrue="1" operator="equal">
      <formula>"Towel"</formula>
    </cfRule>
    <cfRule type="cellIs" dxfId="23592" priority="9264" stopIfTrue="1" operator="equal">
      <formula>"Napkin Hs"</formula>
    </cfRule>
  </conditionalFormatting>
  <conditionalFormatting sqref="C78 C80">
    <cfRule type="cellIs" dxfId="23591" priority="9265" stopIfTrue="1" operator="equal">
      <formula>"Towel"</formula>
    </cfRule>
    <cfRule type="cellIs" dxfId="23590" priority="9266" stopIfTrue="1" operator="equal">
      <formula>"Napkin Hs"</formula>
    </cfRule>
  </conditionalFormatting>
  <conditionalFormatting sqref="C81">
    <cfRule type="cellIs" dxfId="23589" priority="9227" stopIfTrue="1" operator="equal">
      <formula>"Towel"</formula>
    </cfRule>
    <cfRule type="cellIs" dxfId="23588" priority="9228" stopIfTrue="1" operator="equal">
      <formula>"Napkin Hs"</formula>
    </cfRule>
  </conditionalFormatting>
  <conditionalFormatting sqref="B81:C81">
    <cfRule type="cellIs" dxfId="23587" priority="9225" stopIfTrue="1" operator="equal">
      <formula>"Towel"</formula>
    </cfRule>
    <cfRule type="cellIs" dxfId="23586" priority="9226" stopIfTrue="1" operator="equal">
      <formula>"Napkin Hs"</formula>
    </cfRule>
  </conditionalFormatting>
  <conditionalFormatting sqref="C81">
    <cfRule type="cellIs" dxfId="23585" priority="9223" stopIfTrue="1" operator="equal">
      <formula>"Towel"</formula>
    </cfRule>
    <cfRule type="cellIs" dxfId="23584" priority="9224" stopIfTrue="1" operator="equal">
      <formula>"Napkin Hs"</formula>
    </cfRule>
  </conditionalFormatting>
  <conditionalFormatting sqref="C81">
    <cfRule type="cellIs" dxfId="23583" priority="9215" stopIfTrue="1" operator="equal">
      <formula>"Towel"</formula>
    </cfRule>
    <cfRule type="cellIs" dxfId="23582" priority="9216" stopIfTrue="1" operator="equal">
      <formula>"Napkin Hs"</formula>
    </cfRule>
  </conditionalFormatting>
  <conditionalFormatting sqref="B81:C81">
    <cfRule type="cellIs" dxfId="23581" priority="9261" stopIfTrue="1" operator="equal">
      <formula>"Towel"</formula>
    </cfRule>
    <cfRule type="cellIs" dxfId="23580" priority="9262" stopIfTrue="1" operator="equal">
      <formula>"Napkin Hs"</formula>
    </cfRule>
  </conditionalFormatting>
  <conditionalFormatting sqref="C81">
    <cfRule type="cellIs" dxfId="23579" priority="9257" stopIfTrue="1" operator="equal">
      <formula>"Towel"</formula>
    </cfRule>
    <cfRule type="cellIs" dxfId="23578" priority="9258" stopIfTrue="1" operator="equal">
      <formula>"Napkin Hs"</formula>
    </cfRule>
  </conditionalFormatting>
  <conditionalFormatting sqref="C81">
    <cfRule type="cellIs" dxfId="23577" priority="9259" stopIfTrue="1" operator="equal">
      <formula>"Towel"</formula>
    </cfRule>
    <cfRule type="cellIs" dxfId="23576" priority="9260" stopIfTrue="1" operator="equal">
      <formula>"Napkin Hs"</formula>
    </cfRule>
  </conditionalFormatting>
  <conditionalFormatting sqref="B81:C81">
    <cfRule type="cellIs" dxfId="23575" priority="9256" stopIfTrue="1" operator="equal">
      <formula>"Napkin Hs"</formula>
    </cfRule>
  </conditionalFormatting>
  <conditionalFormatting sqref="B81:C81">
    <cfRule type="cellIs" dxfId="23574" priority="9255" stopIfTrue="1" operator="equal">
      <formula>"Towel"</formula>
    </cfRule>
  </conditionalFormatting>
  <conditionalFormatting sqref="C81">
    <cfRule type="cellIs" dxfId="23573" priority="9254" stopIfTrue="1" operator="equal">
      <formula>"Napkin Hs"</formula>
    </cfRule>
  </conditionalFormatting>
  <conditionalFormatting sqref="C81">
    <cfRule type="cellIs" dxfId="23572" priority="9253" stopIfTrue="1" operator="equal">
      <formula>"Towel"</formula>
    </cfRule>
  </conditionalFormatting>
  <conditionalFormatting sqref="C81">
    <cfRule type="cellIs" dxfId="23571" priority="9251" stopIfTrue="1" operator="equal">
      <formula>"Towel"</formula>
    </cfRule>
    <cfRule type="cellIs" dxfId="23570" priority="9252" stopIfTrue="1" operator="equal">
      <formula>"Napkin Hs"</formula>
    </cfRule>
  </conditionalFormatting>
  <conditionalFormatting sqref="B81:C81">
    <cfRule type="cellIs" dxfId="23569" priority="9249" stopIfTrue="1" operator="equal">
      <formula>"Towel"</formula>
    </cfRule>
    <cfRule type="cellIs" dxfId="23568" priority="9250" stopIfTrue="1" operator="equal">
      <formula>"Napkin Hs"</formula>
    </cfRule>
  </conditionalFormatting>
  <conditionalFormatting sqref="C81">
    <cfRule type="cellIs" dxfId="23567" priority="9247" stopIfTrue="1" operator="equal">
      <formula>"Towel"</formula>
    </cfRule>
    <cfRule type="cellIs" dxfId="23566" priority="9248" stopIfTrue="1" operator="equal">
      <formula>"Napkin Hs"</formula>
    </cfRule>
  </conditionalFormatting>
  <conditionalFormatting sqref="C81">
    <cfRule type="cellIs" dxfId="23565" priority="9245" stopIfTrue="1" operator="equal">
      <formula>"Towel"</formula>
    </cfRule>
    <cfRule type="cellIs" dxfId="23564" priority="9246" stopIfTrue="1" operator="equal">
      <formula>"Napkin Hs"</formula>
    </cfRule>
  </conditionalFormatting>
  <conditionalFormatting sqref="B81:C81">
    <cfRule type="cellIs" dxfId="23563" priority="9243" stopIfTrue="1" operator="equal">
      <formula>"Towel"</formula>
    </cfRule>
    <cfRule type="cellIs" dxfId="23562" priority="9244" stopIfTrue="1" operator="equal">
      <formula>"Napkin Hs"</formula>
    </cfRule>
  </conditionalFormatting>
  <conditionalFormatting sqref="C81">
    <cfRule type="cellIs" dxfId="23561" priority="9241" stopIfTrue="1" operator="equal">
      <formula>"Towel"</formula>
    </cfRule>
    <cfRule type="cellIs" dxfId="23560" priority="9242" stopIfTrue="1" operator="equal">
      <formula>"Napkin Hs"</formula>
    </cfRule>
  </conditionalFormatting>
  <conditionalFormatting sqref="C81">
    <cfRule type="cellIs" dxfId="23559" priority="9239" stopIfTrue="1" operator="equal">
      <formula>"Towel"</formula>
    </cfRule>
    <cfRule type="cellIs" dxfId="23558" priority="9240" stopIfTrue="1" operator="equal">
      <formula>"Napkin Hs"</formula>
    </cfRule>
  </conditionalFormatting>
  <conditionalFormatting sqref="B81:C81">
    <cfRule type="cellIs" dxfId="23557" priority="9237" stopIfTrue="1" operator="equal">
      <formula>"Towel"</formula>
    </cfRule>
    <cfRule type="cellIs" dxfId="23556" priority="9238" stopIfTrue="1" operator="equal">
      <formula>"Napkin Hs"</formula>
    </cfRule>
  </conditionalFormatting>
  <conditionalFormatting sqref="C81">
    <cfRule type="cellIs" dxfId="23555" priority="9235" stopIfTrue="1" operator="equal">
      <formula>"Towel"</formula>
    </cfRule>
    <cfRule type="cellIs" dxfId="23554" priority="9236" stopIfTrue="1" operator="equal">
      <formula>"Napkin Hs"</formula>
    </cfRule>
  </conditionalFormatting>
  <conditionalFormatting sqref="C81">
    <cfRule type="cellIs" dxfId="23553" priority="9233" stopIfTrue="1" operator="equal">
      <formula>"Towel"</formula>
    </cfRule>
    <cfRule type="cellIs" dxfId="23552" priority="9234" stopIfTrue="1" operator="equal">
      <formula>"Napkin Hs"</formula>
    </cfRule>
  </conditionalFormatting>
  <conditionalFormatting sqref="B81:C81">
    <cfRule type="cellIs" dxfId="23551" priority="9231" stopIfTrue="1" operator="equal">
      <formula>"Towel"</formula>
    </cfRule>
    <cfRule type="cellIs" dxfId="23550" priority="9232" stopIfTrue="1" operator="equal">
      <formula>"Napkin Hs"</formula>
    </cfRule>
  </conditionalFormatting>
  <conditionalFormatting sqref="C81">
    <cfRule type="cellIs" dxfId="23549" priority="9229" stopIfTrue="1" operator="equal">
      <formula>"Towel"</formula>
    </cfRule>
    <cfRule type="cellIs" dxfId="23548" priority="9230" stopIfTrue="1" operator="equal">
      <formula>"Napkin Hs"</formula>
    </cfRule>
  </conditionalFormatting>
  <conditionalFormatting sqref="C81">
    <cfRule type="cellIs" dxfId="23547" priority="9221" stopIfTrue="1" operator="equal">
      <formula>"Towel"</formula>
    </cfRule>
    <cfRule type="cellIs" dxfId="23546" priority="9222" stopIfTrue="1" operator="equal">
      <formula>"Napkin Hs"</formula>
    </cfRule>
  </conditionalFormatting>
  <conditionalFormatting sqref="B81:C81">
    <cfRule type="cellIs" dxfId="23545" priority="9220" stopIfTrue="1" operator="equal">
      <formula>"Napkin Hs"</formula>
    </cfRule>
  </conditionalFormatting>
  <conditionalFormatting sqref="B81:C81">
    <cfRule type="cellIs" dxfId="23544" priority="9219" stopIfTrue="1" operator="equal">
      <formula>"Towel"</formula>
    </cfRule>
  </conditionalFormatting>
  <conditionalFormatting sqref="C81">
    <cfRule type="cellIs" dxfId="23543" priority="9218" stopIfTrue="1" operator="equal">
      <formula>"Napkin Hs"</formula>
    </cfRule>
  </conditionalFormatting>
  <conditionalFormatting sqref="C81">
    <cfRule type="cellIs" dxfId="23542" priority="9217" stopIfTrue="1" operator="equal">
      <formula>"Towel"</formula>
    </cfRule>
  </conditionalFormatting>
  <conditionalFormatting sqref="B80:C80">
    <cfRule type="cellIs" dxfId="23541" priority="9213" stopIfTrue="1" operator="equal">
      <formula>"Towel"</formula>
    </cfRule>
    <cfRule type="cellIs" dxfId="23540" priority="9214" stopIfTrue="1" operator="equal">
      <formula>"Napkin Hs"</formula>
    </cfRule>
  </conditionalFormatting>
  <conditionalFormatting sqref="C80">
    <cfRule type="cellIs" dxfId="23539" priority="9209" stopIfTrue="1" operator="equal">
      <formula>"Towel"</formula>
    </cfRule>
    <cfRule type="cellIs" dxfId="23538" priority="9210" stopIfTrue="1" operator="equal">
      <formula>"Napkin Hs"</formula>
    </cfRule>
  </conditionalFormatting>
  <conditionalFormatting sqref="C80">
    <cfRule type="cellIs" dxfId="23537" priority="9211" stopIfTrue="1" operator="equal">
      <formula>"Towel"</formula>
    </cfRule>
    <cfRule type="cellIs" dxfId="23536" priority="9212" stopIfTrue="1" operator="equal">
      <formula>"Napkin Hs"</formula>
    </cfRule>
  </conditionalFormatting>
  <conditionalFormatting sqref="B80:C80">
    <cfRule type="cellIs" dxfId="23535" priority="9208" stopIfTrue="1" operator="equal">
      <formula>"Napkin Hs"</formula>
    </cfRule>
  </conditionalFormatting>
  <conditionalFormatting sqref="B80:C80">
    <cfRule type="cellIs" dxfId="23534" priority="9207" stopIfTrue="1" operator="equal">
      <formula>"Towel"</formula>
    </cfRule>
  </conditionalFormatting>
  <conditionalFormatting sqref="C80">
    <cfRule type="cellIs" dxfId="23533" priority="9206" stopIfTrue="1" operator="equal">
      <formula>"Napkin Hs"</formula>
    </cfRule>
  </conditionalFormatting>
  <conditionalFormatting sqref="C80">
    <cfRule type="cellIs" dxfId="23532" priority="9205" stopIfTrue="1" operator="equal">
      <formula>"Towel"</formula>
    </cfRule>
  </conditionalFormatting>
  <conditionalFormatting sqref="C80">
    <cfRule type="cellIs" dxfId="23531" priority="9203" stopIfTrue="1" operator="equal">
      <formula>"Towel"</formula>
    </cfRule>
    <cfRule type="cellIs" dxfId="23530" priority="9204" stopIfTrue="1" operator="equal">
      <formula>"Napkin Hs"</formula>
    </cfRule>
  </conditionalFormatting>
  <conditionalFormatting sqref="B80:C80">
    <cfRule type="cellIs" dxfId="23529" priority="9201" stopIfTrue="1" operator="equal">
      <formula>"Towel"</formula>
    </cfRule>
    <cfRule type="cellIs" dxfId="23528" priority="9202" stopIfTrue="1" operator="equal">
      <formula>"Napkin Hs"</formula>
    </cfRule>
  </conditionalFormatting>
  <conditionalFormatting sqref="C80">
    <cfRule type="cellIs" dxfId="23527" priority="9199" stopIfTrue="1" operator="equal">
      <formula>"Towel"</formula>
    </cfRule>
    <cfRule type="cellIs" dxfId="23526" priority="9200" stopIfTrue="1" operator="equal">
      <formula>"Napkin Hs"</formula>
    </cfRule>
  </conditionalFormatting>
  <conditionalFormatting sqref="C80">
    <cfRule type="cellIs" dxfId="23525" priority="9197" stopIfTrue="1" operator="equal">
      <formula>"Towel"</formula>
    </cfRule>
    <cfRule type="cellIs" dxfId="23524" priority="9198" stopIfTrue="1" operator="equal">
      <formula>"Napkin Hs"</formula>
    </cfRule>
  </conditionalFormatting>
  <conditionalFormatting sqref="B80:C80">
    <cfRule type="cellIs" dxfId="23523" priority="9195" stopIfTrue="1" operator="equal">
      <formula>"Towel"</formula>
    </cfRule>
    <cfRule type="cellIs" dxfId="23522" priority="9196" stopIfTrue="1" operator="equal">
      <formula>"Napkin Hs"</formula>
    </cfRule>
  </conditionalFormatting>
  <conditionalFormatting sqref="C80">
    <cfRule type="cellIs" dxfId="23521" priority="9193" stopIfTrue="1" operator="equal">
      <formula>"Towel"</formula>
    </cfRule>
    <cfRule type="cellIs" dxfId="23520" priority="9194" stopIfTrue="1" operator="equal">
      <formula>"Napkin Hs"</formula>
    </cfRule>
  </conditionalFormatting>
  <conditionalFormatting sqref="C80">
    <cfRule type="cellIs" dxfId="23519" priority="9191" stopIfTrue="1" operator="equal">
      <formula>"Towel"</formula>
    </cfRule>
    <cfRule type="cellIs" dxfId="23518" priority="9192" stopIfTrue="1" operator="equal">
      <formula>"Napkin Hs"</formula>
    </cfRule>
  </conditionalFormatting>
  <conditionalFormatting sqref="B80:C80">
    <cfRule type="cellIs" dxfId="23517" priority="9189" stopIfTrue="1" operator="equal">
      <formula>"Towel"</formula>
    </cfRule>
    <cfRule type="cellIs" dxfId="23516" priority="9190" stopIfTrue="1" operator="equal">
      <formula>"Napkin Hs"</formula>
    </cfRule>
  </conditionalFormatting>
  <conditionalFormatting sqref="C80">
    <cfRule type="cellIs" dxfId="23515" priority="9187" stopIfTrue="1" operator="equal">
      <formula>"Towel"</formula>
    </cfRule>
    <cfRule type="cellIs" dxfId="23514" priority="9188" stopIfTrue="1" operator="equal">
      <formula>"Napkin Hs"</formula>
    </cfRule>
  </conditionalFormatting>
  <conditionalFormatting sqref="C80">
    <cfRule type="cellIs" dxfId="23513" priority="9185" stopIfTrue="1" operator="equal">
      <formula>"Towel"</formula>
    </cfRule>
    <cfRule type="cellIs" dxfId="23512" priority="9186" stopIfTrue="1" operator="equal">
      <formula>"Napkin Hs"</formula>
    </cfRule>
  </conditionalFormatting>
  <conditionalFormatting sqref="B80:C80">
    <cfRule type="cellIs" dxfId="23511" priority="9183" stopIfTrue="1" operator="equal">
      <formula>"Towel"</formula>
    </cfRule>
    <cfRule type="cellIs" dxfId="23510" priority="9184" stopIfTrue="1" operator="equal">
      <formula>"Napkin Hs"</formula>
    </cfRule>
  </conditionalFormatting>
  <conditionalFormatting sqref="C80">
    <cfRule type="cellIs" dxfId="23509" priority="9181" stopIfTrue="1" operator="equal">
      <formula>"Towel"</formula>
    </cfRule>
    <cfRule type="cellIs" dxfId="23508" priority="9182" stopIfTrue="1" operator="equal">
      <formula>"Napkin Hs"</formula>
    </cfRule>
  </conditionalFormatting>
  <conditionalFormatting sqref="C80">
    <cfRule type="cellIs" dxfId="23507" priority="9179" stopIfTrue="1" operator="equal">
      <formula>"Towel"</formula>
    </cfRule>
    <cfRule type="cellIs" dxfId="23506" priority="9180" stopIfTrue="1" operator="equal">
      <formula>"Napkin Hs"</formula>
    </cfRule>
  </conditionalFormatting>
  <conditionalFormatting sqref="B80:C80">
    <cfRule type="cellIs" dxfId="23505" priority="9177" stopIfTrue="1" operator="equal">
      <formula>"Towel"</formula>
    </cfRule>
    <cfRule type="cellIs" dxfId="23504" priority="9178" stopIfTrue="1" operator="equal">
      <formula>"Napkin Hs"</formula>
    </cfRule>
  </conditionalFormatting>
  <conditionalFormatting sqref="C80">
    <cfRule type="cellIs" dxfId="23503" priority="9175" stopIfTrue="1" operator="equal">
      <formula>"Towel"</formula>
    </cfRule>
    <cfRule type="cellIs" dxfId="23502" priority="9176" stopIfTrue="1" operator="equal">
      <formula>"Napkin Hs"</formula>
    </cfRule>
  </conditionalFormatting>
  <conditionalFormatting sqref="C80">
    <cfRule type="cellIs" dxfId="23501" priority="9173" stopIfTrue="1" operator="equal">
      <formula>"Towel"</formula>
    </cfRule>
    <cfRule type="cellIs" dxfId="23500" priority="9174" stopIfTrue="1" operator="equal">
      <formula>"Napkin Hs"</formula>
    </cfRule>
  </conditionalFormatting>
  <conditionalFormatting sqref="B80:C80">
    <cfRule type="cellIs" dxfId="23499" priority="9172" stopIfTrue="1" operator="equal">
      <formula>"Napkin Hs"</formula>
    </cfRule>
  </conditionalFormatting>
  <conditionalFormatting sqref="B80:C80">
    <cfRule type="cellIs" dxfId="23498" priority="9171" stopIfTrue="1" operator="equal">
      <formula>"Towel"</formula>
    </cfRule>
  </conditionalFormatting>
  <conditionalFormatting sqref="C80">
    <cfRule type="cellIs" dxfId="23497" priority="9170" stopIfTrue="1" operator="equal">
      <formula>"Napkin Hs"</formula>
    </cfRule>
  </conditionalFormatting>
  <conditionalFormatting sqref="C80">
    <cfRule type="cellIs" dxfId="23496" priority="9167" stopIfTrue="1" operator="equal">
      <formula>"Towel"</formula>
    </cfRule>
    <cfRule type="cellIs" dxfId="23495" priority="9168" stopIfTrue="1" operator="equal">
      <formula>"Napkin Hs"</formula>
    </cfRule>
  </conditionalFormatting>
  <conditionalFormatting sqref="C80">
    <cfRule type="cellIs" dxfId="23494" priority="9169" stopIfTrue="1" operator="equal">
      <formula>"Towel"</formula>
    </cfRule>
  </conditionalFormatting>
  <conditionalFormatting sqref="B81:C81">
    <cfRule type="cellIs" dxfId="23493" priority="9165" stopIfTrue="1" operator="equal">
      <formula>"Towel"</formula>
    </cfRule>
    <cfRule type="cellIs" dxfId="23492" priority="9166" stopIfTrue="1" operator="equal">
      <formula>"Napkin Hs"</formula>
    </cfRule>
  </conditionalFormatting>
  <conditionalFormatting sqref="C81">
    <cfRule type="cellIs" dxfId="23491" priority="9161" stopIfTrue="1" operator="equal">
      <formula>"Towel"</formula>
    </cfRule>
    <cfRule type="cellIs" dxfId="23490" priority="9162" stopIfTrue="1" operator="equal">
      <formula>"Napkin Hs"</formula>
    </cfRule>
  </conditionalFormatting>
  <conditionalFormatting sqref="C81">
    <cfRule type="cellIs" dxfId="23489" priority="9163" stopIfTrue="1" operator="equal">
      <formula>"Towel"</formula>
    </cfRule>
    <cfRule type="cellIs" dxfId="23488" priority="9164" stopIfTrue="1" operator="equal">
      <formula>"Napkin Hs"</formula>
    </cfRule>
  </conditionalFormatting>
  <conditionalFormatting sqref="B80:C80">
    <cfRule type="cellIs" dxfId="23487" priority="9159" stopIfTrue="1" operator="equal">
      <formula>"Towel"</formula>
    </cfRule>
    <cfRule type="cellIs" dxfId="23486" priority="9160" stopIfTrue="1" operator="equal">
      <formula>"Napkin Hs"</formula>
    </cfRule>
  </conditionalFormatting>
  <conditionalFormatting sqref="C80">
    <cfRule type="cellIs" dxfId="23485" priority="9155" stopIfTrue="1" operator="equal">
      <formula>"Towel"</formula>
    </cfRule>
    <cfRule type="cellIs" dxfId="23484" priority="9156" stopIfTrue="1" operator="equal">
      <formula>"Napkin Hs"</formula>
    </cfRule>
  </conditionalFormatting>
  <conditionalFormatting sqref="C80">
    <cfRule type="cellIs" dxfId="23483" priority="9157" stopIfTrue="1" operator="equal">
      <formula>"Towel"</formula>
    </cfRule>
    <cfRule type="cellIs" dxfId="23482" priority="9158" stopIfTrue="1" operator="equal">
      <formula>"Napkin Hs"</formula>
    </cfRule>
  </conditionalFormatting>
  <conditionalFormatting sqref="B80:C80">
    <cfRule type="cellIs" dxfId="23481" priority="9153" stopIfTrue="1" operator="equal">
      <formula>"Towel"</formula>
    </cfRule>
    <cfRule type="cellIs" dxfId="23480" priority="9154" stopIfTrue="1" operator="equal">
      <formula>"Napkin Hs"</formula>
    </cfRule>
  </conditionalFormatting>
  <conditionalFormatting sqref="C80">
    <cfRule type="cellIs" dxfId="23479" priority="9149" stopIfTrue="1" operator="equal">
      <formula>"Towel"</formula>
    </cfRule>
    <cfRule type="cellIs" dxfId="23478" priority="9150" stopIfTrue="1" operator="equal">
      <formula>"Napkin Hs"</formula>
    </cfRule>
  </conditionalFormatting>
  <conditionalFormatting sqref="C80">
    <cfRule type="cellIs" dxfId="23477" priority="9151" stopIfTrue="1" operator="equal">
      <formula>"Towel"</formula>
    </cfRule>
    <cfRule type="cellIs" dxfId="23476" priority="9152" stopIfTrue="1" operator="equal">
      <formula>"Napkin Hs"</formula>
    </cfRule>
  </conditionalFormatting>
  <conditionalFormatting sqref="B80:C80">
    <cfRule type="cellIs" dxfId="23475" priority="9147" stopIfTrue="1" operator="equal">
      <formula>"Towel"</formula>
    </cfRule>
    <cfRule type="cellIs" dxfId="23474" priority="9148" stopIfTrue="1" operator="equal">
      <formula>"Napkin Hs"</formula>
    </cfRule>
  </conditionalFormatting>
  <conditionalFormatting sqref="C80">
    <cfRule type="cellIs" dxfId="23473" priority="9145" stopIfTrue="1" operator="equal">
      <formula>"Towel"</formula>
    </cfRule>
    <cfRule type="cellIs" dxfId="23472" priority="9146" stopIfTrue="1" operator="equal">
      <formula>"Napkin Hs"</formula>
    </cfRule>
  </conditionalFormatting>
  <conditionalFormatting sqref="C80">
    <cfRule type="cellIs" dxfId="23471" priority="9143" stopIfTrue="1" operator="equal">
      <formula>"Towel"</formula>
    </cfRule>
    <cfRule type="cellIs" dxfId="23470" priority="9144" stopIfTrue="1" operator="equal">
      <formula>"Napkin Hs"</formula>
    </cfRule>
  </conditionalFormatting>
  <conditionalFormatting sqref="B80:C80">
    <cfRule type="cellIs" dxfId="23469" priority="9142" stopIfTrue="1" operator="equal">
      <formula>"Napkin Hs"</formula>
    </cfRule>
  </conditionalFormatting>
  <conditionalFormatting sqref="B80:C80">
    <cfRule type="cellIs" dxfId="23468" priority="9141" stopIfTrue="1" operator="equal">
      <formula>"Towel"</formula>
    </cfRule>
  </conditionalFormatting>
  <conditionalFormatting sqref="C80">
    <cfRule type="cellIs" dxfId="23467" priority="9140" stopIfTrue="1" operator="equal">
      <formula>"Napkin Hs"</formula>
    </cfRule>
  </conditionalFormatting>
  <conditionalFormatting sqref="C80">
    <cfRule type="cellIs" dxfId="23466" priority="9139" stopIfTrue="1" operator="equal">
      <formula>"Towel"</formula>
    </cfRule>
  </conditionalFormatting>
  <conditionalFormatting sqref="C80">
    <cfRule type="cellIs" dxfId="23465" priority="9137" stopIfTrue="1" operator="equal">
      <formula>"Towel"</formula>
    </cfRule>
    <cfRule type="cellIs" dxfId="23464" priority="9138" stopIfTrue="1" operator="equal">
      <formula>"Napkin Hs"</formula>
    </cfRule>
  </conditionalFormatting>
  <conditionalFormatting sqref="C80">
    <cfRule type="cellIs" dxfId="23463" priority="9135" stopIfTrue="1" operator="equal">
      <formula>"Towel"</formula>
    </cfRule>
    <cfRule type="cellIs" dxfId="23462" priority="9136" stopIfTrue="1" operator="equal">
      <formula>"Napkin Hs"</formula>
    </cfRule>
  </conditionalFormatting>
  <conditionalFormatting sqref="C80">
    <cfRule type="cellIs" dxfId="23461" priority="9051" stopIfTrue="1" operator="equal">
      <formula>"Towel"</formula>
    </cfRule>
    <cfRule type="cellIs" dxfId="23460" priority="9052" stopIfTrue="1" operator="equal">
      <formula>"Napkin Hs"</formula>
    </cfRule>
  </conditionalFormatting>
  <conditionalFormatting sqref="C80">
    <cfRule type="cellIs" dxfId="23459" priority="9045" stopIfTrue="1" operator="equal">
      <formula>"Towel"</formula>
    </cfRule>
    <cfRule type="cellIs" dxfId="23458" priority="9046" stopIfTrue="1" operator="equal">
      <formula>"Napkin Hs"</formula>
    </cfRule>
  </conditionalFormatting>
  <conditionalFormatting sqref="C80">
    <cfRule type="cellIs" dxfId="23457" priority="9026" stopIfTrue="1" operator="equal">
      <formula>"Napkin Hs"</formula>
    </cfRule>
  </conditionalFormatting>
  <conditionalFormatting sqref="C80">
    <cfRule type="cellIs" dxfId="23456" priority="9025" stopIfTrue="1" operator="equal">
      <formula>"Towel"</formula>
    </cfRule>
  </conditionalFormatting>
  <conditionalFormatting sqref="C80">
    <cfRule type="cellIs" dxfId="23455" priority="9024" stopIfTrue="1" operator="equal">
      <formula>"Napkin Hs"</formula>
    </cfRule>
  </conditionalFormatting>
  <conditionalFormatting sqref="C80">
    <cfRule type="cellIs" dxfId="23454" priority="9021" stopIfTrue="1" operator="equal">
      <formula>"Towel"</formula>
    </cfRule>
    <cfRule type="cellIs" dxfId="23453" priority="9022" stopIfTrue="1" operator="equal">
      <formula>"Napkin Hs"</formula>
    </cfRule>
  </conditionalFormatting>
  <conditionalFormatting sqref="C80">
    <cfRule type="cellIs" dxfId="23452" priority="9023" stopIfTrue="1" operator="equal">
      <formula>"Towel"</formula>
    </cfRule>
  </conditionalFormatting>
  <conditionalFormatting sqref="C80">
    <cfRule type="cellIs" dxfId="23451" priority="9020" stopIfTrue="1" operator="equal">
      <formula>"Napkin Hs"</formula>
    </cfRule>
  </conditionalFormatting>
  <conditionalFormatting sqref="C80">
    <cfRule type="cellIs" dxfId="23450" priority="9019" stopIfTrue="1" operator="equal">
      <formula>"Towel"</formula>
    </cfRule>
  </conditionalFormatting>
  <conditionalFormatting sqref="C80">
    <cfRule type="cellIs" dxfId="23449" priority="9018" stopIfTrue="1" operator="equal">
      <formula>"Napkin Hs"</formula>
    </cfRule>
  </conditionalFormatting>
  <conditionalFormatting sqref="C80">
    <cfRule type="cellIs" dxfId="23448" priority="9015" stopIfTrue="1" operator="equal">
      <formula>"Towel"</formula>
    </cfRule>
    <cfRule type="cellIs" dxfId="23447" priority="9016" stopIfTrue="1" operator="equal">
      <formula>"Napkin Hs"</formula>
    </cfRule>
  </conditionalFormatting>
  <conditionalFormatting sqref="C80">
    <cfRule type="cellIs" dxfId="23446" priority="9017" stopIfTrue="1" operator="equal">
      <formula>"Towel"</formula>
    </cfRule>
  </conditionalFormatting>
  <conditionalFormatting sqref="C80">
    <cfRule type="cellIs" dxfId="23445" priority="9121" stopIfTrue="1" operator="equal">
      <formula>"Towel"</formula>
    </cfRule>
    <cfRule type="cellIs" dxfId="23444" priority="9122" stopIfTrue="1" operator="equal">
      <formula>"Napkin Hs"</formula>
    </cfRule>
  </conditionalFormatting>
  <conditionalFormatting sqref="C80">
    <cfRule type="cellIs" dxfId="23443" priority="9119" stopIfTrue="1" operator="equal">
      <formula>"Towel"</formula>
    </cfRule>
    <cfRule type="cellIs" dxfId="23442" priority="9120" stopIfTrue="1" operator="equal">
      <formula>"Napkin Hs"</formula>
    </cfRule>
  </conditionalFormatting>
  <conditionalFormatting sqref="C80">
    <cfRule type="cellIs" dxfId="23441" priority="9117" stopIfTrue="1" operator="equal">
      <formula>"Towel"</formula>
    </cfRule>
    <cfRule type="cellIs" dxfId="23440" priority="9118" stopIfTrue="1" operator="equal">
      <formula>"Napkin Hs"</formula>
    </cfRule>
  </conditionalFormatting>
  <conditionalFormatting sqref="C80">
    <cfRule type="cellIs" dxfId="23439" priority="9116" stopIfTrue="1" operator="equal">
      <formula>"Napkin Hs"</formula>
    </cfRule>
  </conditionalFormatting>
  <conditionalFormatting sqref="C80">
    <cfRule type="cellIs" dxfId="23438" priority="9115" stopIfTrue="1" operator="equal">
      <formula>"Towel"</formula>
    </cfRule>
  </conditionalFormatting>
  <conditionalFormatting sqref="C80">
    <cfRule type="cellIs" dxfId="23437" priority="9114" stopIfTrue="1" operator="equal">
      <formula>"Napkin Hs"</formula>
    </cfRule>
  </conditionalFormatting>
  <conditionalFormatting sqref="C80">
    <cfRule type="cellIs" dxfId="23436" priority="9113" stopIfTrue="1" operator="equal">
      <formula>"Towel"</formula>
    </cfRule>
  </conditionalFormatting>
  <conditionalFormatting sqref="C80">
    <cfRule type="cellIs" dxfId="23435" priority="9111" stopIfTrue="1" operator="equal">
      <formula>"Towel"</formula>
    </cfRule>
    <cfRule type="cellIs" dxfId="23434" priority="9112" stopIfTrue="1" operator="equal">
      <formula>"Napkin Hs"</formula>
    </cfRule>
  </conditionalFormatting>
  <conditionalFormatting sqref="C80">
    <cfRule type="cellIs" dxfId="23433" priority="9109" stopIfTrue="1" operator="equal">
      <formula>"Towel"</formula>
    </cfRule>
    <cfRule type="cellIs" dxfId="23432" priority="9110" stopIfTrue="1" operator="equal">
      <formula>"Napkin Hs"</formula>
    </cfRule>
  </conditionalFormatting>
  <conditionalFormatting sqref="C80">
    <cfRule type="cellIs" dxfId="23431" priority="9105" stopIfTrue="1" operator="equal">
      <formula>"Towel"</formula>
    </cfRule>
    <cfRule type="cellIs" dxfId="23430" priority="9106" stopIfTrue="1" operator="equal">
      <formula>"Napkin Hs"</formula>
    </cfRule>
  </conditionalFormatting>
  <conditionalFormatting sqref="C80">
    <cfRule type="cellIs" dxfId="23429" priority="9107" stopIfTrue="1" operator="equal">
      <formula>"Towel"</formula>
    </cfRule>
    <cfRule type="cellIs" dxfId="23428" priority="9108" stopIfTrue="1" operator="equal">
      <formula>"Napkin Hs"</formula>
    </cfRule>
  </conditionalFormatting>
  <conditionalFormatting sqref="C80">
    <cfRule type="cellIs" dxfId="23427" priority="9099" stopIfTrue="1" operator="equal">
      <formula>"Towel"</formula>
    </cfRule>
    <cfRule type="cellIs" dxfId="23426" priority="9100" stopIfTrue="1" operator="equal">
      <formula>"Napkin Hs"</formula>
    </cfRule>
  </conditionalFormatting>
  <conditionalFormatting sqref="C80">
    <cfRule type="cellIs" dxfId="23425" priority="9097" stopIfTrue="1" operator="equal">
      <formula>"Towel"</formula>
    </cfRule>
    <cfRule type="cellIs" dxfId="23424" priority="9098" stopIfTrue="1" operator="equal">
      <formula>"Napkin Hs"</formula>
    </cfRule>
  </conditionalFormatting>
  <conditionalFormatting sqref="C80">
    <cfRule type="cellIs" dxfId="23423" priority="9095" stopIfTrue="1" operator="equal">
      <formula>"Towel"</formula>
    </cfRule>
    <cfRule type="cellIs" dxfId="23422" priority="9096" stopIfTrue="1" operator="equal">
      <formula>"Napkin Hs"</formula>
    </cfRule>
  </conditionalFormatting>
  <conditionalFormatting sqref="C80">
    <cfRule type="cellIs" dxfId="23421" priority="9093" stopIfTrue="1" operator="equal">
      <formula>"Towel"</formula>
    </cfRule>
    <cfRule type="cellIs" dxfId="23420" priority="9094" stopIfTrue="1" operator="equal">
      <formula>"Napkin Hs"</formula>
    </cfRule>
  </conditionalFormatting>
  <conditionalFormatting sqref="C80">
    <cfRule type="cellIs" dxfId="23419" priority="9091" stopIfTrue="1" operator="equal">
      <formula>"Towel"</formula>
    </cfRule>
    <cfRule type="cellIs" dxfId="23418" priority="9092" stopIfTrue="1" operator="equal">
      <formula>"Napkin Hs"</formula>
    </cfRule>
  </conditionalFormatting>
  <conditionalFormatting sqref="C80">
    <cfRule type="cellIs" dxfId="23417" priority="9089" stopIfTrue="1" operator="equal">
      <formula>"Towel"</formula>
    </cfRule>
    <cfRule type="cellIs" dxfId="23416" priority="9090" stopIfTrue="1" operator="equal">
      <formula>"Napkin Hs"</formula>
    </cfRule>
  </conditionalFormatting>
  <conditionalFormatting sqref="C80">
    <cfRule type="cellIs" dxfId="23415" priority="9087" stopIfTrue="1" operator="equal">
      <formula>"Towel"</formula>
    </cfRule>
    <cfRule type="cellIs" dxfId="23414" priority="9088" stopIfTrue="1" operator="equal">
      <formula>"Napkin Hs"</formula>
    </cfRule>
  </conditionalFormatting>
  <conditionalFormatting sqref="C80">
    <cfRule type="cellIs" dxfId="23413" priority="9085" stopIfTrue="1" operator="equal">
      <formula>"Towel"</formula>
    </cfRule>
    <cfRule type="cellIs" dxfId="23412" priority="9086" stopIfTrue="1" operator="equal">
      <formula>"Napkin Hs"</formula>
    </cfRule>
  </conditionalFormatting>
  <conditionalFormatting sqref="C80">
    <cfRule type="cellIs" dxfId="23411" priority="9083" stopIfTrue="1" operator="equal">
      <formula>"Towel"</formula>
    </cfRule>
    <cfRule type="cellIs" dxfId="23410" priority="9084" stopIfTrue="1" operator="equal">
      <formula>"Napkin Hs"</formula>
    </cfRule>
  </conditionalFormatting>
  <conditionalFormatting sqref="C80">
    <cfRule type="cellIs" dxfId="23409" priority="9081" stopIfTrue="1" operator="equal">
      <formula>"Towel"</formula>
    </cfRule>
    <cfRule type="cellIs" dxfId="23408" priority="9082" stopIfTrue="1" operator="equal">
      <formula>"Napkin Hs"</formula>
    </cfRule>
  </conditionalFormatting>
  <conditionalFormatting sqref="C80">
    <cfRule type="cellIs" dxfId="23407" priority="9075" stopIfTrue="1" operator="equal">
      <formula>"Towel"</formula>
    </cfRule>
    <cfRule type="cellIs" dxfId="23406" priority="9076" stopIfTrue="1" operator="equal">
      <formula>"Napkin Hs"</formula>
    </cfRule>
  </conditionalFormatting>
  <conditionalFormatting sqref="C80">
    <cfRule type="cellIs" dxfId="23405" priority="9069" stopIfTrue="1" operator="equal">
      <formula>"Towel"</formula>
    </cfRule>
    <cfRule type="cellIs" dxfId="23404" priority="9070" stopIfTrue="1" operator="equal">
      <formula>"Napkin Hs"</formula>
    </cfRule>
  </conditionalFormatting>
  <conditionalFormatting sqref="C80">
    <cfRule type="cellIs" dxfId="23403" priority="9063" stopIfTrue="1" operator="equal">
      <formula>"Towel"</formula>
    </cfRule>
    <cfRule type="cellIs" dxfId="23402" priority="9064" stopIfTrue="1" operator="equal">
      <formula>"Napkin Hs"</formula>
    </cfRule>
  </conditionalFormatting>
  <conditionalFormatting sqref="C80">
    <cfRule type="cellIs" dxfId="23401" priority="9062" stopIfTrue="1" operator="equal">
      <formula>"Napkin Hs"</formula>
    </cfRule>
  </conditionalFormatting>
  <conditionalFormatting sqref="C80">
    <cfRule type="cellIs" dxfId="23400" priority="9061" stopIfTrue="1" operator="equal">
      <formula>"Towel"</formula>
    </cfRule>
  </conditionalFormatting>
  <conditionalFormatting sqref="C80">
    <cfRule type="cellIs" dxfId="23399" priority="9060" stopIfTrue="1" operator="equal">
      <formula>"Napkin Hs"</formula>
    </cfRule>
  </conditionalFormatting>
  <conditionalFormatting sqref="C80">
    <cfRule type="cellIs" dxfId="23398" priority="9059" stopIfTrue="1" operator="equal">
      <formula>"Towel"</formula>
    </cfRule>
  </conditionalFormatting>
  <conditionalFormatting sqref="C80">
    <cfRule type="cellIs" dxfId="23397" priority="9057" stopIfTrue="1" operator="equal">
      <formula>"Towel"</formula>
    </cfRule>
    <cfRule type="cellIs" dxfId="23396" priority="9058" stopIfTrue="1" operator="equal">
      <formula>"Napkin Hs"</formula>
    </cfRule>
  </conditionalFormatting>
  <conditionalFormatting sqref="C80">
    <cfRule type="cellIs" dxfId="23395" priority="9055" stopIfTrue="1" operator="equal">
      <formula>"Towel"</formula>
    </cfRule>
    <cfRule type="cellIs" dxfId="23394" priority="9056" stopIfTrue="1" operator="equal">
      <formula>"Napkin Hs"</formula>
    </cfRule>
  </conditionalFormatting>
  <conditionalFormatting sqref="C80">
    <cfRule type="cellIs" dxfId="23393" priority="9053" stopIfTrue="1" operator="equal">
      <formula>"Towel"</formula>
    </cfRule>
    <cfRule type="cellIs" dxfId="23392" priority="9054" stopIfTrue="1" operator="equal">
      <formula>"Napkin Hs"</formula>
    </cfRule>
  </conditionalFormatting>
  <conditionalFormatting sqref="C80">
    <cfRule type="cellIs" dxfId="23391" priority="9043" stopIfTrue="1" operator="equal">
      <formula>"Towel"</formula>
    </cfRule>
    <cfRule type="cellIs" dxfId="23390" priority="9044" stopIfTrue="1" operator="equal">
      <formula>"Napkin Hs"</formula>
    </cfRule>
  </conditionalFormatting>
  <conditionalFormatting sqref="C80">
    <cfRule type="cellIs" dxfId="23389" priority="9041" stopIfTrue="1" operator="equal">
      <formula>"Towel"</formula>
    </cfRule>
    <cfRule type="cellIs" dxfId="23388" priority="9042" stopIfTrue="1" operator="equal">
      <formula>"Napkin Hs"</formula>
    </cfRule>
  </conditionalFormatting>
  <conditionalFormatting sqref="C80">
    <cfRule type="cellIs" dxfId="23387" priority="9039" stopIfTrue="1" operator="equal">
      <formula>"Towel"</formula>
    </cfRule>
    <cfRule type="cellIs" dxfId="23386" priority="9040" stopIfTrue="1" operator="equal">
      <formula>"Napkin Hs"</formula>
    </cfRule>
  </conditionalFormatting>
  <conditionalFormatting sqref="C80">
    <cfRule type="cellIs" dxfId="23385" priority="9037" stopIfTrue="1" operator="equal">
      <formula>"Towel"</formula>
    </cfRule>
    <cfRule type="cellIs" dxfId="23384" priority="9038" stopIfTrue="1" operator="equal">
      <formula>"Napkin Hs"</formula>
    </cfRule>
  </conditionalFormatting>
  <conditionalFormatting sqref="C80">
    <cfRule type="cellIs" dxfId="23383" priority="9035" stopIfTrue="1" operator="equal">
      <formula>"Towel"</formula>
    </cfRule>
    <cfRule type="cellIs" dxfId="23382" priority="9036" stopIfTrue="1" operator="equal">
      <formula>"Napkin Hs"</formula>
    </cfRule>
  </conditionalFormatting>
  <conditionalFormatting sqref="C80">
    <cfRule type="cellIs" dxfId="23381" priority="9033" stopIfTrue="1" operator="equal">
      <formula>"Towel"</formula>
    </cfRule>
    <cfRule type="cellIs" dxfId="23380" priority="9034" stopIfTrue="1" operator="equal">
      <formula>"Napkin Hs"</formula>
    </cfRule>
  </conditionalFormatting>
  <conditionalFormatting sqref="C80">
    <cfRule type="cellIs" dxfId="23379" priority="9031" stopIfTrue="1" operator="equal">
      <formula>"Towel"</formula>
    </cfRule>
    <cfRule type="cellIs" dxfId="23378" priority="9032" stopIfTrue="1" operator="equal">
      <formula>"Napkin Hs"</formula>
    </cfRule>
  </conditionalFormatting>
  <conditionalFormatting sqref="C80">
    <cfRule type="cellIs" dxfId="23377" priority="9029" stopIfTrue="1" operator="equal">
      <formula>"Towel"</formula>
    </cfRule>
    <cfRule type="cellIs" dxfId="23376" priority="9030" stopIfTrue="1" operator="equal">
      <formula>"Napkin Hs"</formula>
    </cfRule>
  </conditionalFormatting>
  <conditionalFormatting sqref="C80">
    <cfRule type="cellIs" dxfId="23375" priority="9027" stopIfTrue="1" operator="equal">
      <formula>"Towel"</formula>
    </cfRule>
    <cfRule type="cellIs" dxfId="23374" priority="9028" stopIfTrue="1" operator="equal">
      <formula>"Napkin Hs"</formula>
    </cfRule>
  </conditionalFormatting>
  <conditionalFormatting sqref="C80">
    <cfRule type="cellIs" dxfId="23373" priority="9014" stopIfTrue="1" operator="equal">
      <formula>"Napkin Hs"</formula>
    </cfRule>
  </conditionalFormatting>
  <conditionalFormatting sqref="C80">
    <cfRule type="cellIs" dxfId="23372" priority="9013" stopIfTrue="1" operator="equal">
      <formula>"Towel"</formula>
    </cfRule>
  </conditionalFormatting>
  <conditionalFormatting sqref="C80">
    <cfRule type="cellIs" dxfId="23371" priority="9012" stopIfTrue="1" operator="equal">
      <formula>"Napkin Hs"</formula>
    </cfRule>
  </conditionalFormatting>
  <conditionalFormatting sqref="C80">
    <cfRule type="cellIs" dxfId="23370" priority="9009" stopIfTrue="1" operator="equal">
      <formula>"Towel"</formula>
    </cfRule>
    <cfRule type="cellIs" dxfId="23369" priority="9010" stopIfTrue="1" operator="equal">
      <formula>"Napkin Hs"</formula>
    </cfRule>
  </conditionalFormatting>
  <conditionalFormatting sqref="C80">
    <cfRule type="cellIs" dxfId="23368" priority="9011" stopIfTrue="1" operator="equal">
      <formula>"Towel"</formula>
    </cfRule>
  </conditionalFormatting>
  <conditionalFormatting sqref="C80">
    <cfRule type="cellIs" dxfId="23367" priority="9129" stopIfTrue="1" operator="equal">
      <formula>"Towel"</formula>
    </cfRule>
    <cfRule type="cellIs" dxfId="23366" priority="9130" stopIfTrue="1" operator="equal">
      <formula>"Napkin Hs"</formula>
    </cfRule>
  </conditionalFormatting>
  <conditionalFormatting sqref="C80">
    <cfRule type="cellIs" dxfId="23365" priority="9128" stopIfTrue="1" operator="equal">
      <formula>"Napkin Hs"</formula>
    </cfRule>
  </conditionalFormatting>
  <conditionalFormatting sqref="C80">
    <cfRule type="cellIs" dxfId="23364" priority="9127" stopIfTrue="1" operator="equal">
      <formula>"Towel"</formula>
    </cfRule>
  </conditionalFormatting>
  <conditionalFormatting sqref="C80">
    <cfRule type="cellIs" dxfId="23363" priority="9126" stopIfTrue="1" operator="equal">
      <formula>"Napkin Hs"</formula>
    </cfRule>
  </conditionalFormatting>
  <conditionalFormatting sqref="C80">
    <cfRule type="cellIs" dxfId="23362" priority="9123" stopIfTrue="1" operator="equal">
      <formula>"Towel"</formula>
    </cfRule>
    <cfRule type="cellIs" dxfId="23361" priority="9124" stopIfTrue="1" operator="equal">
      <formula>"Napkin Hs"</formula>
    </cfRule>
  </conditionalFormatting>
  <conditionalFormatting sqref="C80">
    <cfRule type="cellIs" dxfId="23360" priority="9125" stopIfTrue="1" operator="equal">
      <formula>"Towel"</formula>
    </cfRule>
  </conditionalFormatting>
  <conditionalFormatting sqref="C80">
    <cfRule type="cellIs" dxfId="23359" priority="9133" stopIfTrue="1" operator="equal">
      <formula>"Towel"</formula>
    </cfRule>
    <cfRule type="cellIs" dxfId="23358" priority="9134" stopIfTrue="1" operator="equal">
      <formula>"Napkin Hs"</formula>
    </cfRule>
  </conditionalFormatting>
  <conditionalFormatting sqref="C80">
    <cfRule type="cellIs" dxfId="23357" priority="9131" stopIfTrue="1" operator="equal">
      <formula>"Towel"</formula>
    </cfRule>
    <cfRule type="cellIs" dxfId="23356" priority="9132" stopIfTrue="1" operator="equal">
      <formula>"Napkin Hs"</formula>
    </cfRule>
  </conditionalFormatting>
  <conditionalFormatting sqref="C80">
    <cfRule type="cellIs" dxfId="23355" priority="9103" stopIfTrue="1" operator="equal">
      <formula>"Towel"</formula>
    </cfRule>
    <cfRule type="cellIs" dxfId="23354" priority="9104" stopIfTrue="1" operator="equal">
      <formula>"Napkin Hs"</formula>
    </cfRule>
  </conditionalFormatting>
  <conditionalFormatting sqref="C80">
    <cfRule type="cellIs" dxfId="23353" priority="9101" stopIfTrue="1" operator="equal">
      <formula>"Towel"</formula>
    </cfRule>
    <cfRule type="cellIs" dxfId="23352" priority="9102" stopIfTrue="1" operator="equal">
      <formula>"Napkin Hs"</formula>
    </cfRule>
  </conditionalFormatting>
  <conditionalFormatting sqref="C80">
    <cfRule type="cellIs" dxfId="23351" priority="9080" stopIfTrue="1" operator="equal">
      <formula>"Napkin Hs"</formula>
    </cfRule>
  </conditionalFormatting>
  <conditionalFormatting sqref="C80">
    <cfRule type="cellIs" dxfId="23350" priority="9079" stopIfTrue="1" operator="equal">
      <formula>"Towel"</formula>
    </cfRule>
  </conditionalFormatting>
  <conditionalFormatting sqref="C80">
    <cfRule type="cellIs" dxfId="23349" priority="9078" stopIfTrue="1" operator="equal">
      <formula>"Napkin Hs"</formula>
    </cfRule>
  </conditionalFormatting>
  <conditionalFormatting sqref="C80">
    <cfRule type="cellIs" dxfId="23348" priority="9077" stopIfTrue="1" operator="equal">
      <formula>"Towel"</formula>
    </cfRule>
  </conditionalFormatting>
  <conditionalFormatting sqref="C80">
    <cfRule type="cellIs" dxfId="23347" priority="9074" stopIfTrue="1" operator="equal">
      <formula>"Napkin Hs"</formula>
    </cfRule>
  </conditionalFormatting>
  <conditionalFormatting sqref="C80">
    <cfRule type="cellIs" dxfId="23346" priority="9073" stopIfTrue="1" operator="equal">
      <formula>"Towel"</formula>
    </cfRule>
  </conditionalFormatting>
  <conditionalFormatting sqref="C80">
    <cfRule type="cellIs" dxfId="23345" priority="9072" stopIfTrue="1" operator="equal">
      <formula>"Napkin Hs"</formula>
    </cfRule>
  </conditionalFormatting>
  <conditionalFormatting sqref="C80">
    <cfRule type="cellIs" dxfId="23344" priority="9071" stopIfTrue="1" operator="equal">
      <formula>"Towel"</formula>
    </cfRule>
  </conditionalFormatting>
  <conditionalFormatting sqref="C80">
    <cfRule type="cellIs" dxfId="23343" priority="9067" stopIfTrue="1" operator="equal">
      <formula>"Towel"</formula>
    </cfRule>
    <cfRule type="cellIs" dxfId="23342" priority="9068" stopIfTrue="1" operator="equal">
      <formula>"Napkin Hs"</formula>
    </cfRule>
  </conditionalFormatting>
  <conditionalFormatting sqref="C80">
    <cfRule type="cellIs" dxfId="23341" priority="9065" stopIfTrue="1" operator="equal">
      <formula>"Towel"</formula>
    </cfRule>
    <cfRule type="cellIs" dxfId="23340" priority="9066" stopIfTrue="1" operator="equal">
      <formula>"Napkin Hs"</formula>
    </cfRule>
  </conditionalFormatting>
  <conditionalFormatting sqref="C80">
    <cfRule type="cellIs" dxfId="23339" priority="9049" stopIfTrue="1" operator="equal">
      <formula>"Towel"</formula>
    </cfRule>
    <cfRule type="cellIs" dxfId="23338" priority="9050" stopIfTrue="1" operator="equal">
      <formula>"Napkin Hs"</formula>
    </cfRule>
  </conditionalFormatting>
  <conditionalFormatting sqref="C80">
    <cfRule type="cellIs" dxfId="23337" priority="9047" stopIfTrue="1" operator="equal">
      <formula>"Towel"</formula>
    </cfRule>
    <cfRule type="cellIs" dxfId="23336" priority="9048" stopIfTrue="1" operator="equal">
      <formula>"Napkin Hs"</formula>
    </cfRule>
  </conditionalFormatting>
  <conditionalFormatting sqref="B80:C80">
    <cfRule type="cellIs" dxfId="23335" priority="9008" stopIfTrue="1" operator="equal">
      <formula>"Napkin Hs"</formula>
    </cfRule>
  </conditionalFormatting>
  <conditionalFormatting sqref="B80:C80">
    <cfRule type="cellIs" dxfId="23334" priority="9007" stopIfTrue="1" operator="equal">
      <formula>"Towel"</formula>
    </cfRule>
  </conditionalFormatting>
  <conditionalFormatting sqref="C80">
    <cfRule type="cellIs" dxfId="23333" priority="9006" stopIfTrue="1" operator="equal">
      <formula>"Napkin Hs"</formula>
    </cfRule>
  </conditionalFormatting>
  <conditionalFormatting sqref="C80">
    <cfRule type="cellIs" dxfId="23332" priority="9003" stopIfTrue="1" operator="equal">
      <formula>"Towel"</formula>
    </cfRule>
    <cfRule type="cellIs" dxfId="23331" priority="9004" stopIfTrue="1" operator="equal">
      <formula>"Napkin Hs"</formula>
    </cfRule>
  </conditionalFormatting>
  <conditionalFormatting sqref="C80">
    <cfRule type="cellIs" dxfId="23330" priority="9005" stopIfTrue="1" operator="equal">
      <formula>"Towel"</formula>
    </cfRule>
  </conditionalFormatting>
  <conditionalFormatting sqref="C78 C80">
    <cfRule type="cellIs" dxfId="23329" priority="8919" stopIfTrue="1" operator="equal">
      <formula>"Towel"</formula>
    </cfRule>
    <cfRule type="cellIs" dxfId="23328" priority="8920" stopIfTrue="1" operator="equal">
      <formula>"Napkin Hs"</formula>
    </cfRule>
  </conditionalFormatting>
  <conditionalFormatting sqref="C78 C80">
    <cfRule type="cellIs" dxfId="23327" priority="8913" stopIfTrue="1" operator="equal">
      <formula>"Towel"</formula>
    </cfRule>
    <cfRule type="cellIs" dxfId="23326" priority="8914" stopIfTrue="1" operator="equal">
      <formula>"Napkin Hs"</formula>
    </cfRule>
  </conditionalFormatting>
  <conditionalFormatting sqref="C78 C80">
    <cfRule type="cellIs" dxfId="23325" priority="8894" stopIfTrue="1" operator="equal">
      <formula>"Napkin Hs"</formula>
    </cfRule>
  </conditionalFormatting>
  <conditionalFormatting sqref="C78 C80">
    <cfRule type="cellIs" dxfId="23324" priority="8893" stopIfTrue="1" operator="equal">
      <formula>"Towel"</formula>
    </cfRule>
  </conditionalFormatting>
  <conditionalFormatting sqref="C78 C80">
    <cfRule type="cellIs" dxfId="23323" priority="8892" stopIfTrue="1" operator="equal">
      <formula>"Napkin Hs"</formula>
    </cfRule>
  </conditionalFormatting>
  <conditionalFormatting sqref="C78 C80">
    <cfRule type="cellIs" dxfId="23322" priority="8889" stopIfTrue="1" operator="equal">
      <formula>"Towel"</formula>
    </cfRule>
    <cfRule type="cellIs" dxfId="23321" priority="8890" stopIfTrue="1" operator="equal">
      <formula>"Napkin Hs"</formula>
    </cfRule>
  </conditionalFormatting>
  <conditionalFormatting sqref="C78 C80">
    <cfRule type="cellIs" dxfId="23320" priority="8891" stopIfTrue="1" operator="equal">
      <formula>"Towel"</formula>
    </cfRule>
  </conditionalFormatting>
  <conditionalFormatting sqref="C78 C80">
    <cfRule type="cellIs" dxfId="23319" priority="8888" stopIfTrue="1" operator="equal">
      <formula>"Napkin Hs"</formula>
    </cfRule>
  </conditionalFormatting>
  <conditionalFormatting sqref="C78 C80">
    <cfRule type="cellIs" dxfId="23318" priority="8887" stopIfTrue="1" operator="equal">
      <formula>"Towel"</formula>
    </cfRule>
  </conditionalFormatting>
  <conditionalFormatting sqref="C78 C80">
    <cfRule type="cellIs" dxfId="23317" priority="8886" stopIfTrue="1" operator="equal">
      <formula>"Napkin Hs"</formula>
    </cfRule>
  </conditionalFormatting>
  <conditionalFormatting sqref="C78 C80">
    <cfRule type="cellIs" dxfId="23316" priority="8883" stopIfTrue="1" operator="equal">
      <formula>"Towel"</formula>
    </cfRule>
    <cfRule type="cellIs" dxfId="23315" priority="8884" stopIfTrue="1" operator="equal">
      <formula>"Napkin Hs"</formula>
    </cfRule>
  </conditionalFormatting>
  <conditionalFormatting sqref="C78 C80">
    <cfRule type="cellIs" dxfId="23314" priority="8885" stopIfTrue="1" operator="equal">
      <formula>"Towel"</formula>
    </cfRule>
  </conditionalFormatting>
  <conditionalFormatting sqref="C78 C80">
    <cfRule type="cellIs" dxfId="23313" priority="8989" stopIfTrue="1" operator="equal">
      <formula>"Towel"</formula>
    </cfRule>
    <cfRule type="cellIs" dxfId="23312" priority="8990" stopIfTrue="1" operator="equal">
      <formula>"Napkin Hs"</formula>
    </cfRule>
  </conditionalFormatting>
  <conditionalFormatting sqref="C78 C80">
    <cfRule type="cellIs" dxfId="23311" priority="8987" stopIfTrue="1" operator="equal">
      <formula>"Towel"</formula>
    </cfRule>
    <cfRule type="cellIs" dxfId="23310" priority="8988" stopIfTrue="1" operator="equal">
      <formula>"Napkin Hs"</formula>
    </cfRule>
  </conditionalFormatting>
  <conditionalFormatting sqref="C78 C80">
    <cfRule type="cellIs" dxfId="23309" priority="8985" stopIfTrue="1" operator="equal">
      <formula>"Towel"</formula>
    </cfRule>
    <cfRule type="cellIs" dxfId="23308" priority="8986" stopIfTrue="1" operator="equal">
      <formula>"Napkin Hs"</formula>
    </cfRule>
  </conditionalFormatting>
  <conditionalFormatting sqref="C78 C80">
    <cfRule type="cellIs" dxfId="23307" priority="8984" stopIfTrue="1" operator="equal">
      <formula>"Napkin Hs"</formula>
    </cfRule>
  </conditionalFormatting>
  <conditionalFormatting sqref="C78 C80">
    <cfRule type="cellIs" dxfId="23306" priority="8983" stopIfTrue="1" operator="equal">
      <formula>"Towel"</formula>
    </cfRule>
  </conditionalFormatting>
  <conditionalFormatting sqref="C78 C80">
    <cfRule type="cellIs" dxfId="23305" priority="8982" stopIfTrue="1" operator="equal">
      <formula>"Napkin Hs"</formula>
    </cfRule>
  </conditionalFormatting>
  <conditionalFormatting sqref="C78 C80">
    <cfRule type="cellIs" dxfId="23304" priority="8981" stopIfTrue="1" operator="equal">
      <formula>"Towel"</formula>
    </cfRule>
  </conditionalFormatting>
  <conditionalFormatting sqref="C78 C80">
    <cfRule type="cellIs" dxfId="23303" priority="8979" stopIfTrue="1" operator="equal">
      <formula>"Towel"</formula>
    </cfRule>
    <cfRule type="cellIs" dxfId="23302" priority="8980" stopIfTrue="1" operator="equal">
      <formula>"Napkin Hs"</formula>
    </cfRule>
  </conditionalFormatting>
  <conditionalFormatting sqref="C78 C80">
    <cfRule type="cellIs" dxfId="23301" priority="8977" stopIfTrue="1" operator="equal">
      <formula>"Towel"</formula>
    </cfRule>
    <cfRule type="cellIs" dxfId="23300" priority="8978" stopIfTrue="1" operator="equal">
      <formula>"Napkin Hs"</formula>
    </cfRule>
  </conditionalFormatting>
  <conditionalFormatting sqref="C78 C80">
    <cfRule type="cellIs" dxfId="23299" priority="8973" stopIfTrue="1" operator="equal">
      <formula>"Towel"</formula>
    </cfRule>
    <cfRule type="cellIs" dxfId="23298" priority="8974" stopIfTrue="1" operator="equal">
      <formula>"Napkin Hs"</formula>
    </cfRule>
  </conditionalFormatting>
  <conditionalFormatting sqref="C78 C80">
    <cfRule type="cellIs" dxfId="23297" priority="8975" stopIfTrue="1" operator="equal">
      <formula>"Towel"</formula>
    </cfRule>
    <cfRule type="cellIs" dxfId="23296" priority="8976" stopIfTrue="1" operator="equal">
      <formula>"Napkin Hs"</formula>
    </cfRule>
  </conditionalFormatting>
  <conditionalFormatting sqref="C78 C80">
    <cfRule type="cellIs" dxfId="23295" priority="8967" stopIfTrue="1" operator="equal">
      <formula>"Towel"</formula>
    </cfRule>
    <cfRule type="cellIs" dxfId="23294" priority="8968" stopIfTrue="1" operator="equal">
      <formula>"Napkin Hs"</formula>
    </cfRule>
  </conditionalFormatting>
  <conditionalFormatting sqref="C78 C80">
    <cfRule type="cellIs" dxfId="23293" priority="8965" stopIfTrue="1" operator="equal">
      <formula>"Towel"</formula>
    </cfRule>
    <cfRule type="cellIs" dxfId="23292" priority="8966" stopIfTrue="1" operator="equal">
      <formula>"Napkin Hs"</formula>
    </cfRule>
  </conditionalFormatting>
  <conditionalFormatting sqref="C78 C80">
    <cfRule type="cellIs" dxfId="23291" priority="8963" stopIfTrue="1" operator="equal">
      <formula>"Towel"</formula>
    </cfRule>
    <cfRule type="cellIs" dxfId="23290" priority="8964" stopIfTrue="1" operator="equal">
      <formula>"Napkin Hs"</formula>
    </cfRule>
  </conditionalFormatting>
  <conditionalFormatting sqref="C78 C80">
    <cfRule type="cellIs" dxfId="23289" priority="8961" stopIfTrue="1" operator="equal">
      <formula>"Towel"</formula>
    </cfRule>
    <cfRule type="cellIs" dxfId="23288" priority="8962" stopIfTrue="1" operator="equal">
      <formula>"Napkin Hs"</formula>
    </cfRule>
  </conditionalFormatting>
  <conditionalFormatting sqref="C78 C80">
    <cfRule type="cellIs" dxfId="23287" priority="8959" stopIfTrue="1" operator="equal">
      <formula>"Towel"</formula>
    </cfRule>
    <cfRule type="cellIs" dxfId="23286" priority="8960" stopIfTrue="1" operator="equal">
      <formula>"Napkin Hs"</formula>
    </cfRule>
  </conditionalFormatting>
  <conditionalFormatting sqref="C78 C80">
    <cfRule type="cellIs" dxfId="23285" priority="8957" stopIfTrue="1" operator="equal">
      <formula>"Towel"</formula>
    </cfRule>
    <cfRule type="cellIs" dxfId="23284" priority="8958" stopIfTrue="1" operator="equal">
      <formula>"Napkin Hs"</formula>
    </cfRule>
  </conditionalFormatting>
  <conditionalFormatting sqref="C78 C80">
    <cfRule type="cellIs" dxfId="23283" priority="8955" stopIfTrue="1" operator="equal">
      <formula>"Towel"</formula>
    </cfRule>
    <cfRule type="cellIs" dxfId="23282" priority="8956" stopIfTrue="1" operator="equal">
      <formula>"Napkin Hs"</formula>
    </cfRule>
  </conditionalFormatting>
  <conditionalFormatting sqref="C78 C80">
    <cfRule type="cellIs" dxfId="23281" priority="8953" stopIfTrue="1" operator="equal">
      <formula>"Towel"</formula>
    </cfRule>
    <cfRule type="cellIs" dxfId="23280" priority="8954" stopIfTrue="1" operator="equal">
      <formula>"Napkin Hs"</formula>
    </cfRule>
  </conditionalFormatting>
  <conditionalFormatting sqref="C78 C80">
    <cfRule type="cellIs" dxfId="23279" priority="8951" stopIfTrue="1" operator="equal">
      <formula>"Towel"</formula>
    </cfRule>
    <cfRule type="cellIs" dxfId="23278" priority="8952" stopIfTrue="1" operator="equal">
      <formula>"Napkin Hs"</formula>
    </cfRule>
  </conditionalFormatting>
  <conditionalFormatting sqref="C78 C80">
    <cfRule type="cellIs" dxfId="23277" priority="8949" stopIfTrue="1" operator="equal">
      <formula>"Towel"</formula>
    </cfRule>
    <cfRule type="cellIs" dxfId="23276" priority="8950" stopIfTrue="1" operator="equal">
      <formula>"Napkin Hs"</formula>
    </cfRule>
  </conditionalFormatting>
  <conditionalFormatting sqref="C78 C80">
    <cfRule type="cellIs" dxfId="23275" priority="8943" stopIfTrue="1" operator="equal">
      <formula>"Towel"</formula>
    </cfRule>
    <cfRule type="cellIs" dxfId="23274" priority="8944" stopIfTrue="1" operator="equal">
      <formula>"Napkin Hs"</formula>
    </cfRule>
  </conditionalFormatting>
  <conditionalFormatting sqref="C78 C80">
    <cfRule type="cellIs" dxfId="23273" priority="8937" stopIfTrue="1" operator="equal">
      <formula>"Towel"</formula>
    </cfRule>
    <cfRule type="cellIs" dxfId="23272" priority="8938" stopIfTrue="1" operator="equal">
      <formula>"Napkin Hs"</formula>
    </cfRule>
  </conditionalFormatting>
  <conditionalFormatting sqref="C78 C80">
    <cfRule type="cellIs" dxfId="23271" priority="8931" stopIfTrue="1" operator="equal">
      <formula>"Towel"</formula>
    </cfRule>
    <cfRule type="cellIs" dxfId="23270" priority="8932" stopIfTrue="1" operator="equal">
      <formula>"Napkin Hs"</formula>
    </cfRule>
  </conditionalFormatting>
  <conditionalFormatting sqref="C78 C80">
    <cfRule type="cellIs" dxfId="23269" priority="8930" stopIfTrue="1" operator="equal">
      <formula>"Napkin Hs"</formula>
    </cfRule>
  </conditionalFormatting>
  <conditionalFormatting sqref="C78 C80">
    <cfRule type="cellIs" dxfId="23268" priority="8929" stopIfTrue="1" operator="equal">
      <formula>"Towel"</formula>
    </cfRule>
  </conditionalFormatting>
  <conditionalFormatting sqref="C78 C80">
    <cfRule type="cellIs" dxfId="23267" priority="8928" stopIfTrue="1" operator="equal">
      <formula>"Napkin Hs"</formula>
    </cfRule>
  </conditionalFormatting>
  <conditionalFormatting sqref="C78 C80">
    <cfRule type="cellIs" dxfId="23266" priority="8927" stopIfTrue="1" operator="equal">
      <formula>"Towel"</formula>
    </cfRule>
  </conditionalFormatting>
  <conditionalFormatting sqref="C78 C80">
    <cfRule type="cellIs" dxfId="23265" priority="8925" stopIfTrue="1" operator="equal">
      <formula>"Towel"</formula>
    </cfRule>
    <cfRule type="cellIs" dxfId="23264" priority="8926" stopIfTrue="1" operator="equal">
      <formula>"Napkin Hs"</formula>
    </cfRule>
  </conditionalFormatting>
  <conditionalFormatting sqref="C78 C80">
    <cfRule type="cellIs" dxfId="23263" priority="8923" stopIfTrue="1" operator="equal">
      <formula>"Towel"</formula>
    </cfRule>
    <cfRule type="cellIs" dxfId="23262" priority="8924" stopIfTrue="1" operator="equal">
      <formula>"Napkin Hs"</formula>
    </cfRule>
  </conditionalFormatting>
  <conditionalFormatting sqref="C78 C80">
    <cfRule type="cellIs" dxfId="23261" priority="8921" stopIfTrue="1" operator="equal">
      <formula>"Towel"</formula>
    </cfRule>
    <cfRule type="cellIs" dxfId="23260" priority="8922" stopIfTrue="1" operator="equal">
      <formula>"Napkin Hs"</formula>
    </cfRule>
  </conditionalFormatting>
  <conditionalFormatting sqref="C78 C80">
    <cfRule type="cellIs" dxfId="23259" priority="8911" stopIfTrue="1" operator="equal">
      <formula>"Towel"</formula>
    </cfRule>
    <cfRule type="cellIs" dxfId="23258" priority="8912" stopIfTrue="1" operator="equal">
      <formula>"Napkin Hs"</formula>
    </cfRule>
  </conditionalFormatting>
  <conditionalFormatting sqref="C78 C80">
    <cfRule type="cellIs" dxfId="23257" priority="8909" stopIfTrue="1" operator="equal">
      <formula>"Towel"</formula>
    </cfRule>
    <cfRule type="cellIs" dxfId="23256" priority="8910" stopIfTrue="1" operator="equal">
      <formula>"Napkin Hs"</formula>
    </cfRule>
  </conditionalFormatting>
  <conditionalFormatting sqref="C78 C80">
    <cfRule type="cellIs" dxfId="23255" priority="8907" stopIfTrue="1" operator="equal">
      <formula>"Towel"</formula>
    </cfRule>
    <cfRule type="cellIs" dxfId="23254" priority="8908" stopIfTrue="1" operator="equal">
      <formula>"Napkin Hs"</formula>
    </cfRule>
  </conditionalFormatting>
  <conditionalFormatting sqref="C78 C80">
    <cfRule type="cellIs" dxfId="23253" priority="8905" stopIfTrue="1" operator="equal">
      <formula>"Towel"</formula>
    </cfRule>
    <cfRule type="cellIs" dxfId="23252" priority="8906" stopIfTrue="1" operator="equal">
      <formula>"Napkin Hs"</formula>
    </cfRule>
  </conditionalFormatting>
  <conditionalFormatting sqref="C78 C80">
    <cfRule type="cellIs" dxfId="23251" priority="8903" stopIfTrue="1" operator="equal">
      <formula>"Towel"</formula>
    </cfRule>
    <cfRule type="cellIs" dxfId="23250" priority="8904" stopIfTrue="1" operator="equal">
      <formula>"Napkin Hs"</formula>
    </cfRule>
  </conditionalFormatting>
  <conditionalFormatting sqref="C78 C80">
    <cfRule type="cellIs" dxfId="23249" priority="8901" stopIfTrue="1" operator="equal">
      <formula>"Towel"</formula>
    </cfRule>
    <cfRule type="cellIs" dxfId="23248" priority="8902" stopIfTrue="1" operator="equal">
      <formula>"Napkin Hs"</formula>
    </cfRule>
  </conditionalFormatting>
  <conditionalFormatting sqref="C78 C80">
    <cfRule type="cellIs" dxfId="23247" priority="8899" stopIfTrue="1" operator="equal">
      <formula>"Towel"</formula>
    </cfRule>
    <cfRule type="cellIs" dxfId="23246" priority="8900" stopIfTrue="1" operator="equal">
      <formula>"Napkin Hs"</formula>
    </cfRule>
  </conditionalFormatting>
  <conditionalFormatting sqref="C78 C80">
    <cfRule type="cellIs" dxfId="23245" priority="8897" stopIfTrue="1" operator="equal">
      <formula>"Towel"</formula>
    </cfRule>
    <cfRule type="cellIs" dxfId="23244" priority="8898" stopIfTrue="1" operator="equal">
      <formula>"Napkin Hs"</formula>
    </cfRule>
  </conditionalFormatting>
  <conditionalFormatting sqref="C78 C80">
    <cfRule type="cellIs" dxfId="23243" priority="8895" stopIfTrue="1" operator="equal">
      <formula>"Towel"</formula>
    </cfRule>
    <cfRule type="cellIs" dxfId="23242" priority="8896" stopIfTrue="1" operator="equal">
      <formula>"Napkin Hs"</formula>
    </cfRule>
  </conditionalFormatting>
  <conditionalFormatting sqref="C78 C80">
    <cfRule type="cellIs" dxfId="23241" priority="8882" stopIfTrue="1" operator="equal">
      <formula>"Napkin Hs"</formula>
    </cfRule>
  </conditionalFormatting>
  <conditionalFormatting sqref="C78 C80">
    <cfRule type="cellIs" dxfId="23240" priority="8881" stopIfTrue="1" operator="equal">
      <formula>"Towel"</formula>
    </cfRule>
  </conditionalFormatting>
  <conditionalFormatting sqref="C78 C80">
    <cfRule type="cellIs" dxfId="23239" priority="8880" stopIfTrue="1" operator="equal">
      <formula>"Napkin Hs"</formula>
    </cfRule>
  </conditionalFormatting>
  <conditionalFormatting sqref="C78 C80">
    <cfRule type="cellIs" dxfId="23238" priority="8877" stopIfTrue="1" operator="equal">
      <formula>"Towel"</formula>
    </cfRule>
    <cfRule type="cellIs" dxfId="23237" priority="8878" stopIfTrue="1" operator="equal">
      <formula>"Napkin Hs"</formula>
    </cfRule>
  </conditionalFormatting>
  <conditionalFormatting sqref="C78 C80">
    <cfRule type="cellIs" dxfId="23236" priority="8879" stopIfTrue="1" operator="equal">
      <formula>"Towel"</formula>
    </cfRule>
  </conditionalFormatting>
  <conditionalFormatting sqref="C78 C80">
    <cfRule type="cellIs" dxfId="23235" priority="8997" stopIfTrue="1" operator="equal">
      <formula>"Towel"</formula>
    </cfRule>
    <cfRule type="cellIs" dxfId="23234" priority="8998" stopIfTrue="1" operator="equal">
      <formula>"Napkin Hs"</formula>
    </cfRule>
  </conditionalFormatting>
  <conditionalFormatting sqref="C78 C80">
    <cfRule type="cellIs" dxfId="23233" priority="8996" stopIfTrue="1" operator="equal">
      <formula>"Napkin Hs"</formula>
    </cfRule>
  </conditionalFormatting>
  <conditionalFormatting sqref="C78 C80">
    <cfRule type="cellIs" dxfId="23232" priority="8995" stopIfTrue="1" operator="equal">
      <formula>"Towel"</formula>
    </cfRule>
  </conditionalFormatting>
  <conditionalFormatting sqref="C78 C80">
    <cfRule type="cellIs" dxfId="23231" priority="8994" stopIfTrue="1" operator="equal">
      <formula>"Napkin Hs"</formula>
    </cfRule>
  </conditionalFormatting>
  <conditionalFormatting sqref="C78 C80">
    <cfRule type="cellIs" dxfId="23230" priority="8991" stopIfTrue="1" operator="equal">
      <formula>"Towel"</formula>
    </cfRule>
    <cfRule type="cellIs" dxfId="23229" priority="8992" stopIfTrue="1" operator="equal">
      <formula>"Napkin Hs"</formula>
    </cfRule>
  </conditionalFormatting>
  <conditionalFormatting sqref="C78 C80">
    <cfRule type="cellIs" dxfId="23228" priority="8993" stopIfTrue="1" operator="equal">
      <formula>"Towel"</formula>
    </cfRule>
  </conditionalFormatting>
  <conditionalFormatting sqref="C78 C80">
    <cfRule type="cellIs" dxfId="23227" priority="9001" stopIfTrue="1" operator="equal">
      <formula>"Towel"</formula>
    </cfRule>
    <cfRule type="cellIs" dxfId="23226" priority="9002" stopIfTrue="1" operator="equal">
      <formula>"Napkin Hs"</formula>
    </cfRule>
  </conditionalFormatting>
  <conditionalFormatting sqref="C78 C80">
    <cfRule type="cellIs" dxfId="23225" priority="8999" stopIfTrue="1" operator="equal">
      <formula>"Towel"</formula>
    </cfRule>
    <cfRule type="cellIs" dxfId="23224" priority="9000" stopIfTrue="1" operator="equal">
      <formula>"Napkin Hs"</formula>
    </cfRule>
  </conditionalFormatting>
  <conditionalFormatting sqref="C78 C80">
    <cfRule type="cellIs" dxfId="23223" priority="8971" stopIfTrue="1" operator="equal">
      <formula>"Towel"</formula>
    </cfRule>
    <cfRule type="cellIs" dxfId="23222" priority="8972" stopIfTrue="1" operator="equal">
      <formula>"Napkin Hs"</formula>
    </cfRule>
  </conditionalFormatting>
  <conditionalFormatting sqref="C78 C80">
    <cfRule type="cellIs" dxfId="23221" priority="8969" stopIfTrue="1" operator="equal">
      <formula>"Towel"</formula>
    </cfRule>
    <cfRule type="cellIs" dxfId="23220" priority="8970" stopIfTrue="1" operator="equal">
      <formula>"Napkin Hs"</formula>
    </cfRule>
  </conditionalFormatting>
  <conditionalFormatting sqref="C78 C80">
    <cfRule type="cellIs" dxfId="23219" priority="8948" stopIfTrue="1" operator="equal">
      <formula>"Napkin Hs"</formula>
    </cfRule>
  </conditionalFormatting>
  <conditionalFormatting sqref="C78 C80">
    <cfRule type="cellIs" dxfId="23218" priority="8947" stopIfTrue="1" operator="equal">
      <formula>"Towel"</formula>
    </cfRule>
  </conditionalFormatting>
  <conditionalFormatting sqref="C78 C80">
    <cfRule type="cellIs" dxfId="23217" priority="8946" stopIfTrue="1" operator="equal">
      <formula>"Napkin Hs"</formula>
    </cfRule>
  </conditionalFormatting>
  <conditionalFormatting sqref="C78 C80">
    <cfRule type="cellIs" dxfId="23216" priority="8945" stopIfTrue="1" operator="equal">
      <formula>"Towel"</formula>
    </cfRule>
  </conditionalFormatting>
  <conditionalFormatting sqref="C78 C80">
    <cfRule type="cellIs" dxfId="23215" priority="8942" stopIfTrue="1" operator="equal">
      <formula>"Napkin Hs"</formula>
    </cfRule>
  </conditionalFormatting>
  <conditionalFormatting sqref="C78 C80">
    <cfRule type="cellIs" dxfId="23214" priority="8941" stopIfTrue="1" operator="equal">
      <formula>"Towel"</formula>
    </cfRule>
  </conditionalFormatting>
  <conditionalFormatting sqref="C78 C80">
    <cfRule type="cellIs" dxfId="23213" priority="8940" stopIfTrue="1" operator="equal">
      <formula>"Napkin Hs"</formula>
    </cfRule>
  </conditionalFormatting>
  <conditionalFormatting sqref="C78 C80">
    <cfRule type="cellIs" dxfId="23212" priority="8939" stopIfTrue="1" operator="equal">
      <formula>"Towel"</formula>
    </cfRule>
  </conditionalFormatting>
  <conditionalFormatting sqref="C78 C80">
    <cfRule type="cellIs" dxfId="23211" priority="8935" stopIfTrue="1" operator="equal">
      <formula>"Towel"</formula>
    </cfRule>
    <cfRule type="cellIs" dxfId="23210" priority="8936" stopIfTrue="1" operator="equal">
      <formula>"Napkin Hs"</formula>
    </cfRule>
  </conditionalFormatting>
  <conditionalFormatting sqref="C78 C80">
    <cfRule type="cellIs" dxfId="23209" priority="8933" stopIfTrue="1" operator="equal">
      <formula>"Towel"</formula>
    </cfRule>
    <cfRule type="cellIs" dxfId="23208" priority="8934" stopIfTrue="1" operator="equal">
      <formula>"Napkin Hs"</formula>
    </cfRule>
  </conditionalFormatting>
  <conditionalFormatting sqref="C78 C80">
    <cfRule type="cellIs" dxfId="23207" priority="8917" stopIfTrue="1" operator="equal">
      <formula>"Towel"</formula>
    </cfRule>
    <cfRule type="cellIs" dxfId="23206" priority="8918" stopIfTrue="1" operator="equal">
      <formula>"Napkin Hs"</formula>
    </cfRule>
  </conditionalFormatting>
  <conditionalFormatting sqref="C78 C80">
    <cfRule type="cellIs" dxfId="23205" priority="8915" stopIfTrue="1" operator="equal">
      <formula>"Towel"</formula>
    </cfRule>
    <cfRule type="cellIs" dxfId="23204" priority="8916" stopIfTrue="1" operator="equal">
      <formula>"Napkin Hs"</formula>
    </cfRule>
  </conditionalFormatting>
  <conditionalFormatting sqref="B78:C78 B80:C80">
    <cfRule type="cellIs" dxfId="23203" priority="8876" stopIfTrue="1" operator="equal">
      <formula>"Napkin Hs"</formula>
    </cfRule>
  </conditionalFormatting>
  <conditionalFormatting sqref="B78:C78 B80:C80">
    <cfRule type="cellIs" dxfId="23202" priority="8875" stopIfTrue="1" operator="equal">
      <formula>"Towel"</formula>
    </cfRule>
  </conditionalFormatting>
  <conditionalFormatting sqref="C78 C80">
    <cfRule type="cellIs" dxfId="23201" priority="8874" stopIfTrue="1" operator="equal">
      <formula>"Napkin Hs"</formula>
    </cfRule>
  </conditionalFormatting>
  <conditionalFormatting sqref="C78 C80">
    <cfRule type="cellIs" dxfId="23200" priority="8871" stopIfTrue="1" operator="equal">
      <formula>"Towel"</formula>
    </cfRule>
    <cfRule type="cellIs" dxfId="23199" priority="8872" stopIfTrue="1" operator="equal">
      <formula>"Napkin Hs"</formula>
    </cfRule>
  </conditionalFormatting>
  <conditionalFormatting sqref="C78 C80">
    <cfRule type="cellIs" dxfId="23198" priority="8873" stopIfTrue="1" operator="equal">
      <formula>"Towel"</formula>
    </cfRule>
  </conditionalFormatting>
  <conditionalFormatting sqref="B80:C80">
    <cfRule type="cellIs" dxfId="23197" priority="8870" stopIfTrue="1" operator="equal">
      <formula>"Napkin Hs"</formula>
    </cfRule>
  </conditionalFormatting>
  <conditionalFormatting sqref="B80:C80">
    <cfRule type="cellIs" dxfId="23196" priority="8869" stopIfTrue="1" operator="equal">
      <formula>"Towel"</formula>
    </cfRule>
  </conditionalFormatting>
  <conditionalFormatting sqref="C80">
    <cfRule type="cellIs" dxfId="23195" priority="8868" stopIfTrue="1" operator="equal">
      <formula>"Napkin Hs"</formula>
    </cfRule>
  </conditionalFormatting>
  <conditionalFormatting sqref="C80">
    <cfRule type="cellIs" dxfId="23194" priority="8867" stopIfTrue="1" operator="equal">
      <formula>"Towel"</formula>
    </cfRule>
  </conditionalFormatting>
  <conditionalFormatting sqref="B81:C81">
    <cfRule type="cellIs" dxfId="23193" priority="8861" stopIfTrue="1" operator="equal">
      <formula>"Towel"</formula>
    </cfRule>
    <cfRule type="cellIs" dxfId="23192" priority="8862" stopIfTrue="1" operator="equal">
      <formula>"Napkin Hs"</formula>
    </cfRule>
  </conditionalFormatting>
  <conditionalFormatting sqref="C81">
    <cfRule type="cellIs" dxfId="23191" priority="8857" stopIfTrue="1" operator="equal">
      <formula>"Towel"</formula>
    </cfRule>
    <cfRule type="cellIs" dxfId="23190" priority="8858" stopIfTrue="1" operator="equal">
      <formula>"Napkin Hs"</formula>
    </cfRule>
  </conditionalFormatting>
  <conditionalFormatting sqref="C81">
    <cfRule type="cellIs" dxfId="23189" priority="8859" stopIfTrue="1" operator="equal">
      <formula>"Towel"</formula>
    </cfRule>
    <cfRule type="cellIs" dxfId="23188" priority="8860" stopIfTrue="1" operator="equal">
      <formula>"Napkin Hs"</formula>
    </cfRule>
  </conditionalFormatting>
  <conditionalFormatting sqref="B81:C81">
    <cfRule type="cellIs" dxfId="23187" priority="8856" stopIfTrue="1" operator="equal">
      <formula>"Napkin Hs"</formula>
    </cfRule>
  </conditionalFormatting>
  <conditionalFormatting sqref="B81:C81">
    <cfRule type="cellIs" dxfId="23186" priority="8855" stopIfTrue="1" operator="equal">
      <formula>"Towel"</formula>
    </cfRule>
  </conditionalFormatting>
  <conditionalFormatting sqref="C81">
    <cfRule type="cellIs" dxfId="23185" priority="8854" stopIfTrue="1" operator="equal">
      <formula>"Napkin Hs"</formula>
    </cfRule>
  </conditionalFormatting>
  <conditionalFormatting sqref="C81">
    <cfRule type="cellIs" dxfId="23184" priority="8853" stopIfTrue="1" operator="equal">
      <formula>"Towel"</formula>
    </cfRule>
  </conditionalFormatting>
  <conditionalFormatting sqref="C81">
    <cfRule type="cellIs" dxfId="23183" priority="8851" stopIfTrue="1" operator="equal">
      <formula>"Towel"</formula>
    </cfRule>
    <cfRule type="cellIs" dxfId="23182" priority="8852" stopIfTrue="1" operator="equal">
      <formula>"Napkin Hs"</formula>
    </cfRule>
  </conditionalFormatting>
  <conditionalFormatting sqref="B81:C81">
    <cfRule type="cellIs" dxfId="23181" priority="8849" stopIfTrue="1" operator="equal">
      <formula>"Towel"</formula>
    </cfRule>
    <cfRule type="cellIs" dxfId="23180" priority="8850" stopIfTrue="1" operator="equal">
      <formula>"Napkin Hs"</formula>
    </cfRule>
  </conditionalFormatting>
  <conditionalFormatting sqref="C81">
    <cfRule type="cellIs" dxfId="23179" priority="8847" stopIfTrue="1" operator="equal">
      <formula>"Towel"</formula>
    </cfRule>
    <cfRule type="cellIs" dxfId="23178" priority="8848" stopIfTrue="1" operator="equal">
      <formula>"Napkin Hs"</formula>
    </cfRule>
  </conditionalFormatting>
  <conditionalFormatting sqref="C81">
    <cfRule type="cellIs" dxfId="23177" priority="8845" stopIfTrue="1" operator="equal">
      <formula>"Towel"</formula>
    </cfRule>
    <cfRule type="cellIs" dxfId="23176" priority="8846" stopIfTrue="1" operator="equal">
      <formula>"Napkin Hs"</formula>
    </cfRule>
  </conditionalFormatting>
  <conditionalFormatting sqref="B81:C81">
    <cfRule type="cellIs" dxfId="23175" priority="8843" stopIfTrue="1" operator="equal">
      <formula>"Towel"</formula>
    </cfRule>
    <cfRule type="cellIs" dxfId="23174" priority="8844" stopIfTrue="1" operator="equal">
      <formula>"Napkin Hs"</formula>
    </cfRule>
  </conditionalFormatting>
  <conditionalFormatting sqref="C81">
    <cfRule type="cellIs" dxfId="23173" priority="8841" stopIfTrue="1" operator="equal">
      <formula>"Towel"</formula>
    </cfRule>
    <cfRule type="cellIs" dxfId="23172" priority="8842" stopIfTrue="1" operator="equal">
      <formula>"Napkin Hs"</formula>
    </cfRule>
  </conditionalFormatting>
  <conditionalFormatting sqref="C81">
    <cfRule type="cellIs" dxfId="23171" priority="8839" stopIfTrue="1" operator="equal">
      <formula>"Towel"</formula>
    </cfRule>
    <cfRule type="cellIs" dxfId="23170" priority="8840" stopIfTrue="1" operator="equal">
      <formula>"Napkin Hs"</formula>
    </cfRule>
  </conditionalFormatting>
  <conditionalFormatting sqref="B81:C81">
    <cfRule type="cellIs" dxfId="23169" priority="8837" stopIfTrue="1" operator="equal">
      <formula>"Towel"</formula>
    </cfRule>
    <cfRule type="cellIs" dxfId="23168" priority="8838" stopIfTrue="1" operator="equal">
      <formula>"Napkin Hs"</formula>
    </cfRule>
  </conditionalFormatting>
  <conditionalFormatting sqref="C81">
    <cfRule type="cellIs" dxfId="23167" priority="8835" stopIfTrue="1" operator="equal">
      <formula>"Towel"</formula>
    </cfRule>
    <cfRule type="cellIs" dxfId="23166" priority="8836" stopIfTrue="1" operator="equal">
      <formula>"Napkin Hs"</formula>
    </cfRule>
  </conditionalFormatting>
  <conditionalFormatting sqref="C81">
    <cfRule type="cellIs" dxfId="23165" priority="8833" stopIfTrue="1" operator="equal">
      <formula>"Towel"</formula>
    </cfRule>
    <cfRule type="cellIs" dxfId="23164" priority="8834" stopIfTrue="1" operator="equal">
      <formula>"Napkin Hs"</formula>
    </cfRule>
  </conditionalFormatting>
  <conditionalFormatting sqref="B81:C81">
    <cfRule type="cellIs" dxfId="23163" priority="8831" stopIfTrue="1" operator="equal">
      <formula>"Towel"</formula>
    </cfRule>
    <cfRule type="cellIs" dxfId="23162" priority="8832" stopIfTrue="1" operator="equal">
      <formula>"Napkin Hs"</formula>
    </cfRule>
  </conditionalFormatting>
  <conditionalFormatting sqref="C81">
    <cfRule type="cellIs" dxfId="23161" priority="8829" stopIfTrue="1" operator="equal">
      <formula>"Towel"</formula>
    </cfRule>
    <cfRule type="cellIs" dxfId="23160" priority="8830" stopIfTrue="1" operator="equal">
      <formula>"Napkin Hs"</formula>
    </cfRule>
  </conditionalFormatting>
  <conditionalFormatting sqref="C81">
    <cfRule type="cellIs" dxfId="23159" priority="8827" stopIfTrue="1" operator="equal">
      <formula>"Towel"</formula>
    </cfRule>
    <cfRule type="cellIs" dxfId="23158" priority="8828" stopIfTrue="1" operator="equal">
      <formula>"Napkin Hs"</formula>
    </cfRule>
  </conditionalFormatting>
  <conditionalFormatting sqref="B81:C81">
    <cfRule type="cellIs" dxfId="23157" priority="8825" stopIfTrue="1" operator="equal">
      <formula>"Towel"</formula>
    </cfRule>
    <cfRule type="cellIs" dxfId="23156" priority="8826" stopIfTrue="1" operator="equal">
      <formula>"Napkin Hs"</formula>
    </cfRule>
  </conditionalFormatting>
  <conditionalFormatting sqref="C81">
    <cfRule type="cellIs" dxfId="23155" priority="8823" stopIfTrue="1" operator="equal">
      <formula>"Towel"</formula>
    </cfRule>
    <cfRule type="cellIs" dxfId="23154" priority="8824" stopIfTrue="1" operator="equal">
      <formula>"Napkin Hs"</formula>
    </cfRule>
  </conditionalFormatting>
  <conditionalFormatting sqref="C81">
    <cfRule type="cellIs" dxfId="23153" priority="8821" stopIfTrue="1" operator="equal">
      <formula>"Towel"</formula>
    </cfRule>
    <cfRule type="cellIs" dxfId="23152" priority="8822" stopIfTrue="1" operator="equal">
      <formula>"Napkin Hs"</formula>
    </cfRule>
  </conditionalFormatting>
  <conditionalFormatting sqref="B81:C81">
    <cfRule type="cellIs" dxfId="23151" priority="8820" stopIfTrue="1" operator="equal">
      <formula>"Napkin Hs"</formula>
    </cfRule>
  </conditionalFormatting>
  <conditionalFormatting sqref="B81:C81">
    <cfRule type="cellIs" dxfId="23150" priority="8819" stopIfTrue="1" operator="equal">
      <formula>"Towel"</formula>
    </cfRule>
  </conditionalFormatting>
  <conditionalFormatting sqref="C81">
    <cfRule type="cellIs" dxfId="23149" priority="8818" stopIfTrue="1" operator="equal">
      <formula>"Napkin Hs"</formula>
    </cfRule>
  </conditionalFormatting>
  <conditionalFormatting sqref="C81">
    <cfRule type="cellIs" dxfId="23148" priority="8815" stopIfTrue="1" operator="equal">
      <formula>"Towel"</formula>
    </cfRule>
    <cfRule type="cellIs" dxfId="23147" priority="8816" stopIfTrue="1" operator="equal">
      <formula>"Napkin Hs"</formula>
    </cfRule>
  </conditionalFormatting>
  <conditionalFormatting sqref="C81">
    <cfRule type="cellIs" dxfId="23146" priority="8817" stopIfTrue="1" operator="equal">
      <formula>"Towel"</formula>
    </cfRule>
  </conditionalFormatting>
  <conditionalFormatting sqref="B81:C81">
    <cfRule type="cellIs" dxfId="23145" priority="8813" stopIfTrue="1" operator="equal">
      <formula>"Towel"</formula>
    </cfRule>
    <cfRule type="cellIs" dxfId="23144" priority="8814" stopIfTrue="1" operator="equal">
      <formula>"Napkin Hs"</formula>
    </cfRule>
  </conditionalFormatting>
  <conditionalFormatting sqref="C81">
    <cfRule type="cellIs" dxfId="23143" priority="8809" stopIfTrue="1" operator="equal">
      <formula>"Towel"</formula>
    </cfRule>
    <cfRule type="cellIs" dxfId="23142" priority="8810" stopIfTrue="1" operator="equal">
      <formula>"Napkin Hs"</formula>
    </cfRule>
  </conditionalFormatting>
  <conditionalFormatting sqref="C81">
    <cfRule type="cellIs" dxfId="23141" priority="8811" stopIfTrue="1" operator="equal">
      <formula>"Towel"</formula>
    </cfRule>
    <cfRule type="cellIs" dxfId="23140" priority="8812" stopIfTrue="1" operator="equal">
      <formula>"Napkin Hs"</formula>
    </cfRule>
  </conditionalFormatting>
  <conditionalFormatting sqref="B81:C81">
    <cfRule type="cellIs" dxfId="23139" priority="8807" stopIfTrue="1" operator="equal">
      <formula>"Towel"</formula>
    </cfRule>
    <cfRule type="cellIs" dxfId="23138" priority="8808" stopIfTrue="1" operator="equal">
      <formula>"Napkin Hs"</formula>
    </cfRule>
  </conditionalFormatting>
  <conditionalFormatting sqref="C81">
    <cfRule type="cellIs" dxfId="23137" priority="8803" stopIfTrue="1" operator="equal">
      <formula>"Towel"</formula>
    </cfRule>
    <cfRule type="cellIs" dxfId="23136" priority="8804" stopIfTrue="1" operator="equal">
      <formula>"Napkin Hs"</formula>
    </cfRule>
  </conditionalFormatting>
  <conditionalFormatting sqref="C81">
    <cfRule type="cellIs" dxfId="23135" priority="8805" stopIfTrue="1" operator="equal">
      <formula>"Towel"</formula>
    </cfRule>
    <cfRule type="cellIs" dxfId="23134" priority="8806" stopIfTrue="1" operator="equal">
      <formula>"Napkin Hs"</formula>
    </cfRule>
  </conditionalFormatting>
  <conditionalFormatting sqref="B81:C81">
    <cfRule type="cellIs" dxfId="23133" priority="8801" stopIfTrue="1" operator="equal">
      <formula>"Towel"</formula>
    </cfRule>
    <cfRule type="cellIs" dxfId="23132" priority="8802" stopIfTrue="1" operator="equal">
      <formula>"Napkin Hs"</formula>
    </cfRule>
  </conditionalFormatting>
  <conditionalFormatting sqref="C81">
    <cfRule type="cellIs" dxfId="23131" priority="8799" stopIfTrue="1" operator="equal">
      <formula>"Towel"</formula>
    </cfRule>
    <cfRule type="cellIs" dxfId="23130" priority="8800" stopIfTrue="1" operator="equal">
      <formula>"Napkin Hs"</formula>
    </cfRule>
  </conditionalFormatting>
  <conditionalFormatting sqref="C81">
    <cfRule type="cellIs" dxfId="23129" priority="8797" stopIfTrue="1" operator="equal">
      <formula>"Towel"</formula>
    </cfRule>
    <cfRule type="cellIs" dxfId="23128" priority="8798" stopIfTrue="1" operator="equal">
      <formula>"Napkin Hs"</formula>
    </cfRule>
  </conditionalFormatting>
  <conditionalFormatting sqref="B81:C81">
    <cfRule type="cellIs" dxfId="23127" priority="8796" stopIfTrue="1" operator="equal">
      <formula>"Napkin Hs"</formula>
    </cfRule>
  </conditionalFormatting>
  <conditionalFormatting sqref="B81:C81">
    <cfRule type="cellIs" dxfId="23126" priority="8795" stopIfTrue="1" operator="equal">
      <formula>"Towel"</formula>
    </cfRule>
  </conditionalFormatting>
  <conditionalFormatting sqref="C81">
    <cfRule type="cellIs" dxfId="23125" priority="8794" stopIfTrue="1" operator="equal">
      <formula>"Napkin Hs"</formula>
    </cfRule>
  </conditionalFormatting>
  <conditionalFormatting sqref="C81">
    <cfRule type="cellIs" dxfId="23124" priority="8793" stopIfTrue="1" operator="equal">
      <formula>"Towel"</formula>
    </cfRule>
  </conditionalFormatting>
  <conditionalFormatting sqref="C81">
    <cfRule type="cellIs" dxfId="23123" priority="8791" stopIfTrue="1" operator="equal">
      <formula>"Towel"</formula>
    </cfRule>
    <cfRule type="cellIs" dxfId="23122" priority="8792" stopIfTrue="1" operator="equal">
      <formula>"Napkin Hs"</formula>
    </cfRule>
  </conditionalFormatting>
  <conditionalFormatting sqref="C81">
    <cfRule type="cellIs" dxfId="23121" priority="8789" stopIfTrue="1" operator="equal">
      <formula>"Towel"</formula>
    </cfRule>
    <cfRule type="cellIs" dxfId="23120" priority="8790" stopIfTrue="1" operator="equal">
      <formula>"Napkin Hs"</formula>
    </cfRule>
  </conditionalFormatting>
  <conditionalFormatting sqref="C81">
    <cfRule type="cellIs" dxfId="23119" priority="8705" stopIfTrue="1" operator="equal">
      <formula>"Towel"</formula>
    </cfRule>
    <cfRule type="cellIs" dxfId="23118" priority="8706" stopIfTrue="1" operator="equal">
      <formula>"Napkin Hs"</formula>
    </cfRule>
  </conditionalFormatting>
  <conditionalFormatting sqref="C81">
    <cfRule type="cellIs" dxfId="23117" priority="8699" stopIfTrue="1" operator="equal">
      <formula>"Towel"</formula>
    </cfRule>
    <cfRule type="cellIs" dxfId="23116" priority="8700" stopIfTrue="1" operator="equal">
      <formula>"Napkin Hs"</formula>
    </cfRule>
  </conditionalFormatting>
  <conditionalFormatting sqref="C81">
    <cfRule type="cellIs" dxfId="23115" priority="8680" stopIfTrue="1" operator="equal">
      <formula>"Napkin Hs"</formula>
    </cfRule>
  </conditionalFormatting>
  <conditionalFormatting sqref="C81">
    <cfRule type="cellIs" dxfId="23114" priority="8679" stopIfTrue="1" operator="equal">
      <formula>"Towel"</formula>
    </cfRule>
  </conditionalFormatting>
  <conditionalFormatting sqref="C81">
    <cfRule type="cellIs" dxfId="23113" priority="8678" stopIfTrue="1" operator="equal">
      <formula>"Napkin Hs"</formula>
    </cfRule>
  </conditionalFormatting>
  <conditionalFormatting sqref="C81">
    <cfRule type="cellIs" dxfId="23112" priority="8675" stopIfTrue="1" operator="equal">
      <formula>"Towel"</formula>
    </cfRule>
    <cfRule type="cellIs" dxfId="23111" priority="8676" stopIfTrue="1" operator="equal">
      <formula>"Napkin Hs"</formula>
    </cfRule>
  </conditionalFormatting>
  <conditionalFormatting sqref="C81">
    <cfRule type="cellIs" dxfId="23110" priority="8677" stopIfTrue="1" operator="equal">
      <formula>"Towel"</formula>
    </cfRule>
  </conditionalFormatting>
  <conditionalFormatting sqref="C81">
    <cfRule type="cellIs" dxfId="23109" priority="8674" stopIfTrue="1" operator="equal">
      <formula>"Napkin Hs"</formula>
    </cfRule>
  </conditionalFormatting>
  <conditionalFormatting sqref="C81">
    <cfRule type="cellIs" dxfId="23108" priority="8673" stopIfTrue="1" operator="equal">
      <formula>"Towel"</formula>
    </cfRule>
  </conditionalFormatting>
  <conditionalFormatting sqref="C81">
    <cfRule type="cellIs" dxfId="23107" priority="8672" stopIfTrue="1" operator="equal">
      <formula>"Napkin Hs"</formula>
    </cfRule>
  </conditionalFormatting>
  <conditionalFormatting sqref="C81">
    <cfRule type="cellIs" dxfId="23106" priority="8669" stopIfTrue="1" operator="equal">
      <formula>"Towel"</formula>
    </cfRule>
    <cfRule type="cellIs" dxfId="23105" priority="8670" stopIfTrue="1" operator="equal">
      <formula>"Napkin Hs"</formula>
    </cfRule>
  </conditionalFormatting>
  <conditionalFormatting sqref="C81">
    <cfRule type="cellIs" dxfId="23104" priority="8671" stopIfTrue="1" operator="equal">
      <formula>"Towel"</formula>
    </cfRule>
  </conditionalFormatting>
  <conditionalFormatting sqref="C81">
    <cfRule type="cellIs" dxfId="23103" priority="8775" stopIfTrue="1" operator="equal">
      <formula>"Towel"</formula>
    </cfRule>
    <cfRule type="cellIs" dxfId="23102" priority="8776" stopIfTrue="1" operator="equal">
      <formula>"Napkin Hs"</formula>
    </cfRule>
  </conditionalFormatting>
  <conditionalFormatting sqref="C81">
    <cfRule type="cellIs" dxfId="23101" priority="8773" stopIfTrue="1" operator="equal">
      <formula>"Towel"</formula>
    </cfRule>
    <cfRule type="cellIs" dxfId="23100" priority="8774" stopIfTrue="1" operator="equal">
      <formula>"Napkin Hs"</formula>
    </cfRule>
  </conditionalFormatting>
  <conditionalFormatting sqref="C81">
    <cfRule type="cellIs" dxfId="23099" priority="8771" stopIfTrue="1" operator="equal">
      <formula>"Towel"</formula>
    </cfRule>
    <cfRule type="cellIs" dxfId="23098" priority="8772" stopIfTrue="1" operator="equal">
      <formula>"Napkin Hs"</formula>
    </cfRule>
  </conditionalFormatting>
  <conditionalFormatting sqref="C81">
    <cfRule type="cellIs" dxfId="23097" priority="8770" stopIfTrue="1" operator="equal">
      <formula>"Napkin Hs"</formula>
    </cfRule>
  </conditionalFormatting>
  <conditionalFormatting sqref="C81">
    <cfRule type="cellIs" dxfId="23096" priority="8769" stopIfTrue="1" operator="equal">
      <formula>"Towel"</formula>
    </cfRule>
  </conditionalFormatting>
  <conditionalFormatting sqref="C81">
    <cfRule type="cellIs" dxfId="23095" priority="8768" stopIfTrue="1" operator="equal">
      <formula>"Napkin Hs"</formula>
    </cfRule>
  </conditionalFormatting>
  <conditionalFormatting sqref="C81">
    <cfRule type="cellIs" dxfId="23094" priority="8767" stopIfTrue="1" operator="equal">
      <formula>"Towel"</formula>
    </cfRule>
  </conditionalFormatting>
  <conditionalFormatting sqref="C81">
    <cfRule type="cellIs" dxfId="23093" priority="8765" stopIfTrue="1" operator="equal">
      <formula>"Towel"</formula>
    </cfRule>
    <cfRule type="cellIs" dxfId="23092" priority="8766" stopIfTrue="1" operator="equal">
      <formula>"Napkin Hs"</formula>
    </cfRule>
  </conditionalFormatting>
  <conditionalFormatting sqref="C81">
    <cfRule type="cellIs" dxfId="23091" priority="8763" stopIfTrue="1" operator="equal">
      <formula>"Towel"</formula>
    </cfRule>
    <cfRule type="cellIs" dxfId="23090" priority="8764" stopIfTrue="1" operator="equal">
      <formula>"Napkin Hs"</formula>
    </cfRule>
  </conditionalFormatting>
  <conditionalFormatting sqref="C81">
    <cfRule type="cellIs" dxfId="23089" priority="8759" stopIfTrue="1" operator="equal">
      <formula>"Towel"</formula>
    </cfRule>
    <cfRule type="cellIs" dxfId="23088" priority="8760" stopIfTrue="1" operator="equal">
      <formula>"Napkin Hs"</formula>
    </cfRule>
  </conditionalFormatting>
  <conditionalFormatting sqref="C81">
    <cfRule type="cellIs" dxfId="23087" priority="8761" stopIfTrue="1" operator="equal">
      <formula>"Towel"</formula>
    </cfRule>
    <cfRule type="cellIs" dxfId="23086" priority="8762" stopIfTrue="1" operator="equal">
      <formula>"Napkin Hs"</formula>
    </cfRule>
  </conditionalFormatting>
  <conditionalFormatting sqref="C81">
    <cfRule type="cellIs" dxfId="23085" priority="8753" stopIfTrue="1" operator="equal">
      <formula>"Towel"</formula>
    </cfRule>
    <cfRule type="cellIs" dxfId="23084" priority="8754" stopIfTrue="1" operator="equal">
      <formula>"Napkin Hs"</formula>
    </cfRule>
  </conditionalFormatting>
  <conditionalFormatting sqref="C81">
    <cfRule type="cellIs" dxfId="23083" priority="8751" stopIfTrue="1" operator="equal">
      <formula>"Towel"</formula>
    </cfRule>
    <cfRule type="cellIs" dxfId="23082" priority="8752" stopIfTrue="1" operator="equal">
      <formula>"Napkin Hs"</formula>
    </cfRule>
  </conditionalFormatting>
  <conditionalFormatting sqref="C81">
    <cfRule type="cellIs" dxfId="23081" priority="8749" stopIfTrue="1" operator="equal">
      <formula>"Towel"</formula>
    </cfRule>
    <cfRule type="cellIs" dxfId="23080" priority="8750" stopIfTrue="1" operator="equal">
      <formula>"Napkin Hs"</formula>
    </cfRule>
  </conditionalFormatting>
  <conditionalFormatting sqref="C81">
    <cfRule type="cellIs" dxfId="23079" priority="8747" stopIfTrue="1" operator="equal">
      <formula>"Towel"</formula>
    </cfRule>
    <cfRule type="cellIs" dxfId="23078" priority="8748" stopIfTrue="1" operator="equal">
      <formula>"Napkin Hs"</formula>
    </cfRule>
  </conditionalFormatting>
  <conditionalFormatting sqref="C81">
    <cfRule type="cellIs" dxfId="23077" priority="8745" stopIfTrue="1" operator="equal">
      <formula>"Towel"</formula>
    </cfRule>
    <cfRule type="cellIs" dxfId="23076" priority="8746" stopIfTrue="1" operator="equal">
      <formula>"Napkin Hs"</formula>
    </cfRule>
  </conditionalFormatting>
  <conditionalFormatting sqref="C81">
    <cfRule type="cellIs" dxfId="23075" priority="8743" stopIfTrue="1" operator="equal">
      <formula>"Towel"</formula>
    </cfRule>
    <cfRule type="cellIs" dxfId="23074" priority="8744" stopIfTrue="1" operator="equal">
      <formula>"Napkin Hs"</formula>
    </cfRule>
  </conditionalFormatting>
  <conditionalFormatting sqref="C81">
    <cfRule type="cellIs" dxfId="23073" priority="8741" stopIfTrue="1" operator="equal">
      <formula>"Towel"</formula>
    </cfRule>
    <cfRule type="cellIs" dxfId="23072" priority="8742" stopIfTrue="1" operator="equal">
      <formula>"Napkin Hs"</formula>
    </cfRule>
  </conditionalFormatting>
  <conditionalFormatting sqref="C81">
    <cfRule type="cellIs" dxfId="23071" priority="8739" stopIfTrue="1" operator="equal">
      <formula>"Towel"</formula>
    </cfRule>
    <cfRule type="cellIs" dxfId="23070" priority="8740" stopIfTrue="1" operator="equal">
      <formula>"Napkin Hs"</formula>
    </cfRule>
  </conditionalFormatting>
  <conditionalFormatting sqref="C81">
    <cfRule type="cellIs" dxfId="23069" priority="8737" stopIfTrue="1" operator="equal">
      <formula>"Towel"</formula>
    </cfRule>
    <cfRule type="cellIs" dxfId="23068" priority="8738" stopIfTrue="1" operator="equal">
      <formula>"Napkin Hs"</formula>
    </cfRule>
  </conditionalFormatting>
  <conditionalFormatting sqref="C81">
    <cfRule type="cellIs" dxfId="23067" priority="8735" stopIfTrue="1" operator="equal">
      <formula>"Towel"</formula>
    </cfRule>
    <cfRule type="cellIs" dxfId="23066" priority="8736" stopIfTrue="1" operator="equal">
      <formula>"Napkin Hs"</formula>
    </cfRule>
  </conditionalFormatting>
  <conditionalFormatting sqref="C81">
    <cfRule type="cellIs" dxfId="23065" priority="8729" stopIfTrue="1" operator="equal">
      <formula>"Towel"</formula>
    </cfRule>
    <cfRule type="cellIs" dxfId="23064" priority="8730" stopIfTrue="1" operator="equal">
      <formula>"Napkin Hs"</formula>
    </cfRule>
  </conditionalFormatting>
  <conditionalFormatting sqref="C81">
    <cfRule type="cellIs" dxfId="23063" priority="8723" stopIfTrue="1" operator="equal">
      <formula>"Towel"</formula>
    </cfRule>
    <cfRule type="cellIs" dxfId="23062" priority="8724" stopIfTrue="1" operator="equal">
      <formula>"Napkin Hs"</formula>
    </cfRule>
  </conditionalFormatting>
  <conditionalFormatting sqref="C81">
    <cfRule type="cellIs" dxfId="23061" priority="8717" stopIfTrue="1" operator="equal">
      <formula>"Towel"</formula>
    </cfRule>
    <cfRule type="cellIs" dxfId="23060" priority="8718" stopIfTrue="1" operator="equal">
      <formula>"Napkin Hs"</formula>
    </cfRule>
  </conditionalFormatting>
  <conditionalFormatting sqref="C81">
    <cfRule type="cellIs" dxfId="23059" priority="8716" stopIfTrue="1" operator="equal">
      <formula>"Napkin Hs"</formula>
    </cfRule>
  </conditionalFormatting>
  <conditionalFormatting sqref="C81">
    <cfRule type="cellIs" dxfId="23058" priority="8715" stopIfTrue="1" operator="equal">
      <formula>"Towel"</formula>
    </cfRule>
  </conditionalFormatting>
  <conditionalFormatting sqref="C81">
    <cfRule type="cellIs" dxfId="23057" priority="8714" stopIfTrue="1" operator="equal">
      <formula>"Napkin Hs"</formula>
    </cfRule>
  </conditionalFormatting>
  <conditionalFormatting sqref="C81">
    <cfRule type="cellIs" dxfId="23056" priority="8713" stopIfTrue="1" operator="equal">
      <formula>"Towel"</formula>
    </cfRule>
  </conditionalFormatting>
  <conditionalFormatting sqref="C81">
    <cfRule type="cellIs" dxfId="23055" priority="8711" stopIfTrue="1" operator="equal">
      <formula>"Towel"</formula>
    </cfRule>
    <cfRule type="cellIs" dxfId="23054" priority="8712" stopIfTrue="1" operator="equal">
      <formula>"Napkin Hs"</formula>
    </cfRule>
  </conditionalFormatting>
  <conditionalFormatting sqref="C81">
    <cfRule type="cellIs" dxfId="23053" priority="8709" stopIfTrue="1" operator="equal">
      <formula>"Towel"</formula>
    </cfRule>
    <cfRule type="cellIs" dxfId="23052" priority="8710" stopIfTrue="1" operator="equal">
      <formula>"Napkin Hs"</formula>
    </cfRule>
  </conditionalFormatting>
  <conditionalFormatting sqref="C81">
    <cfRule type="cellIs" dxfId="23051" priority="8707" stopIfTrue="1" operator="equal">
      <formula>"Towel"</formula>
    </cfRule>
    <cfRule type="cellIs" dxfId="23050" priority="8708" stopIfTrue="1" operator="equal">
      <formula>"Napkin Hs"</formula>
    </cfRule>
  </conditionalFormatting>
  <conditionalFormatting sqref="C81">
    <cfRule type="cellIs" dxfId="23049" priority="8697" stopIfTrue="1" operator="equal">
      <formula>"Towel"</formula>
    </cfRule>
    <cfRule type="cellIs" dxfId="23048" priority="8698" stopIfTrue="1" operator="equal">
      <formula>"Napkin Hs"</formula>
    </cfRule>
  </conditionalFormatting>
  <conditionalFormatting sqref="C81">
    <cfRule type="cellIs" dxfId="23047" priority="8695" stopIfTrue="1" operator="equal">
      <formula>"Towel"</formula>
    </cfRule>
    <cfRule type="cellIs" dxfId="23046" priority="8696" stopIfTrue="1" operator="equal">
      <formula>"Napkin Hs"</formula>
    </cfRule>
  </conditionalFormatting>
  <conditionalFormatting sqref="C81">
    <cfRule type="cellIs" dxfId="23045" priority="8693" stopIfTrue="1" operator="equal">
      <formula>"Towel"</formula>
    </cfRule>
    <cfRule type="cellIs" dxfId="23044" priority="8694" stopIfTrue="1" operator="equal">
      <formula>"Napkin Hs"</formula>
    </cfRule>
  </conditionalFormatting>
  <conditionalFormatting sqref="C81">
    <cfRule type="cellIs" dxfId="23043" priority="8691" stopIfTrue="1" operator="equal">
      <formula>"Towel"</formula>
    </cfRule>
    <cfRule type="cellIs" dxfId="23042" priority="8692" stopIfTrue="1" operator="equal">
      <formula>"Napkin Hs"</formula>
    </cfRule>
  </conditionalFormatting>
  <conditionalFormatting sqref="C81">
    <cfRule type="cellIs" dxfId="23041" priority="8689" stopIfTrue="1" operator="equal">
      <formula>"Towel"</formula>
    </cfRule>
    <cfRule type="cellIs" dxfId="23040" priority="8690" stopIfTrue="1" operator="equal">
      <formula>"Napkin Hs"</formula>
    </cfRule>
  </conditionalFormatting>
  <conditionalFormatting sqref="C81">
    <cfRule type="cellIs" dxfId="23039" priority="8687" stopIfTrue="1" operator="equal">
      <formula>"Towel"</formula>
    </cfRule>
    <cfRule type="cellIs" dxfId="23038" priority="8688" stopIfTrue="1" operator="equal">
      <formula>"Napkin Hs"</formula>
    </cfRule>
  </conditionalFormatting>
  <conditionalFormatting sqref="C81">
    <cfRule type="cellIs" dxfId="23037" priority="8685" stopIfTrue="1" operator="equal">
      <formula>"Towel"</formula>
    </cfRule>
    <cfRule type="cellIs" dxfId="23036" priority="8686" stopIfTrue="1" operator="equal">
      <formula>"Napkin Hs"</formula>
    </cfRule>
  </conditionalFormatting>
  <conditionalFormatting sqref="C81">
    <cfRule type="cellIs" dxfId="23035" priority="8683" stopIfTrue="1" operator="equal">
      <formula>"Towel"</formula>
    </cfRule>
    <cfRule type="cellIs" dxfId="23034" priority="8684" stopIfTrue="1" operator="equal">
      <formula>"Napkin Hs"</formula>
    </cfRule>
  </conditionalFormatting>
  <conditionalFormatting sqref="C81">
    <cfRule type="cellIs" dxfId="23033" priority="8681" stopIfTrue="1" operator="equal">
      <formula>"Towel"</formula>
    </cfRule>
    <cfRule type="cellIs" dxfId="23032" priority="8682" stopIfTrue="1" operator="equal">
      <formula>"Napkin Hs"</formula>
    </cfRule>
  </conditionalFormatting>
  <conditionalFormatting sqref="C81">
    <cfRule type="cellIs" dxfId="23031" priority="8668" stopIfTrue="1" operator="equal">
      <formula>"Napkin Hs"</formula>
    </cfRule>
  </conditionalFormatting>
  <conditionalFormatting sqref="C81">
    <cfRule type="cellIs" dxfId="23030" priority="8667" stopIfTrue="1" operator="equal">
      <formula>"Towel"</formula>
    </cfRule>
  </conditionalFormatting>
  <conditionalFormatting sqref="C81">
    <cfRule type="cellIs" dxfId="23029" priority="8666" stopIfTrue="1" operator="equal">
      <formula>"Napkin Hs"</formula>
    </cfRule>
  </conditionalFormatting>
  <conditionalFormatting sqref="C81">
    <cfRule type="cellIs" dxfId="23028" priority="8663" stopIfTrue="1" operator="equal">
      <formula>"Towel"</formula>
    </cfRule>
    <cfRule type="cellIs" dxfId="23027" priority="8664" stopIfTrue="1" operator="equal">
      <formula>"Napkin Hs"</formula>
    </cfRule>
  </conditionalFormatting>
  <conditionalFormatting sqref="C81">
    <cfRule type="cellIs" dxfId="23026" priority="8665" stopIfTrue="1" operator="equal">
      <formula>"Towel"</formula>
    </cfRule>
  </conditionalFormatting>
  <conditionalFormatting sqref="C81">
    <cfRule type="cellIs" dxfId="23025" priority="8783" stopIfTrue="1" operator="equal">
      <formula>"Towel"</formula>
    </cfRule>
    <cfRule type="cellIs" dxfId="23024" priority="8784" stopIfTrue="1" operator="equal">
      <formula>"Napkin Hs"</formula>
    </cfRule>
  </conditionalFormatting>
  <conditionalFormatting sqref="C81">
    <cfRule type="cellIs" dxfId="23023" priority="8782" stopIfTrue="1" operator="equal">
      <formula>"Napkin Hs"</formula>
    </cfRule>
  </conditionalFormatting>
  <conditionalFormatting sqref="C81">
    <cfRule type="cellIs" dxfId="23022" priority="8781" stopIfTrue="1" operator="equal">
      <formula>"Towel"</formula>
    </cfRule>
  </conditionalFormatting>
  <conditionalFormatting sqref="C81">
    <cfRule type="cellIs" dxfId="23021" priority="8780" stopIfTrue="1" operator="equal">
      <formula>"Napkin Hs"</formula>
    </cfRule>
  </conditionalFormatting>
  <conditionalFormatting sqref="C81">
    <cfRule type="cellIs" dxfId="23020" priority="8777" stopIfTrue="1" operator="equal">
      <formula>"Towel"</formula>
    </cfRule>
    <cfRule type="cellIs" dxfId="23019" priority="8778" stopIfTrue="1" operator="equal">
      <formula>"Napkin Hs"</formula>
    </cfRule>
  </conditionalFormatting>
  <conditionalFormatting sqref="C81">
    <cfRule type="cellIs" dxfId="23018" priority="8779" stopIfTrue="1" operator="equal">
      <formula>"Towel"</formula>
    </cfRule>
  </conditionalFormatting>
  <conditionalFormatting sqref="C81">
    <cfRule type="cellIs" dxfId="23017" priority="8787" stopIfTrue="1" operator="equal">
      <formula>"Towel"</formula>
    </cfRule>
    <cfRule type="cellIs" dxfId="23016" priority="8788" stopIfTrue="1" operator="equal">
      <formula>"Napkin Hs"</formula>
    </cfRule>
  </conditionalFormatting>
  <conditionalFormatting sqref="C81">
    <cfRule type="cellIs" dxfId="23015" priority="8785" stopIfTrue="1" operator="equal">
      <formula>"Towel"</formula>
    </cfRule>
    <cfRule type="cellIs" dxfId="23014" priority="8786" stopIfTrue="1" operator="equal">
      <formula>"Napkin Hs"</formula>
    </cfRule>
  </conditionalFormatting>
  <conditionalFormatting sqref="C81">
    <cfRule type="cellIs" dxfId="23013" priority="8757" stopIfTrue="1" operator="equal">
      <formula>"Towel"</formula>
    </cfRule>
    <cfRule type="cellIs" dxfId="23012" priority="8758" stopIfTrue="1" operator="equal">
      <formula>"Napkin Hs"</formula>
    </cfRule>
  </conditionalFormatting>
  <conditionalFormatting sqref="C81">
    <cfRule type="cellIs" dxfId="23011" priority="8755" stopIfTrue="1" operator="equal">
      <formula>"Towel"</formula>
    </cfRule>
    <cfRule type="cellIs" dxfId="23010" priority="8756" stopIfTrue="1" operator="equal">
      <formula>"Napkin Hs"</formula>
    </cfRule>
  </conditionalFormatting>
  <conditionalFormatting sqref="C81">
    <cfRule type="cellIs" dxfId="23009" priority="8734" stopIfTrue="1" operator="equal">
      <formula>"Napkin Hs"</formula>
    </cfRule>
  </conditionalFormatting>
  <conditionalFormatting sqref="C81">
    <cfRule type="cellIs" dxfId="23008" priority="8733" stopIfTrue="1" operator="equal">
      <formula>"Towel"</formula>
    </cfRule>
  </conditionalFormatting>
  <conditionalFormatting sqref="C81">
    <cfRule type="cellIs" dxfId="23007" priority="8732" stopIfTrue="1" operator="equal">
      <formula>"Napkin Hs"</formula>
    </cfRule>
  </conditionalFormatting>
  <conditionalFormatting sqref="C81">
    <cfRule type="cellIs" dxfId="23006" priority="8731" stopIfTrue="1" operator="equal">
      <formula>"Towel"</formula>
    </cfRule>
  </conditionalFormatting>
  <conditionalFormatting sqref="C81">
    <cfRule type="cellIs" dxfId="23005" priority="8728" stopIfTrue="1" operator="equal">
      <formula>"Napkin Hs"</formula>
    </cfRule>
  </conditionalFormatting>
  <conditionalFormatting sqref="C81">
    <cfRule type="cellIs" dxfId="23004" priority="8727" stopIfTrue="1" operator="equal">
      <formula>"Towel"</formula>
    </cfRule>
  </conditionalFormatting>
  <conditionalFormatting sqref="C81">
    <cfRule type="cellIs" dxfId="23003" priority="8726" stopIfTrue="1" operator="equal">
      <formula>"Napkin Hs"</formula>
    </cfRule>
  </conditionalFormatting>
  <conditionalFormatting sqref="C81">
    <cfRule type="cellIs" dxfId="23002" priority="8725" stopIfTrue="1" operator="equal">
      <formula>"Towel"</formula>
    </cfRule>
  </conditionalFormatting>
  <conditionalFormatting sqref="C81">
    <cfRule type="cellIs" dxfId="23001" priority="8721" stopIfTrue="1" operator="equal">
      <formula>"Towel"</formula>
    </cfRule>
    <cfRule type="cellIs" dxfId="23000" priority="8722" stopIfTrue="1" operator="equal">
      <formula>"Napkin Hs"</formula>
    </cfRule>
  </conditionalFormatting>
  <conditionalFormatting sqref="C81">
    <cfRule type="cellIs" dxfId="22999" priority="8719" stopIfTrue="1" operator="equal">
      <formula>"Towel"</formula>
    </cfRule>
    <cfRule type="cellIs" dxfId="22998" priority="8720" stopIfTrue="1" operator="equal">
      <formula>"Napkin Hs"</formula>
    </cfRule>
  </conditionalFormatting>
  <conditionalFormatting sqref="C81">
    <cfRule type="cellIs" dxfId="22997" priority="8703" stopIfTrue="1" operator="equal">
      <formula>"Towel"</formula>
    </cfRule>
    <cfRule type="cellIs" dxfId="22996" priority="8704" stopIfTrue="1" operator="equal">
      <formula>"Napkin Hs"</formula>
    </cfRule>
  </conditionalFormatting>
  <conditionalFormatting sqref="C81">
    <cfRule type="cellIs" dxfId="22995" priority="8701" stopIfTrue="1" operator="equal">
      <formula>"Towel"</formula>
    </cfRule>
    <cfRule type="cellIs" dxfId="22994" priority="8702" stopIfTrue="1" operator="equal">
      <formula>"Napkin Hs"</formula>
    </cfRule>
  </conditionalFormatting>
  <conditionalFormatting sqref="B81:C81">
    <cfRule type="cellIs" dxfId="22993" priority="8662" stopIfTrue="1" operator="equal">
      <formula>"Napkin Hs"</formula>
    </cfRule>
  </conditionalFormatting>
  <conditionalFormatting sqref="B81:C81">
    <cfRule type="cellIs" dxfId="22992" priority="8661" stopIfTrue="1" operator="equal">
      <formula>"Towel"</formula>
    </cfRule>
  </conditionalFormatting>
  <conditionalFormatting sqref="C81">
    <cfRule type="cellIs" dxfId="22991" priority="8660" stopIfTrue="1" operator="equal">
      <formula>"Napkin Hs"</formula>
    </cfRule>
  </conditionalFormatting>
  <conditionalFormatting sqref="C81">
    <cfRule type="cellIs" dxfId="22990" priority="8657" stopIfTrue="1" operator="equal">
      <formula>"Towel"</formula>
    </cfRule>
    <cfRule type="cellIs" dxfId="22989" priority="8658" stopIfTrue="1" operator="equal">
      <formula>"Napkin Hs"</formula>
    </cfRule>
  </conditionalFormatting>
  <conditionalFormatting sqref="C81">
    <cfRule type="cellIs" dxfId="22988" priority="8659" stopIfTrue="1" operator="equal">
      <formula>"Towel"</formula>
    </cfRule>
  </conditionalFormatting>
  <conditionalFormatting sqref="B78:C78">
    <cfRule type="cellIs" dxfId="22987" priority="8656" stopIfTrue="1" operator="equal">
      <formula>"Napkin Hs"</formula>
    </cfRule>
  </conditionalFormatting>
  <conditionalFormatting sqref="B78:C78">
    <cfRule type="cellIs" dxfId="22986" priority="8655" stopIfTrue="1" operator="equal">
      <formula>"Towel"</formula>
    </cfRule>
  </conditionalFormatting>
  <conditionalFormatting sqref="C78">
    <cfRule type="cellIs" dxfId="22985" priority="8654" stopIfTrue="1" operator="equal">
      <formula>"Napkin Hs"</formula>
    </cfRule>
  </conditionalFormatting>
  <conditionalFormatting sqref="C78">
    <cfRule type="cellIs" dxfId="22984" priority="8653" stopIfTrue="1" operator="equal">
      <formula>"Towel"</formula>
    </cfRule>
  </conditionalFormatting>
  <conditionalFormatting sqref="C78">
    <cfRule type="cellIs" dxfId="22983" priority="8651" stopIfTrue="1" operator="equal">
      <formula>"Towel"</formula>
    </cfRule>
    <cfRule type="cellIs" dxfId="22982" priority="8652" stopIfTrue="1" operator="equal">
      <formula>"Napkin Hs"</formula>
    </cfRule>
  </conditionalFormatting>
  <conditionalFormatting sqref="C78">
    <cfRule type="cellIs" dxfId="22981" priority="8567" stopIfTrue="1" operator="equal">
      <formula>"Towel"</formula>
    </cfRule>
    <cfRule type="cellIs" dxfId="22980" priority="8568" stopIfTrue="1" operator="equal">
      <formula>"Napkin Hs"</formula>
    </cfRule>
  </conditionalFormatting>
  <conditionalFormatting sqref="C78">
    <cfRule type="cellIs" dxfId="22979" priority="8561" stopIfTrue="1" operator="equal">
      <formula>"Towel"</formula>
    </cfRule>
    <cfRule type="cellIs" dxfId="22978" priority="8562" stopIfTrue="1" operator="equal">
      <formula>"Napkin Hs"</formula>
    </cfRule>
  </conditionalFormatting>
  <conditionalFormatting sqref="C78">
    <cfRule type="cellIs" dxfId="22977" priority="8542" stopIfTrue="1" operator="equal">
      <formula>"Napkin Hs"</formula>
    </cfRule>
  </conditionalFormatting>
  <conditionalFormatting sqref="C78">
    <cfRule type="cellIs" dxfId="22976" priority="8541" stopIfTrue="1" operator="equal">
      <formula>"Towel"</formula>
    </cfRule>
  </conditionalFormatting>
  <conditionalFormatting sqref="C78">
    <cfRule type="cellIs" dxfId="22975" priority="8540" stopIfTrue="1" operator="equal">
      <formula>"Napkin Hs"</formula>
    </cfRule>
  </conditionalFormatting>
  <conditionalFormatting sqref="C78">
    <cfRule type="cellIs" dxfId="22974" priority="8537" stopIfTrue="1" operator="equal">
      <formula>"Towel"</formula>
    </cfRule>
    <cfRule type="cellIs" dxfId="22973" priority="8538" stopIfTrue="1" operator="equal">
      <formula>"Napkin Hs"</formula>
    </cfRule>
  </conditionalFormatting>
  <conditionalFormatting sqref="C78">
    <cfRule type="cellIs" dxfId="22972" priority="8539" stopIfTrue="1" operator="equal">
      <formula>"Towel"</formula>
    </cfRule>
  </conditionalFormatting>
  <conditionalFormatting sqref="C78">
    <cfRule type="cellIs" dxfId="22971" priority="8536" stopIfTrue="1" operator="equal">
      <formula>"Napkin Hs"</formula>
    </cfRule>
  </conditionalFormatting>
  <conditionalFormatting sqref="C78">
    <cfRule type="cellIs" dxfId="22970" priority="8535" stopIfTrue="1" operator="equal">
      <formula>"Towel"</formula>
    </cfRule>
  </conditionalFormatting>
  <conditionalFormatting sqref="C78">
    <cfRule type="cellIs" dxfId="22969" priority="8534" stopIfTrue="1" operator="equal">
      <formula>"Napkin Hs"</formula>
    </cfRule>
  </conditionalFormatting>
  <conditionalFormatting sqref="C78">
    <cfRule type="cellIs" dxfId="22968" priority="8531" stopIfTrue="1" operator="equal">
      <formula>"Towel"</formula>
    </cfRule>
    <cfRule type="cellIs" dxfId="22967" priority="8532" stopIfTrue="1" operator="equal">
      <formula>"Napkin Hs"</formula>
    </cfRule>
  </conditionalFormatting>
  <conditionalFormatting sqref="C78">
    <cfRule type="cellIs" dxfId="22966" priority="8533" stopIfTrue="1" operator="equal">
      <formula>"Towel"</formula>
    </cfRule>
  </conditionalFormatting>
  <conditionalFormatting sqref="C78">
    <cfRule type="cellIs" dxfId="22965" priority="8637" stopIfTrue="1" operator="equal">
      <formula>"Towel"</formula>
    </cfRule>
    <cfRule type="cellIs" dxfId="22964" priority="8638" stopIfTrue="1" operator="equal">
      <formula>"Napkin Hs"</formula>
    </cfRule>
  </conditionalFormatting>
  <conditionalFormatting sqref="C78">
    <cfRule type="cellIs" dxfId="22963" priority="8635" stopIfTrue="1" operator="equal">
      <formula>"Towel"</formula>
    </cfRule>
    <cfRule type="cellIs" dxfId="22962" priority="8636" stopIfTrue="1" operator="equal">
      <formula>"Napkin Hs"</formula>
    </cfRule>
  </conditionalFormatting>
  <conditionalFormatting sqref="C78">
    <cfRule type="cellIs" dxfId="22961" priority="8633" stopIfTrue="1" operator="equal">
      <formula>"Towel"</formula>
    </cfRule>
    <cfRule type="cellIs" dxfId="22960" priority="8634" stopIfTrue="1" operator="equal">
      <formula>"Napkin Hs"</formula>
    </cfRule>
  </conditionalFormatting>
  <conditionalFormatting sqref="C78">
    <cfRule type="cellIs" dxfId="22959" priority="8632" stopIfTrue="1" operator="equal">
      <formula>"Napkin Hs"</formula>
    </cfRule>
  </conditionalFormatting>
  <conditionalFormatting sqref="C78">
    <cfRule type="cellIs" dxfId="22958" priority="8631" stopIfTrue="1" operator="equal">
      <formula>"Towel"</formula>
    </cfRule>
  </conditionalFormatting>
  <conditionalFormatting sqref="C78">
    <cfRule type="cellIs" dxfId="22957" priority="8630" stopIfTrue="1" operator="equal">
      <formula>"Napkin Hs"</formula>
    </cfRule>
  </conditionalFormatting>
  <conditionalFormatting sqref="C78">
    <cfRule type="cellIs" dxfId="22956" priority="8629" stopIfTrue="1" operator="equal">
      <formula>"Towel"</formula>
    </cfRule>
  </conditionalFormatting>
  <conditionalFormatting sqref="C78">
    <cfRule type="cellIs" dxfId="22955" priority="8627" stopIfTrue="1" operator="equal">
      <formula>"Towel"</formula>
    </cfRule>
    <cfRule type="cellIs" dxfId="22954" priority="8628" stopIfTrue="1" operator="equal">
      <formula>"Napkin Hs"</formula>
    </cfRule>
  </conditionalFormatting>
  <conditionalFormatting sqref="C78">
    <cfRule type="cellIs" dxfId="22953" priority="8625" stopIfTrue="1" operator="equal">
      <formula>"Towel"</formula>
    </cfRule>
    <cfRule type="cellIs" dxfId="22952" priority="8626" stopIfTrue="1" operator="equal">
      <formula>"Napkin Hs"</formula>
    </cfRule>
  </conditionalFormatting>
  <conditionalFormatting sqref="C78">
    <cfRule type="cellIs" dxfId="22951" priority="8621" stopIfTrue="1" operator="equal">
      <formula>"Towel"</formula>
    </cfRule>
    <cfRule type="cellIs" dxfId="22950" priority="8622" stopIfTrue="1" operator="equal">
      <formula>"Napkin Hs"</formula>
    </cfRule>
  </conditionalFormatting>
  <conditionalFormatting sqref="C78">
    <cfRule type="cellIs" dxfId="22949" priority="8623" stopIfTrue="1" operator="equal">
      <formula>"Towel"</formula>
    </cfRule>
    <cfRule type="cellIs" dxfId="22948" priority="8624" stopIfTrue="1" operator="equal">
      <formula>"Napkin Hs"</formula>
    </cfRule>
  </conditionalFormatting>
  <conditionalFormatting sqref="C78">
    <cfRule type="cellIs" dxfId="22947" priority="8615" stopIfTrue="1" operator="equal">
      <formula>"Towel"</formula>
    </cfRule>
    <cfRule type="cellIs" dxfId="22946" priority="8616" stopIfTrue="1" operator="equal">
      <formula>"Napkin Hs"</formula>
    </cfRule>
  </conditionalFormatting>
  <conditionalFormatting sqref="C78">
    <cfRule type="cellIs" dxfId="22945" priority="8613" stopIfTrue="1" operator="equal">
      <formula>"Towel"</formula>
    </cfRule>
    <cfRule type="cellIs" dxfId="22944" priority="8614" stopIfTrue="1" operator="equal">
      <formula>"Napkin Hs"</formula>
    </cfRule>
  </conditionalFormatting>
  <conditionalFormatting sqref="C78">
    <cfRule type="cellIs" dxfId="22943" priority="8611" stopIfTrue="1" operator="equal">
      <formula>"Towel"</formula>
    </cfRule>
    <cfRule type="cellIs" dxfId="22942" priority="8612" stopIfTrue="1" operator="equal">
      <formula>"Napkin Hs"</formula>
    </cfRule>
  </conditionalFormatting>
  <conditionalFormatting sqref="C78">
    <cfRule type="cellIs" dxfId="22941" priority="8609" stopIfTrue="1" operator="equal">
      <formula>"Towel"</formula>
    </cfRule>
    <cfRule type="cellIs" dxfId="22940" priority="8610" stopIfTrue="1" operator="equal">
      <formula>"Napkin Hs"</formula>
    </cfRule>
  </conditionalFormatting>
  <conditionalFormatting sqref="C78">
    <cfRule type="cellIs" dxfId="22939" priority="8607" stopIfTrue="1" operator="equal">
      <formula>"Towel"</formula>
    </cfRule>
    <cfRule type="cellIs" dxfId="22938" priority="8608" stopIfTrue="1" operator="equal">
      <formula>"Napkin Hs"</formula>
    </cfRule>
  </conditionalFormatting>
  <conditionalFormatting sqref="C78">
    <cfRule type="cellIs" dxfId="22937" priority="8605" stopIfTrue="1" operator="equal">
      <formula>"Towel"</formula>
    </cfRule>
    <cfRule type="cellIs" dxfId="22936" priority="8606" stopIfTrue="1" operator="equal">
      <formula>"Napkin Hs"</formula>
    </cfRule>
  </conditionalFormatting>
  <conditionalFormatting sqref="C78">
    <cfRule type="cellIs" dxfId="22935" priority="8603" stopIfTrue="1" operator="equal">
      <formula>"Towel"</formula>
    </cfRule>
    <cfRule type="cellIs" dxfId="22934" priority="8604" stopIfTrue="1" operator="equal">
      <formula>"Napkin Hs"</formula>
    </cfRule>
  </conditionalFormatting>
  <conditionalFormatting sqref="C78">
    <cfRule type="cellIs" dxfId="22933" priority="8601" stopIfTrue="1" operator="equal">
      <formula>"Towel"</formula>
    </cfRule>
    <cfRule type="cellIs" dxfId="22932" priority="8602" stopIfTrue="1" operator="equal">
      <formula>"Napkin Hs"</formula>
    </cfRule>
  </conditionalFormatting>
  <conditionalFormatting sqref="C78">
    <cfRule type="cellIs" dxfId="22931" priority="8599" stopIfTrue="1" operator="equal">
      <formula>"Towel"</formula>
    </cfRule>
    <cfRule type="cellIs" dxfId="22930" priority="8600" stopIfTrue="1" operator="equal">
      <formula>"Napkin Hs"</formula>
    </cfRule>
  </conditionalFormatting>
  <conditionalFormatting sqref="C78">
    <cfRule type="cellIs" dxfId="22929" priority="8597" stopIfTrue="1" operator="equal">
      <formula>"Towel"</formula>
    </cfRule>
    <cfRule type="cellIs" dxfId="22928" priority="8598" stopIfTrue="1" operator="equal">
      <formula>"Napkin Hs"</formula>
    </cfRule>
  </conditionalFormatting>
  <conditionalFormatting sqref="C78">
    <cfRule type="cellIs" dxfId="22927" priority="8591" stopIfTrue="1" operator="equal">
      <formula>"Towel"</formula>
    </cfRule>
    <cfRule type="cellIs" dxfId="22926" priority="8592" stopIfTrue="1" operator="equal">
      <formula>"Napkin Hs"</formula>
    </cfRule>
  </conditionalFormatting>
  <conditionalFormatting sqref="C78">
    <cfRule type="cellIs" dxfId="22925" priority="8585" stopIfTrue="1" operator="equal">
      <formula>"Towel"</formula>
    </cfRule>
    <cfRule type="cellIs" dxfId="22924" priority="8586" stopIfTrue="1" operator="equal">
      <formula>"Napkin Hs"</formula>
    </cfRule>
  </conditionalFormatting>
  <conditionalFormatting sqref="C78">
    <cfRule type="cellIs" dxfId="22923" priority="8579" stopIfTrue="1" operator="equal">
      <formula>"Towel"</formula>
    </cfRule>
    <cfRule type="cellIs" dxfId="22922" priority="8580" stopIfTrue="1" operator="equal">
      <formula>"Napkin Hs"</formula>
    </cfRule>
  </conditionalFormatting>
  <conditionalFormatting sqref="C78">
    <cfRule type="cellIs" dxfId="22921" priority="8578" stopIfTrue="1" operator="equal">
      <formula>"Napkin Hs"</formula>
    </cfRule>
  </conditionalFormatting>
  <conditionalFormatting sqref="C78">
    <cfRule type="cellIs" dxfId="22920" priority="8577" stopIfTrue="1" operator="equal">
      <formula>"Towel"</formula>
    </cfRule>
  </conditionalFormatting>
  <conditionalFormatting sqref="C78">
    <cfRule type="cellIs" dxfId="22919" priority="8576" stopIfTrue="1" operator="equal">
      <formula>"Napkin Hs"</formula>
    </cfRule>
  </conditionalFormatting>
  <conditionalFormatting sqref="C78">
    <cfRule type="cellIs" dxfId="22918" priority="8575" stopIfTrue="1" operator="equal">
      <formula>"Towel"</formula>
    </cfRule>
  </conditionalFormatting>
  <conditionalFormatting sqref="C78">
    <cfRule type="cellIs" dxfId="22917" priority="8573" stopIfTrue="1" operator="equal">
      <formula>"Towel"</formula>
    </cfRule>
    <cfRule type="cellIs" dxfId="22916" priority="8574" stopIfTrue="1" operator="equal">
      <formula>"Napkin Hs"</formula>
    </cfRule>
  </conditionalFormatting>
  <conditionalFormatting sqref="C78">
    <cfRule type="cellIs" dxfId="22915" priority="8571" stopIfTrue="1" operator="equal">
      <formula>"Towel"</formula>
    </cfRule>
    <cfRule type="cellIs" dxfId="22914" priority="8572" stopIfTrue="1" operator="equal">
      <formula>"Napkin Hs"</formula>
    </cfRule>
  </conditionalFormatting>
  <conditionalFormatting sqref="C78">
    <cfRule type="cellIs" dxfId="22913" priority="8569" stopIfTrue="1" operator="equal">
      <formula>"Towel"</formula>
    </cfRule>
    <cfRule type="cellIs" dxfId="22912" priority="8570" stopIfTrue="1" operator="equal">
      <formula>"Napkin Hs"</formula>
    </cfRule>
  </conditionalFormatting>
  <conditionalFormatting sqref="C78">
    <cfRule type="cellIs" dxfId="22911" priority="8559" stopIfTrue="1" operator="equal">
      <formula>"Towel"</formula>
    </cfRule>
    <cfRule type="cellIs" dxfId="22910" priority="8560" stopIfTrue="1" operator="equal">
      <formula>"Napkin Hs"</formula>
    </cfRule>
  </conditionalFormatting>
  <conditionalFormatting sqref="C78">
    <cfRule type="cellIs" dxfId="22909" priority="8557" stopIfTrue="1" operator="equal">
      <formula>"Towel"</formula>
    </cfRule>
    <cfRule type="cellIs" dxfId="22908" priority="8558" stopIfTrue="1" operator="equal">
      <formula>"Napkin Hs"</formula>
    </cfRule>
  </conditionalFormatting>
  <conditionalFormatting sqref="C78">
    <cfRule type="cellIs" dxfId="22907" priority="8555" stopIfTrue="1" operator="equal">
      <formula>"Towel"</formula>
    </cfRule>
    <cfRule type="cellIs" dxfId="22906" priority="8556" stopIfTrue="1" operator="equal">
      <formula>"Napkin Hs"</formula>
    </cfRule>
  </conditionalFormatting>
  <conditionalFormatting sqref="C78">
    <cfRule type="cellIs" dxfId="22905" priority="8553" stopIfTrue="1" operator="equal">
      <formula>"Towel"</formula>
    </cfRule>
    <cfRule type="cellIs" dxfId="22904" priority="8554" stopIfTrue="1" operator="equal">
      <formula>"Napkin Hs"</formula>
    </cfRule>
  </conditionalFormatting>
  <conditionalFormatting sqref="C78">
    <cfRule type="cellIs" dxfId="22903" priority="8551" stopIfTrue="1" operator="equal">
      <formula>"Towel"</formula>
    </cfRule>
    <cfRule type="cellIs" dxfId="22902" priority="8552" stopIfTrue="1" operator="equal">
      <formula>"Napkin Hs"</formula>
    </cfRule>
  </conditionalFormatting>
  <conditionalFormatting sqref="C78">
    <cfRule type="cellIs" dxfId="22901" priority="8549" stopIfTrue="1" operator="equal">
      <formula>"Towel"</formula>
    </cfRule>
    <cfRule type="cellIs" dxfId="22900" priority="8550" stopIfTrue="1" operator="equal">
      <formula>"Napkin Hs"</formula>
    </cfRule>
  </conditionalFormatting>
  <conditionalFormatting sqref="C78">
    <cfRule type="cellIs" dxfId="22899" priority="8547" stopIfTrue="1" operator="equal">
      <formula>"Towel"</formula>
    </cfRule>
    <cfRule type="cellIs" dxfId="22898" priority="8548" stopIfTrue="1" operator="equal">
      <formula>"Napkin Hs"</formula>
    </cfRule>
  </conditionalFormatting>
  <conditionalFormatting sqref="C78">
    <cfRule type="cellIs" dxfId="22897" priority="8545" stopIfTrue="1" operator="equal">
      <formula>"Towel"</formula>
    </cfRule>
    <cfRule type="cellIs" dxfId="22896" priority="8546" stopIfTrue="1" operator="equal">
      <formula>"Napkin Hs"</formula>
    </cfRule>
  </conditionalFormatting>
  <conditionalFormatting sqref="C78">
    <cfRule type="cellIs" dxfId="22895" priority="8543" stopIfTrue="1" operator="equal">
      <formula>"Towel"</formula>
    </cfRule>
    <cfRule type="cellIs" dxfId="22894" priority="8544" stopIfTrue="1" operator="equal">
      <formula>"Napkin Hs"</formula>
    </cfRule>
  </conditionalFormatting>
  <conditionalFormatting sqref="C78">
    <cfRule type="cellIs" dxfId="22893" priority="8530" stopIfTrue="1" operator="equal">
      <formula>"Napkin Hs"</formula>
    </cfRule>
  </conditionalFormatting>
  <conditionalFormatting sqref="C78">
    <cfRule type="cellIs" dxfId="22892" priority="8529" stopIfTrue="1" operator="equal">
      <formula>"Towel"</formula>
    </cfRule>
  </conditionalFormatting>
  <conditionalFormatting sqref="C78">
    <cfRule type="cellIs" dxfId="22891" priority="8528" stopIfTrue="1" operator="equal">
      <formula>"Napkin Hs"</formula>
    </cfRule>
  </conditionalFormatting>
  <conditionalFormatting sqref="C78">
    <cfRule type="cellIs" dxfId="22890" priority="8525" stopIfTrue="1" operator="equal">
      <formula>"Towel"</formula>
    </cfRule>
    <cfRule type="cellIs" dxfId="22889" priority="8526" stopIfTrue="1" operator="equal">
      <formula>"Napkin Hs"</formula>
    </cfRule>
  </conditionalFormatting>
  <conditionalFormatting sqref="C78">
    <cfRule type="cellIs" dxfId="22888" priority="8527" stopIfTrue="1" operator="equal">
      <formula>"Towel"</formula>
    </cfRule>
  </conditionalFormatting>
  <conditionalFormatting sqref="C78">
    <cfRule type="cellIs" dxfId="22887" priority="8645" stopIfTrue="1" operator="equal">
      <formula>"Towel"</formula>
    </cfRule>
    <cfRule type="cellIs" dxfId="22886" priority="8646" stopIfTrue="1" operator="equal">
      <formula>"Napkin Hs"</formula>
    </cfRule>
  </conditionalFormatting>
  <conditionalFormatting sqref="C78">
    <cfRule type="cellIs" dxfId="22885" priority="8644" stopIfTrue="1" operator="equal">
      <formula>"Napkin Hs"</formula>
    </cfRule>
  </conditionalFormatting>
  <conditionalFormatting sqref="C78">
    <cfRule type="cellIs" dxfId="22884" priority="8643" stopIfTrue="1" operator="equal">
      <formula>"Towel"</formula>
    </cfRule>
  </conditionalFormatting>
  <conditionalFormatting sqref="C78">
    <cfRule type="cellIs" dxfId="22883" priority="8642" stopIfTrue="1" operator="equal">
      <formula>"Napkin Hs"</formula>
    </cfRule>
  </conditionalFormatting>
  <conditionalFormatting sqref="C78">
    <cfRule type="cellIs" dxfId="22882" priority="8639" stopIfTrue="1" operator="equal">
      <formula>"Towel"</formula>
    </cfRule>
    <cfRule type="cellIs" dxfId="22881" priority="8640" stopIfTrue="1" operator="equal">
      <formula>"Napkin Hs"</formula>
    </cfRule>
  </conditionalFormatting>
  <conditionalFormatting sqref="C78">
    <cfRule type="cellIs" dxfId="22880" priority="8641" stopIfTrue="1" operator="equal">
      <formula>"Towel"</formula>
    </cfRule>
  </conditionalFormatting>
  <conditionalFormatting sqref="C78">
    <cfRule type="cellIs" dxfId="22879" priority="8649" stopIfTrue="1" operator="equal">
      <formula>"Towel"</formula>
    </cfRule>
    <cfRule type="cellIs" dxfId="22878" priority="8650" stopIfTrue="1" operator="equal">
      <formula>"Napkin Hs"</formula>
    </cfRule>
  </conditionalFormatting>
  <conditionalFormatting sqref="C78">
    <cfRule type="cellIs" dxfId="22877" priority="8647" stopIfTrue="1" operator="equal">
      <formula>"Towel"</formula>
    </cfRule>
    <cfRule type="cellIs" dxfId="22876" priority="8648" stopIfTrue="1" operator="equal">
      <formula>"Napkin Hs"</formula>
    </cfRule>
  </conditionalFormatting>
  <conditionalFormatting sqref="C78">
    <cfRule type="cellIs" dxfId="22875" priority="8619" stopIfTrue="1" operator="equal">
      <formula>"Towel"</formula>
    </cfRule>
    <cfRule type="cellIs" dxfId="22874" priority="8620" stopIfTrue="1" operator="equal">
      <formula>"Napkin Hs"</formula>
    </cfRule>
  </conditionalFormatting>
  <conditionalFormatting sqref="C78">
    <cfRule type="cellIs" dxfId="22873" priority="8617" stopIfTrue="1" operator="equal">
      <formula>"Towel"</formula>
    </cfRule>
    <cfRule type="cellIs" dxfId="22872" priority="8618" stopIfTrue="1" operator="equal">
      <formula>"Napkin Hs"</formula>
    </cfRule>
  </conditionalFormatting>
  <conditionalFormatting sqref="C78">
    <cfRule type="cellIs" dxfId="22871" priority="8596" stopIfTrue="1" operator="equal">
      <formula>"Napkin Hs"</formula>
    </cfRule>
  </conditionalFormatting>
  <conditionalFormatting sqref="C78">
    <cfRule type="cellIs" dxfId="22870" priority="8595" stopIfTrue="1" operator="equal">
      <formula>"Towel"</formula>
    </cfRule>
  </conditionalFormatting>
  <conditionalFormatting sqref="C78">
    <cfRule type="cellIs" dxfId="22869" priority="8594" stopIfTrue="1" operator="equal">
      <formula>"Napkin Hs"</formula>
    </cfRule>
  </conditionalFormatting>
  <conditionalFormatting sqref="C78">
    <cfRule type="cellIs" dxfId="22868" priority="8593" stopIfTrue="1" operator="equal">
      <formula>"Towel"</formula>
    </cfRule>
  </conditionalFormatting>
  <conditionalFormatting sqref="C78">
    <cfRule type="cellIs" dxfId="22867" priority="8590" stopIfTrue="1" operator="equal">
      <formula>"Napkin Hs"</formula>
    </cfRule>
  </conditionalFormatting>
  <conditionalFormatting sqref="C78">
    <cfRule type="cellIs" dxfId="22866" priority="8589" stopIfTrue="1" operator="equal">
      <formula>"Towel"</formula>
    </cfRule>
  </conditionalFormatting>
  <conditionalFormatting sqref="C78">
    <cfRule type="cellIs" dxfId="22865" priority="8588" stopIfTrue="1" operator="equal">
      <formula>"Napkin Hs"</formula>
    </cfRule>
  </conditionalFormatting>
  <conditionalFormatting sqref="C78">
    <cfRule type="cellIs" dxfId="22864" priority="8587" stopIfTrue="1" operator="equal">
      <formula>"Towel"</formula>
    </cfRule>
  </conditionalFormatting>
  <conditionalFormatting sqref="C78">
    <cfRule type="cellIs" dxfId="22863" priority="8583" stopIfTrue="1" operator="equal">
      <formula>"Towel"</formula>
    </cfRule>
    <cfRule type="cellIs" dxfId="22862" priority="8584" stopIfTrue="1" operator="equal">
      <formula>"Napkin Hs"</formula>
    </cfRule>
  </conditionalFormatting>
  <conditionalFormatting sqref="C78">
    <cfRule type="cellIs" dxfId="22861" priority="8581" stopIfTrue="1" operator="equal">
      <formula>"Towel"</formula>
    </cfRule>
    <cfRule type="cellIs" dxfId="22860" priority="8582" stopIfTrue="1" operator="equal">
      <formula>"Napkin Hs"</formula>
    </cfRule>
  </conditionalFormatting>
  <conditionalFormatting sqref="C78">
    <cfRule type="cellIs" dxfId="22859" priority="8565" stopIfTrue="1" operator="equal">
      <formula>"Towel"</formula>
    </cfRule>
    <cfRule type="cellIs" dxfId="22858" priority="8566" stopIfTrue="1" operator="equal">
      <formula>"Napkin Hs"</formula>
    </cfRule>
  </conditionalFormatting>
  <conditionalFormatting sqref="C78">
    <cfRule type="cellIs" dxfId="22857" priority="8563" stopIfTrue="1" operator="equal">
      <formula>"Towel"</formula>
    </cfRule>
    <cfRule type="cellIs" dxfId="22856" priority="8564" stopIfTrue="1" operator="equal">
      <formula>"Napkin Hs"</formula>
    </cfRule>
  </conditionalFormatting>
  <conditionalFormatting sqref="B78:C78">
    <cfRule type="cellIs" dxfId="22855" priority="8524" stopIfTrue="1" operator="equal">
      <formula>"Napkin Hs"</formula>
    </cfRule>
  </conditionalFormatting>
  <conditionalFormatting sqref="B78:C78">
    <cfRule type="cellIs" dxfId="22854" priority="8523" stopIfTrue="1" operator="equal">
      <formula>"Towel"</formula>
    </cfRule>
  </conditionalFormatting>
  <conditionalFormatting sqref="C78">
    <cfRule type="cellIs" dxfId="22853" priority="8522" stopIfTrue="1" operator="equal">
      <formula>"Napkin Hs"</formula>
    </cfRule>
  </conditionalFormatting>
  <conditionalFormatting sqref="C78">
    <cfRule type="cellIs" dxfId="22852" priority="8519" stopIfTrue="1" operator="equal">
      <formula>"Towel"</formula>
    </cfRule>
    <cfRule type="cellIs" dxfId="22851" priority="8520" stopIfTrue="1" operator="equal">
      <formula>"Napkin Hs"</formula>
    </cfRule>
  </conditionalFormatting>
  <conditionalFormatting sqref="C78">
    <cfRule type="cellIs" dxfId="22850" priority="8521" stopIfTrue="1" operator="equal">
      <formula>"Towel"</formula>
    </cfRule>
  </conditionalFormatting>
  <conditionalFormatting sqref="B79:C79">
    <cfRule type="cellIs" dxfId="22849" priority="8517" stopIfTrue="1" operator="equal">
      <formula>"Towel"</formula>
    </cfRule>
    <cfRule type="cellIs" dxfId="22848" priority="8518" stopIfTrue="1" operator="equal">
      <formula>"Napkin Hs"</formula>
    </cfRule>
  </conditionalFormatting>
  <conditionalFormatting sqref="C79">
    <cfRule type="cellIs" dxfId="22847" priority="8513" stopIfTrue="1" operator="equal">
      <formula>"Towel"</formula>
    </cfRule>
    <cfRule type="cellIs" dxfId="22846" priority="8514" stopIfTrue="1" operator="equal">
      <formula>"Napkin Hs"</formula>
    </cfRule>
  </conditionalFormatting>
  <conditionalFormatting sqref="C79">
    <cfRule type="cellIs" dxfId="22845" priority="8515" stopIfTrue="1" operator="equal">
      <formula>"Towel"</formula>
    </cfRule>
    <cfRule type="cellIs" dxfId="22844" priority="8516" stopIfTrue="1" operator="equal">
      <formula>"Napkin Hs"</formula>
    </cfRule>
  </conditionalFormatting>
  <conditionalFormatting sqref="B79:C79">
    <cfRule type="cellIs" dxfId="22843" priority="8511" stopIfTrue="1" operator="equal">
      <formula>"Towel"</formula>
    </cfRule>
    <cfRule type="cellIs" dxfId="22842" priority="8512" stopIfTrue="1" operator="equal">
      <formula>"Napkin Hs"</formula>
    </cfRule>
  </conditionalFormatting>
  <conditionalFormatting sqref="C79">
    <cfRule type="cellIs" dxfId="22841" priority="8507" stopIfTrue="1" operator="equal">
      <formula>"Towel"</formula>
    </cfRule>
    <cfRule type="cellIs" dxfId="22840" priority="8508" stopIfTrue="1" operator="equal">
      <formula>"Napkin Hs"</formula>
    </cfRule>
  </conditionalFormatting>
  <conditionalFormatting sqref="C79">
    <cfRule type="cellIs" dxfId="22839" priority="8509" stopIfTrue="1" operator="equal">
      <formula>"Towel"</formula>
    </cfRule>
    <cfRule type="cellIs" dxfId="22838" priority="8510" stopIfTrue="1" operator="equal">
      <formula>"Napkin Hs"</formula>
    </cfRule>
  </conditionalFormatting>
  <conditionalFormatting sqref="B79:C79">
    <cfRule type="cellIs" dxfId="22837" priority="8505" stopIfTrue="1" operator="equal">
      <formula>"Towel"</formula>
    </cfRule>
    <cfRule type="cellIs" dxfId="22836" priority="8506" stopIfTrue="1" operator="equal">
      <formula>"Napkin Hs"</formula>
    </cfRule>
  </conditionalFormatting>
  <conditionalFormatting sqref="C79">
    <cfRule type="cellIs" dxfId="22835" priority="8503" stopIfTrue="1" operator="equal">
      <formula>"Towel"</formula>
    </cfRule>
    <cfRule type="cellIs" dxfId="22834" priority="8504" stopIfTrue="1" operator="equal">
      <formula>"Napkin Hs"</formula>
    </cfRule>
  </conditionalFormatting>
  <conditionalFormatting sqref="C79">
    <cfRule type="cellIs" dxfId="22833" priority="8501" stopIfTrue="1" operator="equal">
      <formula>"Towel"</formula>
    </cfRule>
    <cfRule type="cellIs" dxfId="22832" priority="8502" stopIfTrue="1" operator="equal">
      <formula>"Napkin Hs"</formula>
    </cfRule>
  </conditionalFormatting>
  <conditionalFormatting sqref="B79:C79">
    <cfRule type="cellIs" dxfId="22831" priority="8499" stopIfTrue="1" operator="equal">
      <formula>"Towel"</formula>
    </cfRule>
    <cfRule type="cellIs" dxfId="22830" priority="8500" stopIfTrue="1" operator="equal">
      <formula>"Napkin Hs"</formula>
    </cfRule>
  </conditionalFormatting>
  <conditionalFormatting sqref="C79">
    <cfRule type="cellIs" dxfId="22829" priority="8497" stopIfTrue="1" operator="equal">
      <formula>"Towel"</formula>
    </cfRule>
    <cfRule type="cellIs" dxfId="22828" priority="8498" stopIfTrue="1" operator="equal">
      <formula>"Napkin Hs"</formula>
    </cfRule>
  </conditionalFormatting>
  <conditionalFormatting sqref="C79">
    <cfRule type="cellIs" dxfId="22827" priority="8495" stopIfTrue="1" operator="equal">
      <formula>"Towel"</formula>
    </cfRule>
    <cfRule type="cellIs" dxfId="22826" priority="8496" stopIfTrue="1" operator="equal">
      <formula>"Napkin Hs"</formula>
    </cfRule>
  </conditionalFormatting>
  <conditionalFormatting sqref="B79:C79">
    <cfRule type="cellIs" dxfId="22825" priority="8493" stopIfTrue="1" operator="equal">
      <formula>"Towel"</formula>
    </cfRule>
    <cfRule type="cellIs" dxfId="22824" priority="8494" stopIfTrue="1" operator="equal">
      <formula>"Napkin Hs"</formula>
    </cfRule>
  </conditionalFormatting>
  <conditionalFormatting sqref="C79">
    <cfRule type="cellIs" dxfId="22823" priority="8491" stopIfTrue="1" operator="equal">
      <formula>"Towel"</formula>
    </cfRule>
    <cfRule type="cellIs" dxfId="22822" priority="8492" stopIfTrue="1" operator="equal">
      <formula>"Napkin Hs"</formula>
    </cfRule>
  </conditionalFormatting>
  <conditionalFormatting sqref="C79">
    <cfRule type="cellIs" dxfId="22821" priority="8489" stopIfTrue="1" operator="equal">
      <formula>"Towel"</formula>
    </cfRule>
    <cfRule type="cellIs" dxfId="22820" priority="8490" stopIfTrue="1" operator="equal">
      <formula>"Napkin Hs"</formula>
    </cfRule>
  </conditionalFormatting>
  <conditionalFormatting sqref="B79:C79">
    <cfRule type="cellIs" dxfId="22819" priority="8488" stopIfTrue="1" operator="equal">
      <formula>"Napkin Hs"</formula>
    </cfRule>
  </conditionalFormatting>
  <conditionalFormatting sqref="B79:C79">
    <cfRule type="cellIs" dxfId="22818" priority="8487" stopIfTrue="1" operator="equal">
      <formula>"Towel"</formula>
    </cfRule>
  </conditionalFormatting>
  <conditionalFormatting sqref="C79">
    <cfRule type="cellIs" dxfId="22817" priority="8486" stopIfTrue="1" operator="equal">
      <formula>"Napkin Hs"</formula>
    </cfRule>
  </conditionalFormatting>
  <conditionalFormatting sqref="C79">
    <cfRule type="cellIs" dxfId="22816" priority="8483" stopIfTrue="1" operator="equal">
      <formula>"Towel"</formula>
    </cfRule>
    <cfRule type="cellIs" dxfId="22815" priority="8484" stopIfTrue="1" operator="equal">
      <formula>"Napkin Hs"</formula>
    </cfRule>
  </conditionalFormatting>
  <conditionalFormatting sqref="C79">
    <cfRule type="cellIs" dxfId="22814" priority="8485" stopIfTrue="1" operator="equal">
      <formula>"Towel"</formula>
    </cfRule>
  </conditionalFormatting>
  <conditionalFormatting sqref="C79">
    <cfRule type="cellIs" dxfId="22813" priority="8447" stopIfTrue="1" operator="equal">
      <formula>"Towel"</formula>
    </cfRule>
    <cfRule type="cellIs" dxfId="22812" priority="8448" stopIfTrue="1" operator="equal">
      <formula>"Napkin Hs"</formula>
    </cfRule>
  </conditionalFormatting>
  <conditionalFormatting sqref="B79:C79">
    <cfRule type="cellIs" dxfId="22811" priority="8445" stopIfTrue="1" operator="equal">
      <formula>"Towel"</formula>
    </cfRule>
    <cfRule type="cellIs" dxfId="22810" priority="8446" stopIfTrue="1" operator="equal">
      <formula>"Napkin Hs"</formula>
    </cfRule>
  </conditionalFormatting>
  <conditionalFormatting sqref="C79">
    <cfRule type="cellIs" dxfId="22809" priority="8443" stopIfTrue="1" operator="equal">
      <formula>"Towel"</formula>
    </cfRule>
    <cfRule type="cellIs" dxfId="22808" priority="8444" stopIfTrue="1" operator="equal">
      <formula>"Napkin Hs"</formula>
    </cfRule>
  </conditionalFormatting>
  <conditionalFormatting sqref="C79">
    <cfRule type="cellIs" dxfId="22807" priority="8435" stopIfTrue="1" operator="equal">
      <formula>"Towel"</formula>
    </cfRule>
    <cfRule type="cellIs" dxfId="22806" priority="8436" stopIfTrue="1" operator="equal">
      <formula>"Napkin Hs"</formula>
    </cfRule>
  </conditionalFormatting>
  <conditionalFormatting sqref="B79:C79">
    <cfRule type="cellIs" dxfId="22805" priority="8481" stopIfTrue="1" operator="equal">
      <formula>"Towel"</formula>
    </cfRule>
    <cfRule type="cellIs" dxfId="22804" priority="8482" stopIfTrue="1" operator="equal">
      <formula>"Napkin Hs"</formula>
    </cfRule>
  </conditionalFormatting>
  <conditionalFormatting sqref="C79">
    <cfRule type="cellIs" dxfId="22803" priority="8477" stopIfTrue="1" operator="equal">
      <formula>"Towel"</formula>
    </cfRule>
    <cfRule type="cellIs" dxfId="22802" priority="8478" stopIfTrue="1" operator="equal">
      <formula>"Napkin Hs"</formula>
    </cfRule>
  </conditionalFormatting>
  <conditionalFormatting sqref="C79">
    <cfRule type="cellIs" dxfId="22801" priority="8479" stopIfTrue="1" operator="equal">
      <formula>"Towel"</formula>
    </cfRule>
    <cfRule type="cellIs" dxfId="22800" priority="8480" stopIfTrue="1" operator="equal">
      <formula>"Napkin Hs"</formula>
    </cfRule>
  </conditionalFormatting>
  <conditionalFormatting sqref="B79:C79">
    <cfRule type="cellIs" dxfId="22799" priority="8476" stopIfTrue="1" operator="equal">
      <formula>"Napkin Hs"</formula>
    </cfRule>
  </conditionalFormatting>
  <conditionalFormatting sqref="B79:C79">
    <cfRule type="cellIs" dxfId="22798" priority="8475" stopIfTrue="1" operator="equal">
      <formula>"Towel"</formula>
    </cfRule>
  </conditionalFormatting>
  <conditionalFormatting sqref="C79">
    <cfRule type="cellIs" dxfId="22797" priority="8474" stopIfTrue="1" operator="equal">
      <formula>"Napkin Hs"</formula>
    </cfRule>
  </conditionalFormatting>
  <conditionalFormatting sqref="C79">
    <cfRule type="cellIs" dxfId="22796" priority="8473" stopIfTrue="1" operator="equal">
      <formula>"Towel"</formula>
    </cfRule>
  </conditionalFormatting>
  <conditionalFormatting sqref="C79">
    <cfRule type="cellIs" dxfId="22795" priority="8471" stopIfTrue="1" operator="equal">
      <formula>"Towel"</formula>
    </cfRule>
    <cfRule type="cellIs" dxfId="22794" priority="8472" stopIfTrue="1" operator="equal">
      <formula>"Napkin Hs"</formula>
    </cfRule>
  </conditionalFormatting>
  <conditionalFormatting sqref="B79:C79">
    <cfRule type="cellIs" dxfId="22793" priority="8469" stopIfTrue="1" operator="equal">
      <formula>"Towel"</formula>
    </cfRule>
    <cfRule type="cellIs" dxfId="22792" priority="8470" stopIfTrue="1" operator="equal">
      <formula>"Napkin Hs"</formula>
    </cfRule>
  </conditionalFormatting>
  <conditionalFormatting sqref="C79">
    <cfRule type="cellIs" dxfId="22791" priority="8467" stopIfTrue="1" operator="equal">
      <formula>"Towel"</formula>
    </cfRule>
    <cfRule type="cellIs" dxfId="22790" priority="8468" stopIfTrue="1" operator="equal">
      <formula>"Napkin Hs"</formula>
    </cfRule>
  </conditionalFormatting>
  <conditionalFormatting sqref="C79">
    <cfRule type="cellIs" dxfId="22789" priority="8465" stopIfTrue="1" operator="equal">
      <formula>"Towel"</formula>
    </cfRule>
    <cfRule type="cellIs" dxfId="22788" priority="8466" stopIfTrue="1" operator="equal">
      <formula>"Napkin Hs"</formula>
    </cfRule>
  </conditionalFormatting>
  <conditionalFormatting sqref="B79:C79">
    <cfRule type="cellIs" dxfId="22787" priority="8463" stopIfTrue="1" operator="equal">
      <formula>"Towel"</formula>
    </cfRule>
    <cfRule type="cellIs" dxfId="22786" priority="8464" stopIfTrue="1" operator="equal">
      <formula>"Napkin Hs"</formula>
    </cfRule>
  </conditionalFormatting>
  <conditionalFormatting sqref="C79">
    <cfRule type="cellIs" dxfId="22785" priority="8461" stopIfTrue="1" operator="equal">
      <formula>"Towel"</formula>
    </cfRule>
    <cfRule type="cellIs" dxfId="22784" priority="8462" stopIfTrue="1" operator="equal">
      <formula>"Napkin Hs"</formula>
    </cfRule>
  </conditionalFormatting>
  <conditionalFormatting sqref="C79">
    <cfRule type="cellIs" dxfId="22783" priority="8459" stopIfTrue="1" operator="equal">
      <formula>"Towel"</formula>
    </cfRule>
    <cfRule type="cellIs" dxfId="22782" priority="8460" stopIfTrue="1" operator="equal">
      <formula>"Napkin Hs"</formula>
    </cfRule>
  </conditionalFormatting>
  <conditionalFormatting sqref="B79:C79">
    <cfRule type="cellIs" dxfId="22781" priority="8457" stopIfTrue="1" operator="equal">
      <formula>"Towel"</formula>
    </cfRule>
    <cfRule type="cellIs" dxfId="22780" priority="8458" stopIfTrue="1" operator="equal">
      <formula>"Napkin Hs"</formula>
    </cfRule>
  </conditionalFormatting>
  <conditionalFormatting sqref="C79">
    <cfRule type="cellIs" dxfId="22779" priority="8455" stopIfTrue="1" operator="equal">
      <formula>"Towel"</formula>
    </cfRule>
    <cfRule type="cellIs" dxfId="22778" priority="8456" stopIfTrue="1" operator="equal">
      <formula>"Napkin Hs"</formula>
    </cfRule>
  </conditionalFormatting>
  <conditionalFormatting sqref="C79">
    <cfRule type="cellIs" dxfId="22777" priority="8453" stopIfTrue="1" operator="equal">
      <formula>"Towel"</formula>
    </cfRule>
    <cfRule type="cellIs" dxfId="22776" priority="8454" stopIfTrue="1" operator="equal">
      <formula>"Napkin Hs"</formula>
    </cfRule>
  </conditionalFormatting>
  <conditionalFormatting sqref="B79:C79">
    <cfRule type="cellIs" dxfId="22775" priority="8451" stopIfTrue="1" operator="equal">
      <formula>"Towel"</formula>
    </cfRule>
    <cfRule type="cellIs" dxfId="22774" priority="8452" stopIfTrue="1" operator="equal">
      <formula>"Napkin Hs"</formula>
    </cfRule>
  </conditionalFormatting>
  <conditionalFormatting sqref="C79">
    <cfRule type="cellIs" dxfId="22773" priority="8449" stopIfTrue="1" operator="equal">
      <formula>"Towel"</formula>
    </cfRule>
    <cfRule type="cellIs" dxfId="22772" priority="8450" stopIfTrue="1" operator="equal">
      <formula>"Napkin Hs"</formula>
    </cfRule>
  </conditionalFormatting>
  <conditionalFormatting sqref="C79">
    <cfRule type="cellIs" dxfId="22771" priority="8441" stopIfTrue="1" operator="equal">
      <formula>"Towel"</formula>
    </cfRule>
    <cfRule type="cellIs" dxfId="22770" priority="8442" stopIfTrue="1" operator="equal">
      <formula>"Napkin Hs"</formula>
    </cfRule>
  </conditionalFormatting>
  <conditionalFormatting sqref="B79:C79">
    <cfRule type="cellIs" dxfId="22769" priority="8440" stopIfTrue="1" operator="equal">
      <formula>"Napkin Hs"</formula>
    </cfRule>
  </conditionalFormatting>
  <conditionalFormatting sqref="B79:C79">
    <cfRule type="cellIs" dxfId="22768" priority="8439" stopIfTrue="1" operator="equal">
      <formula>"Towel"</formula>
    </cfRule>
  </conditionalFormatting>
  <conditionalFormatting sqref="C79">
    <cfRule type="cellIs" dxfId="22767" priority="8438" stopIfTrue="1" operator="equal">
      <formula>"Napkin Hs"</formula>
    </cfRule>
  </conditionalFormatting>
  <conditionalFormatting sqref="C79">
    <cfRule type="cellIs" dxfId="22766" priority="8437" stopIfTrue="1" operator="equal">
      <formula>"Towel"</formula>
    </cfRule>
  </conditionalFormatting>
  <conditionalFormatting sqref="B79:C79">
    <cfRule type="cellIs" dxfId="22765" priority="8433" stopIfTrue="1" operator="equal">
      <formula>"Towel"</formula>
    </cfRule>
    <cfRule type="cellIs" dxfId="22764" priority="8434" stopIfTrue="1" operator="equal">
      <formula>"Napkin Hs"</formula>
    </cfRule>
  </conditionalFormatting>
  <conditionalFormatting sqref="C79">
    <cfRule type="cellIs" dxfId="22763" priority="8429" stopIfTrue="1" operator="equal">
      <formula>"Towel"</formula>
    </cfRule>
    <cfRule type="cellIs" dxfId="22762" priority="8430" stopIfTrue="1" operator="equal">
      <formula>"Napkin Hs"</formula>
    </cfRule>
  </conditionalFormatting>
  <conditionalFormatting sqref="C79">
    <cfRule type="cellIs" dxfId="22761" priority="8431" stopIfTrue="1" operator="equal">
      <formula>"Towel"</formula>
    </cfRule>
    <cfRule type="cellIs" dxfId="22760" priority="8432" stopIfTrue="1" operator="equal">
      <formula>"Napkin Hs"</formula>
    </cfRule>
  </conditionalFormatting>
  <conditionalFormatting sqref="B79:C79">
    <cfRule type="cellIs" dxfId="22759" priority="8427" stopIfTrue="1" operator="equal">
      <formula>"Towel"</formula>
    </cfRule>
    <cfRule type="cellIs" dxfId="22758" priority="8428" stopIfTrue="1" operator="equal">
      <formula>"Napkin Hs"</formula>
    </cfRule>
  </conditionalFormatting>
  <conditionalFormatting sqref="C79">
    <cfRule type="cellIs" dxfId="22757" priority="8423" stopIfTrue="1" operator="equal">
      <formula>"Towel"</formula>
    </cfRule>
    <cfRule type="cellIs" dxfId="22756" priority="8424" stopIfTrue="1" operator="equal">
      <formula>"Napkin Hs"</formula>
    </cfRule>
  </conditionalFormatting>
  <conditionalFormatting sqref="C79">
    <cfRule type="cellIs" dxfId="22755" priority="8425" stopIfTrue="1" operator="equal">
      <formula>"Towel"</formula>
    </cfRule>
    <cfRule type="cellIs" dxfId="22754" priority="8426" stopIfTrue="1" operator="equal">
      <formula>"Napkin Hs"</formula>
    </cfRule>
  </conditionalFormatting>
  <conditionalFormatting sqref="B79:C79">
    <cfRule type="cellIs" dxfId="22753" priority="8421" stopIfTrue="1" operator="equal">
      <formula>"Towel"</formula>
    </cfRule>
    <cfRule type="cellIs" dxfId="22752" priority="8422" stopIfTrue="1" operator="equal">
      <formula>"Napkin Hs"</formula>
    </cfRule>
  </conditionalFormatting>
  <conditionalFormatting sqref="C79">
    <cfRule type="cellIs" dxfId="22751" priority="8419" stopIfTrue="1" operator="equal">
      <formula>"Towel"</formula>
    </cfRule>
    <cfRule type="cellIs" dxfId="22750" priority="8420" stopIfTrue="1" operator="equal">
      <formula>"Napkin Hs"</formula>
    </cfRule>
  </conditionalFormatting>
  <conditionalFormatting sqref="C79">
    <cfRule type="cellIs" dxfId="22749" priority="8417" stopIfTrue="1" operator="equal">
      <formula>"Towel"</formula>
    </cfRule>
    <cfRule type="cellIs" dxfId="22748" priority="8418" stopIfTrue="1" operator="equal">
      <formula>"Napkin Hs"</formula>
    </cfRule>
  </conditionalFormatting>
  <conditionalFormatting sqref="B79:C79">
    <cfRule type="cellIs" dxfId="22747" priority="8415" stopIfTrue="1" operator="equal">
      <formula>"Towel"</formula>
    </cfRule>
    <cfRule type="cellIs" dxfId="22746" priority="8416" stopIfTrue="1" operator="equal">
      <formula>"Napkin Hs"</formula>
    </cfRule>
  </conditionalFormatting>
  <conditionalFormatting sqref="C79">
    <cfRule type="cellIs" dxfId="22745" priority="8413" stopIfTrue="1" operator="equal">
      <formula>"Towel"</formula>
    </cfRule>
    <cfRule type="cellIs" dxfId="22744" priority="8414" stopIfTrue="1" operator="equal">
      <formula>"Napkin Hs"</formula>
    </cfRule>
  </conditionalFormatting>
  <conditionalFormatting sqref="C79">
    <cfRule type="cellIs" dxfId="22743" priority="8411" stopIfTrue="1" operator="equal">
      <formula>"Towel"</formula>
    </cfRule>
    <cfRule type="cellIs" dxfId="22742" priority="8412" stopIfTrue="1" operator="equal">
      <formula>"Napkin Hs"</formula>
    </cfRule>
  </conditionalFormatting>
  <conditionalFormatting sqref="B79:C79">
    <cfRule type="cellIs" dxfId="22741" priority="8409" stopIfTrue="1" operator="equal">
      <formula>"Towel"</formula>
    </cfRule>
    <cfRule type="cellIs" dxfId="22740" priority="8410" stopIfTrue="1" operator="equal">
      <formula>"Napkin Hs"</formula>
    </cfRule>
  </conditionalFormatting>
  <conditionalFormatting sqref="C79">
    <cfRule type="cellIs" dxfId="22739" priority="8407" stopIfTrue="1" operator="equal">
      <formula>"Towel"</formula>
    </cfRule>
    <cfRule type="cellIs" dxfId="22738" priority="8408" stopIfTrue="1" operator="equal">
      <formula>"Napkin Hs"</formula>
    </cfRule>
  </conditionalFormatting>
  <conditionalFormatting sqref="C79">
    <cfRule type="cellIs" dxfId="22737" priority="8405" stopIfTrue="1" operator="equal">
      <formula>"Towel"</formula>
    </cfRule>
    <cfRule type="cellIs" dxfId="22736" priority="8406" stopIfTrue="1" operator="equal">
      <formula>"Napkin Hs"</formula>
    </cfRule>
  </conditionalFormatting>
  <conditionalFormatting sqref="B79:C79">
    <cfRule type="cellIs" dxfId="22735" priority="8404" stopIfTrue="1" operator="equal">
      <formula>"Napkin Hs"</formula>
    </cfRule>
  </conditionalFormatting>
  <conditionalFormatting sqref="B79:C79">
    <cfRule type="cellIs" dxfId="22734" priority="8403" stopIfTrue="1" operator="equal">
      <formula>"Towel"</formula>
    </cfRule>
  </conditionalFormatting>
  <conditionalFormatting sqref="C79">
    <cfRule type="cellIs" dxfId="22733" priority="8402" stopIfTrue="1" operator="equal">
      <formula>"Napkin Hs"</formula>
    </cfRule>
  </conditionalFormatting>
  <conditionalFormatting sqref="C79">
    <cfRule type="cellIs" dxfId="22732" priority="8399" stopIfTrue="1" operator="equal">
      <formula>"Towel"</formula>
    </cfRule>
    <cfRule type="cellIs" dxfId="22731" priority="8400" stopIfTrue="1" operator="equal">
      <formula>"Napkin Hs"</formula>
    </cfRule>
  </conditionalFormatting>
  <conditionalFormatting sqref="C79">
    <cfRule type="cellIs" dxfId="22730" priority="8401" stopIfTrue="1" operator="equal">
      <formula>"Towel"</formula>
    </cfRule>
  </conditionalFormatting>
  <conditionalFormatting sqref="B79:C79">
    <cfRule type="cellIs" dxfId="22729" priority="8397" stopIfTrue="1" operator="equal">
      <formula>"Towel"</formula>
    </cfRule>
    <cfRule type="cellIs" dxfId="22728" priority="8398" stopIfTrue="1" operator="equal">
      <formula>"Napkin Hs"</formula>
    </cfRule>
  </conditionalFormatting>
  <conditionalFormatting sqref="C79">
    <cfRule type="cellIs" dxfId="22727" priority="8393" stopIfTrue="1" operator="equal">
      <formula>"Towel"</formula>
    </cfRule>
    <cfRule type="cellIs" dxfId="22726" priority="8394" stopIfTrue="1" operator="equal">
      <formula>"Napkin Hs"</formula>
    </cfRule>
  </conditionalFormatting>
  <conditionalFormatting sqref="C79">
    <cfRule type="cellIs" dxfId="22725" priority="8395" stopIfTrue="1" operator="equal">
      <formula>"Towel"</formula>
    </cfRule>
    <cfRule type="cellIs" dxfId="22724" priority="8396" stopIfTrue="1" operator="equal">
      <formula>"Napkin Hs"</formula>
    </cfRule>
  </conditionalFormatting>
  <conditionalFormatting sqref="B79:C79">
    <cfRule type="cellIs" dxfId="22723" priority="8391" stopIfTrue="1" operator="equal">
      <formula>"Towel"</formula>
    </cfRule>
    <cfRule type="cellIs" dxfId="22722" priority="8392" stopIfTrue="1" operator="equal">
      <formula>"Napkin Hs"</formula>
    </cfRule>
  </conditionalFormatting>
  <conditionalFormatting sqref="C79">
    <cfRule type="cellIs" dxfId="22721" priority="8387" stopIfTrue="1" operator="equal">
      <formula>"Towel"</formula>
    </cfRule>
    <cfRule type="cellIs" dxfId="22720" priority="8388" stopIfTrue="1" operator="equal">
      <formula>"Napkin Hs"</formula>
    </cfRule>
  </conditionalFormatting>
  <conditionalFormatting sqref="C79">
    <cfRule type="cellIs" dxfId="22719" priority="8389" stopIfTrue="1" operator="equal">
      <formula>"Towel"</formula>
    </cfRule>
    <cfRule type="cellIs" dxfId="22718" priority="8390" stopIfTrue="1" operator="equal">
      <formula>"Napkin Hs"</formula>
    </cfRule>
  </conditionalFormatting>
  <conditionalFormatting sqref="B79:C79">
    <cfRule type="cellIs" dxfId="22717" priority="8385" stopIfTrue="1" operator="equal">
      <formula>"Towel"</formula>
    </cfRule>
    <cfRule type="cellIs" dxfId="22716" priority="8386" stopIfTrue="1" operator="equal">
      <formula>"Napkin Hs"</formula>
    </cfRule>
  </conditionalFormatting>
  <conditionalFormatting sqref="C79">
    <cfRule type="cellIs" dxfId="22715" priority="8383" stopIfTrue="1" operator="equal">
      <formula>"Towel"</formula>
    </cfRule>
    <cfRule type="cellIs" dxfId="22714" priority="8384" stopIfTrue="1" operator="equal">
      <formula>"Napkin Hs"</formula>
    </cfRule>
  </conditionalFormatting>
  <conditionalFormatting sqref="C79">
    <cfRule type="cellIs" dxfId="22713" priority="8381" stopIfTrue="1" operator="equal">
      <formula>"Towel"</formula>
    </cfRule>
    <cfRule type="cellIs" dxfId="22712" priority="8382" stopIfTrue="1" operator="equal">
      <formula>"Napkin Hs"</formula>
    </cfRule>
  </conditionalFormatting>
  <conditionalFormatting sqref="B79:C79">
    <cfRule type="cellIs" dxfId="22711" priority="8379" stopIfTrue="1" operator="equal">
      <formula>"Towel"</formula>
    </cfRule>
    <cfRule type="cellIs" dxfId="22710" priority="8380" stopIfTrue="1" operator="equal">
      <formula>"Napkin Hs"</formula>
    </cfRule>
  </conditionalFormatting>
  <conditionalFormatting sqref="C79">
    <cfRule type="cellIs" dxfId="22709" priority="8377" stopIfTrue="1" operator="equal">
      <formula>"Towel"</formula>
    </cfRule>
    <cfRule type="cellIs" dxfId="22708" priority="8378" stopIfTrue="1" operator="equal">
      <formula>"Napkin Hs"</formula>
    </cfRule>
  </conditionalFormatting>
  <conditionalFormatting sqref="C79">
    <cfRule type="cellIs" dxfId="22707" priority="8375" stopIfTrue="1" operator="equal">
      <formula>"Towel"</formula>
    </cfRule>
    <cfRule type="cellIs" dxfId="22706" priority="8376" stopIfTrue="1" operator="equal">
      <formula>"Napkin Hs"</formula>
    </cfRule>
  </conditionalFormatting>
  <conditionalFormatting sqref="B79:C79">
    <cfRule type="cellIs" dxfId="22705" priority="8373" stopIfTrue="1" operator="equal">
      <formula>"Towel"</formula>
    </cfRule>
    <cfRule type="cellIs" dxfId="22704" priority="8374" stopIfTrue="1" operator="equal">
      <formula>"Napkin Hs"</formula>
    </cfRule>
  </conditionalFormatting>
  <conditionalFormatting sqref="C79">
    <cfRule type="cellIs" dxfId="22703" priority="8371" stopIfTrue="1" operator="equal">
      <formula>"Towel"</formula>
    </cfRule>
    <cfRule type="cellIs" dxfId="22702" priority="8372" stopIfTrue="1" operator="equal">
      <formula>"Napkin Hs"</formula>
    </cfRule>
  </conditionalFormatting>
  <conditionalFormatting sqref="C79">
    <cfRule type="cellIs" dxfId="22701" priority="8369" stopIfTrue="1" operator="equal">
      <formula>"Towel"</formula>
    </cfRule>
    <cfRule type="cellIs" dxfId="22700" priority="8370" stopIfTrue="1" operator="equal">
      <formula>"Napkin Hs"</formula>
    </cfRule>
  </conditionalFormatting>
  <conditionalFormatting sqref="B79:C79">
    <cfRule type="cellIs" dxfId="22699" priority="8368" stopIfTrue="1" operator="equal">
      <formula>"Napkin Hs"</formula>
    </cfRule>
  </conditionalFormatting>
  <conditionalFormatting sqref="B79:C79">
    <cfRule type="cellIs" dxfId="22698" priority="8367" stopIfTrue="1" operator="equal">
      <formula>"Towel"</formula>
    </cfRule>
  </conditionalFormatting>
  <conditionalFormatting sqref="C79">
    <cfRule type="cellIs" dxfId="22697" priority="8366" stopIfTrue="1" operator="equal">
      <formula>"Napkin Hs"</formula>
    </cfRule>
  </conditionalFormatting>
  <conditionalFormatting sqref="C79">
    <cfRule type="cellIs" dxfId="22696" priority="8363" stopIfTrue="1" operator="equal">
      <formula>"Towel"</formula>
    </cfRule>
    <cfRule type="cellIs" dxfId="22695" priority="8364" stopIfTrue="1" operator="equal">
      <formula>"Napkin Hs"</formula>
    </cfRule>
  </conditionalFormatting>
  <conditionalFormatting sqref="C79">
    <cfRule type="cellIs" dxfId="22694" priority="8365" stopIfTrue="1" operator="equal">
      <formula>"Towel"</formula>
    </cfRule>
  </conditionalFormatting>
  <conditionalFormatting sqref="B79:C79">
    <cfRule type="cellIs" dxfId="22693" priority="8361" stopIfTrue="1" operator="equal">
      <formula>"Towel"</formula>
    </cfRule>
    <cfRule type="cellIs" dxfId="22692" priority="8362" stopIfTrue="1" operator="equal">
      <formula>"Napkin Hs"</formula>
    </cfRule>
  </conditionalFormatting>
  <conditionalFormatting sqref="C79">
    <cfRule type="cellIs" dxfId="22691" priority="8357" stopIfTrue="1" operator="equal">
      <formula>"Towel"</formula>
    </cfRule>
    <cfRule type="cellIs" dxfId="22690" priority="8358" stopIfTrue="1" operator="equal">
      <formula>"Napkin Hs"</formula>
    </cfRule>
  </conditionalFormatting>
  <conditionalFormatting sqref="C79">
    <cfRule type="cellIs" dxfId="22689" priority="8359" stopIfTrue="1" operator="equal">
      <formula>"Towel"</formula>
    </cfRule>
    <cfRule type="cellIs" dxfId="22688" priority="8360" stopIfTrue="1" operator="equal">
      <formula>"Napkin Hs"</formula>
    </cfRule>
  </conditionalFormatting>
  <conditionalFormatting sqref="C79">
    <cfRule type="cellIs" dxfId="22687" priority="8273" stopIfTrue="1" operator="equal">
      <formula>"Towel"</formula>
    </cfRule>
    <cfRule type="cellIs" dxfId="22686" priority="8274" stopIfTrue="1" operator="equal">
      <formula>"Napkin Hs"</formula>
    </cfRule>
  </conditionalFormatting>
  <conditionalFormatting sqref="C79">
    <cfRule type="cellIs" dxfId="22685" priority="8267" stopIfTrue="1" operator="equal">
      <formula>"Towel"</formula>
    </cfRule>
    <cfRule type="cellIs" dxfId="22684" priority="8268" stopIfTrue="1" operator="equal">
      <formula>"Napkin Hs"</formula>
    </cfRule>
  </conditionalFormatting>
  <conditionalFormatting sqref="C79">
    <cfRule type="cellIs" dxfId="22683" priority="8248" stopIfTrue="1" operator="equal">
      <formula>"Napkin Hs"</formula>
    </cfRule>
  </conditionalFormatting>
  <conditionalFormatting sqref="C79">
    <cfRule type="cellIs" dxfId="22682" priority="8247" stopIfTrue="1" operator="equal">
      <formula>"Towel"</formula>
    </cfRule>
  </conditionalFormatting>
  <conditionalFormatting sqref="C79">
    <cfRule type="cellIs" dxfId="22681" priority="8246" stopIfTrue="1" operator="equal">
      <formula>"Napkin Hs"</formula>
    </cfRule>
  </conditionalFormatting>
  <conditionalFormatting sqref="C79">
    <cfRule type="cellIs" dxfId="22680" priority="8243" stopIfTrue="1" operator="equal">
      <formula>"Towel"</formula>
    </cfRule>
    <cfRule type="cellIs" dxfId="22679" priority="8244" stopIfTrue="1" operator="equal">
      <formula>"Napkin Hs"</formula>
    </cfRule>
  </conditionalFormatting>
  <conditionalFormatting sqref="C79">
    <cfRule type="cellIs" dxfId="22678" priority="8245" stopIfTrue="1" operator="equal">
      <formula>"Towel"</formula>
    </cfRule>
  </conditionalFormatting>
  <conditionalFormatting sqref="C79">
    <cfRule type="cellIs" dxfId="22677" priority="8242" stopIfTrue="1" operator="equal">
      <formula>"Napkin Hs"</formula>
    </cfRule>
  </conditionalFormatting>
  <conditionalFormatting sqref="C79">
    <cfRule type="cellIs" dxfId="22676" priority="8241" stopIfTrue="1" operator="equal">
      <formula>"Towel"</formula>
    </cfRule>
  </conditionalFormatting>
  <conditionalFormatting sqref="C79">
    <cfRule type="cellIs" dxfId="22675" priority="8240" stopIfTrue="1" operator="equal">
      <formula>"Napkin Hs"</formula>
    </cfRule>
  </conditionalFormatting>
  <conditionalFormatting sqref="C79">
    <cfRule type="cellIs" dxfId="22674" priority="8237" stopIfTrue="1" operator="equal">
      <formula>"Towel"</formula>
    </cfRule>
    <cfRule type="cellIs" dxfId="22673" priority="8238" stopIfTrue="1" operator="equal">
      <formula>"Napkin Hs"</formula>
    </cfRule>
  </conditionalFormatting>
  <conditionalFormatting sqref="C79">
    <cfRule type="cellIs" dxfId="22672" priority="8239" stopIfTrue="1" operator="equal">
      <formula>"Towel"</formula>
    </cfRule>
  </conditionalFormatting>
  <conditionalFormatting sqref="C79">
    <cfRule type="cellIs" dxfId="22671" priority="8343" stopIfTrue="1" operator="equal">
      <formula>"Towel"</formula>
    </cfRule>
    <cfRule type="cellIs" dxfId="22670" priority="8344" stopIfTrue="1" operator="equal">
      <formula>"Napkin Hs"</formula>
    </cfRule>
  </conditionalFormatting>
  <conditionalFormatting sqref="C79">
    <cfRule type="cellIs" dxfId="22669" priority="8341" stopIfTrue="1" operator="equal">
      <formula>"Towel"</formula>
    </cfRule>
    <cfRule type="cellIs" dxfId="22668" priority="8342" stopIfTrue="1" operator="equal">
      <formula>"Napkin Hs"</formula>
    </cfRule>
  </conditionalFormatting>
  <conditionalFormatting sqref="C79">
    <cfRule type="cellIs" dxfId="22667" priority="8339" stopIfTrue="1" operator="equal">
      <formula>"Towel"</formula>
    </cfRule>
    <cfRule type="cellIs" dxfId="22666" priority="8340" stopIfTrue="1" operator="equal">
      <formula>"Napkin Hs"</formula>
    </cfRule>
  </conditionalFormatting>
  <conditionalFormatting sqref="C79">
    <cfRule type="cellIs" dxfId="22665" priority="8338" stopIfTrue="1" operator="equal">
      <formula>"Napkin Hs"</formula>
    </cfRule>
  </conditionalFormatting>
  <conditionalFormatting sqref="C79">
    <cfRule type="cellIs" dxfId="22664" priority="8337" stopIfTrue="1" operator="equal">
      <formula>"Towel"</formula>
    </cfRule>
  </conditionalFormatting>
  <conditionalFormatting sqref="C79">
    <cfRule type="cellIs" dxfId="22663" priority="8336" stopIfTrue="1" operator="equal">
      <formula>"Napkin Hs"</formula>
    </cfRule>
  </conditionalFormatting>
  <conditionalFormatting sqref="C79">
    <cfRule type="cellIs" dxfId="22662" priority="8335" stopIfTrue="1" operator="equal">
      <formula>"Towel"</formula>
    </cfRule>
  </conditionalFormatting>
  <conditionalFormatting sqref="C79">
    <cfRule type="cellIs" dxfId="22661" priority="8333" stopIfTrue="1" operator="equal">
      <formula>"Towel"</formula>
    </cfRule>
    <cfRule type="cellIs" dxfId="22660" priority="8334" stopIfTrue="1" operator="equal">
      <formula>"Napkin Hs"</formula>
    </cfRule>
  </conditionalFormatting>
  <conditionalFormatting sqref="C79">
    <cfRule type="cellIs" dxfId="22659" priority="8331" stopIfTrue="1" operator="equal">
      <formula>"Towel"</formula>
    </cfRule>
    <cfRule type="cellIs" dxfId="22658" priority="8332" stopIfTrue="1" operator="equal">
      <formula>"Napkin Hs"</formula>
    </cfRule>
  </conditionalFormatting>
  <conditionalFormatting sqref="C79">
    <cfRule type="cellIs" dxfId="22657" priority="8327" stopIfTrue="1" operator="equal">
      <formula>"Towel"</formula>
    </cfRule>
    <cfRule type="cellIs" dxfId="22656" priority="8328" stopIfTrue="1" operator="equal">
      <formula>"Napkin Hs"</formula>
    </cfRule>
  </conditionalFormatting>
  <conditionalFormatting sqref="C79">
    <cfRule type="cellIs" dxfId="22655" priority="8329" stopIfTrue="1" operator="equal">
      <formula>"Towel"</formula>
    </cfRule>
    <cfRule type="cellIs" dxfId="22654" priority="8330" stopIfTrue="1" operator="equal">
      <formula>"Napkin Hs"</formula>
    </cfRule>
  </conditionalFormatting>
  <conditionalFormatting sqref="C79">
    <cfRule type="cellIs" dxfId="22653" priority="8321" stopIfTrue="1" operator="equal">
      <formula>"Towel"</formula>
    </cfRule>
    <cfRule type="cellIs" dxfId="22652" priority="8322" stopIfTrue="1" operator="equal">
      <formula>"Napkin Hs"</formula>
    </cfRule>
  </conditionalFormatting>
  <conditionalFormatting sqref="C79">
    <cfRule type="cellIs" dxfId="22651" priority="8319" stopIfTrue="1" operator="equal">
      <formula>"Towel"</formula>
    </cfRule>
    <cfRule type="cellIs" dxfId="22650" priority="8320" stopIfTrue="1" operator="equal">
      <formula>"Napkin Hs"</formula>
    </cfRule>
  </conditionalFormatting>
  <conditionalFormatting sqref="C79">
    <cfRule type="cellIs" dxfId="22649" priority="8317" stopIfTrue="1" operator="equal">
      <formula>"Towel"</formula>
    </cfRule>
    <cfRule type="cellIs" dxfId="22648" priority="8318" stopIfTrue="1" operator="equal">
      <formula>"Napkin Hs"</formula>
    </cfRule>
  </conditionalFormatting>
  <conditionalFormatting sqref="C79">
    <cfRule type="cellIs" dxfId="22647" priority="8315" stopIfTrue="1" operator="equal">
      <formula>"Towel"</formula>
    </cfRule>
    <cfRule type="cellIs" dxfId="22646" priority="8316" stopIfTrue="1" operator="equal">
      <formula>"Napkin Hs"</formula>
    </cfRule>
  </conditionalFormatting>
  <conditionalFormatting sqref="C79">
    <cfRule type="cellIs" dxfId="22645" priority="8313" stopIfTrue="1" operator="equal">
      <formula>"Towel"</formula>
    </cfRule>
    <cfRule type="cellIs" dxfId="22644" priority="8314" stopIfTrue="1" operator="equal">
      <formula>"Napkin Hs"</formula>
    </cfRule>
  </conditionalFormatting>
  <conditionalFormatting sqref="C79">
    <cfRule type="cellIs" dxfId="22643" priority="8311" stopIfTrue="1" operator="equal">
      <formula>"Towel"</formula>
    </cfRule>
    <cfRule type="cellIs" dxfId="22642" priority="8312" stopIfTrue="1" operator="equal">
      <formula>"Napkin Hs"</formula>
    </cfRule>
  </conditionalFormatting>
  <conditionalFormatting sqref="C79">
    <cfRule type="cellIs" dxfId="22641" priority="8309" stopIfTrue="1" operator="equal">
      <formula>"Towel"</formula>
    </cfRule>
    <cfRule type="cellIs" dxfId="22640" priority="8310" stopIfTrue="1" operator="equal">
      <formula>"Napkin Hs"</formula>
    </cfRule>
  </conditionalFormatting>
  <conditionalFormatting sqref="C79">
    <cfRule type="cellIs" dxfId="22639" priority="8307" stopIfTrue="1" operator="equal">
      <formula>"Towel"</formula>
    </cfRule>
    <cfRule type="cellIs" dxfId="22638" priority="8308" stopIfTrue="1" operator="equal">
      <formula>"Napkin Hs"</formula>
    </cfRule>
  </conditionalFormatting>
  <conditionalFormatting sqref="C79">
    <cfRule type="cellIs" dxfId="22637" priority="8305" stopIfTrue="1" operator="equal">
      <formula>"Towel"</formula>
    </cfRule>
    <cfRule type="cellIs" dxfId="22636" priority="8306" stopIfTrue="1" operator="equal">
      <formula>"Napkin Hs"</formula>
    </cfRule>
  </conditionalFormatting>
  <conditionalFormatting sqref="C79">
    <cfRule type="cellIs" dxfId="22635" priority="8303" stopIfTrue="1" operator="equal">
      <formula>"Towel"</formula>
    </cfRule>
    <cfRule type="cellIs" dxfId="22634" priority="8304" stopIfTrue="1" operator="equal">
      <formula>"Napkin Hs"</formula>
    </cfRule>
  </conditionalFormatting>
  <conditionalFormatting sqref="C79">
    <cfRule type="cellIs" dxfId="22633" priority="8297" stopIfTrue="1" operator="equal">
      <formula>"Towel"</formula>
    </cfRule>
    <cfRule type="cellIs" dxfId="22632" priority="8298" stopIfTrue="1" operator="equal">
      <formula>"Napkin Hs"</formula>
    </cfRule>
  </conditionalFormatting>
  <conditionalFormatting sqref="C79">
    <cfRule type="cellIs" dxfId="22631" priority="8291" stopIfTrue="1" operator="equal">
      <formula>"Towel"</formula>
    </cfRule>
    <cfRule type="cellIs" dxfId="22630" priority="8292" stopIfTrue="1" operator="equal">
      <formula>"Napkin Hs"</formula>
    </cfRule>
  </conditionalFormatting>
  <conditionalFormatting sqref="C79">
    <cfRule type="cellIs" dxfId="22629" priority="8285" stopIfTrue="1" operator="equal">
      <formula>"Towel"</formula>
    </cfRule>
    <cfRule type="cellIs" dxfId="22628" priority="8286" stopIfTrue="1" operator="equal">
      <formula>"Napkin Hs"</formula>
    </cfRule>
  </conditionalFormatting>
  <conditionalFormatting sqref="C79">
    <cfRule type="cellIs" dxfId="22627" priority="8284" stopIfTrue="1" operator="equal">
      <formula>"Napkin Hs"</formula>
    </cfRule>
  </conditionalFormatting>
  <conditionalFormatting sqref="C79">
    <cfRule type="cellIs" dxfId="22626" priority="8283" stopIfTrue="1" operator="equal">
      <formula>"Towel"</formula>
    </cfRule>
  </conditionalFormatting>
  <conditionalFormatting sqref="C79">
    <cfRule type="cellIs" dxfId="22625" priority="8282" stopIfTrue="1" operator="equal">
      <formula>"Napkin Hs"</formula>
    </cfRule>
  </conditionalFormatting>
  <conditionalFormatting sqref="C79">
    <cfRule type="cellIs" dxfId="22624" priority="8281" stopIfTrue="1" operator="equal">
      <formula>"Towel"</formula>
    </cfRule>
  </conditionalFormatting>
  <conditionalFormatting sqref="C79">
    <cfRule type="cellIs" dxfId="22623" priority="8279" stopIfTrue="1" operator="equal">
      <formula>"Towel"</formula>
    </cfRule>
    <cfRule type="cellIs" dxfId="22622" priority="8280" stopIfTrue="1" operator="equal">
      <formula>"Napkin Hs"</formula>
    </cfRule>
  </conditionalFormatting>
  <conditionalFormatting sqref="C79">
    <cfRule type="cellIs" dxfId="22621" priority="8277" stopIfTrue="1" operator="equal">
      <formula>"Towel"</formula>
    </cfRule>
    <cfRule type="cellIs" dxfId="22620" priority="8278" stopIfTrue="1" operator="equal">
      <formula>"Napkin Hs"</formula>
    </cfRule>
  </conditionalFormatting>
  <conditionalFormatting sqref="C79">
    <cfRule type="cellIs" dxfId="22619" priority="8275" stopIfTrue="1" operator="equal">
      <formula>"Towel"</formula>
    </cfRule>
    <cfRule type="cellIs" dxfId="22618" priority="8276" stopIfTrue="1" operator="equal">
      <formula>"Napkin Hs"</formula>
    </cfRule>
  </conditionalFormatting>
  <conditionalFormatting sqref="C79">
    <cfRule type="cellIs" dxfId="22617" priority="8265" stopIfTrue="1" operator="equal">
      <formula>"Towel"</formula>
    </cfRule>
    <cfRule type="cellIs" dxfId="22616" priority="8266" stopIfTrue="1" operator="equal">
      <formula>"Napkin Hs"</formula>
    </cfRule>
  </conditionalFormatting>
  <conditionalFormatting sqref="C79">
    <cfRule type="cellIs" dxfId="22615" priority="8263" stopIfTrue="1" operator="equal">
      <formula>"Towel"</formula>
    </cfRule>
    <cfRule type="cellIs" dxfId="22614" priority="8264" stopIfTrue="1" operator="equal">
      <formula>"Napkin Hs"</formula>
    </cfRule>
  </conditionalFormatting>
  <conditionalFormatting sqref="C79">
    <cfRule type="cellIs" dxfId="22613" priority="8261" stopIfTrue="1" operator="equal">
      <formula>"Towel"</formula>
    </cfRule>
    <cfRule type="cellIs" dxfId="22612" priority="8262" stopIfTrue="1" operator="equal">
      <formula>"Napkin Hs"</formula>
    </cfRule>
  </conditionalFormatting>
  <conditionalFormatting sqref="C79">
    <cfRule type="cellIs" dxfId="22611" priority="8259" stopIfTrue="1" operator="equal">
      <formula>"Towel"</formula>
    </cfRule>
    <cfRule type="cellIs" dxfId="22610" priority="8260" stopIfTrue="1" operator="equal">
      <formula>"Napkin Hs"</formula>
    </cfRule>
  </conditionalFormatting>
  <conditionalFormatting sqref="C79">
    <cfRule type="cellIs" dxfId="22609" priority="8257" stopIfTrue="1" operator="equal">
      <formula>"Towel"</formula>
    </cfRule>
    <cfRule type="cellIs" dxfId="22608" priority="8258" stopIfTrue="1" operator="equal">
      <formula>"Napkin Hs"</formula>
    </cfRule>
  </conditionalFormatting>
  <conditionalFormatting sqref="C79">
    <cfRule type="cellIs" dxfId="22607" priority="8255" stopIfTrue="1" operator="equal">
      <formula>"Towel"</formula>
    </cfRule>
    <cfRule type="cellIs" dxfId="22606" priority="8256" stopIfTrue="1" operator="equal">
      <formula>"Napkin Hs"</formula>
    </cfRule>
  </conditionalFormatting>
  <conditionalFormatting sqref="C79">
    <cfRule type="cellIs" dxfId="22605" priority="8253" stopIfTrue="1" operator="equal">
      <formula>"Towel"</formula>
    </cfRule>
    <cfRule type="cellIs" dxfId="22604" priority="8254" stopIfTrue="1" operator="equal">
      <formula>"Napkin Hs"</formula>
    </cfRule>
  </conditionalFormatting>
  <conditionalFormatting sqref="C79">
    <cfRule type="cellIs" dxfId="22603" priority="8251" stopIfTrue="1" operator="equal">
      <formula>"Towel"</formula>
    </cfRule>
    <cfRule type="cellIs" dxfId="22602" priority="8252" stopIfTrue="1" operator="equal">
      <formula>"Napkin Hs"</formula>
    </cfRule>
  </conditionalFormatting>
  <conditionalFormatting sqref="C79">
    <cfRule type="cellIs" dxfId="22601" priority="8249" stopIfTrue="1" operator="equal">
      <formula>"Towel"</formula>
    </cfRule>
    <cfRule type="cellIs" dxfId="22600" priority="8250" stopIfTrue="1" operator="equal">
      <formula>"Napkin Hs"</formula>
    </cfRule>
  </conditionalFormatting>
  <conditionalFormatting sqref="C79">
    <cfRule type="cellIs" dxfId="22599" priority="8236" stopIfTrue="1" operator="equal">
      <formula>"Napkin Hs"</formula>
    </cfRule>
  </conditionalFormatting>
  <conditionalFormatting sqref="C79">
    <cfRule type="cellIs" dxfId="22598" priority="8235" stopIfTrue="1" operator="equal">
      <formula>"Towel"</formula>
    </cfRule>
  </conditionalFormatting>
  <conditionalFormatting sqref="C79">
    <cfRule type="cellIs" dxfId="22597" priority="8234" stopIfTrue="1" operator="equal">
      <formula>"Napkin Hs"</formula>
    </cfRule>
  </conditionalFormatting>
  <conditionalFormatting sqref="C79">
    <cfRule type="cellIs" dxfId="22596" priority="8231" stopIfTrue="1" operator="equal">
      <formula>"Towel"</formula>
    </cfRule>
    <cfRule type="cellIs" dxfId="22595" priority="8232" stopIfTrue="1" operator="equal">
      <formula>"Napkin Hs"</formula>
    </cfRule>
  </conditionalFormatting>
  <conditionalFormatting sqref="C79">
    <cfRule type="cellIs" dxfId="22594" priority="8233" stopIfTrue="1" operator="equal">
      <formula>"Towel"</formula>
    </cfRule>
  </conditionalFormatting>
  <conditionalFormatting sqref="C79">
    <cfRule type="cellIs" dxfId="22593" priority="8351" stopIfTrue="1" operator="equal">
      <formula>"Towel"</formula>
    </cfRule>
    <cfRule type="cellIs" dxfId="22592" priority="8352" stopIfTrue="1" operator="equal">
      <formula>"Napkin Hs"</formula>
    </cfRule>
  </conditionalFormatting>
  <conditionalFormatting sqref="C79">
    <cfRule type="cellIs" dxfId="22591" priority="8350" stopIfTrue="1" operator="equal">
      <formula>"Napkin Hs"</formula>
    </cfRule>
  </conditionalFormatting>
  <conditionalFormatting sqref="C79">
    <cfRule type="cellIs" dxfId="22590" priority="8349" stopIfTrue="1" operator="equal">
      <formula>"Towel"</formula>
    </cfRule>
  </conditionalFormatting>
  <conditionalFormatting sqref="C79">
    <cfRule type="cellIs" dxfId="22589" priority="8348" stopIfTrue="1" operator="equal">
      <formula>"Napkin Hs"</formula>
    </cfRule>
  </conditionalFormatting>
  <conditionalFormatting sqref="C79">
    <cfRule type="cellIs" dxfId="22588" priority="8345" stopIfTrue="1" operator="equal">
      <formula>"Towel"</formula>
    </cfRule>
    <cfRule type="cellIs" dxfId="22587" priority="8346" stopIfTrue="1" operator="equal">
      <formula>"Napkin Hs"</formula>
    </cfRule>
  </conditionalFormatting>
  <conditionalFormatting sqref="C79">
    <cfRule type="cellIs" dxfId="22586" priority="8347" stopIfTrue="1" operator="equal">
      <formula>"Towel"</formula>
    </cfRule>
  </conditionalFormatting>
  <conditionalFormatting sqref="C79">
    <cfRule type="cellIs" dxfId="22585" priority="8355" stopIfTrue="1" operator="equal">
      <formula>"Towel"</formula>
    </cfRule>
    <cfRule type="cellIs" dxfId="22584" priority="8356" stopIfTrue="1" operator="equal">
      <formula>"Napkin Hs"</formula>
    </cfRule>
  </conditionalFormatting>
  <conditionalFormatting sqref="C79">
    <cfRule type="cellIs" dxfId="22583" priority="8353" stopIfTrue="1" operator="equal">
      <formula>"Towel"</formula>
    </cfRule>
    <cfRule type="cellIs" dxfId="22582" priority="8354" stopIfTrue="1" operator="equal">
      <formula>"Napkin Hs"</formula>
    </cfRule>
  </conditionalFormatting>
  <conditionalFormatting sqref="C79">
    <cfRule type="cellIs" dxfId="22581" priority="8325" stopIfTrue="1" operator="equal">
      <formula>"Towel"</formula>
    </cfRule>
    <cfRule type="cellIs" dxfId="22580" priority="8326" stopIfTrue="1" operator="equal">
      <formula>"Napkin Hs"</formula>
    </cfRule>
  </conditionalFormatting>
  <conditionalFormatting sqref="C79">
    <cfRule type="cellIs" dxfId="22579" priority="8323" stopIfTrue="1" operator="equal">
      <formula>"Towel"</formula>
    </cfRule>
    <cfRule type="cellIs" dxfId="22578" priority="8324" stopIfTrue="1" operator="equal">
      <formula>"Napkin Hs"</formula>
    </cfRule>
  </conditionalFormatting>
  <conditionalFormatting sqref="C79">
    <cfRule type="cellIs" dxfId="22577" priority="8302" stopIfTrue="1" operator="equal">
      <formula>"Napkin Hs"</formula>
    </cfRule>
  </conditionalFormatting>
  <conditionalFormatting sqref="C79">
    <cfRule type="cellIs" dxfId="22576" priority="8301" stopIfTrue="1" operator="equal">
      <formula>"Towel"</formula>
    </cfRule>
  </conditionalFormatting>
  <conditionalFormatting sqref="C79">
    <cfRule type="cellIs" dxfId="22575" priority="8300" stopIfTrue="1" operator="equal">
      <formula>"Napkin Hs"</formula>
    </cfRule>
  </conditionalFormatting>
  <conditionalFormatting sqref="C79">
    <cfRule type="cellIs" dxfId="22574" priority="8299" stopIfTrue="1" operator="equal">
      <formula>"Towel"</formula>
    </cfRule>
  </conditionalFormatting>
  <conditionalFormatting sqref="C79">
    <cfRule type="cellIs" dxfId="22573" priority="8296" stopIfTrue="1" operator="equal">
      <formula>"Napkin Hs"</formula>
    </cfRule>
  </conditionalFormatting>
  <conditionalFormatting sqref="C79">
    <cfRule type="cellIs" dxfId="22572" priority="8295" stopIfTrue="1" operator="equal">
      <formula>"Towel"</formula>
    </cfRule>
  </conditionalFormatting>
  <conditionalFormatting sqref="C79">
    <cfRule type="cellIs" dxfId="22571" priority="8294" stopIfTrue="1" operator="equal">
      <formula>"Napkin Hs"</formula>
    </cfRule>
  </conditionalFormatting>
  <conditionalFormatting sqref="C79">
    <cfRule type="cellIs" dxfId="22570" priority="8293" stopIfTrue="1" operator="equal">
      <formula>"Towel"</formula>
    </cfRule>
  </conditionalFormatting>
  <conditionalFormatting sqref="C79">
    <cfRule type="cellIs" dxfId="22569" priority="8289" stopIfTrue="1" operator="equal">
      <formula>"Towel"</formula>
    </cfRule>
    <cfRule type="cellIs" dxfId="22568" priority="8290" stopIfTrue="1" operator="equal">
      <formula>"Napkin Hs"</formula>
    </cfRule>
  </conditionalFormatting>
  <conditionalFormatting sqref="C79">
    <cfRule type="cellIs" dxfId="22567" priority="8287" stopIfTrue="1" operator="equal">
      <formula>"Towel"</formula>
    </cfRule>
    <cfRule type="cellIs" dxfId="22566" priority="8288" stopIfTrue="1" operator="equal">
      <formula>"Napkin Hs"</formula>
    </cfRule>
  </conditionalFormatting>
  <conditionalFormatting sqref="C79">
    <cfRule type="cellIs" dxfId="22565" priority="8271" stopIfTrue="1" operator="equal">
      <formula>"Towel"</formula>
    </cfRule>
    <cfRule type="cellIs" dxfId="22564" priority="8272" stopIfTrue="1" operator="equal">
      <formula>"Napkin Hs"</formula>
    </cfRule>
  </conditionalFormatting>
  <conditionalFormatting sqref="C79">
    <cfRule type="cellIs" dxfId="22563" priority="8269" stopIfTrue="1" operator="equal">
      <formula>"Towel"</formula>
    </cfRule>
    <cfRule type="cellIs" dxfId="22562" priority="8270" stopIfTrue="1" operator="equal">
      <formula>"Napkin Hs"</formula>
    </cfRule>
  </conditionalFormatting>
  <conditionalFormatting sqref="B79:C79">
    <cfRule type="cellIs" dxfId="22561" priority="8230" stopIfTrue="1" operator="equal">
      <formula>"Napkin Hs"</formula>
    </cfRule>
  </conditionalFormatting>
  <conditionalFormatting sqref="B79:C79">
    <cfRule type="cellIs" dxfId="22560" priority="8229" stopIfTrue="1" operator="equal">
      <formula>"Towel"</formula>
    </cfRule>
  </conditionalFormatting>
  <conditionalFormatting sqref="C79">
    <cfRule type="cellIs" dxfId="22559" priority="8228" stopIfTrue="1" operator="equal">
      <formula>"Napkin Hs"</formula>
    </cfRule>
  </conditionalFormatting>
  <conditionalFormatting sqref="C79">
    <cfRule type="cellIs" dxfId="22558" priority="8225" stopIfTrue="1" operator="equal">
      <formula>"Towel"</formula>
    </cfRule>
    <cfRule type="cellIs" dxfId="22557" priority="8226" stopIfTrue="1" operator="equal">
      <formula>"Napkin Hs"</formula>
    </cfRule>
  </conditionalFormatting>
  <conditionalFormatting sqref="C79">
    <cfRule type="cellIs" dxfId="22556" priority="8227" stopIfTrue="1" operator="equal">
      <formula>"Towel"</formula>
    </cfRule>
  </conditionalFormatting>
  <conditionalFormatting sqref="B79:C79">
    <cfRule type="cellIs" dxfId="22555" priority="8224" stopIfTrue="1" operator="equal">
      <formula>"Napkin Hs"</formula>
    </cfRule>
  </conditionalFormatting>
  <conditionalFormatting sqref="B79:C79">
    <cfRule type="cellIs" dxfId="22554" priority="8223" stopIfTrue="1" operator="equal">
      <formula>"Towel"</formula>
    </cfRule>
  </conditionalFormatting>
  <conditionalFormatting sqref="C79">
    <cfRule type="cellIs" dxfId="22553" priority="8222" stopIfTrue="1" operator="equal">
      <formula>"Napkin Hs"</formula>
    </cfRule>
  </conditionalFormatting>
  <conditionalFormatting sqref="C79">
    <cfRule type="cellIs" dxfId="22552" priority="8221" stopIfTrue="1" operator="equal">
      <formula>"Towel"</formula>
    </cfRule>
  </conditionalFormatting>
  <conditionalFormatting sqref="C79">
    <cfRule type="cellIs" dxfId="22551" priority="8219" stopIfTrue="1" operator="equal">
      <formula>"Towel"</formula>
    </cfRule>
    <cfRule type="cellIs" dxfId="22550" priority="8220" stopIfTrue="1" operator="equal">
      <formula>"Napkin Hs"</formula>
    </cfRule>
  </conditionalFormatting>
  <conditionalFormatting sqref="C79">
    <cfRule type="cellIs" dxfId="22549" priority="8135" stopIfTrue="1" operator="equal">
      <formula>"Towel"</formula>
    </cfRule>
    <cfRule type="cellIs" dxfId="22548" priority="8136" stopIfTrue="1" operator="equal">
      <formula>"Napkin Hs"</formula>
    </cfRule>
  </conditionalFormatting>
  <conditionalFormatting sqref="C79">
    <cfRule type="cellIs" dxfId="22547" priority="8129" stopIfTrue="1" operator="equal">
      <formula>"Towel"</formula>
    </cfRule>
    <cfRule type="cellIs" dxfId="22546" priority="8130" stopIfTrue="1" operator="equal">
      <formula>"Napkin Hs"</formula>
    </cfRule>
  </conditionalFormatting>
  <conditionalFormatting sqref="C79">
    <cfRule type="cellIs" dxfId="22545" priority="8110" stopIfTrue="1" operator="equal">
      <formula>"Napkin Hs"</formula>
    </cfRule>
  </conditionalFormatting>
  <conditionalFormatting sqref="C79">
    <cfRule type="cellIs" dxfId="22544" priority="8109" stopIfTrue="1" operator="equal">
      <formula>"Towel"</formula>
    </cfRule>
  </conditionalFormatting>
  <conditionalFormatting sqref="C79">
    <cfRule type="cellIs" dxfId="22543" priority="8108" stopIfTrue="1" operator="equal">
      <formula>"Napkin Hs"</formula>
    </cfRule>
  </conditionalFormatting>
  <conditionalFormatting sqref="C79">
    <cfRule type="cellIs" dxfId="22542" priority="8105" stopIfTrue="1" operator="equal">
      <formula>"Towel"</formula>
    </cfRule>
    <cfRule type="cellIs" dxfId="22541" priority="8106" stopIfTrue="1" operator="equal">
      <formula>"Napkin Hs"</formula>
    </cfRule>
  </conditionalFormatting>
  <conditionalFormatting sqref="C79">
    <cfRule type="cellIs" dxfId="22540" priority="8107" stopIfTrue="1" operator="equal">
      <formula>"Towel"</formula>
    </cfRule>
  </conditionalFormatting>
  <conditionalFormatting sqref="C79">
    <cfRule type="cellIs" dxfId="22539" priority="8104" stopIfTrue="1" operator="equal">
      <formula>"Napkin Hs"</formula>
    </cfRule>
  </conditionalFormatting>
  <conditionalFormatting sqref="C79">
    <cfRule type="cellIs" dxfId="22538" priority="8103" stopIfTrue="1" operator="equal">
      <formula>"Towel"</formula>
    </cfRule>
  </conditionalFormatting>
  <conditionalFormatting sqref="C79">
    <cfRule type="cellIs" dxfId="22537" priority="8102" stopIfTrue="1" operator="equal">
      <formula>"Napkin Hs"</formula>
    </cfRule>
  </conditionalFormatting>
  <conditionalFormatting sqref="C79">
    <cfRule type="cellIs" dxfId="22536" priority="8099" stopIfTrue="1" operator="equal">
      <formula>"Towel"</formula>
    </cfRule>
    <cfRule type="cellIs" dxfId="22535" priority="8100" stopIfTrue="1" operator="equal">
      <formula>"Napkin Hs"</formula>
    </cfRule>
  </conditionalFormatting>
  <conditionalFormatting sqref="C79">
    <cfRule type="cellIs" dxfId="22534" priority="8101" stopIfTrue="1" operator="equal">
      <formula>"Towel"</formula>
    </cfRule>
  </conditionalFormatting>
  <conditionalFormatting sqref="C79">
    <cfRule type="cellIs" dxfId="22533" priority="8205" stopIfTrue="1" operator="equal">
      <formula>"Towel"</formula>
    </cfRule>
    <cfRule type="cellIs" dxfId="22532" priority="8206" stopIfTrue="1" operator="equal">
      <formula>"Napkin Hs"</formula>
    </cfRule>
  </conditionalFormatting>
  <conditionalFormatting sqref="C79">
    <cfRule type="cellIs" dxfId="22531" priority="8203" stopIfTrue="1" operator="equal">
      <formula>"Towel"</formula>
    </cfRule>
    <cfRule type="cellIs" dxfId="22530" priority="8204" stopIfTrue="1" operator="equal">
      <formula>"Napkin Hs"</formula>
    </cfRule>
  </conditionalFormatting>
  <conditionalFormatting sqref="C79">
    <cfRule type="cellIs" dxfId="22529" priority="8201" stopIfTrue="1" operator="equal">
      <formula>"Towel"</formula>
    </cfRule>
    <cfRule type="cellIs" dxfId="22528" priority="8202" stopIfTrue="1" operator="equal">
      <formula>"Napkin Hs"</formula>
    </cfRule>
  </conditionalFormatting>
  <conditionalFormatting sqref="C79">
    <cfRule type="cellIs" dxfId="22527" priority="8200" stopIfTrue="1" operator="equal">
      <formula>"Napkin Hs"</formula>
    </cfRule>
  </conditionalFormatting>
  <conditionalFormatting sqref="C79">
    <cfRule type="cellIs" dxfId="22526" priority="8199" stopIfTrue="1" operator="equal">
      <formula>"Towel"</formula>
    </cfRule>
  </conditionalFormatting>
  <conditionalFormatting sqref="C79">
    <cfRule type="cellIs" dxfId="22525" priority="8198" stopIfTrue="1" operator="equal">
      <formula>"Napkin Hs"</formula>
    </cfRule>
  </conditionalFormatting>
  <conditionalFormatting sqref="C79">
    <cfRule type="cellIs" dxfId="22524" priority="8197" stopIfTrue="1" operator="equal">
      <formula>"Towel"</formula>
    </cfRule>
  </conditionalFormatting>
  <conditionalFormatting sqref="C79">
    <cfRule type="cellIs" dxfId="22523" priority="8195" stopIfTrue="1" operator="equal">
      <formula>"Towel"</formula>
    </cfRule>
    <cfRule type="cellIs" dxfId="22522" priority="8196" stopIfTrue="1" operator="equal">
      <formula>"Napkin Hs"</formula>
    </cfRule>
  </conditionalFormatting>
  <conditionalFormatting sqref="C79">
    <cfRule type="cellIs" dxfId="22521" priority="8193" stopIfTrue="1" operator="equal">
      <formula>"Towel"</formula>
    </cfRule>
    <cfRule type="cellIs" dxfId="22520" priority="8194" stopIfTrue="1" operator="equal">
      <formula>"Napkin Hs"</formula>
    </cfRule>
  </conditionalFormatting>
  <conditionalFormatting sqref="C79">
    <cfRule type="cellIs" dxfId="22519" priority="8189" stopIfTrue="1" operator="equal">
      <formula>"Towel"</formula>
    </cfRule>
    <cfRule type="cellIs" dxfId="22518" priority="8190" stopIfTrue="1" operator="equal">
      <formula>"Napkin Hs"</formula>
    </cfRule>
  </conditionalFormatting>
  <conditionalFormatting sqref="C79">
    <cfRule type="cellIs" dxfId="22517" priority="8191" stopIfTrue="1" operator="equal">
      <formula>"Towel"</formula>
    </cfRule>
    <cfRule type="cellIs" dxfId="22516" priority="8192" stopIfTrue="1" operator="equal">
      <formula>"Napkin Hs"</formula>
    </cfRule>
  </conditionalFormatting>
  <conditionalFormatting sqref="C79">
    <cfRule type="cellIs" dxfId="22515" priority="8183" stopIfTrue="1" operator="equal">
      <formula>"Towel"</formula>
    </cfRule>
    <cfRule type="cellIs" dxfId="22514" priority="8184" stopIfTrue="1" operator="equal">
      <formula>"Napkin Hs"</formula>
    </cfRule>
  </conditionalFormatting>
  <conditionalFormatting sqref="C79">
    <cfRule type="cellIs" dxfId="22513" priority="8181" stopIfTrue="1" operator="equal">
      <formula>"Towel"</formula>
    </cfRule>
    <cfRule type="cellIs" dxfId="22512" priority="8182" stopIfTrue="1" operator="equal">
      <formula>"Napkin Hs"</formula>
    </cfRule>
  </conditionalFormatting>
  <conditionalFormatting sqref="C79">
    <cfRule type="cellIs" dxfId="22511" priority="8179" stopIfTrue="1" operator="equal">
      <formula>"Towel"</formula>
    </cfRule>
    <cfRule type="cellIs" dxfId="22510" priority="8180" stopIfTrue="1" operator="equal">
      <formula>"Napkin Hs"</formula>
    </cfRule>
  </conditionalFormatting>
  <conditionalFormatting sqref="C79">
    <cfRule type="cellIs" dxfId="22509" priority="8177" stopIfTrue="1" operator="equal">
      <formula>"Towel"</formula>
    </cfRule>
    <cfRule type="cellIs" dxfId="22508" priority="8178" stopIfTrue="1" operator="equal">
      <formula>"Napkin Hs"</formula>
    </cfRule>
  </conditionalFormatting>
  <conditionalFormatting sqref="C79">
    <cfRule type="cellIs" dxfId="22507" priority="8175" stopIfTrue="1" operator="equal">
      <formula>"Towel"</formula>
    </cfRule>
    <cfRule type="cellIs" dxfId="22506" priority="8176" stopIfTrue="1" operator="equal">
      <formula>"Napkin Hs"</formula>
    </cfRule>
  </conditionalFormatting>
  <conditionalFormatting sqref="C79">
    <cfRule type="cellIs" dxfId="22505" priority="8173" stopIfTrue="1" operator="equal">
      <formula>"Towel"</formula>
    </cfRule>
    <cfRule type="cellIs" dxfId="22504" priority="8174" stopIfTrue="1" operator="equal">
      <formula>"Napkin Hs"</formula>
    </cfRule>
  </conditionalFormatting>
  <conditionalFormatting sqref="C79">
    <cfRule type="cellIs" dxfId="22503" priority="8171" stopIfTrue="1" operator="equal">
      <formula>"Towel"</formula>
    </cfRule>
    <cfRule type="cellIs" dxfId="22502" priority="8172" stopIfTrue="1" operator="equal">
      <formula>"Napkin Hs"</formula>
    </cfRule>
  </conditionalFormatting>
  <conditionalFormatting sqref="C79">
    <cfRule type="cellIs" dxfId="22501" priority="8169" stopIfTrue="1" operator="equal">
      <formula>"Towel"</formula>
    </cfRule>
    <cfRule type="cellIs" dxfId="22500" priority="8170" stopIfTrue="1" operator="equal">
      <formula>"Napkin Hs"</formula>
    </cfRule>
  </conditionalFormatting>
  <conditionalFormatting sqref="C79">
    <cfRule type="cellIs" dxfId="22499" priority="8167" stopIfTrue="1" operator="equal">
      <formula>"Towel"</formula>
    </cfRule>
    <cfRule type="cellIs" dxfId="22498" priority="8168" stopIfTrue="1" operator="equal">
      <formula>"Napkin Hs"</formula>
    </cfRule>
  </conditionalFormatting>
  <conditionalFormatting sqref="C79">
    <cfRule type="cellIs" dxfId="22497" priority="8165" stopIfTrue="1" operator="equal">
      <formula>"Towel"</formula>
    </cfRule>
    <cfRule type="cellIs" dxfId="22496" priority="8166" stopIfTrue="1" operator="equal">
      <formula>"Napkin Hs"</formula>
    </cfRule>
  </conditionalFormatting>
  <conditionalFormatting sqref="C79">
    <cfRule type="cellIs" dxfId="22495" priority="8159" stopIfTrue="1" operator="equal">
      <formula>"Towel"</formula>
    </cfRule>
    <cfRule type="cellIs" dxfId="22494" priority="8160" stopIfTrue="1" operator="equal">
      <formula>"Napkin Hs"</formula>
    </cfRule>
  </conditionalFormatting>
  <conditionalFormatting sqref="C79">
    <cfRule type="cellIs" dxfId="22493" priority="8153" stopIfTrue="1" operator="equal">
      <formula>"Towel"</formula>
    </cfRule>
    <cfRule type="cellIs" dxfId="22492" priority="8154" stopIfTrue="1" operator="equal">
      <formula>"Napkin Hs"</formula>
    </cfRule>
  </conditionalFormatting>
  <conditionalFormatting sqref="C79">
    <cfRule type="cellIs" dxfId="22491" priority="8147" stopIfTrue="1" operator="equal">
      <formula>"Towel"</formula>
    </cfRule>
    <cfRule type="cellIs" dxfId="22490" priority="8148" stopIfTrue="1" operator="equal">
      <formula>"Napkin Hs"</formula>
    </cfRule>
  </conditionalFormatting>
  <conditionalFormatting sqref="C79">
    <cfRule type="cellIs" dxfId="22489" priority="8146" stopIfTrue="1" operator="equal">
      <formula>"Napkin Hs"</formula>
    </cfRule>
  </conditionalFormatting>
  <conditionalFormatting sqref="C79">
    <cfRule type="cellIs" dxfId="22488" priority="8145" stopIfTrue="1" operator="equal">
      <formula>"Towel"</formula>
    </cfRule>
  </conditionalFormatting>
  <conditionalFormatting sqref="C79">
    <cfRule type="cellIs" dxfId="22487" priority="8144" stopIfTrue="1" operator="equal">
      <formula>"Napkin Hs"</formula>
    </cfRule>
  </conditionalFormatting>
  <conditionalFormatting sqref="C79">
    <cfRule type="cellIs" dxfId="22486" priority="8143" stopIfTrue="1" operator="equal">
      <formula>"Towel"</formula>
    </cfRule>
  </conditionalFormatting>
  <conditionalFormatting sqref="C79">
    <cfRule type="cellIs" dxfId="22485" priority="8141" stopIfTrue="1" operator="equal">
      <formula>"Towel"</formula>
    </cfRule>
    <cfRule type="cellIs" dxfId="22484" priority="8142" stopIfTrue="1" operator="equal">
      <formula>"Napkin Hs"</formula>
    </cfRule>
  </conditionalFormatting>
  <conditionalFormatting sqref="C79">
    <cfRule type="cellIs" dxfId="22483" priority="8139" stopIfTrue="1" operator="equal">
      <formula>"Towel"</formula>
    </cfRule>
    <cfRule type="cellIs" dxfId="22482" priority="8140" stopIfTrue="1" operator="equal">
      <formula>"Napkin Hs"</formula>
    </cfRule>
  </conditionalFormatting>
  <conditionalFormatting sqref="C79">
    <cfRule type="cellIs" dxfId="22481" priority="8137" stopIfTrue="1" operator="equal">
      <formula>"Towel"</formula>
    </cfRule>
    <cfRule type="cellIs" dxfId="22480" priority="8138" stopIfTrue="1" operator="equal">
      <formula>"Napkin Hs"</formula>
    </cfRule>
  </conditionalFormatting>
  <conditionalFormatting sqref="C79">
    <cfRule type="cellIs" dxfId="22479" priority="8127" stopIfTrue="1" operator="equal">
      <formula>"Towel"</formula>
    </cfRule>
    <cfRule type="cellIs" dxfId="22478" priority="8128" stopIfTrue="1" operator="equal">
      <formula>"Napkin Hs"</formula>
    </cfRule>
  </conditionalFormatting>
  <conditionalFormatting sqref="C79">
    <cfRule type="cellIs" dxfId="22477" priority="8125" stopIfTrue="1" operator="equal">
      <formula>"Towel"</formula>
    </cfRule>
    <cfRule type="cellIs" dxfId="22476" priority="8126" stopIfTrue="1" operator="equal">
      <formula>"Napkin Hs"</formula>
    </cfRule>
  </conditionalFormatting>
  <conditionalFormatting sqref="C79">
    <cfRule type="cellIs" dxfId="22475" priority="8123" stopIfTrue="1" operator="equal">
      <formula>"Towel"</formula>
    </cfRule>
    <cfRule type="cellIs" dxfId="22474" priority="8124" stopIfTrue="1" operator="equal">
      <formula>"Napkin Hs"</formula>
    </cfRule>
  </conditionalFormatting>
  <conditionalFormatting sqref="C79">
    <cfRule type="cellIs" dxfId="22473" priority="8121" stopIfTrue="1" operator="equal">
      <formula>"Towel"</formula>
    </cfRule>
    <cfRule type="cellIs" dxfId="22472" priority="8122" stopIfTrue="1" operator="equal">
      <formula>"Napkin Hs"</formula>
    </cfRule>
  </conditionalFormatting>
  <conditionalFormatting sqref="C79">
    <cfRule type="cellIs" dxfId="22471" priority="8119" stopIfTrue="1" operator="equal">
      <formula>"Towel"</formula>
    </cfRule>
    <cfRule type="cellIs" dxfId="22470" priority="8120" stopIfTrue="1" operator="equal">
      <formula>"Napkin Hs"</formula>
    </cfRule>
  </conditionalFormatting>
  <conditionalFormatting sqref="C79">
    <cfRule type="cellIs" dxfId="22469" priority="8117" stopIfTrue="1" operator="equal">
      <formula>"Towel"</formula>
    </cfRule>
    <cfRule type="cellIs" dxfId="22468" priority="8118" stopIfTrue="1" operator="equal">
      <formula>"Napkin Hs"</formula>
    </cfRule>
  </conditionalFormatting>
  <conditionalFormatting sqref="C79">
    <cfRule type="cellIs" dxfId="22467" priority="8115" stopIfTrue="1" operator="equal">
      <formula>"Towel"</formula>
    </cfRule>
    <cfRule type="cellIs" dxfId="22466" priority="8116" stopIfTrue="1" operator="equal">
      <formula>"Napkin Hs"</formula>
    </cfRule>
  </conditionalFormatting>
  <conditionalFormatting sqref="C79">
    <cfRule type="cellIs" dxfId="22465" priority="8113" stopIfTrue="1" operator="equal">
      <formula>"Towel"</formula>
    </cfRule>
    <cfRule type="cellIs" dxfId="22464" priority="8114" stopIfTrue="1" operator="equal">
      <formula>"Napkin Hs"</formula>
    </cfRule>
  </conditionalFormatting>
  <conditionalFormatting sqref="C79">
    <cfRule type="cellIs" dxfId="22463" priority="8111" stopIfTrue="1" operator="equal">
      <formula>"Towel"</formula>
    </cfRule>
    <cfRule type="cellIs" dxfId="22462" priority="8112" stopIfTrue="1" operator="equal">
      <formula>"Napkin Hs"</formula>
    </cfRule>
  </conditionalFormatting>
  <conditionalFormatting sqref="C79">
    <cfRule type="cellIs" dxfId="22461" priority="8098" stopIfTrue="1" operator="equal">
      <formula>"Napkin Hs"</formula>
    </cfRule>
  </conditionalFormatting>
  <conditionalFormatting sqref="C79">
    <cfRule type="cellIs" dxfId="22460" priority="8097" stopIfTrue="1" operator="equal">
      <formula>"Towel"</formula>
    </cfRule>
  </conditionalFormatting>
  <conditionalFormatting sqref="C79">
    <cfRule type="cellIs" dxfId="22459" priority="8096" stopIfTrue="1" operator="equal">
      <formula>"Napkin Hs"</formula>
    </cfRule>
  </conditionalFormatting>
  <conditionalFormatting sqref="C79">
    <cfRule type="cellIs" dxfId="22458" priority="8093" stopIfTrue="1" operator="equal">
      <formula>"Towel"</formula>
    </cfRule>
    <cfRule type="cellIs" dxfId="22457" priority="8094" stopIfTrue="1" operator="equal">
      <formula>"Napkin Hs"</formula>
    </cfRule>
  </conditionalFormatting>
  <conditionalFormatting sqref="C79">
    <cfRule type="cellIs" dxfId="22456" priority="8095" stopIfTrue="1" operator="equal">
      <formula>"Towel"</formula>
    </cfRule>
  </conditionalFormatting>
  <conditionalFormatting sqref="C79">
    <cfRule type="cellIs" dxfId="22455" priority="8213" stopIfTrue="1" operator="equal">
      <formula>"Towel"</formula>
    </cfRule>
    <cfRule type="cellIs" dxfId="22454" priority="8214" stopIfTrue="1" operator="equal">
      <formula>"Napkin Hs"</formula>
    </cfRule>
  </conditionalFormatting>
  <conditionalFormatting sqref="C79">
    <cfRule type="cellIs" dxfId="22453" priority="8212" stopIfTrue="1" operator="equal">
      <formula>"Napkin Hs"</formula>
    </cfRule>
  </conditionalFormatting>
  <conditionalFormatting sqref="C79">
    <cfRule type="cellIs" dxfId="22452" priority="8211" stopIfTrue="1" operator="equal">
      <formula>"Towel"</formula>
    </cfRule>
  </conditionalFormatting>
  <conditionalFormatting sqref="C79">
    <cfRule type="cellIs" dxfId="22451" priority="8210" stopIfTrue="1" operator="equal">
      <formula>"Napkin Hs"</formula>
    </cfRule>
  </conditionalFormatting>
  <conditionalFormatting sqref="C79">
    <cfRule type="cellIs" dxfId="22450" priority="8207" stopIfTrue="1" operator="equal">
      <formula>"Towel"</formula>
    </cfRule>
    <cfRule type="cellIs" dxfId="22449" priority="8208" stopIfTrue="1" operator="equal">
      <formula>"Napkin Hs"</formula>
    </cfRule>
  </conditionalFormatting>
  <conditionalFormatting sqref="C79">
    <cfRule type="cellIs" dxfId="22448" priority="8209" stopIfTrue="1" operator="equal">
      <formula>"Towel"</formula>
    </cfRule>
  </conditionalFormatting>
  <conditionalFormatting sqref="C79">
    <cfRule type="cellIs" dxfId="22447" priority="8217" stopIfTrue="1" operator="equal">
      <formula>"Towel"</formula>
    </cfRule>
    <cfRule type="cellIs" dxfId="22446" priority="8218" stopIfTrue="1" operator="equal">
      <formula>"Napkin Hs"</formula>
    </cfRule>
  </conditionalFormatting>
  <conditionalFormatting sqref="C79">
    <cfRule type="cellIs" dxfId="22445" priority="8215" stopIfTrue="1" operator="equal">
      <formula>"Towel"</formula>
    </cfRule>
    <cfRule type="cellIs" dxfId="22444" priority="8216" stopIfTrue="1" operator="equal">
      <formula>"Napkin Hs"</formula>
    </cfRule>
  </conditionalFormatting>
  <conditionalFormatting sqref="C79">
    <cfRule type="cellIs" dxfId="22443" priority="8187" stopIfTrue="1" operator="equal">
      <formula>"Towel"</formula>
    </cfRule>
    <cfRule type="cellIs" dxfId="22442" priority="8188" stopIfTrue="1" operator="equal">
      <formula>"Napkin Hs"</formula>
    </cfRule>
  </conditionalFormatting>
  <conditionalFormatting sqref="C79">
    <cfRule type="cellIs" dxfId="22441" priority="8185" stopIfTrue="1" operator="equal">
      <formula>"Towel"</formula>
    </cfRule>
    <cfRule type="cellIs" dxfId="22440" priority="8186" stopIfTrue="1" operator="equal">
      <formula>"Napkin Hs"</formula>
    </cfRule>
  </conditionalFormatting>
  <conditionalFormatting sqref="C79">
    <cfRule type="cellIs" dxfId="22439" priority="8164" stopIfTrue="1" operator="equal">
      <formula>"Napkin Hs"</formula>
    </cfRule>
  </conditionalFormatting>
  <conditionalFormatting sqref="C79">
    <cfRule type="cellIs" dxfId="22438" priority="8163" stopIfTrue="1" operator="equal">
      <formula>"Towel"</formula>
    </cfRule>
  </conditionalFormatting>
  <conditionalFormatting sqref="C79">
    <cfRule type="cellIs" dxfId="22437" priority="8162" stopIfTrue="1" operator="equal">
      <formula>"Napkin Hs"</formula>
    </cfRule>
  </conditionalFormatting>
  <conditionalFormatting sqref="C79">
    <cfRule type="cellIs" dxfId="22436" priority="8161" stopIfTrue="1" operator="equal">
      <formula>"Towel"</formula>
    </cfRule>
  </conditionalFormatting>
  <conditionalFormatting sqref="C79">
    <cfRule type="cellIs" dxfId="22435" priority="8158" stopIfTrue="1" operator="equal">
      <formula>"Napkin Hs"</formula>
    </cfRule>
  </conditionalFormatting>
  <conditionalFormatting sqref="C79">
    <cfRule type="cellIs" dxfId="22434" priority="8157" stopIfTrue="1" operator="equal">
      <formula>"Towel"</formula>
    </cfRule>
  </conditionalFormatting>
  <conditionalFormatting sqref="C79">
    <cfRule type="cellIs" dxfId="22433" priority="8156" stopIfTrue="1" operator="equal">
      <formula>"Napkin Hs"</formula>
    </cfRule>
  </conditionalFormatting>
  <conditionalFormatting sqref="C79">
    <cfRule type="cellIs" dxfId="22432" priority="8155" stopIfTrue="1" operator="equal">
      <formula>"Towel"</formula>
    </cfRule>
  </conditionalFormatting>
  <conditionalFormatting sqref="C79">
    <cfRule type="cellIs" dxfId="22431" priority="8151" stopIfTrue="1" operator="equal">
      <formula>"Towel"</formula>
    </cfRule>
    <cfRule type="cellIs" dxfId="22430" priority="8152" stopIfTrue="1" operator="equal">
      <formula>"Napkin Hs"</formula>
    </cfRule>
  </conditionalFormatting>
  <conditionalFormatting sqref="C79">
    <cfRule type="cellIs" dxfId="22429" priority="8149" stopIfTrue="1" operator="equal">
      <formula>"Towel"</formula>
    </cfRule>
    <cfRule type="cellIs" dxfId="22428" priority="8150" stopIfTrue="1" operator="equal">
      <formula>"Napkin Hs"</formula>
    </cfRule>
  </conditionalFormatting>
  <conditionalFormatting sqref="C79">
    <cfRule type="cellIs" dxfId="22427" priority="8133" stopIfTrue="1" operator="equal">
      <formula>"Towel"</formula>
    </cfRule>
    <cfRule type="cellIs" dxfId="22426" priority="8134" stopIfTrue="1" operator="equal">
      <formula>"Napkin Hs"</formula>
    </cfRule>
  </conditionalFormatting>
  <conditionalFormatting sqref="C79">
    <cfRule type="cellIs" dxfId="22425" priority="8131" stopIfTrue="1" operator="equal">
      <formula>"Towel"</formula>
    </cfRule>
    <cfRule type="cellIs" dxfId="22424" priority="8132" stopIfTrue="1" operator="equal">
      <formula>"Napkin Hs"</formula>
    </cfRule>
  </conditionalFormatting>
  <conditionalFormatting sqref="B79:C79">
    <cfRule type="cellIs" dxfId="22423" priority="8092" stopIfTrue="1" operator="equal">
      <formula>"Napkin Hs"</formula>
    </cfRule>
  </conditionalFormatting>
  <conditionalFormatting sqref="B79:C79">
    <cfRule type="cellIs" dxfId="22422" priority="8091" stopIfTrue="1" operator="equal">
      <formula>"Towel"</formula>
    </cfRule>
  </conditionalFormatting>
  <conditionalFormatting sqref="C79">
    <cfRule type="cellIs" dxfId="22421" priority="8090" stopIfTrue="1" operator="equal">
      <formula>"Napkin Hs"</formula>
    </cfRule>
  </conditionalFormatting>
  <conditionalFormatting sqref="C79">
    <cfRule type="cellIs" dxfId="22420" priority="8087" stopIfTrue="1" operator="equal">
      <formula>"Towel"</formula>
    </cfRule>
    <cfRule type="cellIs" dxfId="22419" priority="8088" stopIfTrue="1" operator="equal">
      <formula>"Napkin Hs"</formula>
    </cfRule>
  </conditionalFormatting>
  <conditionalFormatting sqref="C79">
    <cfRule type="cellIs" dxfId="22418" priority="8089" stopIfTrue="1" operator="equal">
      <formula>"Towel"</formula>
    </cfRule>
  </conditionalFormatting>
  <conditionalFormatting sqref="B90:C90">
    <cfRule type="cellIs" dxfId="22417" priority="8085" stopIfTrue="1" operator="equal">
      <formula>"Towel"</formula>
    </cfRule>
    <cfRule type="cellIs" dxfId="22416" priority="8086" stopIfTrue="1" operator="equal">
      <formula>"Napkin Hs"</formula>
    </cfRule>
  </conditionalFormatting>
  <conditionalFormatting sqref="C90">
    <cfRule type="cellIs" dxfId="22415" priority="8083" stopIfTrue="1" operator="equal">
      <formula>"Towel"</formula>
    </cfRule>
    <cfRule type="cellIs" dxfId="22414" priority="8084" stopIfTrue="1" operator="equal">
      <formula>"Napkin Hs"</formula>
    </cfRule>
  </conditionalFormatting>
  <conditionalFormatting sqref="C90">
    <cfRule type="cellIs" dxfId="22413" priority="8081" stopIfTrue="1" operator="equal">
      <formula>"Towel"</formula>
    </cfRule>
    <cfRule type="cellIs" dxfId="22412" priority="8082" stopIfTrue="1" operator="equal">
      <formula>"Napkin Hs"</formula>
    </cfRule>
  </conditionalFormatting>
  <conditionalFormatting sqref="B89:C89">
    <cfRule type="cellIs" dxfId="22411" priority="8043" stopIfTrue="1" operator="equal">
      <formula>"Towel"</formula>
    </cfRule>
    <cfRule type="cellIs" dxfId="22410" priority="8044" stopIfTrue="1" operator="equal">
      <formula>"Napkin Hs"</formula>
    </cfRule>
  </conditionalFormatting>
  <conditionalFormatting sqref="C89">
    <cfRule type="cellIs" dxfId="22409" priority="8039" stopIfTrue="1" operator="equal">
      <formula>"Towel"</formula>
    </cfRule>
    <cfRule type="cellIs" dxfId="22408" priority="8040" stopIfTrue="1" operator="equal">
      <formula>"Napkin Hs"</formula>
    </cfRule>
  </conditionalFormatting>
  <conditionalFormatting sqref="C89">
    <cfRule type="cellIs" dxfId="22407" priority="8041" stopIfTrue="1" operator="equal">
      <formula>"Towel"</formula>
    </cfRule>
    <cfRule type="cellIs" dxfId="22406" priority="8042" stopIfTrue="1" operator="equal">
      <formula>"Napkin Hs"</formula>
    </cfRule>
  </conditionalFormatting>
  <conditionalFormatting sqref="B89:C89">
    <cfRule type="cellIs" dxfId="22405" priority="8037" stopIfTrue="1" operator="equal">
      <formula>"Towel"</formula>
    </cfRule>
    <cfRule type="cellIs" dxfId="22404" priority="8038" stopIfTrue="1" operator="equal">
      <formula>"Napkin Hs"</formula>
    </cfRule>
  </conditionalFormatting>
  <conditionalFormatting sqref="C89">
    <cfRule type="cellIs" dxfId="22403" priority="8033" stopIfTrue="1" operator="equal">
      <formula>"Towel"</formula>
    </cfRule>
    <cfRule type="cellIs" dxfId="22402" priority="8034" stopIfTrue="1" operator="equal">
      <formula>"Napkin Hs"</formula>
    </cfRule>
  </conditionalFormatting>
  <conditionalFormatting sqref="C89">
    <cfRule type="cellIs" dxfId="22401" priority="8035" stopIfTrue="1" operator="equal">
      <formula>"Towel"</formula>
    </cfRule>
    <cfRule type="cellIs" dxfId="22400" priority="8036" stopIfTrue="1" operator="equal">
      <formula>"Napkin Hs"</formula>
    </cfRule>
  </conditionalFormatting>
  <conditionalFormatting sqref="B89:C89">
    <cfRule type="cellIs" dxfId="22399" priority="8031" stopIfTrue="1" operator="equal">
      <formula>"Towel"</formula>
    </cfRule>
    <cfRule type="cellIs" dxfId="22398" priority="8032" stopIfTrue="1" operator="equal">
      <formula>"Napkin Hs"</formula>
    </cfRule>
  </conditionalFormatting>
  <conditionalFormatting sqref="C89">
    <cfRule type="cellIs" dxfId="22397" priority="8029" stopIfTrue="1" operator="equal">
      <formula>"Towel"</formula>
    </cfRule>
    <cfRule type="cellIs" dxfId="22396" priority="8030" stopIfTrue="1" operator="equal">
      <formula>"Napkin Hs"</formula>
    </cfRule>
  </conditionalFormatting>
  <conditionalFormatting sqref="C89">
    <cfRule type="cellIs" dxfId="22395" priority="8027" stopIfTrue="1" operator="equal">
      <formula>"Towel"</formula>
    </cfRule>
    <cfRule type="cellIs" dxfId="22394" priority="8028" stopIfTrue="1" operator="equal">
      <formula>"Napkin Hs"</formula>
    </cfRule>
  </conditionalFormatting>
  <conditionalFormatting sqref="B89:C89">
    <cfRule type="cellIs" dxfId="22393" priority="8025" stopIfTrue="1" operator="equal">
      <formula>"Towel"</formula>
    </cfRule>
    <cfRule type="cellIs" dxfId="22392" priority="8026" stopIfTrue="1" operator="equal">
      <formula>"Napkin Hs"</formula>
    </cfRule>
  </conditionalFormatting>
  <conditionalFormatting sqref="C89">
    <cfRule type="cellIs" dxfId="22391" priority="8023" stopIfTrue="1" operator="equal">
      <formula>"Towel"</formula>
    </cfRule>
    <cfRule type="cellIs" dxfId="22390" priority="8024" stopIfTrue="1" operator="equal">
      <formula>"Napkin Hs"</formula>
    </cfRule>
  </conditionalFormatting>
  <conditionalFormatting sqref="C89">
    <cfRule type="cellIs" dxfId="22389" priority="8021" stopIfTrue="1" operator="equal">
      <formula>"Towel"</formula>
    </cfRule>
    <cfRule type="cellIs" dxfId="22388" priority="8022" stopIfTrue="1" operator="equal">
      <formula>"Napkin Hs"</formula>
    </cfRule>
  </conditionalFormatting>
  <conditionalFormatting sqref="B89:C89">
    <cfRule type="cellIs" dxfId="22387" priority="8019" stopIfTrue="1" operator="equal">
      <formula>"Towel"</formula>
    </cfRule>
    <cfRule type="cellIs" dxfId="22386" priority="8020" stopIfTrue="1" operator="equal">
      <formula>"Napkin Hs"</formula>
    </cfRule>
  </conditionalFormatting>
  <conditionalFormatting sqref="C89">
    <cfRule type="cellIs" dxfId="22385" priority="8017" stopIfTrue="1" operator="equal">
      <formula>"Towel"</formula>
    </cfRule>
    <cfRule type="cellIs" dxfId="22384" priority="8018" stopIfTrue="1" operator="equal">
      <formula>"Napkin Hs"</formula>
    </cfRule>
  </conditionalFormatting>
  <conditionalFormatting sqref="C89">
    <cfRule type="cellIs" dxfId="22383" priority="8015" stopIfTrue="1" operator="equal">
      <formula>"Towel"</formula>
    </cfRule>
    <cfRule type="cellIs" dxfId="22382" priority="8016" stopIfTrue="1" operator="equal">
      <formula>"Napkin Hs"</formula>
    </cfRule>
  </conditionalFormatting>
  <conditionalFormatting sqref="B89:C89">
    <cfRule type="cellIs" dxfId="22381" priority="8014" stopIfTrue="1" operator="equal">
      <formula>"Napkin Hs"</formula>
    </cfRule>
  </conditionalFormatting>
  <conditionalFormatting sqref="B89:C89">
    <cfRule type="cellIs" dxfId="22380" priority="8013" stopIfTrue="1" operator="equal">
      <formula>"Towel"</formula>
    </cfRule>
  </conditionalFormatting>
  <conditionalFormatting sqref="C89">
    <cfRule type="cellIs" dxfId="22379" priority="8012" stopIfTrue="1" operator="equal">
      <formula>"Napkin Hs"</formula>
    </cfRule>
  </conditionalFormatting>
  <conditionalFormatting sqref="C89">
    <cfRule type="cellIs" dxfId="22378" priority="8009" stopIfTrue="1" operator="equal">
      <formula>"Towel"</formula>
    </cfRule>
    <cfRule type="cellIs" dxfId="22377" priority="8010" stopIfTrue="1" operator="equal">
      <formula>"Napkin Hs"</formula>
    </cfRule>
  </conditionalFormatting>
  <conditionalFormatting sqref="C89">
    <cfRule type="cellIs" dxfId="22376" priority="8011" stopIfTrue="1" operator="equal">
      <formula>"Towel"</formula>
    </cfRule>
  </conditionalFormatting>
  <conditionalFormatting sqref="B88:C88">
    <cfRule type="cellIs" dxfId="22375" priority="8007" stopIfTrue="1" operator="equal">
      <formula>"Towel"</formula>
    </cfRule>
    <cfRule type="cellIs" dxfId="22374" priority="8008" stopIfTrue="1" operator="equal">
      <formula>"Napkin Hs"</formula>
    </cfRule>
  </conditionalFormatting>
  <conditionalFormatting sqref="C88">
    <cfRule type="cellIs" dxfId="22373" priority="8003" stopIfTrue="1" operator="equal">
      <formula>"Towel"</formula>
    </cfRule>
    <cfRule type="cellIs" dxfId="22372" priority="8004" stopIfTrue="1" operator="equal">
      <formula>"Napkin Hs"</formula>
    </cfRule>
  </conditionalFormatting>
  <conditionalFormatting sqref="C88">
    <cfRule type="cellIs" dxfId="22371" priority="8005" stopIfTrue="1" operator="equal">
      <formula>"Towel"</formula>
    </cfRule>
    <cfRule type="cellIs" dxfId="22370" priority="8006" stopIfTrue="1" operator="equal">
      <formula>"Napkin Hs"</formula>
    </cfRule>
  </conditionalFormatting>
  <conditionalFormatting sqref="B88:C88">
    <cfRule type="cellIs" dxfId="22369" priority="8002" stopIfTrue="1" operator="equal">
      <formula>"Napkin Hs"</formula>
    </cfRule>
  </conditionalFormatting>
  <conditionalFormatting sqref="B88:C88">
    <cfRule type="cellIs" dxfId="22368" priority="8001" stopIfTrue="1" operator="equal">
      <formula>"Towel"</formula>
    </cfRule>
  </conditionalFormatting>
  <conditionalFormatting sqref="C88">
    <cfRule type="cellIs" dxfId="22367" priority="8000" stopIfTrue="1" operator="equal">
      <formula>"Napkin Hs"</formula>
    </cfRule>
  </conditionalFormatting>
  <conditionalFormatting sqref="C88">
    <cfRule type="cellIs" dxfId="22366" priority="7999" stopIfTrue="1" operator="equal">
      <formula>"Towel"</formula>
    </cfRule>
  </conditionalFormatting>
  <conditionalFormatting sqref="C88">
    <cfRule type="cellIs" dxfId="22365" priority="7997" stopIfTrue="1" operator="equal">
      <formula>"Towel"</formula>
    </cfRule>
    <cfRule type="cellIs" dxfId="22364" priority="7998" stopIfTrue="1" operator="equal">
      <formula>"Napkin Hs"</formula>
    </cfRule>
  </conditionalFormatting>
  <conditionalFormatting sqref="B88:C88">
    <cfRule type="cellIs" dxfId="22363" priority="7995" stopIfTrue="1" operator="equal">
      <formula>"Towel"</formula>
    </cfRule>
    <cfRule type="cellIs" dxfId="22362" priority="7996" stopIfTrue="1" operator="equal">
      <formula>"Napkin Hs"</formula>
    </cfRule>
  </conditionalFormatting>
  <conditionalFormatting sqref="C88">
    <cfRule type="cellIs" dxfId="22361" priority="7993" stopIfTrue="1" operator="equal">
      <formula>"Towel"</formula>
    </cfRule>
    <cfRule type="cellIs" dxfId="22360" priority="7994" stopIfTrue="1" operator="equal">
      <formula>"Napkin Hs"</formula>
    </cfRule>
  </conditionalFormatting>
  <conditionalFormatting sqref="C88">
    <cfRule type="cellIs" dxfId="22359" priority="7991" stopIfTrue="1" operator="equal">
      <formula>"Towel"</formula>
    </cfRule>
    <cfRule type="cellIs" dxfId="22358" priority="7992" stopIfTrue="1" operator="equal">
      <formula>"Napkin Hs"</formula>
    </cfRule>
  </conditionalFormatting>
  <conditionalFormatting sqref="B88:C88">
    <cfRule type="cellIs" dxfId="22357" priority="7989" stopIfTrue="1" operator="equal">
      <formula>"Towel"</formula>
    </cfRule>
    <cfRule type="cellIs" dxfId="22356" priority="7990" stopIfTrue="1" operator="equal">
      <formula>"Napkin Hs"</formula>
    </cfRule>
  </conditionalFormatting>
  <conditionalFormatting sqref="C88">
    <cfRule type="cellIs" dxfId="22355" priority="7987" stopIfTrue="1" operator="equal">
      <formula>"Towel"</formula>
    </cfRule>
    <cfRule type="cellIs" dxfId="22354" priority="7988" stopIfTrue="1" operator="equal">
      <formula>"Napkin Hs"</formula>
    </cfRule>
  </conditionalFormatting>
  <conditionalFormatting sqref="C88">
    <cfRule type="cellIs" dxfId="22353" priority="7985" stopIfTrue="1" operator="equal">
      <formula>"Towel"</formula>
    </cfRule>
    <cfRule type="cellIs" dxfId="22352" priority="7986" stopIfTrue="1" operator="equal">
      <formula>"Napkin Hs"</formula>
    </cfRule>
  </conditionalFormatting>
  <conditionalFormatting sqref="B88:C88">
    <cfRule type="cellIs" dxfId="22351" priority="7983" stopIfTrue="1" operator="equal">
      <formula>"Towel"</formula>
    </cfRule>
    <cfRule type="cellIs" dxfId="22350" priority="7984" stopIfTrue="1" operator="equal">
      <formula>"Napkin Hs"</formula>
    </cfRule>
  </conditionalFormatting>
  <conditionalFormatting sqref="C88">
    <cfRule type="cellIs" dxfId="22349" priority="7981" stopIfTrue="1" operator="equal">
      <formula>"Towel"</formula>
    </cfRule>
    <cfRule type="cellIs" dxfId="22348" priority="7982" stopIfTrue="1" operator="equal">
      <formula>"Napkin Hs"</formula>
    </cfRule>
  </conditionalFormatting>
  <conditionalFormatting sqref="C88">
    <cfRule type="cellIs" dxfId="22347" priority="7979" stopIfTrue="1" operator="equal">
      <formula>"Towel"</formula>
    </cfRule>
    <cfRule type="cellIs" dxfId="22346" priority="7980" stopIfTrue="1" operator="equal">
      <formula>"Napkin Hs"</formula>
    </cfRule>
  </conditionalFormatting>
  <conditionalFormatting sqref="B88:C88">
    <cfRule type="cellIs" dxfId="22345" priority="7977" stopIfTrue="1" operator="equal">
      <formula>"Towel"</formula>
    </cfRule>
    <cfRule type="cellIs" dxfId="22344" priority="7978" stopIfTrue="1" operator="equal">
      <formula>"Napkin Hs"</formula>
    </cfRule>
  </conditionalFormatting>
  <conditionalFormatting sqref="C88">
    <cfRule type="cellIs" dxfId="22343" priority="7975" stopIfTrue="1" operator="equal">
      <formula>"Towel"</formula>
    </cfRule>
    <cfRule type="cellIs" dxfId="22342" priority="7976" stopIfTrue="1" operator="equal">
      <formula>"Napkin Hs"</formula>
    </cfRule>
  </conditionalFormatting>
  <conditionalFormatting sqref="C88">
    <cfRule type="cellIs" dxfId="22341" priority="7973" stopIfTrue="1" operator="equal">
      <formula>"Towel"</formula>
    </cfRule>
    <cfRule type="cellIs" dxfId="22340" priority="7974" stopIfTrue="1" operator="equal">
      <formula>"Napkin Hs"</formula>
    </cfRule>
  </conditionalFormatting>
  <conditionalFormatting sqref="B88:C88">
    <cfRule type="cellIs" dxfId="22339" priority="7971" stopIfTrue="1" operator="equal">
      <formula>"Towel"</formula>
    </cfRule>
    <cfRule type="cellIs" dxfId="22338" priority="7972" stopIfTrue="1" operator="equal">
      <formula>"Napkin Hs"</formula>
    </cfRule>
  </conditionalFormatting>
  <conditionalFormatting sqref="C88">
    <cfRule type="cellIs" dxfId="22337" priority="7969" stopIfTrue="1" operator="equal">
      <formula>"Towel"</formula>
    </cfRule>
    <cfRule type="cellIs" dxfId="22336" priority="7970" stopIfTrue="1" operator="equal">
      <formula>"Napkin Hs"</formula>
    </cfRule>
  </conditionalFormatting>
  <conditionalFormatting sqref="C88">
    <cfRule type="cellIs" dxfId="22335" priority="7967" stopIfTrue="1" operator="equal">
      <formula>"Towel"</formula>
    </cfRule>
    <cfRule type="cellIs" dxfId="22334" priority="7968" stopIfTrue="1" operator="equal">
      <formula>"Napkin Hs"</formula>
    </cfRule>
  </conditionalFormatting>
  <conditionalFormatting sqref="B88:C88">
    <cfRule type="cellIs" dxfId="22333" priority="7966" stopIfTrue="1" operator="equal">
      <formula>"Napkin Hs"</formula>
    </cfRule>
  </conditionalFormatting>
  <conditionalFormatting sqref="B88:C88">
    <cfRule type="cellIs" dxfId="22332" priority="7965" stopIfTrue="1" operator="equal">
      <formula>"Towel"</formula>
    </cfRule>
  </conditionalFormatting>
  <conditionalFormatting sqref="C88">
    <cfRule type="cellIs" dxfId="22331" priority="7964" stopIfTrue="1" operator="equal">
      <formula>"Napkin Hs"</formula>
    </cfRule>
  </conditionalFormatting>
  <conditionalFormatting sqref="C88">
    <cfRule type="cellIs" dxfId="22330" priority="7961" stopIfTrue="1" operator="equal">
      <formula>"Towel"</formula>
    </cfRule>
    <cfRule type="cellIs" dxfId="22329" priority="7962" stopIfTrue="1" operator="equal">
      <formula>"Napkin Hs"</formula>
    </cfRule>
  </conditionalFormatting>
  <conditionalFormatting sqref="C88">
    <cfRule type="cellIs" dxfId="22328" priority="7963" stopIfTrue="1" operator="equal">
      <formula>"Towel"</formula>
    </cfRule>
  </conditionalFormatting>
  <conditionalFormatting sqref="B87:C87">
    <cfRule type="cellIs" dxfId="22327" priority="7959" stopIfTrue="1" operator="equal">
      <formula>"Towel"</formula>
    </cfRule>
    <cfRule type="cellIs" dxfId="22326" priority="7960" stopIfTrue="1" operator="equal">
      <formula>"Napkin Hs"</formula>
    </cfRule>
  </conditionalFormatting>
  <conditionalFormatting sqref="C87">
    <cfRule type="cellIs" dxfId="22325" priority="7955" stopIfTrue="1" operator="equal">
      <formula>"Towel"</formula>
    </cfRule>
    <cfRule type="cellIs" dxfId="22324" priority="7956" stopIfTrue="1" operator="equal">
      <formula>"Napkin Hs"</formula>
    </cfRule>
  </conditionalFormatting>
  <conditionalFormatting sqref="C87">
    <cfRule type="cellIs" dxfId="22323" priority="7957" stopIfTrue="1" operator="equal">
      <formula>"Towel"</formula>
    </cfRule>
    <cfRule type="cellIs" dxfId="22322" priority="7958" stopIfTrue="1" operator="equal">
      <formula>"Napkin Hs"</formula>
    </cfRule>
  </conditionalFormatting>
  <conditionalFormatting sqref="B87:C87">
    <cfRule type="cellIs" dxfId="22321" priority="7954" stopIfTrue="1" operator="equal">
      <formula>"Napkin Hs"</formula>
    </cfRule>
  </conditionalFormatting>
  <conditionalFormatting sqref="B87:C87">
    <cfRule type="cellIs" dxfId="22320" priority="7953" stopIfTrue="1" operator="equal">
      <formula>"Towel"</formula>
    </cfRule>
  </conditionalFormatting>
  <conditionalFormatting sqref="C87">
    <cfRule type="cellIs" dxfId="22319" priority="7952" stopIfTrue="1" operator="equal">
      <formula>"Napkin Hs"</formula>
    </cfRule>
  </conditionalFormatting>
  <conditionalFormatting sqref="C87">
    <cfRule type="cellIs" dxfId="22318" priority="7951" stopIfTrue="1" operator="equal">
      <formula>"Towel"</formula>
    </cfRule>
  </conditionalFormatting>
  <conditionalFormatting sqref="C87">
    <cfRule type="cellIs" dxfId="22317" priority="7949" stopIfTrue="1" operator="equal">
      <formula>"Towel"</formula>
    </cfRule>
    <cfRule type="cellIs" dxfId="22316" priority="7950" stopIfTrue="1" operator="equal">
      <formula>"Napkin Hs"</formula>
    </cfRule>
  </conditionalFormatting>
  <conditionalFormatting sqref="B87:C87">
    <cfRule type="cellIs" dxfId="22315" priority="7947" stopIfTrue="1" operator="equal">
      <formula>"Towel"</formula>
    </cfRule>
    <cfRule type="cellIs" dxfId="22314" priority="7948" stopIfTrue="1" operator="equal">
      <formula>"Napkin Hs"</formula>
    </cfRule>
  </conditionalFormatting>
  <conditionalFormatting sqref="C87">
    <cfRule type="cellIs" dxfId="22313" priority="7945" stopIfTrue="1" operator="equal">
      <formula>"Towel"</formula>
    </cfRule>
    <cfRule type="cellIs" dxfId="22312" priority="7946" stopIfTrue="1" operator="equal">
      <formula>"Napkin Hs"</formula>
    </cfRule>
  </conditionalFormatting>
  <conditionalFormatting sqref="C87">
    <cfRule type="cellIs" dxfId="22311" priority="7943" stopIfTrue="1" operator="equal">
      <formula>"Towel"</formula>
    </cfRule>
    <cfRule type="cellIs" dxfId="22310" priority="7944" stopIfTrue="1" operator="equal">
      <formula>"Napkin Hs"</formula>
    </cfRule>
  </conditionalFormatting>
  <conditionalFormatting sqref="B87:C87">
    <cfRule type="cellIs" dxfId="22309" priority="7941" stopIfTrue="1" operator="equal">
      <formula>"Towel"</formula>
    </cfRule>
    <cfRule type="cellIs" dxfId="22308" priority="7942" stopIfTrue="1" operator="equal">
      <formula>"Napkin Hs"</formula>
    </cfRule>
  </conditionalFormatting>
  <conditionalFormatting sqref="C87">
    <cfRule type="cellIs" dxfId="22307" priority="7939" stopIfTrue="1" operator="equal">
      <formula>"Towel"</formula>
    </cfRule>
    <cfRule type="cellIs" dxfId="22306" priority="7940" stopIfTrue="1" operator="equal">
      <formula>"Napkin Hs"</formula>
    </cfRule>
  </conditionalFormatting>
  <conditionalFormatting sqref="C87">
    <cfRule type="cellIs" dxfId="22305" priority="7937" stopIfTrue="1" operator="equal">
      <formula>"Towel"</formula>
    </cfRule>
    <cfRule type="cellIs" dxfId="22304" priority="7938" stopIfTrue="1" operator="equal">
      <formula>"Napkin Hs"</formula>
    </cfRule>
  </conditionalFormatting>
  <conditionalFormatting sqref="B87:C87">
    <cfRule type="cellIs" dxfId="22303" priority="7935" stopIfTrue="1" operator="equal">
      <formula>"Towel"</formula>
    </cfRule>
    <cfRule type="cellIs" dxfId="22302" priority="7936" stopIfTrue="1" operator="equal">
      <formula>"Napkin Hs"</formula>
    </cfRule>
  </conditionalFormatting>
  <conditionalFormatting sqref="C87">
    <cfRule type="cellIs" dxfId="22301" priority="7933" stopIfTrue="1" operator="equal">
      <formula>"Towel"</formula>
    </cfRule>
    <cfRule type="cellIs" dxfId="22300" priority="7934" stopIfTrue="1" operator="equal">
      <formula>"Napkin Hs"</formula>
    </cfRule>
  </conditionalFormatting>
  <conditionalFormatting sqref="C87">
    <cfRule type="cellIs" dxfId="22299" priority="7931" stopIfTrue="1" operator="equal">
      <formula>"Towel"</formula>
    </cfRule>
    <cfRule type="cellIs" dxfId="22298" priority="7932" stopIfTrue="1" operator="equal">
      <formula>"Napkin Hs"</formula>
    </cfRule>
  </conditionalFormatting>
  <conditionalFormatting sqref="B87:C87">
    <cfRule type="cellIs" dxfId="22297" priority="7929" stopIfTrue="1" operator="equal">
      <formula>"Towel"</formula>
    </cfRule>
    <cfRule type="cellIs" dxfId="22296" priority="7930" stopIfTrue="1" operator="equal">
      <formula>"Napkin Hs"</formula>
    </cfRule>
  </conditionalFormatting>
  <conditionalFormatting sqref="C87">
    <cfRule type="cellIs" dxfId="22295" priority="7927" stopIfTrue="1" operator="equal">
      <formula>"Towel"</formula>
    </cfRule>
    <cfRule type="cellIs" dxfId="22294" priority="7928" stopIfTrue="1" operator="equal">
      <formula>"Napkin Hs"</formula>
    </cfRule>
  </conditionalFormatting>
  <conditionalFormatting sqref="C87">
    <cfRule type="cellIs" dxfId="22293" priority="7925" stopIfTrue="1" operator="equal">
      <formula>"Towel"</formula>
    </cfRule>
    <cfRule type="cellIs" dxfId="22292" priority="7926" stopIfTrue="1" operator="equal">
      <formula>"Napkin Hs"</formula>
    </cfRule>
  </conditionalFormatting>
  <conditionalFormatting sqref="B87:C87">
    <cfRule type="cellIs" dxfId="22291" priority="7923" stopIfTrue="1" operator="equal">
      <formula>"Towel"</formula>
    </cfRule>
    <cfRule type="cellIs" dxfId="22290" priority="7924" stopIfTrue="1" operator="equal">
      <formula>"Napkin Hs"</formula>
    </cfRule>
  </conditionalFormatting>
  <conditionalFormatting sqref="C87">
    <cfRule type="cellIs" dxfId="22289" priority="7921" stopIfTrue="1" operator="equal">
      <formula>"Towel"</formula>
    </cfRule>
    <cfRule type="cellIs" dxfId="22288" priority="7922" stopIfTrue="1" operator="equal">
      <formula>"Napkin Hs"</formula>
    </cfRule>
  </conditionalFormatting>
  <conditionalFormatting sqref="C87">
    <cfRule type="cellIs" dxfId="22287" priority="7919" stopIfTrue="1" operator="equal">
      <formula>"Towel"</formula>
    </cfRule>
    <cfRule type="cellIs" dxfId="22286" priority="7920" stopIfTrue="1" operator="equal">
      <formula>"Napkin Hs"</formula>
    </cfRule>
  </conditionalFormatting>
  <conditionalFormatting sqref="B87:C87">
    <cfRule type="cellIs" dxfId="22285" priority="7918" stopIfTrue="1" operator="equal">
      <formula>"Napkin Hs"</formula>
    </cfRule>
  </conditionalFormatting>
  <conditionalFormatting sqref="B87:C87">
    <cfRule type="cellIs" dxfId="22284" priority="7917" stopIfTrue="1" operator="equal">
      <formula>"Towel"</formula>
    </cfRule>
  </conditionalFormatting>
  <conditionalFormatting sqref="C87">
    <cfRule type="cellIs" dxfId="22283" priority="7916" stopIfTrue="1" operator="equal">
      <formula>"Napkin Hs"</formula>
    </cfRule>
  </conditionalFormatting>
  <conditionalFormatting sqref="C87">
    <cfRule type="cellIs" dxfId="22282" priority="7913" stopIfTrue="1" operator="equal">
      <formula>"Towel"</formula>
    </cfRule>
    <cfRule type="cellIs" dxfId="22281" priority="7914" stopIfTrue="1" operator="equal">
      <formula>"Napkin Hs"</formula>
    </cfRule>
  </conditionalFormatting>
  <conditionalFormatting sqref="C87">
    <cfRule type="cellIs" dxfId="22280" priority="7915" stopIfTrue="1" operator="equal">
      <formula>"Towel"</formula>
    </cfRule>
  </conditionalFormatting>
  <conditionalFormatting sqref="B90:C90">
    <cfRule type="cellIs" dxfId="22279" priority="7863" stopIfTrue="1" operator="equal">
      <formula>"Towel"</formula>
    </cfRule>
    <cfRule type="cellIs" dxfId="22278" priority="7864" stopIfTrue="1" operator="equal">
      <formula>"Napkin Hs"</formula>
    </cfRule>
  </conditionalFormatting>
  <conditionalFormatting sqref="C90">
    <cfRule type="cellIs" dxfId="22277" priority="7859" stopIfTrue="1" operator="equal">
      <formula>"Towel"</formula>
    </cfRule>
    <cfRule type="cellIs" dxfId="22276" priority="7860" stopIfTrue="1" operator="equal">
      <formula>"Napkin Hs"</formula>
    </cfRule>
  </conditionalFormatting>
  <conditionalFormatting sqref="C90">
    <cfRule type="cellIs" dxfId="22275" priority="7861" stopIfTrue="1" operator="equal">
      <formula>"Towel"</formula>
    </cfRule>
    <cfRule type="cellIs" dxfId="22274" priority="7862" stopIfTrue="1" operator="equal">
      <formula>"Napkin Hs"</formula>
    </cfRule>
  </conditionalFormatting>
  <conditionalFormatting sqref="C87">
    <cfRule type="cellIs" dxfId="22273" priority="7751" stopIfTrue="1" operator="equal">
      <formula>"Towel"</formula>
    </cfRule>
    <cfRule type="cellIs" dxfId="22272" priority="7752" stopIfTrue="1" operator="equal">
      <formula>"Napkin Hs"</formula>
    </cfRule>
  </conditionalFormatting>
  <conditionalFormatting sqref="B87:C87">
    <cfRule type="cellIs" dxfId="22271" priority="7749" stopIfTrue="1" operator="equal">
      <formula>"Towel"</formula>
    </cfRule>
    <cfRule type="cellIs" dxfId="22270" priority="7750" stopIfTrue="1" operator="equal">
      <formula>"Napkin Hs"</formula>
    </cfRule>
  </conditionalFormatting>
  <conditionalFormatting sqref="C87">
    <cfRule type="cellIs" dxfId="22269" priority="7747" stopIfTrue="1" operator="equal">
      <formula>"Towel"</formula>
    </cfRule>
    <cfRule type="cellIs" dxfId="22268" priority="7748" stopIfTrue="1" operator="equal">
      <formula>"Napkin Hs"</formula>
    </cfRule>
  </conditionalFormatting>
  <conditionalFormatting sqref="C87">
    <cfRule type="cellIs" dxfId="22267" priority="7739" stopIfTrue="1" operator="equal">
      <formula>"Towel"</formula>
    </cfRule>
    <cfRule type="cellIs" dxfId="22266" priority="7740" stopIfTrue="1" operator="equal">
      <formula>"Napkin Hs"</formula>
    </cfRule>
  </conditionalFormatting>
  <conditionalFormatting sqref="B89:C89">
    <cfRule type="cellIs" dxfId="22265" priority="7821" stopIfTrue="1" operator="equal">
      <formula>"Towel"</formula>
    </cfRule>
    <cfRule type="cellIs" dxfId="22264" priority="7822" stopIfTrue="1" operator="equal">
      <formula>"Napkin Hs"</formula>
    </cfRule>
  </conditionalFormatting>
  <conditionalFormatting sqref="C89">
    <cfRule type="cellIs" dxfId="22263" priority="7817" stopIfTrue="1" operator="equal">
      <formula>"Towel"</formula>
    </cfRule>
    <cfRule type="cellIs" dxfId="22262" priority="7818" stopIfTrue="1" operator="equal">
      <formula>"Napkin Hs"</formula>
    </cfRule>
  </conditionalFormatting>
  <conditionalFormatting sqref="C89">
    <cfRule type="cellIs" dxfId="22261" priority="7819" stopIfTrue="1" operator="equal">
      <formula>"Towel"</formula>
    </cfRule>
    <cfRule type="cellIs" dxfId="22260" priority="7820" stopIfTrue="1" operator="equal">
      <formula>"Napkin Hs"</formula>
    </cfRule>
  </conditionalFormatting>
  <conditionalFormatting sqref="B89:C89">
    <cfRule type="cellIs" dxfId="22259" priority="7815" stopIfTrue="1" operator="equal">
      <formula>"Towel"</formula>
    </cfRule>
    <cfRule type="cellIs" dxfId="22258" priority="7816" stopIfTrue="1" operator="equal">
      <formula>"Napkin Hs"</formula>
    </cfRule>
  </conditionalFormatting>
  <conditionalFormatting sqref="C89">
    <cfRule type="cellIs" dxfId="22257" priority="7811" stopIfTrue="1" operator="equal">
      <formula>"Towel"</formula>
    </cfRule>
    <cfRule type="cellIs" dxfId="22256" priority="7812" stopIfTrue="1" operator="equal">
      <formula>"Napkin Hs"</formula>
    </cfRule>
  </conditionalFormatting>
  <conditionalFormatting sqref="C89">
    <cfRule type="cellIs" dxfId="22255" priority="7813" stopIfTrue="1" operator="equal">
      <formula>"Towel"</formula>
    </cfRule>
    <cfRule type="cellIs" dxfId="22254" priority="7814" stopIfTrue="1" operator="equal">
      <formula>"Napkin Hs"</formula>
    </cfRule>
  </conditionalFormatting>
  <conditionalFormatting sqref="B89:C89">
    <cfRule type="cellIs" dxfId="22253" priority="7809" stopIfTrue="1" operator="equal">
      <formula>"Towel"</formula>
    </cfRule>
    <cfRule type="cellIs" dxfId="22252" priority="7810" stopIfTrue="1" operator="equal">
      <formula>"Napkin Hs"</formula>
    </cfRule>
  </conditionalFormatting>
  <conditionalFormatting sqref="C89">
    <cfRule type="cellIs" dxfId="22251" priority="7807" stopIfTrue="1" operator="equal">
      <formula>"Towel"</formula>
    </cfRule>
    <cfRule type="cellIs" dxfId="22250" priority="7808" stopIfTrue="1" operator="equal">
      <formula>"Napkin Hs"</formula>
    </cfRule>
  </conditionalFormatting>
  <conditionalFormatting sqref="C89">
    <cfRule type="cellIs" dxfId="22249" priority="7805" stopIfTrue="1" operator="equal">
      <formula>"Towel"</formula>
    </cfRule>
    <cfRule type="cellIs" dxfId="22248" priority="7806" stopIfTrue="1" operator="equal">
      <formula>"Napkin Hs"</formula>
    </cfRule>
  </conditionalFormatting>
  <conditionalFormatting sqref="B89:C89">
    <cfRule type="cellIs" dxfId="22247" priority="7803" stopIfTrue="1" operator="equal">
      <formula>"Towel"</formula>
    </cfRule>
    <cfRule type="cellIs" dxfId="22246" priority="7804" stopIfTrue="1" operator="equal">
      <formula>"Napkin Hs"</formula>
    </cfRule>
  </conditionalFormatting>
  <conditionalFormatting sqref="C89">
    <cfRule type="cellIs" dxfId="22245" priority="7801" stopIfTrue="1" operator="equal">
      <formula>"Towel"</formula>
    </cfRule>
    <cfRule type="cellIs" dxfId="22244" priority="7802" stopIfTrue="1" operator="equal">
      <formula>"Napkin Hs"</formula>
    </cfRule>
  </conditionalFormatting>
  <conditionalFormatting sqref="C89">
    <cfRule type="cellIs" dxfId="22243" priority="7799" stopIfTrue="1" operator="equal">
      <formula>"Towel"</formula>
    </cfRule>
    <cfRule type="cellIs" dxfId="22242" priority="7800" stopIfTrue="1" operator="equal">
      <formula>"Napkin Hs"</formula>
    </cfRule>
  </conditionalFormatting>
  <conditionalFormatting sqref="B89:C89">
    <cfRule type="cellIs" dxfId="22241" priority="7797" stopIfTrue="1" operator="equal">
      <formula>"Towel"</formula>
    </cfRule>
    <cfRule type="cellIs" dxfId="22240" priority="7798" stopIfTrue="1" operator="equal">
      <formula>"Napkin Hs"</formula>
    </cfRule>
  </conditionalFormatting>
  <conditionalFormatting sqref="C89">
    <cfRule type="cellIs" dxfId="22239" priority="7795" stopIfTrue="1" operator="equal">
      <formula>"Towel"</formula>
    </cfRule>
    <cfRule type="cellIs" dxfId="22238" priority="7796" stopIfTrue="1" operator="equal">
      <formula>"Napkin Hs"</formula>
    </cfRule>
  </conditionalFormatting>
  <conditionalFormatting sqref="C89">
    <cfRule type="cellIs" dxfId="22237" priority="7793" stopIfTrue="1" operator="equal">
      <formula>"Towel"</formula>
    </cfRule>
    <cfRule type="cellIs" dxfId="22236" priority="7794" stopIfTrue="1" operator="equal">
      <formula>"Napkin Hs"</formula>
    </cfRule>
  </conditionalFormatting>
  <conditionalFormatting sqref="B89:C89">
    <cfRule type="cellIs" dxfId="22235" priority="7792" stopIfTrue="1" operator="equal">
      <formula>"Napkin Hs"</formula>
    </cfRule>
  </conditionalFormatting>
  <conditionalFormatting sqref="B89:C89">
    <cfRule type="cellIs" dxfId="22234" priority="7791" stopIfTrue="1" operator="equal">
      <formula>"Towel"</formula>
    </cfRule>
  </conditionalFormatting>
  <conditionalFormatting sqref="C89">
    <cfRule type="cellIs" dxfId="22233" priority="7790" stopIfTrue="1" operator="equal">
      <formula>"Napkin Hs"</formula>
    </cfRule>
  </conditionalFormatting>
  <conditionalFormatting sqref="C89">
    <cfRule type="cellIs" dxfId="22232" priority="7787" stopIfTrue="1" operator="equal">
      <formula>"Towel"</formula>
    </cfRule>
    <cfRule type="cellIs" dxfId="22231" priority="7788" stopIfTrue="1" operator="equal">
      <formula>"Napkin Hs"</formula>
    </cfRule>
  </conditionalFormatting>
  <conditionalFormatting sqref="C89">
    <cfRule type="cellIs" dxfId="22230" priority="7789" stopIfTrue="1" operator="equal">
      <formula>"Towel"</formula>
    </cfRule>
  </conditionalFormatting>
  <conditionalFormatting sqref="B87:C87">
    <cfRule type="cellIs" dxfId="22229" priority="7780" stopIfTrue="1" operator="equal">
      <formula>"Napkin Hs"</formula>
    </cfRule>
  </conditionalFormatting>
  <conditionalFormatting sqref="B87:C87">
    <cfRule type="cellIs" dxfId="22228" priority="7779" stopIfTrue="1" operator="equal">
      <formula>"Towel"</formula>
    </cfRule>
  </conditionalFormatting>
  <conditionalFormatting sqref="C87">
    <cfRule type="cellIs" dxfId="22227" priority="7778" stopIfTrue="1" operator="equal">
      <formula>"Napkin Hs"</formula>
    </cfRule>
  </conditionalFormatting>
  <conditionalFormatting sqref="C87">
    <cfRule type="cellIs" dxfId="22226" priority="7777" stopIfTrue="1" operator="equal">
      <formula>"Towel"</formula>
    </cfRule>
  </conditionalFormatting>
  <conditionalFormatting sqref="C87">
    <cfRule type="cellIs" dxfId="22225" priority="7775" stopIfTrue="1" operator="equal">
      <formula>"Towel"</formula>
    </cfRule>
    <cfRule type="cellIs" dxfId="22224" priority="7776" stopIfTrue="1" operator="equal">
      <formula>"Napkin Hs"</formula>
    </cfRule>
  </conditionalFormatting>
  <conditionalFormatting sqref="B87:C87">
    <cfRule type="cellIs" dxfId="22223" priority="7773" stopIfTrue="1" operator="equal">
      <formula>"Towel"</formula>
    </cfRule>
    <cfRule type="cellIs" dxfId="22222" priority="7774" stopIfTrue="1" operator="equal">
      <formula>"Napkin Hs"</formula>
    </cfRule>
  </conditionalFormatting>
  <conditionalFormatting sqref="C87">
    <cfRule type="cellIs" dxfId="22221" priority="7771" stopIfTrue="1" operator="equal">
      <formula>"Towel"</formula>
    </cfRule>
    <cfRule type="cellIs" dxfId="22220" priority="7772" stopIfTrue="1" operator="equal">
      <formula>"Napkin Hs"</formula>
    </cfRule>
  </conditionalFormatting>
  <conditionalFormatting sqref="C87">
    <cfRule type="cellIs" dxfId="22219" priority="7769" stopIfTrue="1" operator="equal">
      <formula>"Towel"</formula>
    </cfRule>
    <cfRule type="cellIs" dxfId="22218" priority="7770" stopIfTrue="1" operator="equal">
      <formula>"Napkin Hs"</formula>
    </cfRule>
  </conditionalFormatting>
  <conditionalFormatting sqref="B87:C87">
    <cfRule type="cellIs" dxfId="22217" priority="7767" stopIfTrue="1" operator="equal">
      <formula>"Towel"</formula>
    </cfRule>
    <cfRule type="cellIs" dxfId="22216" priority="7768" stopIfTrue="1" operator="equal">
      <formula>"Napkin Hs"</formula>
    </cfRule>
  </conditionalFormatting>
  <conditionalFormatting sqref="C87">
    <cfRule type="cellIs" dxfId="22215" priority="7765" stopIfTrue="1" operator="equal">
      <formula>"Towel"</formula>
    </cfRule>
    <cfRule type="cellIs" dxfId="22214" priority="7766" stopIfTrue="1" operator="equal">
      <formula>"Napkin Hs"</formula>
    </cfRule>
  </conditionalFormatting>
  <conditionalFormatting sqref="C87">
    <cfRule type="cellIs" dxfId="22213" priority="7763" stopIfTrue="1" operator="equal">
      <formula>"Towel"</formula>
    </cfRule>
    <cfRule type="cellIs" dxfId="22212" priority="7764" stopIfTrue="1" operator="equal">
      <formula>"Napkin Hs"</formula>
    </cfRule>
  </conditionalFormatting>
  <conditionalFormatting sqref="B87:C87">
    <cfRule type="cellIs" dxfId="22211" priority="7761" stopIfTrue="1" operator="equal">
      <formula>"Towel"</formula>
    </cfRule>
    <cfRule type="cellIs" dxfId="22210" priority="7762" stopIfTrue="1" operator="equal">
      <formula>"Napkin Hs"</formula>
    </cfRule>
  </conditionalFormatting>
  <conditionalFormatting sqref="C87">
    <cfRule type="cellIs" dxfId="22209" priority="7759" stopIfTrue="1" operator="equal">
      <formula>"Towel"</formula>
    </cfRule>
    <cfRule type="cellIs" dxfId="22208" priority="7760" stopIfTrue="1" operator="equal">
      <formula>"Napkin Hs"</formula>
    </cfRule>
  </conditionalFormatting>
  <conditionalFormatting sqref="C87">
    <cfRule type="cellIs" dxfId="22207" priority="7757" stopIfTrue="1" operator="equal">
      <formula>"Towel"</formula>
    </cfRule>
    <cfRule type="cellIs" dxfId="22206" priority="7758" stopIfTrue="1" operator="equal">
      <formula>"Napkin Hs"</formula>
    </cfRule>
  </conditionalFormatting>
  <conditionalFormatting sqref="B87:C87">
    <cfRule type="cellIs" dxfId="22205" priority="7755" stopIfTrue="1" operator="equal">
      <formula>"Towel"</formula>
    </cfRule>
    <cfRule type="cellIs" dxfId="22204" priority="7756" stopIfTrue="1" operator="equal">
      <formula>"Napkin Hs"</formula>
    </cfRule>
  </conditionalFormatting>
  <conditionalFormatting sqref="C87">
    <cfRule type="cellIs" dxfId="22203" priority="7753" stopIfTrue="1" operator="equal">
      <formula>"Towel"</formula>
    </cfRule>
    <cfRule type="cellIs" dxfId="22202" priority="7754" stopIfTrue="1" operator="equal">
      <formula>"Napkin Hs"</formula>
    </cfRule>
  </conditionalFormatting>
  <conditionalFormatting sqref="C87">
    <cfRule type="cellIs" dxfId="22201" priority="7745" stopIfTrue="1" operator="equal">
      <formula>"Towel"</formula>
    </cfRule>
    <cfRule type="cellIs" dxfId="22200" priority="7746" stopIfTrue="1" operator="equal">
      <formula>"Napkin Hs"</formula>
    </cfRule>
  </conditionalFormatting>
  <conditionalFormatting sqref="B87:C87">
    <cfRule type="cellIs" dxfId="22199" priority="7744" stopIfTrue="1" operator="equal">
      <formula>"Napkin Hs"</formula>
    </cfRule>
  </conditionalFormatting>
  <conditionalFormatting sqref="B87:C87">
    <cfRule type="cellIs" dxfId="22198" priority="7743" stopIfTrue="1" operator="equal">
      <formula>"Towel"</formula>
    </cfRule>
  </conditionalFormatting>
  <conditionalFormatting sqref="C87">
    <cfRule type="cellIs" dxfId="22197" priority="7742" stopIfTrue="1" operator="equal">
      <formula>"Napkin Hs"</formula>
    </cfRule>
  </conditionalFormatting>
  <conditionalFormatting sqref="C87">
    <cfRule type="cellIs" dxfId="22196" priority="7741" stopIfTrue="1" operator="equal">
      <formula>"Towel"</formula>
    </cfRule>
  </conditionalFormatting>
  <conditionalFormatting sqref="B87:C87">
    <cfRule type="cellIs" dxfId="22195" priority="7785" stopIfTrue="1" operator="equal">
      <formula>"Towel"</formula>
    </cfRule>
    <cfRule type="cellIs" dxfId="22194" priority="7786" stopIfTrue="1" operator="equal">
      <formula>"Napkin Hs"</formula>
    </cfRule>
  </conditionalFormatting>
  <conditionalFormatting sqref="C87">
    <cfRule type="cellIs" dxfId="22193" priority="7781" stopIfTrue="1" operator="equal">
      <formula>"Towel"</formula>
    </cfRule>
    <cfRule type="cellIs" dxfId="22192" priority="7782" stopIfTrue="1" operator="equal">
      <formula>"Napkin Hs"</formula>
    </cfRule>
  </conditionalFormatting>
  <conditionalFormatting sqref="C87">
    <cfRule type="cellIs" dxfId="22191" priority="7783" stopIfTrue="1" operator="equal">
      <formula>"Towel"</formula>
    </cfRule>
    <cfRule type="cellIs" dxfId="22190" priority="7784" stopIfTrue="1" operator="equal">
      <formula>"Napkin Hs"</formula>
    </cfRule>
  </conditionalFormatting>
  <conditionalFormatting sqref="B88:C88">
    <cfRule type="cellIs" dxfId="22189" priority="7737" stopIfTrue="1" operator="equal">
      <formula>"Towel"</formula>
    </cfRule>
    <cfRule type="cellIs" dxfId="22188" priority="7738" stopIfTrue="1" operator="equal">
      <formula>"Napkin Hs"</formula>
    </cfRule>
  </conditionalFormatting>
  <conditionalFormatting sqref="C88">
    <cfRule type="cellIs" dxfId="22187" priority="7733" stopIfTrue="1" operator="equal">
      <formula>"Towel"</formula>
    </cfRule>
    <cfRule type="cellIs" dxfId="22186" priority="7734" stopIfTrue="1" operator="equal">
      <formula>"Napkin Hs"</formula>
    </cfRule>
  </conditionalFormatting>
  <conditionalFormatting sqref="C88">
    <cfRule type="cellIs" dxfId="22185" priority="7735" stopIfTrue="1" operator="equal">
      <formula>"Towel"</formula>
    </cfRule>
    <cfRule type="cellIs" dxfId="22184" priority="7736" stopIfTrue="1" operator="equal">
      <formula>"Napkin Hs"</formula>
    </cfRule>
  </conditionalFormatting>
  <conditionalFormatting sqref="B88:C88">
    <cfRule type="cellIs" dxfId="22183" priority="7732" stopIfTrue="1" operator="equal">
      <formula>"Napkin Hs"</formula>
    </cfRule>
  </conditionalFormatting>
  <conditionalFormatting sqref="B88:C88">
    <cfRule type="cellIs" dxfId="22182" priority="7731" stopIfTrue="1" operator="equal">
      <formula>"Towel"</formula>
    </cfRule>
  </conditionalFormatting>
  <conditionalFormatting sqref="C88">
    <cfRule type="cellIs" dxfId="22181" priority="7730" stopIfTrue="1" operator="equal">
      <formula>"Napkin Hs"</formula>
    </cfRule>
  </conditionalFormatting>
  <conditionalFormatting sqref="C88">
    <cfRule type="cellIs" dxfId="22180" priority="7729" stopIfTrue="1" operator="equal">
      <formula>"Towel"</formula>
    </cfRule>
  </conditionalFormatting>
  <conditionalFormatting sqref="C88">
    <cfRule type="cellIs" dxfId="22179" priority="7727" stopIfTrue="1" operator="equal">
      <formula>"Towel"</formula>
    </cfRule>
    <cfRule type="cellIs" dxfId="22178" priority="7728" stopIfTrue="1" operator="equal">
      <formula>"Napkin Hs"</formula>
    </cfRule>
  </conditionalFormatting>
  <conditionalFormatting sqref="B88:C88">
    <cfRule type="cellIs" dxfId="22177" priority="7725" stopIfTrue="1" operator="equal">
      <formula>"Towel"</formula>
    </cfRule>
    <cfRule type="cellIs" dxfId="22176" priority="7726" stopIfTrue="1" operator="equal">
      <formula>"Napkin Hs"</formula>
    </cfRule>
  </conditionalFormatting>
  <conditionalFormatting sqref="C88">
    <cfRule type="cellIs" dxfId="22175" priority="7723" stopIfTrue="1" operator="equal">
      <formula>"Towel"</formula>
    </cfRule>
    <cfRule type="cellIs" dxfId="22174" priority="7724" stopIfTrue="1" operator="equal">
      <formula>"Napkin Hs"</formula>
    </cfRule>
  </conditionalFormatting>
  <conditionalFormatting sqref="C88">
    <cfRule type="cellIs" dxfId="22173" priority="7721" stopIfTrue="1" operator="equal">
      <formula>"Towel"</formula>
    </cfRule>
    <cfRule type="cellIs" dxfId="22172" priority="7722" stopIfTrue="1" operator="equal">
      <formula>"Napkin Hs"</formula>
    </cfRule>
  </conditionalFormatting>
  <conditionalFormatting sqref="B88:C88">
    <cfRule type="cellIs" dxfId="22171" priority="7719" stopIfTrue="1" operator="equal">
      <formula>"Towel"</formula>
    </cfRule>
    <cfRule type="cellIs" dxfId="22170" priority="7720" stopIfTrue="1" operator="equal">
      <formula>"Napkin Hs"</formula>
    </cfRule>
  </conditionalFormatting>
  <conditionalFormatting sqref="C88">
    <cfRule type="cellIs" dxfId="22169" priority="7717" stopIfTrue="1" operator="equal">
      <formula>"Towel"</formula>
    </cfRule>
    <cfRule type="cellIs" dxfId="22168" priority="7718" stopIfTrue="1" operator="equal">
      <formula>"Napkin Hs"</formula>
    </cfRule>
  </conditionalFormatting>
  <conditionalFormatting sqref="C88">
    <cfRule type="cellIs" dxfId="22167" priority="7715" stopIfTrue="1" operator="equal">
      <formula>"Towel"</formula>
    </cfRule>
    <cfRule type="cellIs" dxfId="22166" priority="7716" stopIfTrue="1" operator="equal">
      <formula>"Napkin Hs"</formula>
    </cfRule>
  </conditionalFormatting>
  <conditionalFormatting sqref="B88:C88">
    <cfRule type="cellIs" dxfId="22165" priority="7713" stopIfTrue="1" operator="equal">
      <formula>"Towel"</formula>
    </cfRule>
    <cfRule type="cellIs" dxfId="22164" priority="7714" stopIfTrue="1" operator="equal">
      <formula>"Napkin Hs"</formula>
    </cfRule>
  </conditionalFormatting>
  <conditionalFormatting sqref="C88">
    <cfRule type="cellIs" dxfId="22163" priority="7711" stopIfTrue="1" operator="equal">
      <formula>"Towel"</formula>
    </cfRule>
    <cfRule type="cellIs" dxfId="22162" priority="7712" stopIfTrue="1" operator="equal">
      <formula>"Napkin Hs"</formula>
    </cfRule>
  </conditionalFormatting>
  <conditionalFormatting sqref="C88">
    <cfRule type="cellIs" dxfId="22161" priority="7709" stopIfTrue="1" operator="equal">
      <formula>"Towel"</formula>
    </cfRule>
    <cfRule type="cellIs" dxfId="22160" priority="7710" stopIfTrue="1" operator="equal">
      <formula>"Napkin Hs"</formula>
    </cfRule>
  </conditionalFormatting>
  <conditionalFormatting sqref="B88:C88">
    <cfRule type="cellIs" dxfId="22159" priority="7707" stopIfTrue="1" operator="equal">
      <formula>"Towel"</formula>
    </cfRule>
    <cfRule type="cellIs" dxfId="22158" priority="7708" stopIfTrue="1" operator="equal">
      <formula>"Napkin Hs"</formula>
    </cfRule>
  </conditionalFormatting>
  <conditionalFormatting sqref="C88">
    <cfRule type="cellIs" dxfId="22157" priority="7705" stopIfTrue="1" operator="equal">
      <formula>"Towel"</formula>
    </cfRule>
    <cfRule type="cellIs" dxfId="22156" priority="7706" stopIfTrue="1" operator="equal">
      <formula>"Napkin Hs"</formula>
    </cfRule>
  </conditionalFormatting>
  <conditionalFormatting sqref="C88">
    <cfRule type="cellIs" dxfId="22155" priority="7703" stopIfTrue="1" operator="equal">
      <formula>"Towel"</formula>
    </cfRule>
    <cfRule type="cellIs" dxfId="22154" priority="7704" stopIfTrue="1" operator="equal">
      <formula>"Napkin Hs"</formula>
    </cfRule>
  </conditionalFormatting>
  <conditionalFormatting sqref="B88:C88">
    <cfRule type="cellIs" dxfId="22153" priority="7701" stopIfTrue="1" operator="equal">
      <formula>"Towel"</formula>
    </cfRule>
    <cfRule type="cellIs" dxfId="22152" priority="7702" stopIfTrue="1" operator="equal">
      <formula>"Napkin Hs"</formula>
    </cfRule>
  </conditionalFormatting>
  <conditionalFormatting sqref="C88">
    <cfRule type="cellIs" dxfId="22151" priority="7699" stopIfTrue="1" operator="equal">
      <formula>"Towel"</formula>
    </cfRule>
    <cfRule type="cellIs" dxfId="22150" priority="7700" stopIfTrue="1" operator="equal">
      <formula>"Napkin Hs"</formula>
    </cfRule>
  </conditionalFormatting>
  <conditionalFormatting sqref="C88">
    <cfRule type="cellIs" dxfId="22149" priority="7697" stopIfTrue="1" operator="equal">
      <formula>"Towel"</formula>
    </cfRule>
    <cfRule type="cellIs" dxfId="22148" priority="7698" stopIfTrue="1" operator="equal">
      <formula>"Napkin Hs"</formula>
    </cfRule>
  </conditionalFormatting>
  <conditionalFormatting sqref="B88:C88">
    <cfRule type="cellIs" dxfId="22147" priority="7696" stopIfTrue="1" operator="equal">
      <formula>"Napkin Hs"</formula>
    </cfRule>
  </conditionalFormatting>
  <conditionalFormatting sqref="B88:C88">
    <cfRule type="cellIs" dxfId="22146" priority="7695" stopIfTrue="1" operator="equal">
      <formula>"Towel"</formula>
    </cfRule>
  </conditionalFormatting>
  <conditionalFormatting sqref="C88">
    <cfRule type="cellIs" dxfId="22145" priority="7694" stopIfTrue="1" operator="equal">
      <formula>"Napkin Hs"</formula>
    </cfRule>
  </conditionalFormatting>
  <conditionalFormatting sqref="C88">
    <cfRule type="cellIs" dxfId="22144" priority="7691" stopIfTrue="1" operator="equal">
      <formula>"Towel"</formula>
    </cfRule>
    <cfRule type="cellIs" dxfId="22143" priority="7692" stopIfTrue="1" operator="equal">
      <formula>"Napkin Hs"</formula>
    </cfRule>
  </conditionalFormatting>
  <conditionalFormatting sqref="C88">
    <cfRule type="cellIs" dxfId="22142" priority="7693" stopIfTrue="1" operator="equal">
      <formula>"Towel"</formula>
    </cfRule>
  </conditionalFormatting>
  <conditionalFormatting sqref="C89">
    <cfRule type="cellIs" dxfId="22141" priority="7621" stopIfTrue="1" operator="equal">
      <formula>"Towel"</formula>
    </cfRule>
    <cfRule type="cellIs" dxfId="22140" priority="7622" stopIfTrue="1" operator="equal">
      <formula>"Napkin Hs"</formula>
    </cfRule>
  </conditionalFormatting>
  <conditionalFormatting sqref="B89:C89">
    <cfRule type="cellIs" dxfId="22139" priority="7619" stopIfTrue="1" operator="equal">
      <formula>"Towel"</formula>
    </cfRule>
    <cfRule type="cellIs" dxfId="22138" priority="7620" stopIfTrue="1" operator="equal">
      <formula>"Napkin Hs"</formula>
    </cfRule>
  </conditionalFormatting>
  <conditionalFormatting sqref="C89">
    <cfRule type="cellIs" dxfId="22137" priority="7617" stopIfTrue="1" operator="equal">
      <formula>"Towel"</formula>
    </cfRule>
    <cfRule type="cellIs" dxfId="22136" priority="7618" stopIfTrue="1" operator="equal">
      <formula>"Napkin Hs"</formula>
    </cfRule>
  </conditionalFormatting>
  <conditionalFormatting sqref="C89">
    <cfRule type="cellIs" dxfId="22135" priority="7609" stopIfTrue="1" operator="equal">
      <formula>"Towel"</formula>
    </cfRule>
    <cfRule type="cellIs" dxfId="22134" priority="7610" stopIfTrue="1" operator="equal">
      <formula>"Napkin Hs"</formula>
    </cfRule>
  </conditionalFormatting>
  <conditionalFormatting sqref="B89:C89">
    <cfRule type="cellIs" dxfId="22133" priority="7685" stopIfTrue="1" operator="equal">
      <formula>"Towel"</formula>
    </cfRule>
    <cfRule type="cellIs" dxfId="22132" priority="7686" stopIfTrue="1" operator="equal">
      <formula>"Napkin Hs"</formula>
    </cfRule>
  </conditionalFormatting>
  <conditionalFormatting sqref="B90:C90">
    <cfRule type="cellIs" dxfId="22131" priority="7689" stopIfTrue="1" operator="equal">
      <formula>"Towel"</formula>
    </cfRule>
    <cfRule type="cellIs" dxfId="22130" priority="7690" stopIfTrue="1" operator="equal">
      <formula>"Napkin Hs"</formula>
    </cfRule>
  </conditionalFormatting>
  <conditionalFormatting sqref="C89">
    <cfRule type="cellIs" dxfId="22129" priority="7681" stopIfTrue="1" operator="equal">
      <formula>"Towel"</formula>
    </cfRule>
    <cfRule type="cellIs" dxfId="22128" priority="7682" stopIfTrue="1" operator="equal">
      <formula>"Napkin Hs"</formula>
    </cfRule>
  </conditionalFormatting>
  <conditionalFormatting sqref="C89:C90">
    <cfRule type="cellIs" dxfId="22127" priority="7683" stopIfTrue="1" operator="equal">
      <formula>"Towel"</formula>
    </cfRule>
    <cfRule type="cellIs" dxfId="22126" priority="7684" stopIfTrue="1" operator="equal">
      <formula>"Napkin Hs"</formula>
    </cfRule>
  </conditionalFormatting>
  <conditionalFormatting sqref="C90">
    <cfRule type="cellIs" dxfId="22125" priority="7687" stopIfTrue="1" operator="equal">
      <formula>"Towel"</formula>
    </cfRule>
    <cfRule type="cellIs" dxfId="22124" priority="7688" stopIfTrue="1" operator="equal">
      <formula>"Napkin Hs"</formula>
    </cfRule>
  </conditionalFormatting>
  <conditionalFormatting sqref="B90:C90">
    <cfRule type="cellIs" dxfId="22123" priority="7679" stopIfTrue="1" operator="equal">
      <formula>"Towel"</formula>
    </cfRule>
    <cfRule type="cellIs" dxfId="22122" priority="7680" stopIfTrue="1" operator="equal">
      <formula>"Napkin Hs"</formula>
    </cfRule>
  </conditionalFormatting>
  <conditionalFormatting sqref="C90">
    <cfRule type="cellIs" dxfId="22121" priority="7675" stopIfTrue="1" operator="equal">
      <formula>"Towel"</formula>
    </cfRule>
    <cfRule type="cellIs" dxfId="22120" priority="7676" stopIfTrue="1" operator="equal">
      <formula>"Napkin Hs"</formula>
    </cfRule>
  </conditionalFormatting>
  <conditionalFormatting sqref="C90">
    <cfRule type="cellIs" dxfId="22119" priority="7677" stopIfTrue="1" operator="equal">
      <formula>"Towel"</formula>
    </cfRule>
    <cfRule type="cellIs" dxfId="22118" priority="7678" stopIfTrue="1" operator="equal">
      <formula>"Napkin Hs"</formula>
    </cfRule>
  </conditionalFormatting>
  <conditionalFormatting sqref="B90:C90">
    <cfRule type="cellIs" dxfId="22117" priority="7673" stopIfTrue="1" operator="equal">
      <formula>"Towel"</formula>
    </cfRule>
    <cfRule type="cellIs" dxfId="22116" priority="7674" stopIfTrue="1" operator="equal">
      <formula>"Napkin Hs"</formula>
    </cfRule>
  </conditionalFormatting>
  <conditionalFormatting sqref="C90">
    <cfRule type="cellIs" dxfId="22115" priority="7671" stopIfTrue="1" operator="equal">
      <formula>"Towel"</formula>
    </cfRule>
    <cfRule type="cellIs" dxfId="22114" priority="7672" stopIfTrue="1" operator="equal">
      <formula>"Napkin Hs"</formula>
    </cfRule>
  </conditionalFormatting>
  <conditionalFormatting sqref="C90">
    <cfRule type="cellIs" dxfId="22113" priority="7669" stopIfTrue="1" operator="equal">
      <formula>"Towel"</formula>
    </cfRule>
    <cfRule type="cellIs" dxfId="22112" priority="7670" stopIfTrue="1" operator="equal">
      <formula>"Napkin Hs"</formula>
    </cfRule>
  </conditionalFormatting>
  <conditionalFormatting sqref="B90:C90">
    <cfRule type="cellIs" dxfId="22111" priority="7667" stopIfTrue="1" operator="equal">
      <formula>"Towel"</formula>
    </cfRule>
    <cfRule type="cellIs" dxfId="22110" priority="7668" stopIfTrue="1" operator="equal">
      <formula>"Napkin Hs"</formula>
    </cfRule>
  </conditionalFormatting>
  <conditionalFormatting sqref="C90">
    <cfRule type="cellIs" dxfId="22109" priority="7665" stopIfTrue="1" operator="equal">
      <formula>"Towel"</formula>
    </cfRule>
    <cfRule type="cellIs" dxfId="22108" priority="7666" stopIfTrue="1" operator="equal">
      <formula>"Napkin Hs"</formula>
    </cfRule>
  </conditionalFormatting>
  <conditionalFormatting sqref="C90">
    <cfRule type="cellIs" dxfId="22107" priority="7663" stopIfTrue="1" operator="equal">
      <formula>"Towel"</formula>
    </cfRule>
    <cfRule type="cellIs" dxfId="22106" priority="7664" stopIfTrue="1" operator="equal">
      <formula>"Napkin Hs"</formula>
    </cfRule>
  </conditionalFormatting>
  <conditionalFormatting sqref="B90:C90">
    <cfRule type="cellIs" dxfId="22105" priority="7661" stopIfTrue="1" operator="equal">
      <formula>"Towel"</formula>
    </cfRule>
    <cfRule type="cellIs" dxfId="22104" priority="7662" stopIfTrue="1" operator="equal">
      <formula>"Napkin Hs"</formula>
    </cfRule>
  </conditionalFormatting>
  <conditionalFormatting sqref="C90">
    <cfRule type="cellIs" dxfId="22103" priority="7659" stopIfTrue="1" operator="equal">
      <formula>"Towel"</formula>
    </cfRule>
    <cfRule type="cellIs" dxfId="22102" priority="7660" stopIfTrue="1" operator="equal">
      <formula>"Napkin Hs"</formula>
    </cfRule>
  </conditionalFormatting>
  <conditionalFormatting sqref="C90">
    <cfRule type="cellIs" dxfId="22101" priority="7657" stopIfTrue="1" operator="equal">
      <formula>"Towel"</formula>
    </cfRule>
    <cfRule type="cellIs" dxfId="22100" priority="7658" stopIfTrue="1" operator="equal">
      <formula>"Napkin Hs"</formula>
    </cfRule>
  </conditionalFormatting>
  <conditionalFormatting sqref="B90:C90">
    <cfRule type="cellIs" dxfId="22099" priority="7656" stopIfTrue="1" operator="equal">
      <formula>"Napkin Hs"</formula>
    </cfRule>
  </conditionalFormatting>
  <conditionalFormatting sqref="B90:C90">
    <cfRule type="cellIs" dxfId="22098" priority="7655" stopIfTrue="1" operator="equal">
      <formula>"Towel"</formula>
    </cfRule>
  </conditionalFormatting>
  <conditionalFormatting sqref="C90">
    <cfRule type="cellIs" dxfId="22097" priority="7654" stopIfTrue="1" operator="equal">
      <formula>"Napkin Hs"</formula>
    </cfRule>
  </conditionalFormatting>
  <conditionalFormatting sqref="C90">
    <cfRule type="cellIs" dxfId="22096" priority="7651" stopIfTrue="1" operator="equal">
      <formula>"Towel"</formula>
    </cfRule>
    <cfRule type="cellIs" dxfId="22095" priority="7652" stopIfTrue="1" operator="equal">
      <formula>"Napkin Hs"</formula>
    </cfRule>
  </conditionalFormatting>
  <conditionalFormatting sqref="C90">
    <cfRule type="cellIs" dxfId="22094" priority="7653" stopIfTrue="1" operator="equal">
      <formula>"Towel"</formula>
    </cfRule>
  </conditionalFormatting>
  <conditionalFormatting sqref="B89:C89">
    <cfRule type="cellIs" dxfId="22093" priority="7650" stopIfTrue="1" operator="equal">
      <formula>"Napkin Hs"</formula>
    </cfRule>
  </conditionalFormatting>
  <conditionalFormatting sqref="B89:C89">
    <cfRule type="cellIs" dxfId="22092" priority="7649" stopIfTrue="1" operator="equal">
      <formula>"Towel"</formula>
    </cfRule>
  </conditionalFormatting>
  <conditionalFormatting sqref="C89">
    <cfRule type="cellIs" dxfId="22091" priority="7648" stopIfTrue="1" operator="equal">
      <formula>"Napkin Hs"</formula>
    </cfRule>
  </conditionalFormatting>
  <conditionalFormatting sqref="C89">
    <cfRule type="cellIs" dxfId="22090" priority="7647" stopIfTrue="1" operator="equal">
      <formula>"Towel"</formula>
    </cfRule>
  </conditionalFormatting>
  <conditionalFormatting sqref="C89">
    <cfRule type="cellIs" dxfId="22089" priority="7645" stopIfTrue="1" operator="equal">
      <formula>"Towel"</formula>
    </cfRule>
    <cfRule type="cellIs" dxfId="22088" priority="7646" stopIfTrue="1" operator="equal">
      <formula>"Napkin Hs"</formula>
    </cfRule>
  </conditionalFormatting>
  <conditionalFormatting sqref="B89:C89">
    <cfRule type="cellIs" dxfId="22087" priority="7643" stopIfTrue="1" operator="equal">
      <formula>"Towel"</formula>
    </cfRule>
    <cfRule type="cellIs" dxfId="22086" priority="7644" stopIfTrue="1" operator="equal">
      <formula>"Napkin Hs"</formula>
    </cfRule>
  </conditionalFormatting>
  <conditionalFormatting sqref="C89">
    <cfRule type="cellIs" dxfId="22085" priority="7641" stopIfTrue="1" operator="equal">
      <formula>"Towel"</formula>
    </cfRule>
    <cfRule type="cellIs" dxfId="22084" priority="7642" stopIfTrue="1" operator="equal">
      <formula>"Napkin Hs"</formula>
    </cfRule>
  </conditionalFormatting>
  <conditionalFormatting sqref="C89">
    <cfRule type="cellIs" dxfId="22083" priority="7639" stopIfTrue="1" operator="equal">
      <formula>"Towel"</formula>
    </cfRule>
    <cfRule type="cellIs" dxfId="22082" priority="7640" stopIfTrue="1" operator="equal">
      <formula>"Napkin Hs"</formula>
    </cfRule>
  </conditionalFormatting>
  <conditionalFormatting sqref="B89:C89">
    <cfRule type="cellIs" dxfId="22081" priority="7637" stopIfTrue="1" operator="equal">
      <formula>"Towel"</formula>
    </cfRule>
    <cfRule type="cellIs" dxfId="22080" priority="7638" stopIfTrue="1" operator="equal">
      <formula>"Napkin Hs"</formula>
    </cfRule>
  </conditionalFormatting>
  <conditionalFormatting sqref="C89">
    <cfRule type="cellIs" dxfId="22079" priority="7635" stopIfTrue="1" operator="equal">
      <formula>"Towel"</formula>
    </cfRule>
    <cfRule type="cellIs" dxfId="22078" priority="7636" stopIfTrue="1" operator="equal">
      <formula>"Napkin Hs"</formula>
    </cfRule>
  </conditionalFormatting>
  <conditionalFormatting sqref="C89">
    <cfRule type="cellIs" dxfId="22077" priority="7633" stopIfTrue="1" operator="equal">
      <formula>"Towel"</formula>
    </cfRule>
    <cfRule type="cellIs" dxfId="22076" priority="7634" stopIfTrue="1" operator="equal">
      <formula>"Napkin Hs"</formula>
    </cfRule>
  </conditionalFormatting>
  <conditionalFormatting sqref="B89:C89">
    <cfRule type="cellIs" dxfId="22075" priority="7631" stopIfTrue="1" operator="equal">
      <formula>"Towel"</formula>
    </cfRule>
    <cfRule type="cellIs" dxfId="22074" priority="7632" stopIfTrue="1" operator="equal">
      <formula>"Napkin Hs"</formula>
    </cfRule>
  </conditionalFormatting>
  <conditionalFormatting sqref="C89">
    <cfRule type="cellIs" dxfId="22073" priority="7629" stopIfTrue="1" operator="equal">
      <formula>"Towel"</formula>
    </cfRule>
    <cfRule type="cellIs" dxfId="22072" priority="7630" stopIfTrue="1" operator="equal">
      <formula>"Napkin Hs"</formula>
    </cfRule>
  </conditionalFormatting>
  <conditionalFormatting sqref="C89">
    <cfRule type="cellIs" dxfId="22071" priority="7627" stopIfTrue="1" operator="equal">
      <formula>"Towel"</formula>
    </cfRule>
    <cfRule type="cellIs" dxfId="22070" priority="7628" stopIfTrue="1" operator="equal">
      <formula>"Napkin Hs"</formula>
    </cfRule>
  </conditionalFormatting>
  <conditionalFormatting sqref="B89:C89">
    <cfRule type="cellIs" dxfId="22069" priority="7625" stopIfTrue="1" operator="equal">
      <formula>"Towel"</formula>
    </cfRule>
    <cfRule type="cellIs" dxfId="22068" priority="7626" stopIfTrue="1" operator="equal">
      <formula>"Napkin Hs"</formula>
    </cfRule>
  </conditionalFormatting>
  <conditionalFormatting sqref="C89">
    <cfRule type="cellIs" dxfId="22067" priority="7623" stopIfTrue="1" operator="equal">
      <formula>"Towel"</formula>
    </cfRule>
    <cfRule type="cellIs" dxfId="22066" priority="7624" stopIfTrue="1" operator="equal">
      <formula>"Napkin Hs"</formula>
    </cfRule>
  </conditionalFormatting>
  <conditionalFormatting sqref="C89">
    <cfRule type="cellIs" dxfId="22065" priority="7615" stopIfTrue="1" operator="equal">
      <formula>"Towel"</formula>
    </cfRule>
    <cfRule type="cellIs" dxfId="22064" priority="7616" stopIfTrue="1" operator="equal">
      <formula>"Napkin Hs"</formula>
    </cfRule>
  </conditionalFormatting>
  <conditionalFormatting sqref="B89:C89">
    <cfRule type="cellIs" dxfId="22063" priority="7614" stopIfTrue="1" operator="equal">
      <formula>"Napkin Hs"</formula>
    </cfRule>
  </conditionalFormatting>
  <conditionalFormatting sqref="B89:C89">
    <cfRule type="cellIs" dxfId="22062" priority="7613" stopIfTrue="1" operator="equal">
      <formula>"Towel"</formula>
    </cfRule>
  </conditionalFormatting>
  <conditionalFormatting sqref="C89">
    <cfRule type="cellIs" dxfId="22061" priority="7612" stopIfTrue="1" operator="equal">
      <formula>"Napkin Hs"</formula>
    </cfRule>
  </conditionalFormatting>
  <conditionalFormatting sqref="C89">
    <cfRule type="cellIs" dxfId="22060" priority="7611" stopIfTrue="1" operator="equal">
      <formula>"Towel"</formula>
    </cfRule>
  </conditionalFormatting>
  <conditionalFormatting sqref="C88">
    <cfRule type="cellIs" dxfId="22059" priority="7537" stopIfTrue="1" operator="equal">
      <formula>"Towel"</formula>
    </cfRule>
    <cfRule type="cellIs" dxfId="22058" priority="7538" stopIfTrue="1" operator="equal">
      <formula>"Napkin Hs"</formula>
    </cfRule>
  </conditionalFormatting>
  <conditionalFormatting sqref="B88:C88">
    <cfRule type="cellIs" dxfId="22057" priority="7535" stopIfTrue="1" operator="equal">
      <formula>"Towel"</formula>
    </cfRule>
    <cfRule type="cellIs" dxfId="22056" priority="7536" stopIfTrue="1" operator="equal">
      <formula>"Napkin Hs"</formula>
    </cfRule>
  </conditionalFormatting>
  <conditionalFormatting sqref="C88">
    <cfRule type="cellIs" dxfId="22055" priority="7533" stopIfTrue="1" operator="equal">
      <formula>"Towel"</formula>
    </cfRule>
    <cfRule type="cellIs" dxfId="22054" priority="7534" stopIfTrue="1" operator="equal">
      <formula>"Napkin Hs"</formula>
    </cfRule>
  </conditionalFormatting>
  <conditionalFormatting sqref="C88">
    <cfRule type="cellIs" dxfId="22053" priority="7525" stopIfTrue="1" operator="equal">
      <formula>"Towel"</formula>
    </cfRule>
    <cfRule type="cellIs" dxfId="22052" priority="7526" stopIfTrue="1" operator="equal">
      <formula>"Napkin Hs"</formula>
    </cfRule>
  </conditionalFormatting>
  <conditionalFormatting sqref="B88:C88">
    <cfRule type="cellIs" dxfId="22051" priority="7571" stopIfTrue="1" operator="equal">
      <formula>"Towel"</formula>
    </cfRule>
    <cfRule type="cellIs" dxfId="22050" priority="7572" stopIfTrue="1" operator="equal">
      <formula>"Napkin Hs"</formula>
    </cfRule>
  </conditionalFormatting>
  <conditionalFormatting sqref="C88">
    <cfRule type="cellIs" dxfId="22049" priority="7567" stopIfTrue="1" operator="equal">
      <formula>"Towel"</formula>
    </cfRule>
    <cfRule type="cellIs" dxfId="22048" priority="7568" stopIfTrue="1" operator="equal">
      <formula>"Napkin Hs"</formula>
    </cfRule>
  </conditionalFormatting>
  <conditionalFormatting sqref="C88">
    <cfRule type="cellIs" dxfId="22047" priority="7569" stopIfTrue="1" operator="equal">
      <formula>"Towel"</formula>
    </cfRule>
    <cfRule type="cellIs" dxfId="22046" priority="7570" stopIfTrue="1" operator="equal">
      <formula>"Napkin Hs"</formula>
    </cfRule>
  </conditionalFormatting>
  <conditionalFormatting sqref="B88:C88">
    <cfRule type="cellIs" dxfId="22045" priority="7566" stopIfTrue="1" operator="equal">
      <formula>"Napkin Hs"</formula>
    </cfRule>
  </conditionalFormatting>
  <conditionalFormatting sqref="B88:C88">
    <cfRule type="cellIs" dxfId="22044" priority="7565" stopIfTrue="1" operator="equal">
      <formula>"Towel"</formula>
    </cfRule>
  </conditionalFormatting>
  <conditionalFormatting sqref="C88">
    <cfRule type="cellIs" dxfId="22043" priority="7564" stopIfTrue="1" operator="equal">
      <formula>"Napkin Hs"</formula>
    </cfRule>
  </conditionalFormatting>
  <conditionalFormatting sqref="C88">
    <cfRule type="cellIs" dxfId="22042" priority="7563" stopIfTrue="1" operator="equal">
      <formula>"Towel"</formula>
    </cfRule>
  </conditionalFormatting>
  <conditionalFormatting sqref="C88">
    <cfRule type="cellIs" dxfId="22041" priority="7561" stopIfTrue="1" operator="equal">
      <formula>"Towel"</formula>
    </cfRule>
    <cfRule type="cellIs" dxfId="22040" priority="7562" stopIfTrue="1" operator="equal">
      <formula>"Napkin Hs"</formula>
    </cfRule>
  </conditionalFormatting>
  <conditionalFormatting sqref="B88:C88">
    <cfRule type="cellIs" dxfId="22039" priority="7559" stopIfTrue="1" operator="equal">
      <formula>"Towel"</formula>
    </cfRule>
    <cfRule type="cellIs" dxfId="22038" priority="7560" stopIfTrue="1" operator="equal">
      <formula>"Napkin Hs"</formula>
    </cfRule>
  </conditionalFormatting>
  <conditionalFormatting sqref="C88">
    <cfRule type="cellIs" dxfId="22037" priority="7557" stopIfTrue="1" operator="equal">
      <formula>"Towel"</formula>
    </cfRule>
    <cfRule type="cellIs" dxfId="22036" priority="7558" stopIfTrue="1" operator="equal">
      <formula>"Napkin Hs"</formula>
    </cfRule>
  </conditionalFormatting>
  <conditionalFormatting sqref="C88">
    <cfRule type="cellIs" dxfId="22035" priority="7555" stopIfTrue="1" operator="equal">
      <formula>"Towel"</formula>
    </cfRule>
    <cfRule type="cellIs" dxfId="22034" priority="7556" stopIfTrue="1" operator="equal">
      <formula>"Napkin Hs"</formula>
    </cfRule>
  </conditionalFormatting>
  <conditionalFormatting sqref="B88:C88">
    <cfRule type="cellIs" dxfId="22033" priority="7553" stopIfTrue="1" operator="equal">
      <formula>"Towel"</formula>
    </cfRule>
    <cfRule type="cellIs" dxfId="22032" priority="7554" stopIfTrue="1" operator="equal">
      <formula>"Napkin Hs"</formula>
    </cfRule>
  </conditionalFormatting>
  <conditionalFormatting sqref="C88">
    <cfRule type="cellIs" dxfId="22031" priority="7551" stopIfTrue="1" operator="equal">
      <formula>"Towel"</formula>
    </cfRule>
    <cfRule type="cellIs" dxfId="22030" priority="7552" stopIfTrue="1" operator="equal">
      <formula>"Napkin Hs"</formula>
    </cfRule>
  </conditionalFormatting>
  <conditionalFormatting sqref="C88">
    <cfRule type="cellIs" dxfId="22029" priority="7549" stopIfTrue="1" operator="equal">
      <formula>"Towel"</formula>
    </cfRule>
    <cfRule type="cellIs" dxfId="22028" priority="7550" stopIfTrue="1" operator="equal">
      <formula>"Napkin Hs"</formula>
    </cfRule>
  </conditionalFormatting>
  <conditionalFormatting sqref="B88:C88">
    <cfRule type="cellIs" dxfId="22027" priority="7547" stopIfTrue="1" operator="equal">
      <formula>"Towel"</formula>
    </cfRule>
    <cfRule type="cellIs" dxfId="22026" priority="7548" stopIfTrue="1" operator="equal">
      <formula>"Napkin Hs"</formula>
    </cfRule>
  </conditionalFormatting>
  <conditionalFormatting sqref="C88">
    <cfRule type="cellIs" dxfId="22025" priority="7545" stopIfTrue="1" operator="equal">
      <formula>"Towel"</formula>
    </cfRule>
    <cfRule type="cellIs" dxfId="22024" priority="7546" stopIfTrue="1" operator="equal">
      <formula>"Napkin Hs"</formula>
    </cfRule>
  </conditionalFormatting>
  <conditionalFormatting sqref="C88">
    <cfRule type="cellIs" dxfId="22023" priority="7543" stopIfTrue="1" operator="equal">
      <formula>"Towel"</formula>
    </cfRule>
    <cfRule type="cellIs" dxfId="22022" priority="7544" stopIfTrue="1" operator="equal">
      <formula>"Napkin Hs"</formula>
    </cfRule>
  </conditionalFormatting>
  <conditionalFormatting sqref="B88:C88">
    <cfRule type="cellIs" dxfId="22021" priority="7541" stopIfTrue="1" operator="equal">
      <formula>"Towel"</formula>
    </cfRule>
    <cfRule type="cellIs" dxfId="22020" priority="7542" stopIfTrue="1" operator="equal">
      <formula>"Napkin Hs"</formula>
    </cfRule>
  </conditionalFormatting>
  <conditionalFormatting sqref="C88">
    <cfRule type="cellIs" dxfId="22019" priority="7539" stopIfTrue="1" operator="equal">
      <formula>"Towel"</formula>
    </cfRule>
    <cfRule type="cellIs" dxfId="22018" priority="7540" stopIfTrue="1" operator="equal">
      <formula>"Napkin Hs"</formula>
    </cfRule>
  </conditionalFormatting>
  <conditionalFormatting sqref="C88">
    <cfRule type="cellIs" dxfId="22017" priority="7531" stopIfTrue="1" operator="equal">
      <formula>"Towel"</formula>
    </cfRule>
    <cfRule type="cellIs" dxfId="22016" priority="7532" stopIfTrue="1" operator="equal">
      <formula>"Napkin Hs"</formula>
    </cfRule>
  </conditionalFormatting>
  <conditionalFormatting sqref="B88:C88">
    <cfRule type="cellIs" dxfId="22015" priority="7530" stopIfTrue="1" operator="equal">
      <formula>"Napkin Hs"</formula>
    </cfRule>
  </conditionalFormatting>
  <conditionalFormatting sqref="B88:C88">
    <cfRule type="cellIs" dxfId="22014" priority="7529" stopIfTrue="1" operator="equal">
      <formula>"Towel"</formula>
    </cfRule>
  </conditionalFormatting>
  <conditionalFormatting sqref="C88">
    <cfRule type="cellIs" dxfId="22013" priority="7528" stopIfTrue="1" operator="equal">
      <formula>"Napkin Hs"</formula>
    </cfRule>
  </conditionalFormatting>
  <conditionalFormatting sqref="C88">
    <cfRule type="cellIs" dxfId="22012" priority="7527" stopIfTrue="1" operator="equal">
      <formula>"Towel"</formula>
    </cfRule>
  </conditionalFormatting>
  <conditionalFormatting sqref="B87:C87">
    <cfRule type="cellIs" dxfId="22011" priority="7523" stopIfTrue="1" operator="equal">
      <formula>"Towel"</formula>
    </cfRule>
    <cfRule type="cellIs" dxfId="22010" priority="7524" stopIfTrue="1" operator="equal">
      <formula>"Napkin Hs"</formula>
    </cfRule>
  </conditionalFormatting>
  <conditionalFormatting sqref="C87">
    <cfRule type="cellIs" dxfId="22009" priority="7519" stopIfTrue="1" operator="equal">
      <formula>"Towel"</formula>
    </cfRule>
    <cfRule type="cellIs" dxfId="22008" priority="7520" stopIfTrue="1" operator="equal">
      <formula>"Napkin Hs"</formula>
    </cfRule>
  </conditionalFormatting>
  <conditionalFormatting sqref="C87">
    <cfRule type="cellIs" dxfId="22007" priority="7521" stopIfTrue="1" operator="equal">
      <formula>"Towel"</formula>
    </cfRule>
    <cfRule type="cellIs" dxfId="22006" priority="7522" stopIfTrue="1" operator="equal">
      <formula>"Napkin Hs"</formula>
    </cfRule>
  </conditionalFormatting>
  <conditionalFormatting sqref="B87:C87">
    <cfRule type="cellIs" dxfId="22005" priority="7518" stopIfTrue="1" operator="equal">
      <formula>"Napkin Hs"</formula>
    </cfRule>
  </conditionalFormatting>
  <conditionalFormatting sqref="B87:C87">
    <cfRule type="cellIs" dxfId="22004" priority="7517" stopIfTrue="1" operator="equal">
      <formula>"Towel"</formula>
    </cfRule>
  </conditionalFormatting>
  <conditionalFormatting sqref="C87">
    <cfRule type="cellIs" dxfId="22003" priority="7516" stopIfTrue="1" operator="equal">
      <formula>"Napkin Hs"</formula>
    </cfRule>
  </conditionalFormatting>
  <conditionalFormatting sqref="C87">
    <cfRule type="cellIs" dxfId="22002" priority="7515" stopIfTrue="1" operator="equal">
      <formula>"Towel"</formula>
    </cfRule>
  </conditionalFormatting>
  <conditionalFormatting sqref="C87">
    <cfRule type="cellIs" dxfId="22001" priority="7513" stopIfTrue="1" operator="equal">
      <formula>"Towel"</formula>
    </cfRule>
    <cfRule type="cellIs" dxfId="22000" priority="7514" stopIfTrue="1" operator="equal">
      <formula>"Napkin Hs"</formula>
    </cfRule>
  </conditionalFormatting>
  <conditionalFormatting sqref="B87:C87">
    <cfRule type="cellIs" dxfId="21999" priority="7511" stopIfTrue="1" operator="equal">
      <formula>"Towel"</formula>
    </cfRule>
    <cfRule type="cellIs" dxfId="21998" priority="7512" stopIfTrue="1" operator="equal">
      <formula>"Napkin Hs"</formula>
    </cfRule>
  </conditionalFormatting>
  <conditionalFormatting sqref="C87">
    <cfRule type="cellIs" dxfId="21997" priority="7509" stopIfTrue="1" operator="equal">
      <formula>"Towel"</formula>
    </cfRule>
    <cfRule type="cellIs" dxfId="21996" priority="7510" stopIfTrue="1" operator="equal">
      <formula>"Napkin Hs"</formula>
    </cfRule>
  </conditionalFormatting>
  <conditionalFormatting sqref="C87">
    <cfRule type="cellIs" dxfId="21995" priority="7507" stopIfTrue="1" operator="equal">
      <formula>"Towel"</formula>
    </cfRule>
    <cfRule type="cellIs" dxfId="21994" priority="7508" stopIfTrue="1" operator="equal">
      <formula>"Napkin Hs"</formula>
    </cfRule>
  </conditionalFormatting>
  <conditionalFormatting sqref="B87:C87">
    <cfRule type="cellIs" dxfId="21993" priority="7505" stopIfTrue="1" operator="equal">
      <formula>"Towel"</formula>
    </cfRule>
    <cfRule type="cellIs" dxfId="21992" priority="7506" stopIfTrue="1" operator="equal">
      <formula>"Napkin Hs"</formula>
    </cfRule>
  </conditionalFormatting>
  <conditionalFormatting sqref="C87">
    <cfRule type="cellIs" dxfId="21991" priority="7503" stopIfTrue="1" operator="equal">
      <formula>"Towel"</formula>
    </cfRule>
    <cfRule type="cellIs" dxfId="21990" priority="7504" stopIfTrue="1" operator="equal">
      <formula>"Napkin Hs"</formula>
    </cfRule>
  </conditionalFormatting>
  <conditionalFormatting sqref="C87">
    <cfRule type="cellIs" dxfId="21989" priority="7501" stopIfTrue="1" operator="equal">
      <formula>"Towel"</formula>
    </cfRule>
    <cfRule type="cellIs" dxfId="21988" priority="7502" stopIfTrue="1" operator="equal">
      <formula>"Napkin Hs"</formula>
    </cfRule>
  </conditionalFormatting>
  <conditionalFormatting sqref="B87:C87">
    <cfRule type="cellIs" dxfId="21987" priority="7499" stopIfTrue="1" operator="equal">
      <formula>"Towel"</formula>
    </cfRule>
    <cfRule type="cellIs" dxfId="21986" priority="7500" stopIfTrue="1" operator="equal">
      <formula>"Napkin Hs"</formula>
    </cfRule>
  </conditionalFormatting>
  <conditionalFormatting sqref="C87">
    <cfRule type="cellIs" dxfId="21985" priority="7497" stopIfTrue="1" operator="equal">
      <formula>"Towel"</formula>
    </cfRule>
    <cfRule type="cellIs" dxfId="21984" priority="7498" stopIfTrue="1" operator="equal">
      <formula>"Napkin Hs"</formula>
    </cfRule>
  </conditionalFormatting>
  <conditionalFormatting sqref="C87">
    <cfRule type="cellIs" dxfId="21983" priority="7495" stopIfTrue="1" operator="equal">
      <formula>"Towel"</formula>
    </cfRule>
    <cfRule type="cellIs" dxfId="21982" priority="7496" stopIfTrue="1" operator="equal">
      <formula>"Napkin Hs"</formula>
    </cfRule>
  </conditionalFormatting>
  <conditionalFormatting sqref="B87:C87">
    <cfRule type="cellIs" dxfId="21981" priority="7493" stopIfTrue="1" operator="equal">
      <formula>"Towel"</formula>
    </cfRule>
    <cfRule type="cellIs" dxfId="21980" priority="7494" stopIfTrue="1" operator="equal">
      <formula>"Napkin Hs"</formula>
    </cfRule>
  </conditionalFormatting>
  <conditionalFormatting sqref="C87">
    <cfRule type="cellIs" dxfId="21979" priority="7491" stopIfTrue="1" operator="equal">
      <formula>"Towel"</formula>
    </cfRule>
    <cfRule type="cellIs" dxfId="21978" priority="7492" stopIfTrue="1" operator="equal">
      <formula>"Napkin Hs"</formula>
    </cfRule>
  </conditionalFormatting>
  <conditionalFormatting sqref="C87">
    <cfRule type="cellIs" dxfId="21977" priority="7489" stopIfTrue="1" operator="equal">
      <formula>"Towel"</formula>
    </cfRule>
    <cfRule type="cellIs" dxfId="21976" priority="7490" stopIfTrue="1" operator="equal">
      <formula>"Napkin Hs"</formula>
    </cfRule>
  </conditionalFormatting>
  <conditionalFormatting sqref="B87:C87">
    <cfRule type="cellIs" dxfId="21975" priority="7487" stopIfTrue="1" operator="equal">
      <formula>"Towel"</formula>
    </cfRule>
    <cfRule type="cellIs" dxfId="21974" priority="7488" stopIfTrue="1" operator="equal">
      <formula>"Napkin Hs"</formula>
    </cfRule>
  </conditionalFormatting>
  <conditionalFormatting sqref="C87">
    <cfRule type="cellIs" dxfId="21973" priority="7485" stopIfTrue="1" operator="equal">
      <formula>"Towel"</formula>
    </cfRule>
    <cfRule type="cellIs" dxfId="21972" priority="7486" stopIfTrue="1" operator="equal">
      <formula>"Napkin Hs"</formula>
    </cfRule>
  </conditionalFormatting>
  <conditionalFormatting sqref="C87">
    <cfRule type="cellIs" dxfId="21971" priority="7483" stopIfTrue="1" operator="equal">
      <formula>"Towel"</formula>
    </cfRule>
    <cfRule type="cellIs" dxfId="21970" priority="7484" stopIfTrue="1" operator="equal">
      <formula>"Napkin Hs"</formula>
    </cfRule>
  </conditionalFormatting>
  <conditionalFormatting sqref="B87:C87">
    <cfRule type="cellIs" dxfId="21969" priority="7482" stopIfTrue="1" operator="equal">
      <formula>"Napkin Hs"</formula>
    </cfRule>
  </conditionalFormatting>
  <conditionalFormatting sqref="B87:C87">
    <cfRule type="cellIs" dxfId="21968" priority="7481" stopIfTrue="1" operator="equal">
      <formula>"Towel"</formula>
    </cfRule>
  </conditionalFormatting>
  <conditionalFormatting sqref="C87">
    <cfRule type="cellIs" dxfId="21967" priority="7480" stopIfTrue="1" operator="equal">
      <formula>"Napkin Hs"</formula>
    </cfRule>
  </conditionalFormatting>
  <conditionalFormatting sqref="C87">
    <cfRule type="cellIs" dxfId="21966" priority="7477" stopIfTrue="1" operator="equal">
      <formula>"Towel"</formula>
    </cfRule>
    <cfRule type="cellIs" dxfId="21965" priority="7478" stopIfTrue="1" operator="equal">
      <formula>"Napkin Hs"</formula>
    </cfRule>
  </conditionalFormatting>
  <conditionalFormatting sqref="C87">
    <cfRule type="cellIs" dxfId="21964" priority="7479" stopIfTrue="1" operator="equal">
      <formula>"Towel"</formula>
    </cfRule>
  </conditionalFormatting>
  <conditionalFormatting sqref="C87">
    <cfRule type="cellIs" dxfId="21963" priority="7473" stopIfTrue="1" operator="equal">
      <formula>"Towel"</formula>
    </cfRule>
    <cfRule type="cellIs" dxfId="21962" priority="7474" stopIfTrue="1" operator="equal">
      <formula>"Napkin Hs"</formula>
    </cfRule>
  </conditionalFormatting>
  <conditionalFormatting sqref="C88">
    <cfRule type="cellIs" dxfId="21961" priority="7435" stopIfTrue="1" operator="equal">
      <formula>"Towel"</formula>
    </cfRule>
    <cfRule type="cellIs" dxfId="21960" priority="7436" stopIfTrue="1" operator="equal">
      <formula>"Napkin Hs"</formula>
    </cfRule>
  </conditionalFormatting>
  <conditionalFormatting sqref="B88:C88">
    <cfRule type="cellIs" dxfId="21959" priority="7433" stopIfTrue="1" operator="equal">
      <formula>"Towel"</formula>
    </cfRule>
    <cfRule type="cellIs" dxfId="21958" priority="7434" stopIfTrue="1" operator="equal">
      <formula>"Napkin Hs"</formula>
    </cfRule>
  </conditionalFormatting>
  <conditionalFormatting sqref="C88">
    <cfRule type="cellIs" dxfId="21957" priority="7431" stopIfTrue="1" operator="equal">
      <formula>"Towel"</formula>
    </cfRule>
    <cfRule type="cellIs" dxfId="21956" priority="7432" stopIfTrue="1" operator="equal">
      <formula>"Napkin Hs"</formula>
    </cfRule>
  </conditionalFormatting>
  <conditionalFormatting sqref="C88">
    <cfRule type="cellIs" dxfId="21955" priority="7423" stopIfTrue="1" operator="equal">
      <formula>"Towel"</formula>
    </cfRule>
    <cfRule type="cellIs" dxfId="21954" priority="7424" stopIfTrue="1" operator="equal">
      <formula>"Napkin Hs"</formula>
    </cfRule>
  </conditionalFormatting>
  <conditionalFormatting sqref="B88:C88">
    <cfRule type="cellIs" dxfId="21953" priority="7469" stopIfTrue="1" operator="equal">
      <formula>"Towel"</formula>
    </cfRule>
    <cfRule type="cellIs" dxfId="21952" priority="7470" stopIfTrue="1" operator="equal">
      <formula>"Napkin Hs"</formula>
    </cfRule>
  </conditionalFormatting>
  <conditionalFormatting sqref="C88">
    <cfRule type="cellIs" dxfId="21951" priority="7465" stopIfTrue="1" operator="equal">
      <formula>"Towel"</formula>
    </cfRule>
    <cfRule type="cellIs" dxfId="21950" priority="7466" stopIfTrue="1" operator="equal">
      <formula>"Napkin Hs"</formula>
    </cfRule>
  </conditionalFormatting>
  <conditionalFormatting sqref="C88">
    <cfRule type="cellIs" dxfId="21949" priority="7467" stopIfTrue="1" operator="equal">
      <formula>"Towel"</formula>
    </cfRule>
    <cfRule type="cellIs" dxfId="21948" priority="7468" stopIfTrue="1" operator="equal">
      <formula>"Napkin Hs"</formula>
    </cfRule>
  </conditionalFormatting>
  <conditionalFormatting sqref="B88:C88">
    <cfRule type="cellIs" dxfId="21947" priority="7464" stopIfTrue="1" operator="equal">
      <formula>"Napkin Hs"</formula>
    </cfRule>
  </conditionalFormatting>
  <conditionalFormatting sqref="B88:C88">
    <cfRule type="cellIs" dxfId="21946" priority="7463" stopIfTrue="1" operator="equal">
      <formula>"Towel"</formula>
    </cfRule>
  </conditionalFormatting>
  <conditionalFormatting sqref="C88">
    <cfRule type="cellIs" dxfId="21945" priority="7462" stopIfTrue="1" operator="equal">
      <formula>"Napkin Hs"</formula>
    </cfRule>
  </conditionalFormatting>
  <conditionalFormatting sqref="C88">
    <cfRule type="cellIs" dxfId="21944" priority="7461" stopIfTrue="1" operator="equal">
      <formula>"Towel"</formula>
    </cfRule>
  </conditionalFormatting>
  <conditionalFormatting sqref="C88">
    <cfRule type="cellIs" dxfId="21943" priority="7459" stopIfTrue="1" operator="equal">
      <formula>"Towel"</formula>
    </cfRule>
    <cfRule type="cellIs" dxfId="21942" priority="7460" stopIfTrue="1" operator="equal">
      <formula>"Napkin Hs"</formula>
    </cfRule>
  </conditionalFormatting>
  <conditionalFormatting sqref="B88:C88">
    <cfRule type="cellIs" dxfId="21941" priority="7457" stopIfTrue="1" operator="equal">
      <formula>"Towel"</formula>
    </cfRule>
    <cfRule type="cellIs" dxfId="21940" priority="7458" stopIfTrue="1" operator="equal">
      <formula>"Napkin Hs"</formula>
    </cfRule>
  </conditionalFormatting>
  <conditionalFormatting sqref="C88">
    <cfRule type="cellIs" dxfId="21939" priority="7455" stopIfTrue="1" operator="equal">
      <formula>"Towel"</formula>
    </cfRule>
    <cfRule type="cellIs" dxfId="21938" priority="7456" stopIfTrue="1" operator="equal">
      <formula>"Napkin Hs"</formula>
    </cfRule>
  </conditionalFormatting>
  <conditionalFormatting sqref="C88">
    <cfRule type="cellIs" dxfId="21937" priority="7453" stopIfTrue="1" operator="equal">
      <formula>"Towel"</formula>
    </cfRule>
    <cfRule type="cellIs" dxfId="21936" priority="7454" stopIfTrue="1" operator="equal">
      <formula>"Napkin Hs"</formula>
    </cfRule>
  </conditionalFormatting>
  <conditionalFormatting sqref="B88:C88">
    <cfRule type="cellIs" dxfId="21935" priority="7451" stopIfTrue="1" operator="equal">
      <formula>"Towel"</formula>
    </cfRule>
    <cfRule type="cellIs" dxfId="21934" priority="7452" stopIfTrue="1" operator="equal">
      <formula>"Napkin Hs"</formula>
    </cfRule>
  </conditionalFormatting>
  <conditionalFormatting sqref="C88">
    <cfRule type="cellIs" dxfId="21933" priority="7449" stopIfTrue="1" operator="equal">
      <formula>"Towel"</formula>
    </cfRule>
    <cfRule type="cellIs" dxfId="21932" priority="7450" stopIfTrue="1" operator="equal">
      <formula>"Napkin Hs"</formula>
    </cfRule>
  </conditionalFormatting>
  <conditionalFormatting sqref="C88">
    <cfRule type="cellIs" dxfId="21931" priority="7447" stopIfTrue="1" operator="equal">
      <formula>"Towel"</formula>
    </cfRule>
    <cfRule type="cellIs" dxfId="21930" priority="7448" stopIfTrue="1" operator="equal">
      <formula>"Napkin Hs"</formula>
    </cfRule>
  </conditionalFormatting>
  <conditionalFormatting sqref="B88:C88">
    <cfRule type="cellIs" dxfId="21929" priority="7445" stopIfTrue="1" operator="equal">
      <formula>"Towel"</formula>
    </cfRule>
    <cfRule type="cellIs" dxfId="21928" priority="7446" stopIfTrue="1" operator="equal">
      <formula>"Napkin Hs"</formula>
    </cfRule>
  </conditionalFormatting>
  <conditionalFormatting sqref="C88">
    <cfRule type="cellIs" dxfId="21927" priority="7443" stopIfTrue="1" operator="equal">
      <formula>"Towel"</formula>
    </cfRule>
    <cfRule type="cellIs" dxfId="21926" priority="7444" stopIfTrue="1" operator="equal">
      <formula>"Napkin Hs"</formula>
    </cfRule>
  </conditionalFormatting>
  <conditionalFormatting sqref="C88">
    <cfRule type="cellIs" dxfId="21925" priority="7441" stopIfTrue="1" operator="equal">
      <formula>"Towel"</formula>
    </cfRule>
    <cfRule type="cellIs" dxfId="21924" priority="7442" stopIfTrue="1" operator="equal">
      <formula>"Napkin Hs"</formula>
    </cfRule>
  </conditionalFormatting>
  <conditionalFormatting sqref="B88:C88">
    <cfRule type="cellIs" dxfId="21923" priority="7439" stopIfTrue="1" operator="equal">
      <formula>"Towel"</formula>
    </cfRule>
    <cfRule type="cellIs" dxfId="21922" priority="7440" stopIfTrue="1" operator="equal">
      <formula>"Napkin Hs"</formula>
    </cfRule>
  </conditionalFormatting>
  <conditionalFormatting sqref="C88">
    <cfRule type="cellIs" dxfId="21921" priority="7437" stopIfTrue="1" operator="equal">
      <formula>"Towel"</formula>
    </cfRule>
    <cfRule type="cellIs" dxfId="21920" priority="7438" stopIfTrue="1" operator="equal">
      <formula>"Napkin Hs"</formula>
    </cfRule>
  </conditionalFormatting>
  <conditionalFormatting sqref="C88">
    <cfRule type="cellIs" dxfId="21919" priority="7429" stopIfTrue="1" operator="equal">
      <formula>"Towel"</formula>
    </cfRule>
    <cfRule type="cellIs" dxfId="21918" priority="7430" stopIfTrue="1" operator="equal">
      <formula>"Napkin Hs"</formula>
    </cfRule>
  </conditionalFormatting>
  <conditionalFormatting sqref="B88:C88">
    <cfRule type="cellIs" dxfId="21917" priority="7428" stopIfTrue="1" operator="equal">
      <formula>"Napkin Hs"</formula>
    </cfRule>
  </conditionalFormatting>
  <conditionalFormatting sqref="B88:C88">
    <cfRule type="cellIs" dxfId="21916" priority="7427" stopIfTrue="1" operator="equal">
      <formula>"Towel"</formula>
    </cfRule>
  </conditionalFormatting>
  <conditionalFormatting sqref="C88">
    <cfRule type="cellIs" dxfId="21915" priority="7426" stopIfTrue="1" operator="equal">
      <formula>"Napkin Hs"</formula>
    </cfRule>
  </conditionalFormatting>
  <conditionalFormatting sqref="C88">
    <cfRule type="cellIs" dxfId="21914" priority="7425" stopIfTrue="1" operator="equal">
      <formula>"Towel"</formula>
    </cfRule>
  </conditionalFormatting>
  <conditionalFormatting sqref="B87:C87">
    <cfRule type="cellIs" dxfId="21913" priority="7421" stopIfTrue="1" operator="equal">
      <formula>"Towel"</formula>
    </cfRule>
    <cfRule type="cellIs" dxfId="21912" priority="7422" stopIfTrue="1" operator="equal">
      <formula>"Napkin Hs"</formula>
    </cfRule>
  </conditionalFormatting>
  <conditionalFormatting sqref="C87">
    <cfRule type="cellIs" dxfId="21911" priority="7417" stopIfTrue="1" operator="equal">
      <formula>"Towel"</formula>
    </cfRule>
    <cfRule type="cellIs" dxfId="21910" priority="7418" stopIfTrue="1" operator="equal">
      <formula>"Napkin Hs"</formula>
    </cfRule>
  </conditionalFormatting>
  <conditionalFormatting sqref="C87">
    <cfRule type="cellIs" dxfId="21909" priority="7419" stopIfTrue="1" operator="equal">
      <formula>"Towel"</formula>
    </cfRule>
    <cfRule type="cellIs" dxfId="21908" priority="7420" stopIfTrue="1" operator="equal">
      <formula>"Napkin Hs"</formula>
    </cfRule>
  </conditionalFormatting>
  <conditionalFormatting sqref="B87:C87">
    <cfRule type="cellIs" dxfId="21907" priority="7416" stopIfTrue="1" operator="equal">
      <formula>"Napkin Hs"</formula>
    </cfRule>
  </conditionalFormatting>
  <conditionalFormatting sqref="B87:C87">
    <cfRule type="cellIs" dxfId="21906" priority="7415" stopIfTrue="1" operator="equal">
      <formula>"Towel"</formula>
    </cfRule>
  </conditionalFormatting>
  <conditionalFormatting sqref="C87">
    <cfRule type="cellIs" dxfId="21905" priority="7414" stopIfTrue="1" operator="equal">
      <formula>"Napkin Hs"</formula>
    </cfRule>
  </conditionalFormatting>
  <conditionalFormatting sqref="C87">
    <cfRule type="cellIs" dxfId="21904" priority="7413" stopIfTrue="1" operator="equal">
      <formula>"Towel"</formula>
    </cfRule>
  </conditionalFormatting>
  <conditionalFormatting sqref="C87">
    <cfRule type="cellIs" dxfId="21903" priority="7411" stopIfTrue="1" operator="equal">
      <formula>"Towel"</formula>
    </cfRule>
    <cfRule type="cellIs" dxfId="21902" priority="7412" stopIfTrue="1" operator="equal">
      <formula>"Napkin Hs"</formula>
    </cfRule>
  </conditionalFormatting>
  <conditionalFormatting sqref="B87:C87">
    <cfRule type="cellIs" dxfId="21901" priority="7409" stopIfTrue="1" operator="equal">
      <formula>"Towel"</formula>
    </cfRule>
    <cfRule type="cellIs" dxfId="21900" priority="7410" stopIfTrue="1" operator="equal">
      <formula>"Napkin Hs"</formula>
    </cfRule>
  </conditionalFormatting>
  <conditionalFormatting sqref="C87">
    <cfRule type="cellIs" dxfId="21899" priority="7407" stopIfTrue="1" operator="equal">
      <formula>"Towel"</formula>
    </cfRule>
    <cfRule type="cellIs" dxfId="21898" priority="7408" stopIfTrue="1" operator="equal">
      <formula>"Napkin Hs"</formula>
    </cfRule>
  </conditionalFormatting>
  <conditionalFormatting sqref="C87">
    <cfRule type="cellIs" dxfId="21897" priority="7405" stopIfTrue="1" operator="equal">
      <formula>"Towel"</formula>
    </cfRule>
    <cfRule type="cellIs" dxfId="21896" priority="7406" stopIfTrue="1" operator="equal">
      <formula>"Napkin Hs"</formula>
    </cfRule>
  </conditionalFormatting>
  <conditionalFormatting sqref="B87:C87">
    <cfRule type="cellIs" dxfId="21895" priority="7403" stopIfTrue="1" operator="equal">
      <formula>"Towel"</formula>
    </cfRule>
    <cfRule type="cellIs" dxfId="21894" priority="7404" stopIfTrue="1" operator="equal">
      <formula>"Napkin Hs"</formula>
    </cfRule>
  </conditionalFormatting>
  <conditionalFormatting sqref="C87">
    <cfRule type="cellIs" dxfId="21893" priority="7401" stopIfTrue="1" operator="equal">
      <formula>"Towel"</formula>
    </cfRule>
    <cfRule type="cellIs" dxfId="21892" priority="7402" stopIfTrue="1" operator="equal">
      <formula>"Napkin Hs"</formula>
    </cfRule>
  </conditionalFormatting>
  <conditionalFormatting sqref="C87">
    <cfRule type="cellIs" dxfId="21891" priority="7399" stopIfTrue="1" operator="equal">
      <formula>"Towel"</formula>
    </cfRule>
    <cfRule type="cellIs" dxfId="21890" priority="7400" stopIfTrue="1" operator="equal">
      <formula>"Napkin Hs"</formula>
    </cfRule>
  </conditionalFormatting>
  <conditionalFormatting sqref="B87:C87">
    <cfRule type="cellIs" dxfId="21889" priority="7397" stopIfTrue="1" operator="equal">
      <formula>"Towel"</formula>
    </cfRule>
    <cfRule type="cellIs" dxfId="21888" priority="7398" stopIfTrue="1" operator="equal">
      <formula>"Napkin Hs"</formula>
    </cfRule>
  </conditionalFormatting>
  <conditionalFormatting sqref="C87">
    <cfRule type="cellIs" dxfId="21887" priority="7395" stopIfTrue="1" operator="equal">
      <formula>"Towel"</formula>
    </cfRule>
    <cfRule type="cellIs" dxfId="21886" priority="7396" stopIfTrue="1" operator="equal">
      <formula>"Napkin Hs"</formula>
    </cfRule>
  </conditionalFormatting>
  <conditionalFormatting sqref="C87">
    <cfRule type="cellIs" dxfId="21885" priority="7393" stopIfTrue="1" operator="equal">
      <formula>"Towel"</formula>
    </cfRule>
    <cfRule type="cellIs" dxfId="21884" priority="7394" stopIfTrue="1" operator="equal">
      <formula>"Napkin Hs"</formula>
    </cfRule>
  </conditionalFormatting>
  <conditionalFormatting sqref="B87:C87">
    <cfRule type="cellIs" dxfId="21883" priority="7391" stopIfTrue="1" operator="equal">
      <formula>"Towel"</formula>
    </cfRule>
    <cfRule type="cellIs" dxfId="21882" priority="7392" stopIfTrue="1" operator="equal">
      <formula>"Napkin Hs"</formula>
    </cfRule>
  </conditionalFormatting>
  <conditionalFormatting sqref="C87">
    <cfRule type="cellIs" dxfId="21881" priority="7389" stopIfTrue="1" operator="equal">
      <formula>"Towel"</formula>
    </cfRule>
    <cfRule type="cellIs" dxfId="21880" priority="7390" stopIfTrue="1" operator="equal">
      <formula>"Napkin Hs"</formula>
    </cfRule>
  </conditionalFormatting>
  <conditionalFormatting sqref="C87">
    <cfRule type="cellIs" dxfId="21879" priority="7387" stopIfTrue="1" operator="equal">
      <formula>"Towel"</formula>
    </cfRule>
    <cfRule type="cellIs" dxfId="21878" priority="7388" stopIfTrue="1" operator="equal">
      <formula>"Napkin Hs"</formula>
    </cfRule>
  </conditionalFormatting>
  <conditionalFormatting sqref="B87:C87">
    <cfRule type="cellIs" dxfId="21877" priority="7385" stopIfTrue="1" operator="equal">
      <formula>"Towel"</formula>
    </cfRule>
    <cfRule type="cellIs" dxfId="21876" priority="7386" stopIfTrue="1" operator="equal">
      <formula>"Napkin Hs"</formula>
    </cfRule>
  </conditionalFormatting>
  <conditionalFormatting sqref="C87">
    <cfRule type="cellIs" dxfId="21875" priority="7383" stopIfTrue="1" operator="equal">
      <formula>"Towel"</formula>
    </cfRule>
    <cfRule type="cellIs" dxfId="21874" priority="7384" stopIfTrue="1" operator="equal">
      <formula>"Napkin Hs"</formula>
    </cfRule>
  </conditionalFormatting>
  <conditionalFormatting sqref="C87">
    <cfRule type="cellIs" dxfId="21873" priority="7381" stopIfTrue="1" operator="equal">
      <formula>"Towel"</formula>
    </cfRule>
    <cfRule type="cellIs" dxfId="21872" priority="7382" stopIfTrue="1" operator="equal">
      <formula>"Napkin Hs"</formula>
    </cfRule>
  </conditionalFormatting>
  <conditionalFormatting sqref="B87:C87">
    <cfRule type="cellIs" dxfId="21871" priority="7380" stopIfTrue="1" operator="equal">
      <formula>"Napkin Hs"</formula>
    </cfRule>
  </conditionalFormatting>
  <conditionalFormatting sqref="B87:C87">
    <cfRule type="cellIs" dxfId="21870" priority="7379" stopIfTrue="1" operator="equal">
      <formula>"Towel"</formula>
    </cfRule>
  </conditionalFormatting>
  <conditionalFormatting sqref="C87">
    <cfRule type="cellIs" dxfId="21869" priority="7378" stopIfTrue="1" operator="equal">
      <formula>"Napkin Hs"</formula>
    </cfRule>
  </conditionalFormatting>
  <conditionalFormatting sqref="C87">
    <cfRule type="cellIs" dxfId="21868" priority="7375" stopIfTrue="1" operator="equal">
      <formula>"Towel"</formula>
    </cfRule>
    <cfRule type="cellIs" dxfId="21867" priority="7376" stopIfTrue="1" operator="equal">
      <formula>"Napkin Hs"</formula>
    </cfRule>
  </conditionalFormatting>
  <conditionalFormatting sqref="C87">
    <cfRule type="cellIs" dxfId="21866" priority="7377" stopIfTrue="1" operator="equal">
      <formula>"Towel"</formula>
    </cfRule>
  </conditionalFormatting>
  <conditionalFormatting sqref="B88:C88">
    <cfRule type="cellIs" dxfId="21865" priority="7373" stopIfTrue="1" operator="equal">
      <formula>"Towel"</formula>
    </cfRule>
    <cfRule type="cellIs" dxfId="21864" priority="7374" stopIfTrue="1" operator="equal">
      <formula>"Napkin Hs"</formula>
    </cfRule>
  </conditionalFormatting>
  <conditionalFormatting sqref="C88">
    <cfRule type="cellIs" dxfId="21863" priority="7369" stopIfTrue="1" operator="equal">
      <formula>"Towel"</formula>
    </cfRule>
    <cfRule type="cellIs" dxfId="21862" priority="7370" stopIfTrue="1" operator="equal">
      <formula>"Napkin Hs"</formula>
    </cfRule>
  </conditionalFormatting>
  <conditionalFormatting sqref="C88">
    <cfRule type="cellIs" dxfId="21861" priority="7371" stopIfTrue="1" operator="equal">
      <formula>"Towel"</formula>
    </cfRule>
    <cfRule type="cellIs" dxfId="21860" priority="7372" stopIfTrue="1" operator="equal">
      <formula>"Napkin Hs"</formula>
    </cfRule>
  </conditionalFormatting>
  <conditionalFormatting sqref="B87:C87">
    <cfRule type="cellIs" dxfId="21859" priority="7367" stopIfTrue="1" operator="equal">
      <formula>"Towel"</formula>
    </cfRule>
    <cfRule type="cellIs" dxfId="21858" priority="7368" stopIfTrue="1" operator="equal">
      <formula>"Napkin Hs"</formula>
    </cfRule>
  </conditionalFormatting>
  <conditionalFormatting sqref="C87">
    <cfRule type="cellIs" dxfId="21857" priority="7363" stopIfTrue="1" operator="equal">
      <formula>"Towel"</formula>
    </cfRule>
    <cfRule type="cellIs" dxfId="21856" priority="7364" stopIfTrue="1" operator="equal">
      <formula>"Napkin Hs"</formula>
    </cfRule>
  </conditionalFormatting>
  <conditionalFormatting sqref="C87">
    <cfRule type="cellIs" dxfId="21855" priority="7365" stopIfTrue="1" operator="equal">
      <formula>"Towel"</formula>
    </cfRule>
    <cfRule type="cellIs" dxfId="21854" priority="7366" stopIfTrue="1" operator="equal">
      <formula>"Napkin Hs"</formula>
    </cfRule>
  </conditionalFormatting>
  <conditionalFormatting sqref="B87:C87">
    <cfRule type="cellIs" dxfId="21853" priority="7361" stopIfTrue="1" operator="equal">
      <formula>"Towel"</formula>
    </cfRule>
    <cfRule type="cellIs" dxfId="21852" priority="7362" stopIfTrue="1" operator="equal">
      <formula>"Napkin Hs"</formula>
    </cfRule>
  </conditionalFormatting>
  <conditionalFormatting sqref="C87">
    <cfRule type="cellIs" dxfId="21851" priority="7357" stopIfTrue="1" operator="equal">
      <formula>"Towel"</formula>
    </cfRule>
    <cfRule type="cellIs" dxfId="21850" priority="7358" stopIfTrue="1" operator="equal">
      <formula>"Napkin Hs"</formula>
    </cfRule>
  </conditionalFormatting>
  <conditionalFormatting sqref="C87">
    <cfRule type="cellIs" dxfId="21849" priority="7359" stopIfTrue="1" operator="equal">
      <formula>"Towel"</formula>
    </cfRule>
    <cfRule type="cellIs" dxfId="21848" priority="7360" stopIfTrue="1" operator="equal">
      <formula>"Napkin Hs"</formula>
    </cfRule>
  </conditionalFormatting>
  <conditionalFormatting sqref="B87:C87">
    <cfRule type="cellIs" dxfId="21847" priority="7355" stopIfTrue="1" operator="equal">
      <formula>"Towel"</formula>
    </cfRule>
    <cfRule type="cellIs" dxfId="21846" priority="7356" stopIfTrue="1" operator="equal">
      <formula>"Napkin Hs"</formula>
    </cfRule>
  </conditionalFormatting>
  <conditionalFormatting sqref="C87">
    <cfRule type="cellIs" dxfId="21845" priority="7353" stopIfTrue="1" operator="equal">
      <formula>"Towel"</formula>
    </cfRule>
    <cfRule type="cellIs" dxfId="21844" priority="7354" stopIfTrue="1" operator="equal">
      <formula>"Napkin Hs"</formula>
    </cfRule>
  </conditionalFormatting>
  <conditionalFormatting sqref="C87">
    <cfRule type="cellIs" dxfId="21843" priority="7351" stopIfTrue="1" operator="equal">
      <formula>"Towel"</formula>
    </cfRule>
    <cfRule type="cellIs" dxfId="21842" priority="7352" stopIfTrue="1" operator="equal">
      <formula>"Napkin Hs"</formula>
    </cfRule>
  </conditionalFormatting>
  <conditionalFormatting sqref="B87:C87">
    <cfRule type="cellIs" dxfId="21841" priority="7350" stopIfTrue="1" operator="equal">
      <formula>"Napkin Hs"</formula>
    </cfRule>
  </conditionalFormatting>
  <conditionalFormatting sqref="B87:C87">
    <cfRule type="cellIs" dxfId="21840" priority="7349" stopIfTrue="1" operator="equal">
      <formula>"Towel"</formula>
    </cfRule>
  </conditionalFormatting>
  <conditionalFormatting sqref="C87">
    <cfRule type="cellIs" dxfId="21839" priority="7348" stopIfTrue="1" operator="equal">
      <formula>"Napkin Hs"</formula>
    </cfRule>
  </conditionalFormatting>
  <conditionalFormatting sqref="C87">
    <cfRule type="cellIs" dxfId="21838" priority="7347" stopIfTrue="1" operator="equal">
      <formula>"Towel"</formula>
    </cfRule>
  </conditionalFormatting>
  <conditionalFormatting sqref="C87">
    <cfRule type="cellIs" dxfId="21837" priority="7345" stopIfTrue="1" operator="equal">
      <formula>"Towel"</formula>
    </cfRule>
    <cfRule type="cellIs" dxfId="21836" priority="7346" stopIfTrue="1" operator="equal">
      <formula>"Napkin Hs"</formula>
    </cfRule>
  </conditionalFormatting>
  <conditionalFormatting sqref="C87">
    <cfRule type="cellIs" dxfId="21835" priority="7343" stopIfTrue="1" operator="equal">
      <formula>"Towel"</formula>
    </cfRule>
    <cfRule type="cellIs" dxfId="21834" priority="7344" stopIfTrue="1" operator="equal">
      <formula>"Napkin Hs"</formula>
    </cfRule>
  </conditionalFormatting>
  <conditionalFormatting sqref="C87">
    <cfRule type="cellIs" dxfId="21833" priority="7259" stopIfTrue="1" operator="equal">
      <formula>"Towel"</formula>
    </cfRule>
    <cfRule type="cellIs" dxfId="21832" priority="7260" stopIfTrue="1" operator="equal">
      <formula>"Napkin Hs"</formula>
    </cfRule>
  </conditionalFormatting>
  <conditionalFormatting sqref="C87">
    <cfRule type="cellIs" dxfId="21831" priority="7253" stopIfTrue="1" operator="equal">
      <formula>"Towel"</formula>
    </cfRule>
    <cfRule type="cellIs" dxfId="21830" priority="7254" stopIfTrue="1" operator="equal">
      <formula>"Napkin Hs"</formula>
    </cfRule>
  </conditionalFormatting>
  <conditionalFormatting sqref="C87">
    <cfRule type="cellIs" dxfId="21829" priority="7234" stopIfTrue="1" operator="equal">
      <formula>"Napkin Hs"</formula>
    </cfRule>
  </conditionalFormatting>
  <conditionalFormatting sqref="C87">
    <cfRule type="cellIs" dxfId="21828" priority="7233" stopIfTrue="1" operator="equal">
      <formula>"Towel"</formula>
    </cfRule>
  </conditionalFormatting>
  <conditionalFormatting sqref="C87">
    <cfRule type="cellIs" dxfId="21827" priority="7232" stopIfTrue="1" operator="equal">
      <formula>"Napkin Hs"</formula>
    </cfRule>
  </conditionalFormatting>
  <conditionalFormatting sqref="C87">
    <cfRule type="cellIs" dxfId="21826" priority="7229" stopIfTrue="1" operator="equal">
      <formula>"Towel"</formula>
    </cfRule>
    <cfRule type="cellIs" dxfId="21825" priority="7230" stopIfTrue="1" operator="equal">
      <formula>"Napkin Hs"</formula>
    </cfRule>
  </conditionalFormatting>
  <conditionalFormatting sqref="C87">
    <cfRule type="cellIs" dxfId="21824" priority="7231" stopIfTrue="1" operator="equal">
      <formula>"Towel"</formula>
    </cfRule>
  </conditionalFormatting>
  <conditionalFormatting sqref="C87">
    <cfRule type="cellIs" dxfId="21823" priority="7228" stopIfTrue="1" operator="equal">
      <formula>"Napkin Hs"</formula>
    </cfRule>
  </conditionalFormatting>
  <conditionalFormatting sqref="C87">
    <cfRule type="cellIs" dxfId="21822" priority="7227" stopIfTrue="1" operator="equal">
      <formula>"Towel"</formula>
    </cfRule>
  </conditionalFormatting>
  <conditionalFormatting sqref="C87">
    <cfRule type="cellIs" dxfId="21821" priority="7226" stopIfTrue="1" operator="equal">
      <formula>"Napkin Hs"</formula>
    </cfRule>
  </conditionalFormatting>
  <conditionalFormatting sqref="C87">
    <cfRule type="cellIs" dxfId="21820" priority="7223" stopIfTrue="1" operator="equal">
      <formula>"Towel"</formula>
    </cfRule>
    <cfRule type="cellIs" dxfId="21819" priority="7224" stopIfTrue="1" operator="equal">
      <formula>"Napkin Hs"</formula>
    </cfRule>
  </conditionalFormatting>
  <conditionalFormatting sqref="C87">
    <cfRule type="cellIs" dxfId="21818" priority="7225" stopIfTrue="1" operator="equal">
      <formula>"Towel"</formula>
    </cfRule>
  </conditionalFormatting>
  <conditionalFormatting sqref="C87">
    <cfRule type="cellIs" dxfId="21817" priority="7329" stopIfTrue="1" operator="equal">
      <formula>"Towel"</formula>
    </cfRule>
    <cfRule type="cellIs" dxfId="21816" priority="7330" stopIfTrue="1" operator="equal">
      <formula>"Napkin Hs"</formula>
    </cfRule>
  </conditionalFormatting>
  <conditionalFormatting sqref="C87">
    <cfRule type="cellIs" dxfId="21815" priority="7327" stopIfTrue="1" operator="equal">
      <formula>"Towel"</formula>
    </cfRule>
    <cfRule type="cellIs" dxfId="21814" priority="7328" stopIfTrue="1" operator="equal">
      <formula>"Napkin Hs"</formula>
    </cfRule>
  </conditionalFormatting>
  <conditionalFormatting sqref="C87">
    <cfRule type="cellIs" dxfId="21813" priority="7325" stopIfTrue="1" operator="equal">
      <formula>"Towel"</formula>
    </cfRule>
    <cfRule type="cellIs" dxfId="21812" priority="7326" stopIfTrue="1" operator="equal">
      <formula>"Napkin Hs"</formula>
    </cfRule>
  </conditionalFormatting>
  <conditionalFormatting sqref="C87">
    <cfRule type="cellIs" dxfId="21811" priority="7324" stopIfTrue="1" operator="equal">
      <formula>"Napkin Hs"</formula>
    </cfRule>
  </conditionalFormatting>
  <conditionalFormatting sqref="C87">
    <cfRule type="cellIs" dxfId="21810" priority="7323" stopIfTrue="1" operator="equal">
      <formula>"Towel"</formula>
    </cfRule>
  </conditionalFormatting>
  <conditionalFormatting sqref="C87">
    <cfRule type="cellIs" dxfId="21809" priority="7322" stopIfTrue="1" operator="equal">
      <formula>"Napkin Hs"</formula>
    </cfRule>
  </conditionalFormatting>
  <conditionalFormatting sqref="C87">
    <cfRule type="cellIs" dxfId="21808" priority="7321" stopIfTrue="1" operator="equal">
      <formula>"Towel"</formula>
    </cfRule>
  </conditionalFormatting>
  <conditionalFormatting sqref="C87">
    <cfRule type="cellIs" dxfId="21807" priority="7319" stopIfTrue="1" operator="equal">
      <formula>"Towel"</formula>
    </cfRule>
    <cfRule type="cellIs" dxfId="21806" priority="7320" stopIfTrue="1" operator="equal">
      <formula>"Napkin Hs"</formula>
    </cfRule>
  </conditionalFormatting>
  <conditionalFormatting sqref="C87">
    <cfRule type="cellIs" dxfId="21805" priority="7317" stopIfTrue="1" operator="equal">
      <formula>"Towel"</formula>
    </cfRule>
    <cfRule type="cellIs" dxfId="21804" priority="7318" stopIfTrue="1" operator="equal">
      <formula>"Napkin Hs"</formula>
    </cfRule>
  </conditionalFormatting>
  <conditionalFormatting sqref="C87">
    <cfRule type="cellIs" dxfId="21803" priority="7313" stopIfTrue="1" operator="equal">
      <formula>"Towel"</formula>
    </cfRule>
    <cfRule type="cellIs" dxfId="21802" priority="7314" stopIfTrue="1" operator="equal">
      <formula>"Napkin Hs"</formula>
    </cfRule>
  </conditionalFormatting>
  <conditionalFormatting sqref="C87">
    <cfRule type="cellIs" dxfId="21801" priority="7315" stopIfTrue="1" operator="equal">
      <formula>"Towel"</formula>
    </cfRule>
    <cfRule type="cellIs" dxfId="21800" priority="7316" stopIfTrue="1" operator="equal">
      <formula>"Napkin Hs"</formula>
    </cfRule>
  </conditionalFormatting>
  <conditionalFormatting sqref="C87">
    <cfRule type="cellIs" dxfId="21799" priority="7307" stopIfTrue="1" operator="equal">
      <formula>"Towel"</formula>
    </cfRule>
    <cfRule type="cellIs" dxfId="21798" priority="7308" stopIfTrue="1" operator="equal">
      <formula>"Napkin Hs"</formula>
    </cfRule>
  </conditionalFormatting>
  <conditionalFormatting sqref="C87">
    <cfRule type="cellIs" dxfId="21797" priority="7305" stopIfTrue="1" operator="equal">
      <formula>"Towel"</formula>
    </cfRule>
    <cfRule type="cellIs" dxfId="21796" priority="7306" stopIfTrue="1" operator="equal">
      <formula>"Napkin Hs"</formula>
    </cfRule>
  </conditionalFormatting>
  <conditionalFormatting sqref="C87">
    <cfRule type="cellIs" dxfId="21795" priority="7303" stopIfTrue="1" operator="equal">
      <formula>"Towel"</formula>
    </cfRule>
    <cfRule type="cellIs" dxfId="21794" priority="7304" stopIfTrue="1" operator="equal">
      <formula>"Napkin Hs"</formula>
    </cfRule>
  </conditionalFormatting>
  <conditionalFormatting sqref="C87">
    <cfRule type="cellIs" dxfId="21793" priority="7301" stopIfTrue="1" operator="equal">
      <formula>"Towel"</formula>
    </cfRule>
    <cfRule type="cellIs" dxfId="21792" priority="7302" stopIfTrue="1" operator="equal">
      <formula>"Napkin Hs"</formula>
    </cfRule>
  </conditionalFormatting>
  <conditionalFormatting sqref="C87">
    <cfRule type="cellIs" dxfId="21791" priority="7299" stopIfTrue="1" operator="equal">
      <formula>"Towel"</formula>
    </cfRule>
    <cfRule type="cellIs" dxfId="21790" priority="7300" stopIfTrue="1" operator="equal">
      <formula>"Napkin Hs"</formula>
    </cfRule>
  </conditionalFormatting>
  <conditionalFormatting sqref="C87">
    <cfRule type="cellIs" dxfId="21789" priority="7297" stopIfTrue="1" operator="equal">
      <formula>"Towel"</formula>
    </cfRule>
    <cfRule type="cellIs" dxfId="21788" priority="7298" stopIfTrue="1" operator="equal">
      <formula>"Napkin Hs"</formula>
    </cfRule>
  </conditionalFormatting>
  <conditionalFormatting sqref="C87">
    <cfRule type="cellIs" dxfId="21787" priority="7295" stopIfTrue="1" operator="equal">
      <formula>"Towel"</formula>
    </cfRule>
    <cfRule type="cellIs" dxfId="21786" priority="7296" stopIfTrue="1" operator="equal">
      <formula>"Napkin Hs"</formula>
    </cfRule>
  </conditionalFormatting>
  <conditionalFormatting sqref="C87">
    <cfRule type="cellIs" dxfId="21785" priority="7293" stopIfTrue="1" operator="equal">
      <formula>"Towel"</formula>
    </cfRule>
    <cfRule type="cellIs" dxfId="21784" priority="7294" stopIfTrue="1" operator="equal">
      <formula>"Napkin Hs"</formula>
    </cfRule>
  </conditionalFormatting>
  <conditionalFormatting sqref="C87">
    <cfRule type="cellIs" dxfId="21783" priority="7291" stopIfTrue="1" operator="equal">
      <formula>"Towel"</formula>
    </cfRule>
    <cfRule type="cellIs" dxfId="21782" priority="7292" stopIfTrue="1" operator="equal">
      <formula>"Napkin Hs"</formula>
    </cfRule>
  </conditionalFormatting>
  <conditionalFormatting sqref="C87">
    <cfRule type="cellIs" dxfId="21781" priority="7289" stopIfTrue="1" operator="equal">
      <formula>"Towel"</formula>
    </cfRule>
    <cfRule type="cellIs" dxfId="21780" priority="7290" stopIfTrue="1" operator="equal">
      <formula>"Napkin Hs"</formula>
    </cfRule>
  </conditionalFormatting>
  <conditionalFormatting sqref="C87">
    <cfRule type="cellIs" dxfId="21779" priority="7283" stopIfTrue="1" operator="equal">
      <formula>"Towel"</formula>
    </cfRule>
    <cfRule type="cellIs" dxfId="21778" priority="7284" stopIfTrue="1" operator="equal">
      <formula>"Napkin Hs"</formula>
    </cfRule>
  </conditionalFormatting>
  <conditionalFormatting sqref="C87">
    <cfRule type="cellIs" dxfId="21777" priority="7277" stopIfTrue="1" operator="equal">
      <formula>"Towel"</formula>
    </cfRule>
    <cfRule type="cellIs" dxfId="21776" priority="7278" stopIfTrue="1" operator="equal">
      <formula>"Napkin Hs"</formula>
    </cfRule>
  </conditionalFormatting>
  <conditionalFormatting sqref="C87">
    <cfRule type="cellIs" dxfId="21775" priority="7271" stopIfTrue="1" operator="equal">
      <formula>"Towel"</formula>
    </cfRule>
    <cfRule type="cellIs" dxfId="21774" priority="7272" stopIfTrue="1" operator="equal">
      <formula>"Napkin Hs"</formula>
    </cfRule>
  </conditionalFormatting>
  <conditionalFormatting sqref="C87">
    <cfRule type="cellIs" dxfId="21773" priority="7270" stopIfTrue="1" operator="equal">
      <formula>"Napkin Hs"</formula>
    </cfRule>
  </conditionalFormatting>
  <conditionalFormatting sqref="C87">
    <cfRule type="cellIs" dxfId="21772" priority="7269" stopIfTrue="1" operator="equal">
      <formula>"Towel"</formula>
    </cfRule>
  </conditionalFormatting>
  <conditionalFormatting sqref="C87">
    <cfRule type="cellIs" dxfId="21771" priority="7268" stopIfTrue="1" operator="equal">
      <formula>"Napkin Hs"</formula>
    </cfRule>
  </conditionalFormatting>
  <conditionalFormatting sqref="C87">
    <cfRule type="cellIs" dxfId="21770" priority="7267" stopIfTrue="1" operator="equal">
      <formula>"Towel"</formula>
    </cfRule>
  </conditionalFormatting>
  <conditionalFormatting sqref="C87">
    <cfRule type="cellIs" dxfId="21769" priority="7265" stopIfTrue="1" operator="equal">
      <formula>"Towel"</formula>
    </cfRule>
    <cfRule type="cellIs" dxfId="21768" priority="7266" stopIfTrue="1" operator="equal">
      <formula>"Napkin Hs"</formula>
    </cfRule>
  </conditionalFormatting>
  <conditionalFormatting sqref="C87">
    <cfRule type="cellIs" dxfId="21767" priority="7263" stopIfTrue="1" operator="equal">
      <formula>"Towel"</formula>
    </cfRule>
    <cfRule type="cellIs" dxfId="21766" priority="7264" stopIfTrue="1" operator="equal">
      <formula>"Napkin Hs"</formula>
    </cfRule>
  </conditionalFormatting>
  <conditionalFormatting sqref="C87">
    <cfRule type="cellIs" dxfId="21765" priority="7261" stopIfTrue="1" operator="equal">
      <formula>"Towel"</formula>
    </cfRule>
    <cfRule type="cellIs" dxfId="21764" priority="7262" stopIfTrue="1" operator="equal">
      <formula>"Napkin Hs"</formula>
    </cfRule>
  </conditionalFormatting>
  <conditionalFormatting sqref="C87">
    <cfRule type="cellIs" dxfId="21763" priority="7251" stopIfTrue="1" operator="equal">
      <formula>"Towel"</formula>
    </cfRule>
    <cfRule type="cellIs" dxfId="21762" priority="7252" stopIfTrue="1" operator="equal">
      <formula>"Napkin Hs"</formula>
    </cfRule>
  </conditionalFormatting>
  <conditionalFormatting sqref="C87">
    <cfRule type="cellIs" dxfId="21761" priority="7249" stopIfTrue="1" operator="equal">
      <formula>"Towel"</formula>
    </cfRule>
    <cfRule type="cellIs" dxfId="21760" priority="7250" stopIfTrue="1" operator="equal">
      <formula>"Napkin Hs"</formula>
    </cfRule>
  </conditionalFormatting>
  <conditionalFormatting sqref="C87">
    <cfRule type="cellIs" dxfId="21759" priority="7247" stopIfTrue="1" operator="equal">
      <formula>"Towel"</formula>
    </cfRule>
    <cfRule type="cellIs" dxfId="21758" priority="7248" stopIfTrue="1" operator="equal">
      <formula>"Napkin Hs"</formula>
    </cfRule>
  </conditionalFormatting>
  <conditionalFormatting sqref="C87">
    <cfRule type="cellIs" dxfId="21757" priority="7245" stopIfTrue="1" operator="equal">
      <formula>"Towel"</formula>
    </cfRule>
    <cfRule type="cellIs" dxfId="21756" priority="7246" stopIfTrue="1" operator="equal">
      <formula>"Napkin Hs"</formula>
    </cfRule>
  </conditionalFormatting>
  <conditionalFormatting sqref="C87">
    <cfRule type="cellIs" dxfId="21755" priority="7243" stopIfTrue="1" operator="equal">
      <formula>"Towel"</formula>
    </cfRule>
    <cfRule type="cellIs" dxfId="21754" priority="7244" stopIfTrue="1" operator="equal">
      <formula>"Napkin Hs"</formula>
    </cfRule>
  </conditionalFormatting>
  <conditionalFormatting sqref="C87">
    <cfRule type="cellIs" dxfId="21753" priority="7241" stopIfTrue="1" operator="equal">
      <formula>"Towel"</formula>
    </cfRule>
    <cfRule type="cellIs" dxfId="21752" priority="7242" stopIfTrue="1" operator="equal">
      <formula>"Napkin Hs"</formula>
    </cfRule>
  </conditionalFormatting>
  <conditionalFormatting sqref="C87">
    <cfRule type="cellIs" dxfId="21751" priority="7239" stopIfTrue="1" operator="equal">
      <formula>"Towel"</formula>
    </cfRule>
    <cfRule type="cellIs" dxfId="21750" priority="7240" stopIfTrue="1" operator="equal">
      <formula>"Napkin Hs"</formula>
    </cfRule>
  </conditionalFormatting>
  <conditionalFormatting sqref="C87">
    <cfRule type="cellIs" dxfId="21749" priority="7237" stopIfTrue="1" operator="equal">
      <formula>"Towel"</formula>
    </cfRule>
    <cfRule type="cellIs" dxfId="21748" priority="7238" stopIfTrue="1" operator="equal">
      <formula>"Napkin Hs"</formula>
    </cfRule>
  </conditionalFormatting>
  <conditionalFormatting sqref="C87">
    <cfRule type="cellIs" dxfId="21747" priority="7235" stopIfTrue="1" operator="equal">
      <formula>"Towel"</formula>
    </cfRule>
    <cfRule type="cellIs" dxfId="21746" priority="7236" stopIfTrue="1" operator="equal">
      <formula>"Napkin Hs"</formula>
    </cfRule>
  </conditionalFormatting>
  <conditionalFormatting sqref="C87">
    <cfRule type="cellIs" dxfId="21745" priority="7222" stopIfTrue="1" operator="equal">
      <formula>"Napkin Hs"</formula>
    </cfRule>
  </conditionalFormatting>
  <conditionalFormatting sqref="C87">
    <cfRule type="cellIs" dxfId="21744" priority="7221" stopIfTrue="1" operator="equal">
      <formula>"Towel"</formula>
    </cfRule>
  </conditionalFormatting>
  <conditionalFormatting sqref="C87">
    <cfRule type="cellIs" dxfId="21743" priority="7220" stopIfTrue="1" operator="equal">
      <formula>"Napkin Hs"</formula>
    </cfRule>
  </conditionalFormatting>
  <conditionalFormatting sqref="C87">
    <cfRule type="cellIs" dxfId="21742" priority="7217" stopIfTrue="1" operator="equal">
      <formula>"Towel"</formula>
    </cfRule>
    <cfRule type="cellIs" dxfId="21741" priority="7218" stopIfTrue="1" operator="equal">
      <formula>"Napkin Hs"</formula>
    </cfRule>
  </conditionalFormatting>
  <conditionalFormatting sqref="C87">
    <cfRule type="cellIs" dxfId="21740" priority="7219" stopIfTrue="1" operator="equal">
      <formula>"Towel"</formula>
    </cfRule>
  </conditionalFormatting>
  <conditionalFormatting sqref="C87">
    <cfRule type="cellIs" dxfId="21739" priority="7337" stopIfTrue="1" operator="equal">
      <formula>"Towel"</formula>
    </cfRule>
    <cfRule type="cellIs" dxfId="21738" priority="7338" stopIfTrue="1" operator="equal">
      <formula>"Napkin Hs"</formula>
    </cfRule>
  </conditionalFormatting>
  <conditionalFormatting sqref="C87">
    <cfRule type="cellIs" dxfId="21737" priority="7336" stopIfTrue="1" operator="equal">
      <formula>"Napkin Hs"</formula>
    </cfRule>
  </conditionalFormatting>
  <conditionalFormatting sqref="C87">
    <cfRule type="cellIs" dxfId="21736" priority="7335" stopIfTrue="1" operator="equal">
      <formula>"Towel"</formula>
    </cfRule>
  </conditionalFormatting>
  <conditionalFormatting sqref="C87">
    <cfRule type="cellIs" dxfId="21735" priority="7334" stopIfTrue="1" operator="equal">
      <formula>"Napkin Hs"</formula>
    </cfRule>
  </conditionalFormatting>
  <conditionalFormatting sqref="C87">
    <cfRule type="cellIs" dxfId="21734" priority="7331" stopIfTrue="1" operator="equal">
      <formula>"Towel"</formula>
    </cfRule>
    <cfRule type="cellIs" dxfId="21733" priority="7332" stopIfTrue="1" operator="equal">
      <formula>"Napkin Hs"</formula>
    </cfRule>
  </conditionalFormatting>
  <conditionalFormatting sqref="C87">
    <cfRule type="cellIs" dxfId="21732" priority="7333" stopIfTrue="1" operator="equal">
      <formula>"Towel"</formula>
    </cfRule>
  </conditionalFormatting>
  <conditionalFormatting sqref="C87">
    <cfRule type="cellIs" dxfId="21731" priority="7341" stopIfTrue="1" operator="equal">
      <formula>"Towel"</formula>
    </cfRule>
    <cfRule type="cellIs" dxfId="21730" priority="7342" stopIfTrue="1" operator="equal">
      <formula>"Napkin Hs"</formula>
    </cfRule>
  </conditionalFormatting>
  <conditionalFormatting sqref="C87">
    <cfRule type="cellIs" dxfId="21729" priority="7339" stopIfTrue="1" operator="equal">
      <formula>"Towel"</formula>
    </cfRule>
    <cfRule type="cellIs" dxfId="21728" priority="7340" stopIfTrue="1" operator="equal">
      <formula>"Napkin Hs"</formula>
    </cfRule>
  </conditionalFormatting>
  <conditionalFormatting sqref="C87">
    <cfRule type="cellIs" dxfId="21727" priority="7311" stopIfTrue="1" operator="equal">
      <formula>"Towel"</formula>
    </cfRule>
    <cfRule type="cellIs" dxfId="21726" priority="7312" stopIfTrue="1" operator="equal">
      <formula>"Napkin Hs"</formula>
    </cfRule>
  </conditionalFormatting>
  <conditionalFormatting sqref="C87">
    <cfRule type="cellIs" dxfId="21725" priority="7309" stopIfTrue="1" operator="equal">
      <formula>"Towel"</formula>
    </cfRule>
    <cfRule type="cellIs" dxfId="21724" priority="7310" stopIfTrue="1" operator="equal">
      <formula>"Napkin Hs"</formula>
    </cfRule>
  </conditionalFormatting>
  <conditionalFormatting sqref="C87">
    <cfRule type="cellIs" dxfId="21723" priority="7288" stopIfTrue="1" operator="equal">
      <formula>"Napkin Hs"</formula>
    </cfRule>
  </conditionalFormatting>
  <conditionalFormatting sqref="C87">
    <cfRule type="cellIs" dxfId="21722" priority="7287" stopIfTrue="1" operator="equal">
      <formula>"Towel"</formula>
    </cfRule>
  </conditionalFormatting>
  <conditionalFormatting sqref="C87">
    <cfRule type="cellIs" dxfId="21721" priority="7286" stopIfTrue="1" operator="equal">
      <formula>"Napkin Hs"</formula>
    </cfRule>
  </conditionalFormatting>
  <conditionalFormatting sqref="C87">
    <cfRule type="cellIs" dxfId="21720" priority="7285" stopIfTrue="1" operator="equal">
      <formula>"Towel"</formula>
    </cfRule>
  </conditionalFormatting>
  <conditionalFormatting sqref="C87">
    <cfRule type="cellIs" dxfId="21719" priority="7282" stopIfTrue="1" operator="equal">
      <formula>"Napkin Hs"</formula>
    </cfRule>
  </conditionalFormatting>
  <conditionalFormatting sqref="C87">
    <cfRule type="cellIs" dxfId="21718" priority="7281" stopIfTrue="1" operator="equal">
      <formula>"Towel"</formula>
    </cfRule>
  </conditionalFormatting>
  <conditionalFormatting sqref="C87">
    <cfRule type="cellIs" dxfId="21717" priority="7280" stopIfTrue="1" operator="equal">
      <formula>"Napkin Hs"</formula>
    </cfRule>
  </conditionalFormatting>
  <conditionalFormatting sqref="C87">
    <cfRule type="cellIs" dxfId="21716" priority="7279" stopIfTrue="1" operator="equal">
      <formula>"Towel"</formula>
    </cfRule>
  </conditionalFormatting>
  <conditionalFormatting sqref="C87">
    <cfRule type="cellIs" dxfId="21715" priority="7275" stopIfTrue="1" operator="equal">
      <formula>"Towel"</formula>
    </cfRule>
    <cfRule type="cellIs" dxfId="21714" priority="7276" stopIfTrue="1" operator="equal">
      <formula>"Napkin Hs"</formula>
    </cfRule>
  </conditionalFormatting>
  <conditionalFormatting sqref="C87">
    <cfRule type="cellIs" dxfId="21713" priority="7273" stopIfTrue="1" operator="equal">
      <formula>"Towel"</formula>
    </cfRule>
    <cfRule type="cellIs" dxfId="21712" priority="7274" stopIfTrue="1" operator="equal">
      <formula>"Napkin Hs"</formula>
    </cfRule>
  </conditionalFormatting>
  <conditionalFormatting sqref="C87">
    <cfRule type="cellIs" dxfId="21711" priority="7257" stopIfTrue="1" operator="equal">
      <formula>"Towel"</formula>
    </cfRule>
    <cfRule type="cellIs" dxfId="21710" priority="7258" stopIfTrue="1" operator="equal">
      <formula>"Napkin Hs"</formula>
    </cfRule>
  </conditionalFormatting>
  <conditionalFormatting sqref="C87">
    <cfRule type="cellIs" dxfId="21709" priority="7255" stopIfTrue="1" operator="equal">
      <formula>"Towel"</formula>
    </cfRule>
    <cfRule type="cellIs" dxfId="21708" priority="7256" stopIfTrue="1" operator="equal">
      <formula>"Napkin Hs"</formula>
    </cfRule>
  </conditionalFormatting>
  <conditionalFormatting sqref="B87:C87">
    <cfRule type="cellIs" dxfId="21707" priority="7216" stopIfTrue="1" operator="equal">
      <formula>"Napkin Hs"</formula>
    </cfRule>
  </conditionalFormatting>
  <conditionalFormatting sqref="B87:C87">
    <cfRule type="cellIs" dxfId="21706" priority="7215" stopIfTrue="1" operator="equal">
      <formula>"Towel"</formula>
    </cfRule>
  </conditionalFormatting>
  <conditionalFormatting sqref="C87">
    <cfRule type="cellIs" dxfId="21705" priority="7214" stopIfTrue="1" operator="equal">
      <formula>"Napkin Hs"</formula>
    </cfRule>
  </conditionalFormatting>
  <conditionalFormatting sqref="C87">
    <cfRule type="cellIs" dxfId="21704" priority="7211" stopIfTrue="1" operator="equal">
      <formula>"Towel"</formula>
    </cfRule>
    <cfRule type="cellIs" dxfId="21703" priority="7212" stopIfTrue="1" operator="equal">
      <formula>"Napkin Hs"</formula>
    </cfRule>
  </conditionalFormatting>
  <conditionalFormatting sqref="C87">
    <cfRule type="cellIs" dxfId="21702" priority="7213" stopIfTrue="1" operator="equal">
      <formula>"Towel"</formula>
    </cfRule>
  </conditionalFormatting>
  <conditionalFormatting sqref="C87">
    <cfRule type="cellIs" dxfId="21701" priority="7127" stopIfTrue="1" operator="equal">
      <formula>"Towel"</formula>
    </cfRule>
    <cfRule type="cellIs" dxfId="21700" priority="7128" stopIfTrue="1" operator="equal">
      <formula>"Napkin Hs"</formula>
    </cfRule>
  </conditionalFormatting>
  <conditionalFormatting sqref="C87">
    <cfRule type="cellIs" dxfId="21699" priority="7121" stopIfTrue="1" operator="equal">
      <formula>"Towel"</formula>
    </cfRule>
    <cfRule type="cellIs" dxfId="21698" priority="7122" stopIfTrue="1" operator="equal">
      <formula>"Napkin Hs"</formula>
    </cfRule>
  </conditionalFormatting>
  <conditionalFormatting sqref="C87">
    <cfRule type="cellIs" dxfId="21697" priority="7102" stopIfTrue="1" operator="equal">
      <formula>"Napkin Hs"</formula>
    </cfRule>
  </conditionalFormatting>
  <conditionalFormatting sqref="C87">
    <cfRule type="cellIs" dxfId="21696" priority="7101" stopIfTrue="1" operator="equal">
      <formula>"Towel"</formula>
    </cfRule>
  </conditionalFormatting>
  <conditionalFormatting sqref="C87">
    <cfRule type="cellIs" dxfId="21695" priority="7100" stopIfTrue="1" operator="equal">
      <formula>"Napkin Hs"</formula>
    </cfRule>
  </conditionalFormatting>
  <conditionalFormatting sqref="C87">
    <cfRule type="cellIs" dxfId="21694" priority="7097" stopIfTrue="1" operator="equal">
      <formula>"Towel"</formula>
    </cfRule>
    <cfRule type="cellIs" dxfId="21693" priority="7098" stopIfTrue="1" operator="equal">
      <formula>"Napkin Hs"</formula>
    </cfRule>
  </conditionalFormatting>
  <conditionalFormatting sqref="C87">
    <cfRule type="cellIs" dxfId="21692" priority="7099" stopIfTrue="1" operator="equal">
      <formula>"Towel"</formula>
    </cfRule>
  </conditionalFormatting>
  <conditionalFormatting sqref="C87">
    <cfRule type="cellIs" dxfId="21691" priority="7096" stopIfTrue="1" operator="equal">
      <formula>"Napkin Hs"</formula>
    </cfRule>
  </conditionalFormatting>
  <conditionalFormatting sqref="C87">
    <cfRule type="cellIs" dxfId="21690" priority="7095" stopIfTrue="1" operator="equal">
      <formula>"Towel"</formula>
    </cfRule>
  </conditionalFormatting>
  <conditionalFormatting sqref="C87">
    <cfRule type="cellIs" dxfId="21689" priority="7094" stopIfTrue="1" operator="equal">
      <formula>"Napkin Hs"</formula>
    </cfRule>
  </conditionalFormatting>
  <conditionalFormatting sqref="C87">
    <cfRule type="cellIs" dxfId="21688" priority="7091" stopIfTrue="1" operator="equal">
      <formula>"Towel"</formula>
    </cfRule>
    <cfRule type="cellIs" dxfId="21687" priority="7092" stopIfTrue="1" operator="equal">
      <formula>"Napkin Hs"</formula>
    </cfRule>
  </conditionalFormatting>
  <conditionalFormatting sqref="C87">
    <cfRule type="cellIs" dxfId="21686" priority="7093" stopIfTrue="1" operator="equal">
      <formula>"Towel"</formula>
    </cfRule>
  </conditionalFormatting>
  <conditionalFormatting sqref="C87">
    <cfRule type="cellIs" dxfId="21685" priority="7197" stopIfTrue="1" operator="equal">
      <formula>"Towel"</formula>
    </cfRule>
    <cfRule type="cellIs" dxfId="21684" priority="7198" stopIfTrue="1" operator="equal">
      <formula>"Napkin Hs"</formula>
    </cfRule>
  </conditionalFormatting>
  <conditionalFormatting sqref="C87">
    <cfRule type="cellIs" dxfId="21683" priority="7195" stopIfTrue="1" operator="equal">
      <formula>"Towel"</formula>
    </cfRule>
    <cfRule type="cellIs" dxfId="21682" priority="7196" stopIfTrue="1" operator="equal">
      <formula>"Napkin Hs"</formula>
    </cfRule>
  </conditionalFormatting>
  <conditionalFormatting sqref="C87">
    <cfRule type="cellIs" dxfId="21681" priority="7193" stopIfTrue="1" operator="equal">
      <formula>"Towel"</formula>
    </cfRule>
    <cfRule type="cellIs" dxfId="21680" priority="7194" stopIfTrue="1" operator="equal">
      <formula>"Napkin Hs"</formula>
    </cfRule>
  </conditionalFormatting>
  <conditionalFormatting sqref="C87">
    <cfRule type="cellIs" dxfId="21679" priority="7192" stopIfTrue="1" operator="equal">
      <formula>"Napkin Hs"</formula>
    </cfRule>
  </conditionalFormatting>
  <conditionalFormatting sqref="C87">
    <cfRule type="cellIs" dxfId="21678" priority="7191" stopIfTrue="1" operator="equal">
      <formula>"Towel"</formula>
    </cfRule>
  </conditionalFormatting>
  <conditionalFormatting sqref="C87">
    <cfRule type="cellIs" dxfId="21677" priority="7190" stopIfTrue="1" operator="equal">
      <formula>"Napkin Hs"</formula>
    </cfRule>
  </conditionalFormatting>
  <conditionalFormatting sqref="C87">
    <cfRule type="cellIs" dxfId="21676" priority="7189" stopIfTrue="1" operator="equal">
      <formula>"Towel"</formula>
    </cfRule>
  </conditionalFormatting>
  <conditionalFormatting sqref="C87">
    <cfRule type="cellIs" dxfId="21675" priority="7187" stopIfTrue="1" operator="equal">
      <formula>"Towel"</formula>
    </cfRule>
    <cfRule type="cellIs" dxfId="21674" priority="7188" stopIfTrue="1" operator="equal">
      <formula>"Napkin Hs"</formula>
    </cfRule>
  </conditionalFormatting>
  <conditionalFormatting sqref="C87">
    <cfRule type="cellIs" dxfId="21673" priority="7185" stopIfTrue="1" operator="equal">
      <formula>"Towel"</formula>
    </cfRule>
    <cfRule type="cellIs" dxfId="21672" priority="7186" stopIfTrue="1" operator="equal">
      <formula>"Napkin Hs"</formula>
    </cfRule>
  </conditionalFormatting>
  <conditionalFormatting sqref="C87">
    <cfRule type="cellIs" dxfId="21671" priority="7181" stopIfTrue="1" operator="equal">
      <formula>"Towel"</formula>
    </cfRule>
    <cfRule type="cellIs" dxfId="21670" priority="7182" stopIfTrue="1" operator="equal">
      <formula>"Napkin Hs"</formula>
    </cfRule>
  </conditionalFormatting>
  <conditionalFormatting sqref="C87">
    <cfRule type="cellIs" dxfId="21669" priority="7183" stopIfTrue="1" operator="equal">
      <formula>"Towel"</formula>
    </cfRule>
    <cfRule type="cellIs" dxfId="21668" priority="7184" stopIfTrue="1" operator="equal">
      <formula>"Napkin Hs"</formula>
    </cfRule>
  </conditionalFormatting>
  <conditionalFormatting sqref="C87">
    <cfRule type="cellIs" dxfId="21667" priority="7175" stopIfTrue="1" operator="equal">
      <formula>"Towel"</formula>
    </cfRule>
    <cfRule type="cellIs" dxfId="21666" priority="7176" stopIfTrue="1" operator="equal">
      <formula>"Napkin Hs"</formula>
    </cfRule>
  </conditionalFormatting>
  <conditionalFormatting sqref="C87">
    <cfRule type="cellIs" dxfId="21665" priority="7173" stopIfTrue="1" operator="equal">
      <formula>"Towel"</formula>
    </cfRule>
    <cfRule type="cellIs" dxfId="21664" priority="7174" stopIfTrue="1" operator="equal">
      <formula>"Napkin Hs"</formula>
    </cfRule>
  </conditionalFormatting>
  <conditionalFormatting sqref="C87">
    <cfRule type="cellIs" dxfId="21663" priority="7171" stopIfTrue="1" operator="equal">
      <formula>"Towel"</formula>
    </cfRule>
    <cfRule type="cellIs" dxfId="21662" priority="7172" stopIfTrue="1" operator="equal">
      <formula>"Napkin Hs"</formula>
    </cfRule>
  </conditionalFormatting>
  <conditionalFormatting sqref="C87">
    <cfRule type="cellIs" dxfId="21661" priority="7169" stopIfTrue="1" operator="equal">
      <formula>"Towel"</formula>
    </cfRule>
    <cfRule type="cellIs" dxfId="21660" priority="7170" stopIfTrue="1" operator="equal">
      <formula>"Napkin Hs"</formula>
    </cfRule>
  </conditionalFormatting>
  <conditionalFormatting sqref="C87">
    <cfRule type="cellIs" dxfId="21659" priority="7167" stopIfTrue="1" operator="equal">
      <formula>"Towel"</formula>
    </cfRule>
    <cfRule type="cellIs" dxfId="21658" priority="7168" stopIfTrue="1" operator="equal">
      <formula>"Napkin Hs"</formula>
    </cfRule>
  </conditionalFormatting>
  <conditionalFormatting sqref="C87">
    <cfRule type="cellIs" dxfId="21657" priority="7165" stopIfTrue="1" operator="equal">
      <formula>"Towel"</formula>
    </cfRule>
    <cfRule type="cellIs" dxfId="21656" priority="7166" stopIfTrue="1" operator="equal">
      <formula>"Napkin Hs"</formula>
    </cfRule>
  </conditionalFormatting>
  <conditionalFormatting sqref="C87">
    <cfRule type="cellIs" dxfId="21655" priority="7163" stopIfTrue="1" operator="equal">
      <formula>"Towel"</formula>
    </cfRule>
    <cfRule type="cellIs" dxfId="21654" priority="7164" stopIfTrue="1" operator="equal">
      <formula>"Napkin Hs"</formula>
    </cfRule>
  </conditionalFormatting>
  <conditionalFormatting sqref="C87">
    <cfRule type="cellIs" dxfId="21653" priority="7161" stopIfTrue="1" operator="equal">
      <formula>"Towel"</formula>
    </cfRule>
    <cfRule type="cellIs" dxfId="21652" priority="7162" stopIfTrue="1" operator="equal">
      <formula>"Napkin Hs"</formula>
    </cfRule>
  </conditionalFormatting>
  <conditionalFormatting sqref="C87">
    <cfRule type="cellIs" dxfId="21651" priority="7159" stopIfTrue="1" operator="equal">
      <formula>"Towel"</formula>
    </cfRule>
    <cfRule type="cellIs" dxfId="21650" priority="7160" stopIfTrue="1" operator="equal">
      <formula>"Napkin Hs"</formula>
    </cfRule>
  </conditionalFormatting>
  <conditionalFormatting sqref="C87">
    <cfRule type="cellIs" dxfId="21649" priority="7157" stopIfTrue="1" operator="equal">
      <formula>"Towel"</formula>
    </cfRule>
    <cfRule type="cellIs" dxfId="21648" priority="7158" stopIfTrue="1" operator="equal">
      <formula>"Napkin Hs"</formula>
    </cfRule>
  </conditionalFormatting>
  <conditionalFormatting sqref="C87">
    <cfRule type="cellIs" dxfId="21647" priority="7151" stopIfTrue="1" operator="equal">
      <formula>"Towel"</formula>
    </cfRule>
    <cfRule type="cellIs" dxfId="21646" priority="7152" stopIfTrue="1" operator="equal">
      <formula>"Napkin Hs"</formula>
    </cfRule>
  </conditionalFormatting>
  <conditionalFormatting sqref="C87">
    <cfRule type="cellIs" dxfId="21645" priority="7145" stopIfTrue="1" operator="equal">
      <formula>"Towel"</formula>
    </cfRule>
    <cfRule type="cellIs" dxfId="21644" priority="7146" stopIfTrue="1" operator="equal">
      <formula>"Napkin Hs"</formula>
    </cfRule>
  </conditionalFormatting>
  <conditionalFormatting sqref="C87">
    <cfRule type="cellIs" dxfId="21643" priority="7139" stopIfTrue="1" operator="equal">
      <formula>"Towel"</formula>
    </cfRule>
    <cfRule type="cellIs" dxfId="21642" priority="7140" stopIfTrue="1" operator="equal">
      <formula>"Napkin Hs"</formula>
    </cfRule>
  </conditionalFormatting>
  <conditionalFormatting sqref="C87">
    <cfRule type="cellIs" dxfId="21641" priority="7138" stopIfTrue="1" operator="equal">
      <formula>"Napkin Hs"</formula>
    </cfRule>
  </conditionalFormatting>
  <conditionalFormatting sqref="C87">
    <cfRule type="cellIs" dxfId="21640" priority="7137" stopIfTrue="1" operator="equal">
      <formula>"Towel"</formula>
    </cfRule>
  </conditionalFormatting>
  <conditionalFormatting sqref="C87">
    <cfRule type="cellIs" dxfId="21639" priority="7136" stopIfTrue="1" operator="equal">
      <formula>"Napkin Hs"</formula>
    </cfRule>
  </conditionalFormatting>
  <conditionalFormatting sqref="C87">
    <cfRule type="cellIs" dxfId="21638" priority="7135" stopIfTrue="1" operator="equal">
      <formula>"Towel"</formula>
    </cfRule>
  </conditionalFormatting>
  <conditionalFormatting sqref="C87">
    <cfRule type="cellIs" dxfId="21637" priority="7133" stopIfTrue="1" operator="equal">
      <formula>"Towel"</formula>
    </cfRule>
    <cfRule type="cellIs" dxfId="21636" priority="7134" stopIfTrue="1" operator="equal">
      <formula>"Napkin Hs"</formula>
    </cfRule>
  </conditionalFormatting>
  <conditionalFormatting sqref="C87">
    <cfRule type="cellIs" dxfId="21635" priority="7131" stopIfTrue="1" operator="equal">
      <formula>"Towel"</formula>
    </cfRule>
    <cfRule type="cellIs" dxfId="21634" priority="7132" stopIfTrue="1" operator="equal">
      <formula>"Napkin Hs"</formula>
    </cfRule>
  </conditionalFormatting>
  <conditionalFormatting sqref="C87">
    <cfRule type="cellIs" dxfId="21633" priority="7129" stopIfTrue="1" operator="equal">
      <formula>"Towel"</formula>
    </cfRule>
    <cfRule type="cellIs" dxfId="21632" priority="7130" stopIfTrue="1" operator="equal">
      <formula>"Napkin Hs"</formula>
    </cfRule>
  </conditionalFormatting>
  <conditionalFormatting sqref="C87">
    <cfRule type="cellIs" dxfId="21631" priority="7119" stopIfTrue="1" operator="equal">
      <formula>"Towel"</formula>
    </cfRule>
    <cfRule type="cellIs" dxfId="21630" priority="7120" stopIfTrue="1" operator="equal">
      <formula>"Napkin Hs"</formula>
    </cfRule>
  </conditionalFormatting>
  <conditionalFormatting sqref="C87">
    <cfRule type="cellIs" dxfId="21629" priority="7117" stopIfTrue="1" operator="equal">
      <formula>"Towel"</formula>
    </cfRule>
    <cfRule type="cellIs" dxfId="21628" priority="7118" stopIfTrue="1" operator="equal">
      <formula>"Napkin Hs"</formula>
    </cfRule>
  </conditionalFormatting>
  <conditionalFormatting sqref="C87">
    <cfRule type="cellIs" dxfId="21627" priority="7115" stopIfTrue="1" operator="equal">
      <formula>"Towel"</formula>
    </cfRule>
    <cfRule type="cellIs" dxfId="21626" priority="7116" stopIfTrue="1" operator="equal">
      <formula>"Napkin Hs"</formula>
    </cfRule>
  </conditionalFormatting>
  <conditionalFormatting sqref="C87">
    <cfRule type="cellIs" dxfId="21625" priority="7113" stopIfTrue="1" operator="equal">
      <formula>"Towel"</formula>
    </cfRule>
    <cfRule type="cellIs" dxfId="21624" priority="7114" stopIfTrue="1" operator="equal">
      <formula>"Napkin Hs"</formula>
    </cfRule>
  </conditionalFormatting>
  <conditionalFormatting sqref="C87">
    <cfRule type="cellIs" dxfId="21623" priority="7111" stopIfTrue="1" operator="equal">
      <formula>"Towel"</formula>
    </cfRule>
    <cfRule type="cellIs" dxfId="21622" priority="7112" stopIfTrue="1" operator="equal">
      <formula>"Napkin Hs"</formula>
    </cfRule>
  </conditionalFormatting>
  <conditionalFormatting sqref="C87">
    <cfRule type="cellIs" dxfId="21621" priority="7109" stopIfTrue="1" operator="equal">
      <formula>"Towel"</formula>
    </cfRule>
    <cfRule type="cellIs" dxfId="21620" priority="7110" stopIfTrue="1" operator="equal">
      <formula>"Napkin Hs"</formula>
    </cfRule>
  </conditionalFormatting>
  <conditionalFormatting sqref="C87">
    <cfRule type="cellIs" dxfId="21619" priority="7107" stopIfTrue="1" operator="equal">
      <formula>"Towel"</formula>
    </cfRule>
    <cfRule type="cellIs" dxfId="21618" priority="7108" stopIfTrue="1" operator="equal">
      <formula>"Napkin Hs"</formula>
    </cfRule>
  </conditionalFormatting>
  <conditionalFormatting sqref="C87">
    <cfRule type="cellIs" dxfId="21617" priority="7105" stopIfTrue="1" operator="equal">
      <formula>"Towel"</formula>
    </cfRule>
    <cfRule type="cellIs" dxfId="21616" priority="7106" stopIfTrue="1" operator="equal">
      <formula>"Napkin Hs"</formula>
    </cfRule>
  </conditionalFormatting>
  <conditionalFormatting sqref="C87">
    <cfRule type="cellIs" dxfId="21615" priority="7103" stopIfTrue="1" operator="equal">
      <formula>"Towel"</formula>
    </cfRule>
    <cfRule type="cellIs" dxfId="21614" priority="7104" stopIfTrue="1" operator="equal">
      <formula>"Napkin Hs"</formula>
    </cfRule>
  </conditionalFormatting>
  <conditionalFormatting sqref="C87">
    <cfRule type="cellIs" dxfId="21613" priority="7090" stopIfTrue="1" operator="equal">
      <formula>"Napkin Hs"</formula>
    </cfRule>
  </conditionalFormatting>
  <conditionalFormatting sqref="C87">
    <cfRule type="cellIs" dxfId="21612" priority="7089" stopIfTrue="1" operator="equal">
      <formula>"Towel"</formula>
    </cfRule>
  </conditionalFormatting>
  <conditionalFormatting sqref="C87">
    <cfRule type="cellIs" dxfId="21611" priority="7088" stopIfTrue="1" operator="equal">
      <formula>"Napkin Hs"</formula>
    </cfRule>
  </conditionalFormatting>
  <conditionalFormatting sqref="C87">
    <cfRule type="cellIs" dxfId="21610" priority="7085" stopIfTrue="1" operator="equal">
      <formula>"Towel"</formula>
    </cfRule>
    <cfRule type="cellIs" dxfId="21609" priority="7086" stopIfTrue="1" operator="equal">
      <formula>"Napkin Hs"</formula>
    </cfRule>
  </conditionalFormatting>
  <conditionalFormatting sqref="C87">
    <cfRule type="cellIs" dxfId="21608" priority="7087" stopIfTrue="1" operator="equal">
      <formula>"Towel"</formula>
    </cfRule>
  </conditionalFormatting>
  <conditionalFormatting sqref="C87">
    <cfRule type="cellIs" dxfId="21607" priority="7205" stopIfTrue="1" operator="equal">
      <formula>"Towel"</formula>
    </cfRule>
    <cfRule type="cellIs" dxfId="21606" priority="7206" stopIfTrue="1" operator="equal">
      <formula>"Napkin Hs"</formula>
    </cfRule>
  </conditionalFormatting>
  <conditionalFormatting sqref="C87">
    <cfRule type="cellIs" dxfId="21605" priority="7204" stopIfTrue="1" operator="equal">
      <formula>"Napkin Hs"</formula>
    </cfRule>
  </conditionalFormatting>
  <conditionalFormatting sqref="C87">
    <cfRule type="cellIs" dxfId="21604" priority="7203" stopIfTrue="1" operator="equal">
      <formula>"Towel"</formula>
    </cfRule>
  </conditionalFormatting>
  <conditionalFormatting sqref="C87">
    <cfRule type="cellIs" dxfId="21603" priority="7202" stopIfTrue="1" operator="equal">
      <formula>"Napkin Hs"</formula>
    </cfRule>
  </conditionalFormatting>
  <conditionalFormatting sqref="C87">
    <cfRule type="cellIs" dxfId="21602" priority="7199" stopIfTrue="1" operator="equal">
      <formula>"Towel"</formula>
    </cfRule>
    <cfRule type="cellIs" dxfId="21601" priority="7200" stopIfTrue="1" operator="equal">
      <formula>"Napkin Hs"</formula>
    </cfRule>
  </conditionalFormatting>
  <conditionalFormatting sqref="C87">
    <cfRule type="cellIs" dxfId="21600" priority="7201" stopIfTrue="1" operator="equal">
      <formula>"Towel"</formula>
    </cfRule>
  </conditionalFormatting>
  <conditionalFormatting sqref="C87">
    <cfRule type="cellIs" dxfId="21599" priority="7209" stopIfTrue="1" operator="equal">
      <formula>"Towel"</formula>
    </cfRule>
    <cfRule type="cellIs" dxfId="21598" priority="7210" stopIfTrue="1" operator="equal">
      <formula>"Napkin Hs"</formula>
    </cfRule>
  </conditionalFormatting>
  <conditionalFormatting sqref="C87">
    <cfRule type="cellIs" dxfId="21597" priority="7207" stopIfTrue="1" operator="equal">
      <formula>"Towel"</formula>
    </cfRule>
    <cfRule type="cellIs" dxfId="21596" priority="7208" stopIfTrue="1" operator="equal">
      <formula>"Napkin Hs"</formula>
    </cfRule>
  </conditionalFormatting>
  <conditionalFormatting sqref="C87">
    <cfRule type="cellIs" dxfId="21595" priority="7179" stopIfTrue="1" operator="equal">
      <formula>"Towel"</formula>
    </cfRule>
    <cfRule type="cellIs" dxfId="21594" priority="7180" stopIfTrue="1" operator="equal">
      <formula>"Napkin Hs"</formula>
    </cfRule>
  </conditionalFormatting>
  <conditionalFormatting sqref="C87">
    <cfRule type="cellIs" dxfId="21593" priority="7177" stopIfTrue="1" operator="equal">
      <formula>"Towel"</formula>
    </cfRule>
    <cfRule type="cellIs" dxfId="21592" priority="7178" stopIfTrue="1" operator="equal">
      <formula>"Napkin Hs"</formula>
    </cfRule>
  </conditionalFormatting>
  <conditionalFormatting sqref="C87">
    <cfRule type="cellIs" dxfId="21591" priority="7156" stopIfTrue="1" operator="equal">
      <formula>"Napkin Hs"</formula>
    </cfRule>
  </conditionalFormatting>
  <conditionalFormatting sqref="C87">
    <cfRule type="cellIs" dxfId="21590" priority="7155" stopIfTrue="1" operator="equal">
      <formula>"Towel"</formula>
    </cfRule>
  </conditionalFormatting>
  <conditionalFormatting sqref="C87">
    <cfRule type="cellIs" dxfId="21589" priority="7154" stopIfTrue="1" operator="equal">
      <formula>"Napkin Hs"</formula>
    </cfRule>
  </conditionalFormatting>
  <conditionalFormatting sqref="C87">
    <cfRule type="cellIs" dxfId="21588" priority="7153" stopIfTrue="1" operator="equal">
      <formula>"Towel"</formula>
    </cfRule>
  </conditionalFormatting>
  <conditionalFormatting sqref="C87">
    <cfRule type="cellIs" dxfId="21587" priority="7150" stopIfTrue="1" operator="equal">
      <formula>"Napkin Hs"</formula>
    </cfRule>
  </conditionalFormatting>
  <conditionalFormatting sqref="C87">
    <cfRule type="cellIs" dxfId="21586" priority="7149" stopIfTrue="1" operator="equal">
      <formula>"Towel"</formula>
    </cfRule>
  </conditionalFormatting>
  <conditionalFormatting sqref="C87">
    <cfRule type="cellIs" dxfId="21585" priority="7148" stopIfTrue="1" operator="equal">
      <formula>"Napkin Hs"</formula>
    </cfRule>
  </conditionalFormatting>
  <conditionalFormatting sqref="C87">
    <cfRule type="cellIs" dxfId="21584" priority="7147" stopIfTrue="1" operator="equal">
      <formula>"Towel"</formula>
    </cfRule>
  </conditionalFormatting>
  <conditionalFormatting sqref="C87">
    <cfRule type="cellIs" dxfId="21583" priority="7143" stopIfTrue="1" operator="equal">
      <formula>"Towel"</formula>
    </cfRule>
    <cfRule type="cellIs" dxfId="21582" priority="7144" stopIfTrue="1" operator="equal">
      <formula>"Napkin Hs"</formula>
    </cfRule>
  </conditionalFormatting>
  <conditionalFormatting sqref="C87">
    <cfRule type="cellIs" dxfId="21581" priority="7141" stopIfTrue="1" operator="equal">
      <formula>"Towel"</formula>
    </cfRule>
    <cfRule type="cellIs" dxfId="21580" priority="7142" stopIfTrue="1" operator="equal">
      <formula>"Napkin Hs"</formula>
    </cfRule>
  </conditionalFormatting>
  <conditionalFormatting sqref="C87">
    <cfRule type="cellIs" dxfId="21579" priority="7125" stopIfTrue="1" operator="equal">
      <formula>"Towel"</formula>
    </cfRule>
    <cfRule type="cellIs" dxfId="21578" priority="7126" stopIfTrue="1" operator="equal">
      <formula>"Napkin Hs"</formula>
    </cfRule>
  </conditionalFormatting>
  <conditionalFormatting sqref="C87">
    <cfRule type="cellIs" dxfId="21577" priority="7123" stopIfTrue="1" operator="equal">
      <formula>"Towel"</formula>
    </cfRule>
    <cfRule type="cellIs" dxfId="21576" priority="7124" stopIfTrue="1" operator="equal">
      <formula>"Napkin Hs"</formula>
    </cfRule>
  </conditionalFormatting>
  <conditionalFormatting sqref="B87:C87">
    <cfRule type="cellIs" dxfId="21575" priority="7084" stopIfTrue="1" operator="equal">
      <formula>"Napkin Hs"</formula>
    </cfRule>
  </conditionalFormatting>
  <conditionalFormatting sqref="B87:C87">
    <cfRule type="cellIs" dxfId="21574" priority="7083" stopIfTrue="1" operator="equal">
      <formula>"Towel"</formula>
    </cfRule>
  </conditionalFormatting>
  <conditionalFormatting sqref="C87">
    <cfRule type="cellIs" dxfId="21573" priority="7082" stopIfTrue="1" operator="equal">
      <formula>"Napkin Hs"</formula>
    </cfRule>
  </conditionalFormatting>
  <conditionalFormatting sqref="C87">
    <cfRule type="cellIs" dxfId="21572" priority="7079" stopIfTrue="1" operator="equal">
      <formula>"Towel"</formula>
    </cfRule>
    <cfRule type="cellIs" dxfId="21571" priority="7080" stopIfTrue="1" operator="equal">
      <formula>"Napkin Hs"</formula>
    </cfRule>
  </conditionalFormatting>
  <conditionalFormatting sqref="C87">
    <cfRule type="cellIs" dxfId="21570" priority="7081" stopIfTrue="1" operator="equal">
      <formula>"Towel"</formula>
    </cfRule>
  </conditionalFormatting>
  <conditionalFormatting sqref="B87:C87">
    <cfRule type="cellIs" dxfId="21569" priority="7078" stopIfTrue="1" operator="equal">
      <formula>"Napkin Hs"</formula>
    </cfRule>
  </conditionalFormatting>
  <conditionalFormatting sqref="B87:C87">
    <cfRule type="cellIs" dxfId="21568" priority="7077" stopIfTrue="1" operator="equal">
      <formula>"Towel"</formula>
    </cfRule>
  </conditionalFormatting>
  <conditionalFormatting sqref="C87">
    <cfRule type="cellIs" dxfId="21567" priority="7076" stopIfTrue="1" operator="equal">
      <formula>"Napkin Hs"</formula>
    </cfRule>
  </conditionalFormatting>
  <conditionalFormatting sqref="C87">
    <cfRule type="cellIs" dxfId="21566" priority="7075" stopIfTrue="1" operator="equal">
      <formula>"Towel"</formula>
    </cfRule>
  </conditionalFormatting>
  <conditionalFormatting sqref="B88:C88">
    <cfRule type="cellIs" dxfId="21565" priority="7073" stopIfTrue="1" operator="equal">
      <formula>"Towel"</formula>
    </cfRule>
    <cfRule type="cellIs" dxfId="21564" priority="7074" stopIfTrue="1" operator="equal">
      <formula>"Napkin Hs"</formula>
    </cfRule>
  </conditionalFormatting>
  <conditionalFormatting sqref="C88">
    <cfRule type="cellIs" dxfId="21563" priority="7069" stopIfTrue="1" operator="equal">
      <formula>"Towel"</formula>
    </cfRule>
    <cfRule type="cellIs" dxfId="21562" priority="7070" stopIfTrue="1" operator="equal">
      <formula>"Napkin Hs"</formula>
    </cfRule>
  </conditionalFormatting>
  <conditionalFormatting sqref="C88">
    <cfRule type="cellIs" dxfId="21561" priority="7071" stopIfTrue="1" operator="equal">
      <formula>"Towel"</formula>
    </cfRule>
    <cfRule type="cellIs" dxfId="21560" priority="7072" stopIfTrue="1" operator="equal">
      <formula>"Napkin Hs"</formula>
    </cfRule>
  </conditionalFormatting>
  <conditionalFormatting sqref="B88:C88">
    <cfRule type="cellIs" dxfId="21559" priority="7068" stopIfTrue="1" operator="equal">
      <formula>"Napkin Hs"</formula>
    </cfRule>
  </conditionalFormatting>
  <conditionalFormatting sqref="B88:C88">
    <cfRule type="cellIs" dxfId="21558" priority="7067" stopIfTrue="1" operator="equal">
      <formula>"Towel"</formula>
    </cfRule>
  </conditionalFormatting>
  <conditionalFormatting sqref="C88">
    <cfRule type="cellIs" dxfId="21557" priority="7066" stopIfTrue="1" operator="equal">
      <formula>"Napkin Hs"</formula>
    </cfRule>
  </conditionalFormatting>
  <conditionalFormatting sqref="C88">
    <cfRule type="cellIs" dxfId="21556" priority="7065" stopIfTrue="1" operator="equal">
      <formula>"Towel"</formula>
    </cfRule>
  </conditionalFormatting>
  <conditionalFormatting sqref="C88">
    <cfRule type="cellIs" dxfId="21555" priority="7063" stopIfTrue="1" operator="equal">
      <formula>"Towel"</formula>
    </cfRule>
    <cfRule type="cellIs" dxfId="21554" priority="7064" stopIfTrue="1" operator="equal">
      <formula>"Napkin Hs"</formula>
    </cfRule>
  </conditionalFormatting>
  <conditionalFormatting sqref="B88:C88">
    <cfRule type="cellIs" dxfId="21553" priority="7061" stopIfTrue="1" operator="equal">
      <formula>"Towel"</formula>
    </cfRule>
    <cfRule type="cellIs" dxfId="21552" priority="7062" stopIfTrue="1" operator="equal">
      <formula>"Napkin Hs"</formula>
    </cfRule>
  </conditionalFormatting>
  <conditionalFormatting sqref="C88">
    <cfRule type="cellIs" dxfId="21551" priority="7059" stopIfTrue="1" operator="equal">
      <formula>"Towel"</formula>
    </cfRule>
    <cfRule type="cellIs" dxfId="21550" priority="7060" stopIfTrue="1" operator="equal">
      <formula>"Napkin Hs"</formula>
    </cfRule>
  </conditionalFormatting>
  <conditionalFormatting sqref="C88">
    <cfRule type="cellIs" dxfId="21549" priority="7057" stopIfTrue="1" operator="equal">
      <formula>"Towel"</formula>
    </cfRule>
    <cfRule type="cellIs" dxfId="21548" priority="7058" stopIfTrue="1" operator="equal">
      <formula>"Napkin Hs"</formula>
    </cfRule>
  </conditionalFormatting>
  <conditionalFormatting sqref="B88:C88">
    <cfRule type="cellIs" dxfId="21547" priority="7055" stopIfTrue="1" operator="equal">
      <formula>"Towel"</formula>
    </cfRule>
    <cfRule type="cellIs" dxfId="21546" priority="7056" stopIfTrue="1" operator="equal">
      <formula>"Napkin Hs"</formula>
    </cfRule>
  </conditionalFormatting>
  <conditionalFormatting sqref="C88">
    <cfRule type="cellIs" dxfId="21545" priority="7053" stopIfTrue="1" operator="equal">
      <formula>"Towel"</formula>
    </cfRule>
    <cfRule type="cellIs" dxfId="21544" priority="7054" stopIfTrue="1" operator="equal">
      <formula>"Napkin Hs"</formula>
    </cfRule>
  </conditionalFormatting>
  <conditionalFormatting sqref="C88">
    <cfRule type="cellIs" dxfId="21543" priority="7051" stopIfTrue="1" operator="equal">
      <formula>"Towel"</formula>
    </cfRule>
    <cfRule type="cellIs" dxfId="21542" priority="7052" stopIfTrue="1" operator="equal">
      <formula>"Napkin Hs"</formula>
    </cfRule>
  </conditionalFormatting>
  <conditionalFormatting sqref="B88:C88">
    <cfRule type="cellIs" dxfId="21541" priority="7049" stopIfTrue="1" operator="equal">
      <formula>"Towel"</formula>
    </cfRule>
    <cfRule type="cellIs" dxfId="21540" priority="7050" stopIfTrue="1" operator="equal">
      <formula>"Napkin Hs"</formula>
    </cfRule>
  </conditionalFormatting>
  <conditionalFormatting sqref="C88">
    <cfRule type="cellIs" dxfId="21539" priority="7047" stopIfTrue="1" operator="equal">
      <formula>"Towel"</formula>
    </cfRule>
    <cfRule type="cellIs" dxfId="21538" priority="7048" stopIfTrue="1" operator="equal">
      <formula>"Napkin Hs"</formula>
    </cfRule>
  </conditionalFormatting>
  <conditionalFormatting sqref="C88">
    <cfRule type="cellIs" dxfId="21537" priority="7045" stopIfTrue="1" operator="equal">
      <formula>"Towel"</formula>
    </cfRule>
    <cfRule type="cellIs" dxfId="21536" priority="7046" stopIfTrue="1" operator="equal">
      <formula>"Napkin Hs"</formula>
    </cfRule>
  </conditionalFormatting>
  <conditionalFormatting sqref="B88:C88">
    <cfRule type="cellIs" dxfId="21535" priority="7043" stopIfTrue="1" operator="equal">
      <formula>"Towel"</formula>
    </cfRule>
    <cfRule type="cellIs" dxfId="21534" priority="7044" stopIfTrue="1" operator="equal">
      <formula>"Napkin Hs"</formula>
    </cfRule>
  </conditionalFormatting>
  <conditionalFormatting sqref="C88">
    <cfRule type="cellIs" dxfId="21533" priority="7041" stopIfTrue="1" operator="equal">
      <formula>"Towel"</formula>
    </cfRule>
    <cfRule type="cellIs" dxfId="21532" priority="7042" stopIfTrue="1" operator="equal">
      <formula>"Napkin Hs"</formula>
    </cfRule>
  </conditionalFormatting>
  <conditionalFormatting sqref="C88">
    <cfRule type="cellIs" dxfId="21531" priority="7039" stopIfTrue="1" operator="equal">
      <formula>"Towel"</formula>
    </cfRule>
    <cfRule type="cellIs" dxfId="21530" priority="7040" stopIfTrue="1" operator="equal">
      <formula>"Napkin Hs"</formula>
    </cfRule>
  </conditionalFormatting>
  <conditionalFormatting sqref="B88:C88">
    <cfRule type="cellIs" dxfId="21529" priority="7037" stopIfTrue="1" operator="equal">
      <formula>"Towel"</formula>
    </cfRule>
    <cfRule type="cellIs" dxfId="21528" priority="7038" stopIfTrue="1" operator="equal">
      <formula>"Napkin Hs"</formula>
    </cfRule>
  </conditionalFormatting>
  <conditionalFormatting sqref="C88">
    <cfRule type="cellIs" dxfId="21527" priority="7035" stopIfTrue="1" operator="equal">
      <formula>"Towel"</formula>
    </cfRule>
    <cfRule type="cellIs" dxfId="21526" priority="7036" stopIfTrue="1" operator="equal">
      <formula>"Napkin Hs"</formula>
    </cfRule>
  </conditionalFormatting>
  <conditionalFormatting sqref="C88">
    <cfRule type="cellIs" dxfId="21525" priority="7033" stopIfTrue="1" operator="equal">
      <formula>"Towel"</formula>
    </cfRule>
    <cfRule type="cellIs" dxfId="21524" priority="7034" stopIfTrue="1" operator="equal">
      <formula>"Napkin Hs"</formula>
    </cfRule>
  </conditionalFormatting>
  <conditionalFormatting sqref="B88:C88">
    <cfRule type="cellIs" dxfId="21523" priority="7032" stopIfTrue="1" operator="equal">
      <formula>"Napkin Hs"</formula>
    </cfRule>
  </conditionalFormatting>
  <conditionalFormatting sqref="B88:C88">
    <cfRule type="cellIs" dxfId="21522" priority="7031" stopIfTrue="1" operator="equal">
      <formula>"Towel"</formula>
    </cfRule>
  </conditionalFormatting>
  <conditionalFormatting sqref="C88">
    <cfRule type="cellIs" dxfId="21521" priority="7030" stopIfTrue="1" operator="equal">
      <formula>"Napkin Hs"</formula>
    </cfRule>
  </conditionalFormatting>
  <conditionalFormatting sqref="C88">
    <cfRule type="cellIs" dxfId="21520" priority="7027" stopIfTrue="1" operator="equal">
      <formula>"Towel"</formula>
    </cfRule>
    <cfRule type="cellIs" dxfId="21519" priority="7028" stopIfTrue="1" operator="equal">
      <formula>"Napkin Hs"</formula>
    </cfRule>
  </conditionalFormatting>
  <conditionalFormatting sqref="C88">
    <cfRule type="cellIs" dxfId="21518" priority="7029" stopIfTrue="1" operator="equal">
      <formula>"Towel"</formula>
    </cfRule>
  </conditionalFormatting>
  <conditionalFormatting sqref="B88:C88">
    <cfRule type="cellIs" dxfId="21517" priority="7025" stopIfTrue="1" operator="equal">
      <formula>"Towel"</formula>
    </cfRule>
    <cfRule type="cellIs" dxfId="21516" priority="7026" stopIfTrue="1" operator="equal">
      <formula>"Napkin Hs"</formula>
    </cfRule>
  </conditionalFormatting>
  <conditionalFormatting sqref="C88">
    <cfRule type="cellIs" dxfId="21515" priority="7021" stopIfTrue="1" operator="equal">
      <formula>"Towel"</formula>
    </cfRule>
    <cfRule type="cellIs" dxfId="21514" priority="7022" stopIfTrue="1" operator="equal">
      <formula>"Napkin Hs"</formula>
    </cfRule>
  </conditionalFormatting>
  <conditionalFormatting sqref="C88">
    <cfRule type="cellIs" dxfId="21513" priority="7023" stopIfTrue="1" operator="equal">
      <formula>"Towel"</formula>
    </cfRule>
    <cfRule type="cellIs" dxfId="21512" priority="7024" stopIfTrue="1" operator="equal">
      <formula>"Napkin Hs"</formula>
    </cfRule>
  </conditionalFormatting>
  <conditionalFormatting sqref="B88:C88">
    <cfRule type="cellIs" dxfId="21511" priority="7019" stopIfTrue="1" operator="equal">
      <formula>"Towel"</formula>
    </cfRule>
    <cfRule type="cellIs" dxfId="21510" priority="7020" stopIfTrue="1" operator="equal">
      <formula>"Napkin Hs"</formula>
    </cfRule>
  </conditionalFormatting>
  <conditionalFormatting sqref="C88">
    <cfRule type="cellIs" dxfId="21509" priority="7015" stopIfTrue="1" operator="equal">
      <formula>"Towel"</formula>
    </cfRule>
    <cfRule type="cellIs" dxfId="21508" priority="7016" stopIfTrue="1" operator="equal">
      <formula>"Napkin Hs"</formula>
    </cfRule>
  </conditionalFormatting>
  <conditionalFormatting sqref="C88">
    <cfRule type="cellIs" dxfId="21507" priority="7017" stopIfTrue="1" operator="equal">
      <formula>"Towel"</formula>
    </cfRule>
    <cfRule type="cellIs" dxfId="21506" priority="7018" stopIfTrue="1" operator="equal">
      <formula>"Napkin Hs"</formula>
    </cfRule>
  </conditionalFormatting>
  <conditionalFormatting sqref="B88:C88">
    <cfRule type="cellIs" dxfId="21505" priority="7013" stopIfTrue="1" operator="equal">
      <formula>"Towel"</formula>
    </cfRule>
    <cfRule type="cellIs" dxfId="21504" priority="7014" stopIfTrue="1" operator="equal">
      <formula>"Napkin Hs"</formula>
    </cfRule>
  </conditionalFormatting>
  <conditionalFormatting sqref="C88">
    <cfRule type="cellIs" dxfId="21503" priority="7011" stopIfTrue="1" operator="equal">
      <formula>"Towel"</formula>
    </cfRule>
    <cfRule type="cellIs" dxfId="21502" priority="7012" stopIfTrue="1" operator="equal">
      <formula>"Napkin Hs"</formula>
    </cfRule>
  </conditionalFormatting>
  <conditionalFormatting sqref="C88">
    <cfRule type="cellIs" dxfId="21501" priority="7009" stopIfTrue="1" operator="equal">
      <formula>"Towel"</formula>
    </cfRule>
    <cfRule type="cellIs" dxfId="21500" priority="7010" stopIfTrue="1" operator="equal">
      <formula>"Napkin Hs"</formula>
    </cfRule>
  </conditionalFormatting>
  <conditionalFormatting sqref="B88:C88">
    <cfRule type="cellIs" dxfId="21499" priority="7008" stopIfTrue="1" operator="equal">
      <formula>"Napkin Hs"</formula>
    </cfRule>
  </conditionalFormatting>
  <conditionalFormatting sqref="B88:C88">
    <cfRule type="cellIs" dxfId="21498" priority="7007" stopIfTrue="1" operator="equal">
      <formula>"Towel"</formula>
    </cfRule>
  </conditionalFormatting>
  <conditionalFormatting sqref="C88">
    <cfRule type="cellIs" dxfId="21497" priority="7006" stopIfTrue="1" operator="equal">
      <formula>"Napkin Hs"</formula>
    </cfRule>
  </conditionalFormatting>
  <conditionalFormatting sqref="C88">
    <cfRule type="cellIs" dxfId="21496" priority="7005" stopIfTrue="1" operator="equal">
      <formula>"Towel"</formula>
    </cfRule>
  </conditionalFormatting>
  <conditionalFormatting sqref="C88">
    <cfRule type="cellIs" dxfId="21495" priority="7003" stopIfTrue="1" operator="equal">
      <formula>"Towel"</formula>
    </cfRule>
    <cfRule type="cellIs" dxfId="21494" priority="7004" stopIfTrue="1" operator="equal">
      <formula>"Napkin Hs"</formula>
    </cfRule>
  </conditionalFormatting>
  <conditionalFormatting sqref="C88">
    <cfRule type="cellIs" dxfId="21493" priority="7001" stopIfTrue="1" operator="equal">
      <formula>"Towel"</formula>
    </cfRule>
    <cfRule type="cellIs" dxfId="21492" priority="7002" stopIfTrue="1" operator="equal">
      <formula>"Napkin Hs"</formula>
    </cfRule>
  </conditionalFormatting>
  <conditionalFormatting sqref="C88">
    <cfRule type="cellIs" dxfId="21491" priority="6917" stopIfTrue="1" operator="equal">
      <formula>"Towel"</formula>
    </cfRule>
    <cfRule type="cellIs" dxfId="21490" priority="6918" stopIfTrue="1" operator="equal">
      <formula>"Napkin Hs"</formula>
    </cfRule>
  </conditionalFormatting>
  <conditionalFormatting sqref="C88">
    <cfRule type="cellIs" dxfId="21489" priority="6911" stopIfTrue="1" operator="equal">
      <formula>"Towel"</formula>
    </cfRule>
    <cfRule type="cellIs" dxfId="21488" priority="6912" stopIfTrue="1" operator="equal">
      <formula>"Napkin Hs"</formula>
    </cfRule>
  </conditionalFormatting>
  <conditionalFormatting sqref="C88">
    <cfRule type="cellIs" dxfId="21487" priority="6892" stopIfTrue="1" operator="equal">
      <formula>"Napkin Hs"</formula>
    </cfRule>
  </conditionalFormatting>
  <conditionalFormatting sqref="C88">
    <cfRule type="cellIs" dxfId="21486" priority="6891" stopIfTrue="1" operator="equal">
      <formula>"Towel"</formula>
    </cfRule>
  </conditionalFormatting>
  <conditionalFormatting sqref="C88">
    <cfRule type="cellIs" dxfId="21485" priority="6890" stopIfTrue="1" operator="equal">
      <formula>"Napkin Hs"</formula>
    </cfRule>
  </conditionalFormatting>
  <conditionalFormatting sqref="C88">
    <cfRule type="cellIs" dxfId="21484" priority="6887" stopIfTrue="1" operator="equal">
      <formula>"Towel"</formula>
    </cfRule>
    <cfRule type="cellIs" dxfId="21483" priority="6888" stopIfTrue="1" operator="equal">
      <formula>"Napkin Hs"</formula>
    </cfRule>
  </conditionalFormatting>
  <conditionalFormatting sqref="C88">
    <cfRule type="cellIs" dxfId="21482" priority="6889" stopIfTrue="1" operator="equal">
      <formula>"Towel"</formula>
    </cfRule>
  </conditionalFormatting>
  <conditionalFormatting sqref="C88">
    <cfRule type="cellIs" dxfId="21481" priority="6886" stopIfTrue="1" operator="equal">
      <formula>"Napkin Hs"</formula>
    </cfRule>
  </conditionalFormatting>
  <conditionalFormatting sqref="C88">
    <cfRule type="cellIs" dxfId="21480" priority="6885" stopIfTrue="1" operator="equal">
      <formula>"Towel"</formula>
    </cfRule>
  </conditionalFormatting>
  <conditionalFormatting sqref="C88">
    <cfRule type="cellIs" dxfId="21479" priority="6884" stopIfTrue="1" operator="equal">
      <formula>"Napkin Hs"</formula>
    </cfRule>
  </conditionalFormatting>
  <conditionalFormatting sqref="C88">
    <cfRule type="cellIs" dxfId="21478" priority="6881" stopIfTrue="1" operator="equal">
      <formula>"Towel"</formula>
    </cfRule>
    <cfRule type="cellIs" dxfId="21477" priority="6882" stopIfTrue="1" operator="equal">
      <formula>"Napkin Hs"</formula>
    </cfRule>
  </conditionalFormatting>
  <conditionalFormatting sqref="C88">
    <cfRule type="cellIs" dxfId="21476" priority="6883" stopIfTrue="1" operator="equal">
      <formula>"Towel"</formula>
    </cfRule>
  </conditionalFormatting>
  <conditionalFormatting sqref="C88">
    <cfRule type="cellIs" dxfId="21475" priority="6987" stopIfTrue="1" operator="equal">
      <formula>"Towel"</formula>
    </cfRule>
    <cfRule type="cellIs" dxfId="21474" priority="6988" stopIfTrue="1" operator="equal">
      <formula>"Napkin Hs"</formula>
    </cfRule>
  </conditionalFormatting>
  <conditionalFormatting sqref="C88">
    <cfRule type="cellIs" dxfId="21473" priority="6985" stopIfTrue="1" operator="equal">
      <formula>"Towel"</formula>
    </cfRule>
    <cfRule type="cellIs" dxfId="21472" priority="6986" stopIfTrue="1" operator="equal">
      <formula>"Napkin Hs"</formula>
    </cfRule>
  </conditionalFormatting>
  <conditionalFormatting sqref="C88">
    <cfRule type="cellIs" dxfId="21471" priority="6983" stopIfTrue="1" operator="equal">
      <formula>"Towel"</formula>
    </cfRule>
    <cfRule type="cellIs" dxfId="21470" priority="6984" stopIfTrue="1" operator="equal">
      <formula>"Napkin Hs"</formula>
    </cfRule>
  </conditionalFormatting>
  <conditionalFormatting sqref="C88">
    <cfRule type="cellIs" dxfId="21469" priority="6982" stopIfTrue="1" operator="equal">
      <formula>"Napkin Hs"</formula>
    </cfRule>
  </conditionalFormatting>
  <conditionalFormatting sqref="C88">
    <cfRule type="cellIs" dxfId="21468" priority="6981" stopIfTrue="1" operator="equal">
      <formula>"Towel"</formula>
    </cfRule>
  </conditionalFormatting>
  <conditionalFormatting sqref="C88">
    <cfRule type="cellIs" dxfId="21467" priority="6980" stopIfTrue="1" operator="equal">
      <formula>"Napkin Hs"</formula>
    </cfRule>
  </conditionalFormatting>
  <conditionalFormatting sqref="C88">
    <cfRule type="cellIs" dxfId="21466" priority="6979" stopIfTrue="1" operator="equal">
      <formula>"Towel"</formula>
    </cfRule>
  </conditionalFormatting>
  <conditionalFormatting sqref="C88">
    <cfRule type="cellIs" dxfId="21465" priority="6977" stopIfTrue="1" operator="equal">
      <formula>"Towel"</formula>
    </cfRule>
    <cfRule type="cellIs" dxfId="21464" priority="6978" stopIfTrue="1" operator="equal">
      <formula>"Napkin Hs"</formula>
    </cfRule>
  </conditionalFormatting>
  <conditionalFormatting sqref="C88">
    <cfRule type="cellIs" dxfId="21463" priority="6975" stopIfTrue="1" operator="equal">
      <formula>"Towel"</formula>
    </cfRule>
    <cfRule type="cellIs" dxfId="21462" priority="6976" stopIfTrue="1" operator="equal">
      <formula>"Napkin Hs"</formula>
    </cfRule>
  </conditionalFormatting>
  <conditionalFormatting sqref="C88">
    <cfRule type="cellIs" dxfId="21461" priority="6971" stopIfTrue="1" operator="equal">
      <formula>"Towel"</formula>
    </cfRule>
    <cfRule type="cellIs" dxfId="21460" priority="6972" stopIfTrue="1" operator="equal">
      <formula>"Napkin Hs"</formula>
    </cfRule>
  </conditionalFormatting>
  <conditionalFormatting sqref="C88">
    <cfRule type="cellIs" dxfId="21459" priority="6973" stopIfTrue="1" operator="equal">
      <formula>"Towel"</formula>
    </cfRule>
    <cfRule type="cellIs" dxfId="21458" priority="6974" stopIfTrue="1" operator="equal">
      <formula>"Napkin Hs"</formula>
    </cfRule>
  </conditionalFormatting>
  <conditionalFormatting sqref="C88">
    <cfRule type="cellIs" dxfId="21457" priority="6965" stopIfTrue="1" operator="equal">
      <formula>"Towel"</formula>
    </cfRule>
    <cfRule type="cellIs" dxfId="21456" priority="6966" stopIfTrue="1" operator="equal">
      <formula>"Napkin Hs"</formula>
    </cfRule>
  </conditionalFormatting>
  <conditionalFormatting sqref="C88">
    <cfRule type="cellIs" dxfId="21455" priority="6963" stopIfTrue="1" operator="equal">
      <formula>"Towel"</formula>
    </cfRule>
    <cfRule type="cellIs" dxfId="21454" priority="6964" stopIfTrue="1" operator="equal">
      <formula>"Napkin Hs"</formula>
    </cfRule>
  </conditionalFormatting>
  <conditionalFormatting sqref="C88">
    <cfRule type="cellIs" dxfId="21453" priority="6961" stopIfTrue="1" operator="equal">
      <formula>"Towel"</formula>
    </cfRule>
    <cfRule type="cellIs" dxfId="21452" priority="6962" stopIfTrue="1" operator="equal">
      <formula>"Napkin Hs"</formula>
    </cfRule>
  </conditionalFormatting>
  <conditionalFormatting sqref="C88">
    <cfRule type="cellIs" dxfId="21451" priority="6959" stopIfTrue="1" operator="equal">
      <formula>"Towel"</formula>
    </cfRule>
    <cfRule type="cellIs" dxfId="21450" priority="6960" stopIfTrue="1" operator="equal">
      <formula>"Napkin Hs"</formula>
    </cfRule>
  </conditionalFormatting>
  <conditionalFormatting sqref="C88">
    <cfRule type="cellIs" dxfId="21449" priority="6957" stopIfTrue="1" operator="equal">
      <formula>"Towel"</formula>
    </cfRule>
    <cfRule type="cellIs" dxfId="21448" priority="6958" stopIfTrue="1" operator="equal">
      <formula>"Napkin Hs"</formula>
    </cfRule>
  </conditionalFormatting>
  <conditionalFormatting sqref="C88">
    <cfRule type="cellIs" dxfId="21447" priority="6955" stopIfTrue="1" operator="equal">
      <formula>"Towel"</formula>
    </cfRule>
    <cfRule type="cellIs" dxfId="21446" priority="6956" stopIfTrue="1" operator="equal">
      <formula>"Napkin Hs"</formula>
    </cfRule>
  </conditionalFormatting>
  <conditionalFormatting sqref="C88">
    <cfRule type="cellIs" dxfId="21445" priority="6953" stopIfTrue="1" operator="equal">
      <formula>"Towel"</formula>
    </cfRule>
    <cfRule type="cellIs" dxfId="21444" priority="6954" stopIfTrue="1" operator="equal">
      <formula>"Napkin Hs"</formula>
    </cfRule>
  </conditionalFormatting>
  <conditionalFormatting sqref="C88">
    <cfRule type="cellIs" dxfId="21443" priority="6951" stopIfTrue="1" operator="equal">
      <formula>"Towel"</formula>
    </cfRule>
    <cfRule type="cellIs" dxfId="21442" priority="6952" stopIfTrue="1" operator="equal">
      <formula>"Napkin Hs"</formula>
    </cfRule>
  </conditionalFormatting>
  <conditionalFormatting sqref="C88">
    <cfRule type="cellIs" dxfId="21441" priority="6949" stopIfTrue="1" operator="equal">
      <formula>"Towel"</formula>
    </cfRule>
    <cfRule type="cellIs" dxfId="21440" priority="6950" stopIfTrue="1" operator="equal">
      <formula>"Napkin Hs"</formula>
    </cfRule>
  </conditionalFormatting>
  <conditionalFormatting sqref="C88">
    <cfRule type="cellIs" dxfId="21439" priority="6947" stopIfTrue="1" operator="equal">
      <formula>"Towel"</formula>
    </cfRule>
    <cfRule type="cellIs" dxfId="21438" priority="6948" stopIfTrue="1" operator="equal">
      <formula>"Napkin Hs"</formula>
    </cfRule>
  </conditionalFormatting>
  <conditionalFormatting sqref="C88">
    <cfRule type="cellIs" dxfId="21437" priority="6941" stopIfTrue="1" operator="equal">
      <formula>"Towel"</formula>
    </cfRule>
    <cfRule type="cellIs" dxfId="21436" priority="6942" stopIfTrue="1" operator="equal">
      <formula>"Napkin Hs"</formula>
    </cfRule>
  </conditionalFormatting>
  <conditionalFormatting sqref="C88">
    <cfRule type="cellIs" dxfId="21435" priority="6935" stopIfTrue="1" operator="equal">
      <formula>"Towel"</formula>
    </cfRule>
    <cfRule type="cellIs" dxfId="21434" priority="6936" stopIfTrue="1" operator="equal">
      <formula>"Napkin Hs"</formula>
    </cfRule>
  </conditionalFormatting>
  <conditionalFormatting sqref="C88">
    <cfRule type="cellIs" dxfId="21433" priority="6929" stopIfTrue="1" operator="equal">
      <formula>"Towel"</formula>
    </cfRule>
    <cfRule type="cellIs" dxfId="21432" priority="6930" stopIfTrue="1" operator="equal">
      <formula>"Napkin Hs"</formula>
    </cfRule>
  </conditionalFormatting>
  <conditionalFormatting sqref="C88">
    <cfRule type="cellIs" dxfId="21431" priority="6928" stopIfTrue="1" operator="equal">
      <formula>"Napkin Hs"</formula>
    </cfRule>
  </conditionalFormatting>
  <conditionalFormatting sqref="C88">
    <cfRule type="cellIs" dxfId="21430" priority="6927" stopIfTrue="1" operator="equal">
      <formula>"Towel"</formula>
    </cfRule>
  </conditionalFormatting>
  <conditionalFormatting sqref="C88">
    <cfRule type="cellIs" dxfId="21429" priority="6926" stopIfTrue="1" operator="equal">
      <formula>"Napkin Hs"</formula>
    </cfRule>
  </conditionalFormatting>
  <conditionalFormatting sqref="C88">
    <cfRule type="cellIs" dxfId="21428" priority="6925" stopIfTrue="1" operator="equal">
      <formula>"Towel"</formula>
    </cfRule>
  </conditionalFormatting>
  <conditionalFormatting sqref="C88">
    <cfRule type="cellIs" dxfId="21427" priority="6923" stopIfTrue="1" operator="equal">
      <formula>"Towel"</formula>
    </cfRule>
    <cfRule type="cellIs" dxfId="21426" priority="6924" stopIfTrue="1" operator="equal">
      <formula>"Napkin Hs"</formula>
    </cfRule>
  </conditionalFormatting>
  <conditionalFormatting sqref="C88">
    <cfRule type="cellIs" dxfId="21425" priority="6921" stopIfTrue="1" operator="equal">
      <formula>"Towel"</formula>
    </cfRule>
    <cfRule type="cellIs" dxfId="21424" priority="6922" stopIfTrue="1" operator="equal">
      <formula>"Napkin Hs"</formula>
    </cfRule>
  </conditionalFormatting>
  <conditionalFormatting sqref="C88">
    <cfRule type="cellIs" dxfId="21423" priority="6919" stopIfTrue="1" operator="equal">
      <formula>"Towel"</formula>
    </cfRule>
    <cfRule type="cellIs" dxfId="21422" priority="6920" stopIfTrue="1" operator="equal">
      <formula>"Napkin Hs"</formula>
    </cfRule>
  </conditionalFormatting>
  <conditionalFormatting sqref="C88">
    <cfRule type="cellIs" dxfId="21421" priority="6909" stopIfTrue="1" operator="equal">
      <formula>"Towel"</formula>
    </cfRule>
    <cfRule type="cellIs" dxfId="21420" priority="6910" stopIfTrue="1" operator="equal">
      <formula>"Napkin Hs"</formula>
    </cfRule>
  </conditionalFormatting>
  <conditionalFormatting sqref="C88">
    <cfRule type="cellIs" dxfId="21419" priority="6907" stopIfTrue="1" operator="equal">
      <formula>"Towel"</formula>
    </cfRule>
    <cfRule type="cellIs" dxfId="21418" priority="6908" stopIfTrue="1" operator="equal">
      <formula>"Napkin Hs"</formula>
    </cfRule>
  </conditionalFormatting>
  <conditionalFormatting sqref="C88">
    <cfRule type="cellIs" dxfId="21417" priority="6905" stopIfTrue="1" operator="equal">
      <formula>"Towel"</formula>
    </cfRule>
    <cfRule type="cellIs" dxfId="21416" priority="6906" stopIfTrue="1" operator="equal">
      <formula>"Napkin Hs"</formula>
    </cfRule>
  </conditionalFormatting>
  <conditionalFormatting sqref="C88">
    <cfRule type="cellIs" dxfId="21415" priority="6903" stopIfTrue="1" operator="equal">
      <formula>"Towel"</formula>
    </cfRule>
    <cfRule type="cellIs" dxfId="21414" priority="6904" stopIfTrue="1" operator="equal">
      <formula>"Napkin Hs"</formula>
    </cfRule>
  </conditionalFormatting>
  <conditionalFormatting sqref="C88">
    <cfRule type="cellIs" dxfId="21413" priority="6901" stopIfTrue="1" operator="equal">
      <formula>"Towel"</formula>
    </cfRule>
    <cfRule type="cellIs" dxfId="21412" priority="6902" stopIfTrue="1" operator="equal">
      <formula>"Napkin Hs"</formula>
    </cfRule>
  </conditionalFormatting>
  <conditionalFormatting sqref="C88">
    <cfRule type="cellIs" dxfId="21411" priority="6899" stopIfTrue="1" operator="equal">
      <formula>"Towel"</formula>
    </cfRule>
    <cfRule type="cellIs" dxfId="21410" priority="6900" stopIfTrue="1" operator="equal">
      <formula>"Napkin Hs"</formula>
    </cfRule>
  </conditionalFormatting>
  <conditionalFormatting sqref="C88">
    <cfRule type="cellIs" dxfId="21409" priority="6897" stopIfTrue="1" operator="equal">
      <formula>"Towel"</formula>
    </cfRule>
    <cfRule type="cellIs" dxfId="21408" priority="6898" stopIfTrue="1" operator="equal">
      <formula>"Napkin Hs"</formula>
    </cfRule>
  </conditionalFormatting>
  <conditionalFormatting sqref="C88">
    <cfRule type="cellIs" dxfId="21407" priority="6895" stopIfTrue="1" operator="equal">
      <formula>"Towel"</formula>
    </cfRule>
    <cfRule type="cellIs" dxfId="21406" priority="6896" stopIfTrue="1" operator="equal">
      <formula>"Napkin Hs"</formula>
    </cfRule>
  </conditionalFormatting>
  <conditionalFormatting sqref="C88">
    <cfRule type="cellIs" dxfId="21405" priority="6893" stopIfTrue="1" operator="equal">
      <formula>"Towel"</formula>
    </cfRule>
    <cfRule type="cellIs" dxfId="21404" priority="6894" stopIfTrue="1" operator="equal">
      <formula>"Napkin Hs"</formula>
    </cfRule>
  </conditionalFormatting>
  <conditionalFormatting sqref="C88">
    <cfRule type="cellIs" dxfId="21403" priority="6880" stopIfTrue="1" operator="equal">
      <formula>"Napkin Hs"</formula>
    </cfRule>
  </conditionalFormatting>
  <conditionalFormatting sqref="C88">
    <cfRule type="cellIs" dxfId="21402" priority="6879" stopIfTrue="1" operator="equal">
      <formula>"Towel"</formula>
    </cfRule>
  </conditionalFormatting>
  <conditionalFormatting sqref="C88">
    <cfRule type="cellIs" dxfId="21401" priority="6878" stopIfTrue="1" operator="equal">
      <formula>"Napkin Hs"</formula>
    </cfRule>
  </conditionalFormatting>
  <conditionalFormatting sqref="C88">
    <cfRule type="cellIs" dxfId="21400" priority="6875" stopIfTrue="1" operator="equal">
      <formula>"Towel"</formula>
    </cfRule>
    <cfRule type="cellIs" dxfId="21399" priority="6876" stopIfTrue="1" operator="equal">
      <formula>"Napkin Hs"</formula>
    </cfRule>
  </conditionalFormatting>
  <conditionalFormatting sqref="C88">
    <cfRule type="cellIs" dxfId="21398" priority="6877" stopIfTrue="1" operator="equal">
      <formula>"Towel"</formula>
    </cfRule>
  </conditionalFormatting>
  <conditionalFormatting sqref="C88">
    <cfRule type="cellIs" dxfId="21397" priority="6995" stopIfTrue="1" operator="equal">
      <formula>"Towel"</formula>
    </cfRule>
    <cfRule type="cellIs" dxfId="21396" priority="6996" stopIfTrue="1" operator="equal">
      <formula>"Napkin Hs"</formula>
    </cfRule>
  </conditionalFormatting>
  <conditionalFormatting sqref="C88">
    <cfRule type="cellIs" dxfId="21395" priority="6994" stopIfTrue="1" operator="equal">
      <formula>"Napkin Hs"</formula>
    </cfRule>
  </conditionalFormatting>
  <conditionalFormatting sqref="C88">
    <cfRule type="cellIs" dxfId="21394" priority="6993" stopIfTrue="1" operator="equal">
      <formula>"Towel"</formula>
    </cfRule>
  </conditionalFormatting>
  <conditionalFormatting sqref="C88">
    <cfRule type="cellIs" dxfId="21393" priority="6992" stopIfTrue="1" operator="equal">
      <formula>"Napkin Hs"</formula>
    </cfRule>
  </conditionalFormatting>
  <conditionalFormatting sqref="C88">
    <cfRule type="cellIs" dxfId="21392" priority="6989" stopIfTrue="1" operator="equal">
      <formula>"Towel"</formula>
    </cfRule>
    <cfRule type="cellIs" dxfId="21391" priority="6990" stopIfTrue="1" operator="equal">
      <formula>"Napkin Hs"</formula>
    </cfRule>
  </conditionalFormatting>
  <conditionalFormatting sqref="C88">
    <cfRule type="cellIs" dxfId="21390" priority="6991" stopIfTrue="1" operator="equal">
      <formula>"Towel"</formula>
    </cfRule>
  </conditionalFormatting>
  <conditionalFormatting sqref="C88">
    <cfRule type="cellIs" dxfId="21389" priority="6999" stopIfTrue="1" operator="equal">
      <formula>"Towel"</formula>
    </cfRule>
    <cfRule type="cellIs" dxfId="21388" priority="7000" stopIfTrue="1" operator="equal">
      <formula>"Napkin Hs"</formula>
    </cfRule>
  </conditionalFormatting>
  <conditionalFormatting sqref="C88">
    <cfRule type="cellIs" dxfId="21387" priority="6997" stopIfTrue="1" operator="equal">
      <formula>"Towel"</formula>
    </cfRule>
    <cfRule type="cellIs" dxfId="21386" priority="6998" stopIfTrue="1" operator="equal">
      <formula>"Napkin Hs"</formula>
    </cfRule>
  </conditionalFormatting>
  <conditionalFormatting sqref="C88">
    <cfRule type="cellIs" dxfId="21385" priority="6969" stopIfTrue="1" operator="equal">
      <formula>"Towel"</formula>
    </cfRule>
    <cfRule type="cellIs" dxfId="21384" priority="6970" stopIfTrue="1" operator="equal">
      <formula>"Napkin Hs"</formula>
    </cfRule>
  </conditionalFormatting>
  <conditionalFormatting sqref="C88">
    <cfRule type="cellIs" dxfId="21383" priority="6967" stopIfTrue="1" operator="equal">
      <formula>"Towel"</formula>
    </cfRule>
    <cfRule type="cellIs" dxfId="21382" priority="6968" stopIfTrue="1" operator="equal">
      <formula>"Napkin Hs"</formula>
    </cfRule>
  </conditionalFormatting>
  <conditionalFormatting sqref="C88">
    <cfRule type="cellIs" dxfId="21381" priority="6946" stopIfTrue="1" operator="equal">
      <formula>"Napkin Hs"</formula>
    </cfRule>
  </conditionalFormatting>
  <conditionalFormatting sqref="C88">
    <cfRule type="cellIs" dxfId="21380" priority="6945" stopIfTrue="1" operator="equal">
      <formula>"Towel"</formula>
    </cfRule>
  </conditionalFormatting>
  <conditionalFormatting sqref="C88">
    <cfRule type="cellIs" dxfId="21379" priority="6944" stopIfTrue="1" operator="equal">
      <formula>"Napkin Hs"</formula>
    </cfRule>
  </conditionalFormatting>
  <conditionalFormatting sqref="C88">
    <cfRule type="cellIs" dxfId="21378" priority="6943" stopIfTrue="1" operator="equal">
      <formula>"Towel"</formula>
    </cfRule>
  </conditionalFormatting>
  <conditionalFormatting sqref="C88">
    <cfRule type="cellIs" dxfId="21377" priority="6940" stopIfTrue="1" operator="equal">
      <formula>"Napkin Hs"</formula>
    </cfRule>
  </conditionalFormatting>
  <conditionalFormatting sqref="C88">
    <cfRule type="cellIs" dxfId="21376" priority="6939" stopIfTrue="1" operator="equal">
      <formula>"Towel"</formula>
    </cfRule>
  </conditionalFormatting>
  <conditionalFormatting sqref="C88">
    <cfRule type="cellIs" dxfId="21375" priority="6938" stopIfTrue="1" operator="equal">
      <formula>"Napkin Hs"</formula>
    </cfRule>
  </conditionalFormatting>
  <conditionalFormatting sqref="C88">
    <cfRule type="cellIs" dxfId="21374" priority="6937" stopIfTrue="1" operator="equal">
      <formula>"Towel"</formula>
    </cfRule>
  </conditionalFormatting>
  <conditionalFormatting sqref="C88">
    <cfRule type="cellIs" dxfId="21373" priority="6933" stopIfTrue="1" operator="equal">
      <formula>"Towel"</formula>
    </cfRule>
    <cfRule type="cellIs" dxfId="21372" priority="6934" stopIfTrue="1" operator="equal">
      <formula>"Napkin Hs"</formula>
    </cfRule>
  </conditionalFormatting>
  <conditionalFormatting sqref="C88">
    <cfRule type="cellIs" dxfId="21371" priority="6931" stopIfTrue="1" operator="equal">
      <formula>"Towel"</formula>
    </cfRule>
    <cfRule type="cellIs" dxfId="21370" priority="6932" stopIfTrue="1" operator="equal">
      <formula>"Napkin Hs"</formula>
    </cfRule>
  </conditionalFormatting>
  <conditionalFormatting sqref="C88">
    <cfRule type="cellIs" dxfId="21369" priority="6915" stopIfTrue="1" operator="equal">
      <formula>"Towel"</formula>
    </cfRule>
    <cfRule type="cellIs" dxfId="21368" priority="6916" stopIfTrue="1" operator="equal">
      <formula>"Napkin Hs"</formula>
    </cfRule>
  </conditionalFormatting>
  <conditionalFormatting sqref="C88">
    <cfRule type="cellIs" dxfId="21367" priority="6913" stopIfTrue="1" operator="equal">
      <formula>"Towel"</formula>
    </cfRule>
    <cfRule type="cellIs" dxfId="21366" priority="6914" stopIfTrue="1" operator="equal">
      <formula>"Napkin Hs"</formula>
    </cfRule>
  </conditionalFormatting>
  <conditionalFormatting sqref="B88:C88">
    <cfRule type="cellIs" dxfId="21365" priority="6874" stopIfTrue="1" operator="equal">
      <formula>"Napkin Hs"</formula>
    </cfRule>
  </conditionalFormatting>
  <conditionalFormatting sqref="B88:C88">
    <cfRule type="cellIs" dxfId="21364" priority="6873" stopIfTrue="1" operator="equal">
      <formula>"Towel"</formula>
    </cfRule>
  </conditionalFormatting>
  <conditionalFormatting sqref="C88">
    <cfRule type="cellIs" dxfId="21363" priority="6872" stopIfTrue="1" operator="equal">
      <formula>"Napkin Hs"</formula>
    </cfRule>
  </conditionalFormatting>
  <conditionalFormatting sqref="C88">
    <cfRule type="cellIs" dxfId="21362" priority="6869" stopIfTrue="1" operator="equal">
      <formula>"Towel"</formula>
    </cfRule>
    <cfRule type="cellIs" dxfId="21361" priority="6870" stopIfTrue="1" operator="equal">
      <formula>"Napkin Hs"</formula>
    </cfRule>
  </conditionalFormatting>
  <conditionalFormatting sqref="C88">
    <cfRule type="cellIs" dxfId="21360" priority="6871" stopIfTrue="1" operator="equal">
      <formula>"Towel"</formula>
    </cfRule>
  </conditionalFormatting>
  <conditionalFormatting sqref="B86:C86">
    <cfRule type="cellIs" dxfId="21359" priority="6729" stopIfTrue="1" operator="equal">
      <formula>"Towel"</formula>
    </cfRule>
    <cfRule type="cellIs" dxfId="21358" priority="6730" stopIfTrue="1" operator="equal">
      <formula>"Napkin Hs"</formula>
    </cfRule>
  </conditionalFormatting>
  <conditionalFormatting sqref="C86">
    <cfRule type="cellIs" dxfId="21357" priority="6725" stopIfTrue="1" operator="equal">
      <formula>"Towel"</formula>
    </cfRule>
    <cfRule type="cellIs" dxfId="21356" priority="6726" stopIfTrue="1" operator="equal">
      <formula>"Napkin Hs"</formula>
    </cfRule>
  </conditionalFormatting>
  <conditionalFormatting sqref="C86">
    <cfRule type="cellIs" dxfId="21355" priority="6727" stopIfTrue="1" operator="equal">
      <formula>"Towel"</formula>
    </cfRule>
    <cfRule type="cellIs" dxfId="21354" priority="6728" stopIfTrue="1" operator="equal">
      <formula>"Napkin Hs"</formula>
    </cfRule>
  </conditionalFormatting>
  <conditionalFormatting sqref="B86:C86">
    <cfRule type="cellIs" dxfId="21353" priority="6723" stopIfTrue="1" operator="equal">
      <formula>"Towel"</formula>
    </cfRule>
    <cfRule type="cellIs" dxfId="21352" priority="6724" stopIfTrue="1" operator="equal">
      <formula>"Napkin Hs"</formula>
    </cfRule>
  </conditionalFormatting>
  <conditionalFormatting sqref="C86">
    <cfRule type="cellIs" dxfId="21351" priority="6719" stopIfTrue="1" operator="equal">
      <formula>"Towel"</formula>
    </cfRule>
    <cfRule type="cellIs" dxfId="21350" priority="6720" stopIfTrue="1" operator="equal">
      <formula>"Napkin Hs"</formula>
    </cfRule>
  </conditionalFormatting>
  <conditionalFormatting sqref="C86">
    <cfRule type="cellIs" dxfId="21349" priority="6721" stopIfTrue="1" operator="equal">
      <formula>"Towel"</formula>
    </cfRule>
    <cfRule type="cellIs" dxfId="21348" priority="6722" stopIfTrue="1" operator="equal">
      <formula>"Napkin Hs"</formula>
    </cfRule>
  </conditionalFormatting>
  <conditionalFormatting sqref="B86:C86">
    <cfRule type="cellIs" dxfId="21347" priority="6717" stopIfTrue="1" operator="equal">
      <formula>"Towel"</formula>
    </cfRule>
    <cfRule type="cellIs" dxfId="21346" priority="6718" stopIfTrue="1" operator="equal">
      <formula>"Napkin Hs"</formula>
    </cfRule>
  </conditionalFormatting>
  <conditionalFormatting sqref="C86">
    <cfRule type="cellIs" dxfId="21345" priority="6715" stopIfTrue="1" operator="equal">
      <formula>"Towel"</formula>
    </cfRule>
    <cfRule type="cellIs" dxfId="21344" priority="6716" stopIfTrue="1" operator="equal">
      <formula>"Napkin Hs"</formula>
    </cfRule>
  </conditionalFormatting>
  <conditionalFormatting sqref="C86">
    <cfRule type="cellIs" dxfId="21343" priority="6713" stopIfTrue="1" operator="equal">
      <formula>"Towel"</formula>
    </cfRule>
    <cfRule type="cellIs" dxfId="21342" priority="6714" stopIfTrue="1" operator="equal">
      <formula>"Napkin Hs"</formula>
    </cfRule>
  </conditionalFormatting>
  <conditionalFormatting sqref="B86:C86">
    <cfRule type="cellIs" dxfId="21341" priority="6711" stopIfTrue="1" operator="equal">
      <formula>"Towel"</formula>
    </cfRule>
    <cfRule type="cellIs" dxfId="21340" priority="6712" stopIfTrue="1" operator="equal">
      <formula>"Napkin Hs"</formula>
    </cfRule>
  </conditionalFormatting>
  <conditionalFormatting sqref="C86">
    <cfRule type="cellIs" dxfId="21339" priority="6709" stopIfTrue="1" operator="equal">
      <formula>"Towel"</formula>
    </cfRule>
    <cfRule type="cellIs" dxfId="21338" priority="6710" stopIfTrue="1" operator="equal">
      <formula>"Napkin Hs"</formula>
    </cfRule>
  </conditionalFormatting>
  <conditionalFormatting sqref="C86">
    <cfRule type="cellIs" dxfId="21337" priority="6707" stopIfTrue="1" operator="equal">
      <formula>"Towel"</formula>
    </cfRule>
    <cfRule type="cellIs" dxfId="21336" priority="6708" stopIfTrue="1" operator="equal">
      <formula>"Napkin Hs"</formula>
    </cfRule>
  </conditionalFormatting>
  <conditionalFormatting sqref="B86:C86">
    <cfRule type="cellIs" dxfId="21335" priority="6705" stopIfTrue="1" operator="equal">
      <formula>"Towel"</formula>
    </cfRule>
    <cfRule type="cellIs" dxfId="21334" priority="6706" stopIfTrue="1" operator="equal">
      <formula>"Napkin Hs"</formula>
    </cfRule>
  </conditionalFormatting>
  <conditionalFormatting sqref="C86">
    <cfRule type="cellIs" dxfId="21333" priority="6703" stopIfTrue="1" operator="equal">
      <formula>"Towel"</formula>
    </cfRule>
    <cfRule type="cellIs" dxfId="21332" priority="6704" stopIfTrue="1" operator="equal">
      <formula>"Napkin Hs"</formula>
    </cfRule>
  </conditionalFormatting>
  <conditionalFormatting sqref="C86">
    <cfRule type="cellIs" dxfId="21331" priority="6701" stopIfTrue="1" operator="equal">
      <formula>"Towel"</formula>
    </cfRule>
    <cfRule type="cellIs" dxfId="21330" priority="6702" stopIfTrue="1" operator="equal">
      <formula>"Napkin Hs"</formula>
    </cfRule>
  </conditionalFormatting>
  <conditionalFormatting sqref="B86:C86">
    <cfRule type="cellIs" dxfId="21329" priority="6700" stopIfTrue="1" operator="equal">
      <formula>"Napkin Hs"</formula>
    </cfRule>
  </conditionalFormatting>
  <conditionalFormatting sqref="B86:C86">
    <cfRule type="cellIs" dxfId="21328" priority="6699" stopIfTrue="1" operator="equal">
      <formula>"Towel"</formula>
    </cfRule>
  </conditionalFormatting>
  <conditionalFormatting sqref="C86">
    <cfRule type="cellIs" dxfId="21327" priority="6698" stopIfTrue="1" operator="equal">
      <formula>"Napkin Hs"</formula>
    </cfRule>
  </conditionalFormatting>
  <conditionalFormatting sqref="C86">
    <cfRule type="cellIs" dxfId="21326" priority="6695" stopIfTrue="1" operator="equal">
      <formula>"Towel"</formula>
    </cfRule>
    <cfRule type="cellIs" dxfId="21325" priority="6696" stopIfTrue="1" operator="equal">
      <formula>"Napkin Hs"</formula>
    </cfRule>
  </conditionalFormatting>
  <conditionalFormatting sqref="C86">
    <cfRule type="cellIs" dxfId="21324" priority="6697" stopIfTrue="1" operator="equal">
      <formula>"Towel"</formula>
    </cfRule>
  </conditionalFormatting>
  <conditionalFormatting sqref="C86">
    <cfRule type="cellIs" dxfId="21323" priority="6659" stopIfTrue="1" operator="equal">
      <formula>"Towel"</formula>
    </cfRule>
    <cfRule type="cellIs" dxfId="21322" priority="6660" stopIfTrue="1" operator="equal">
      <formula>"Napkin Hs"</formula>
    </cfRule>
  </conditionalFormatting>
  <conditionalFormatting sqref="B86:C86">
    <cfRule type="cellIs" dxfId="21321" priority="6657" stopIfTrue="1" operator="equal">
      <formula>"Towel"</formula>
    </cfRule>
    <cfRule type="cellIs" dxfId="21320" priority="6658" stopIfTrue="1" operator="equal">
      <formula>"Napkin Hs"</formula>
    </cfRule>
  </conditionalFormatting>
  <conditionalFormatting sqref="C86">
    <cfRule type="cellIs" dxfId="21319" priority="6655" stopIfTrue="1" operator="equal">
      <formula>"Towel"</formula>
    </cfRule>
    <cfRule type="cellIs" dxfId="21318" priority="6656" stopIfTrue="1" operator="equal">
      <formula>"Napkin Hs"</formula>
    </cfRule>
  </conditionalFormatting>
  <conditionalFormatting sqref="C86">
    <cfRule type="cellIs" dxfId="21317" priority="6647" stopIfTrue="1" operator="equal">
      <formula>"Towel"</formula>
    </cfRule>
    <cfRule type="cellIs" dxfId="21316" priority="6648" stopIfTrue="1" operator="equal">
      <formula>"Napkin Hs"</formula>
    </cfRule>
  </conditionalFormatting>
  <conditionalFormatting sqref="B86:C86">
    <cfRule type="cellIs" dxfId="21315" priority="6693" stopIfTrue="1" operator="equal">
      <formula>"Towel"</formula>
    </cfRule>
    <cfRule type="cellIs" dxfId="21314" priority="6694" stopIfTrue="1" operator="equal">
      <formula>"Napkin Hs"</formula>
    </cfRule>
  </conditionalFormatting>
  <conditionalFormatting sqref="C86">
    <cfRule type="cellIs" dxfId="21313" priority="6689" stopIfTrue="1" operator="equal">
      <formula>"Towel"</formula>
    </cfRule>
    <cfRule type="cellIs" dxfId="21312" priority="6690" stopIfTrue="1" operator="equal">
      <formula>"Napkin Hs"</formula>
    </cfRule>
  </conditionalFormatting>
  <conditionalFormatting sqref="C86">
    <cfRule type="cellIs" dxfId="21311" priority="6691" stopIfTrue="1" operator="equal">
      <formula>"Towel"</formula>
    </cfRule>
    <cfRule type="cellIs" dxfId="21310" priority="6692" stopIfTrue="1" operator="equal">
      <formula>"Napkin Hs"</formula>
    </cfRule>
  </conditionalFormatting>
  <conditionalFormatting sqref="B86:C86">
    <cfRule type="cellIs" dxfId="21309" priority="6688" stopIfTrue="1" operator="equal">
      <formula>"Napkin Hs"</formula>
    </cfRule>
  </conditionalFormatting>
  <conditionalFormatting sqref="B86:C86">
    <cfRule type="cellIs" dxfId="21308" priority="6687" stopIfTrue="1" operator="equal">
      <formula>"Towel"</formula>
    </cfRule>
  </conditionalFormatting>
  <conditionalFormatting sqref="C86">
    <cfRule type="cellIs" dxfId="21307" priority="6686" stopIfTrue="1" operator="equal">
      <formula>"Napkin Hs"</formula>
    </cfRule>
  </conditionalFormatting>
  <conditionalFormatting sqref="C86">
    <cfRule type="cellIs" dxfId="21306" priority="6685" stopIfTrue="1" operator="equal">
      <formula>"Towel"</formula>
    </cfRule>
  </conditionalFormatting>
  <conditionalFormatting sqref="C86">
    <cfRule type="cellIs" dxfId="21305" priority="6683" stopIfTrue="1" operator="equal">
      <formula>"Towel"</formula>
    </cfRule>
    <cfRule type="cellIs" dxfId="21304" priority="6684" stopIfTrue="1" operator="equal">
      <formula>"Napkin Hs"</formula>
    </cfRule>
  </conditionalFormatting>
  <conditionalFormatting sqref="B86:C86">
    <cfRule type="cellIs" dxfId="21303" priority="6681" stopIfTrue="1" operator="equal">
      <formula>"Towel"</formula>
    </cfRule>
    <cfRule type="cellIs" dxfId="21302" priority="6682" stopIfTrue="1" operator="equal">
      <formula>"Napkin Hs"</formula>
    </cfRule>
  </conditionalFormatting>
  <conditionalFormatting sqref="C86">
    <cfRule type="cellIs" dxfId="21301" priority="6679" stopIfTrue="1" operator="equal">
      <formula>"Towel"</formula>
    </cfRule>
    <cfRule type="cellIs" dxfId="21300" priority="6680" stopIfTrue="1" operator="equal">
      <formula>"Napkin Hs"</formula>
    </cfRule>
  </conditionalFormatting>
  <conditionalFormatting sqref="C86">
    <cfRule type="cellIs" dxfId="21299" priority="6677" stopIfTrue="1" operator="equal">
      <formula>"Towel"</formula>
    </cfRule>
    <cfRule type="cellIs" dxfId="21298" priority="6678" stopIfTrue="1" operator="equal">
      <formula>"Napkin Hs"</formula>
    </cfRule>
  </conditionalFormatting>
  <conditionalFormatting sqref="B86:C86">
    <cfRule type="cellIs" dxfId="21297" priority="6675" stopIfTrue="1" operator="equal">
      <formula>"Towel"</formula>
    </cfRule>
    <cfRule type="cellIs" dxfId="21296" priority="6676" stopIfTrue="1" operator="equal">
      <formula>"Napkin Hs"</formula>
    </cfRule>
  </conditionalFormatting>
  <conditionalFormatting sqref="C86">
    <cfRule type="cellIs" dxfId="21295" priority="6673" stopIfTrue="1" operator="equal">
      <formula>"Towel"</formula>
    </cfRule>
    <cfRule type="cellIs" dxfId="21294" priority="6674" stopIfTrue="1" operator="equal">
      <formula>"Napkin Hs"</formula>
    </cfRule>
  </conditionalFormatting>
  <conditionalFormatting sqref="C86">
    <cfRule type="cellIs" dxfId="21293" priority="6671" stopIfTrue="1" operator="equal">
      <formula>"Towel"</formula>
    </cfRule>
    <cfRule type="cellIs" dxfId="21292" priority="6672" stopIfTrue="1" operator="equal">
      <formula>"Napkin Hs"</formula>
    </cfRule>
  </conditionalFormatting>
  <conditionalFormatting sqref="B86:C86">
    <cfRule type="cellIs" dxfId="21291" priority="6669" stopIfTrue="1" operator="equal">
      <formula>"Towel"</formula>
    </cfRule>
    <cfRule type="cellIs" dxfId="21290" priority="6670" stopIfTrue="1" operator="equal">
      <formula>"Napkin Hs"</formula>
    </cfRule>
  </conditionalFormatting>
  <conditionalFormatting sqref="C86">
    <cfRule type="cellIs" dxfId="21289" priority="6667" stopIfTrue="1" operator="equal">
      <formula>"Towel"</formula>
    </cfRule>
    <cfRule type="cellIs" dxfId="21288" priority="6668" stopIfTrue="1" operator="equal">
      <formula>"Napkin Hs"</formula>
    </cfRule>
  </conditionalFormatting>
  <conditionalFormatting sqref="C86">
    <cfRule type="cellIs" dxfId="21287" priority="6665" stopIfTrue="1" operator="equal">
      <formula>"Towel"</formula>
    </cfRule>
    <cfRule type="cellIs" dxfId="21286" priority="6666" stopIfTrue="1" operator="equal">
      <formula>"Napkin Hs"</formula>
    </cfRule>
  </conditionalFormatting>
  <conditionalFormatting sqref="B86:C86">
    <cfRule type="cellIs" dxfId="21285" priority="6663" stopIfTrue="1" operator="equal">
      <formula>"Towel"</formula>
    </cfRule>
    <cfRule type="cellIs" dxfId="21284" priority="6664" stopIfTrue="1" operator="equal">
      <formula>"Napkin Hs"</formula>
    </cfRule>
  </conditionalFormatting>
  <conditionalFormatting sqref="C86">
    <cfRule type="cellIs" dxfId="21283" priority="6661" stopIfTrue="1" operator="equal">
      <formula>"Towel"</formula>
    </cfRule>
    <cfRule type="cellIs" dxfId="21282" priority="6662" stopIfTrue="1" operator="equal">
      <formula>"Napkin Hs"</formula>
    </cfRule>
  </conditionalFormatting>
  <conditionalFormatting sqref="C86">
    <cfRule type="cellIs" dxfId="21281" priority="6653" stopIfTrue="1" operator="equal">
      <formula>"Towel"</formula>
    </cfRule>
    <cfRule type="cellIs" dxfId="21280" priority="6654" stopIfTrue="1" operator="equal">
      <formula>"Napkin Hs"</formula>
    </cfRule>
  </conditionalFormatting>
  <conditionalFormatting sqref="B86:C86">
    <cfRule type="cellIs" dxfId="21279" priority="6652" stopIfTrue="1" operator="equal">
      <formula>"Napkin Hs"</formula>
    </cfRule>
  </conditionalFormatting>
  <conditionalFormatting sqref="B86:C86">
    <cfRule type="cellIs" dxfId="21278" priority="6651" stopIfTrue="1" operator="equal">
      <formula>"Towel"</formula>
    </cfRule>
  </conditionalFormatting>
  <conditionalFormatting sqref="C86">
    <cfRule type="cellIs" dxfId="21277" priority="6650" stopIfTrue="1" operator="equal">
      <formula>"Napkin Hs"</formula>
    </cfRule>
  </conditionalFormatting>
  <conditionalFormatting sqref="C86">
    <cfRule type="cellIs" dxfId="21276" priority="6649" stopIfTrue="1" operator="equal">
      <formula>"Towel"</formula>
    </cfRule>
  </conditionalFormatting>
  <conditionalFormatting sqref="B86:C86">
    <cfRule type="cellIs" dxfId="21275" priority="6645" stopIfTrue="1" operator="equal">
      <formula>"Towel"</formula>
    </cfRule>
    <cfRule type="cellIs" dxfId="21274" priority="6646" stopIfTrue="1" operator="equal">
      <formula>"Napkin Hs"</formula>
    </cfRule>
  </conditionalFormatting>
  <conditionalFormatting sqref="C86">
    <cfRule type="cellIs" dxfId="21273" priority="6641" stopIfTrue="1" operator="equal">
      <formula>"Towel"</formula>
    </cfRule>
    <cfRule type="cellIs" dxfId="21272" priority="6642" stopIfTrue="1" operator="equal">
      <formula>"Napkin Hs"</formula>
    </cfRule>
  </conditionalFormatting>
  <conditionalFormatting sqref="C86">
    <cfRule type="cellIs" dxfId="21271" priority="6643" stopIfTrue="1" operator="equal">
      <formula>"Towel"</formula>
    </cfRule>
    <cfRule type="cellIs" dxfId="21270" priority="6644" stopIfTrue="1" operator="equal">
      <formula>"Napkin Hs"</formula>
    </cfRule>
  </conditionalFormatting>
  <conditionalFormatting sqref="B86:C86">
    <cfRule type="cellIs" dxfId="21269" priority="6639" stopIfTrue="1" operator="equal">
      <formula>"Towel"</formula>
    </cfRule>
    <cfRule type="cellIs" dxfId="21268" priority="6640" stopIfTrue="1" operator="equal">
      <formula>"Napkin Hs"</formula>
    </cfRule>
  </conditionalFormatting>
  <conditionalFormatting sqref="C86">
    <cfRule type="cellIs" dxfId="21267" priority="6635" stopIfTrue="1" operator="equal">
      <formula>"Towel"</formula>
    </cfRule>
    <cfRule type="cellIs" dxfId="21266" priority="6636" stopIfTrue="1" operator="equal">
      <formula>"Napkin Hs"</formula>
    </cfRule>
  </conditionalFormatting>
  <conditionalFormatting sqref="C86">
    <cfRule type="cellIs" dxfId="21265" priority="6637" stopIfTrue="1" operator="equal">
      <formula>"Towel"</formula>
    </cfRule>
    <cfRule type="cellIs" dxfId="21264" priority="6638" stopIfTrue="1" operator="equal">
      <formula>"Napkin Hs"</formula>
    </cfRule>
  </conditionalFormatting>
  <conditionalFormatting sqref="B86:C86">
    <cfRule type="cellIs" dxfId="21263" priority="6633" stopIfTrue="1" operator="equal">
      <formula>"Towel"</formula>
    </cfRule>
    <cfRule type="cellIs" dxfId="21262" priority="6634" stopIfTrue="1" operator="equal">
      <formula>"Napkin Hs"</formula>
    </cfRule>
  </conditionalFormatting>
  <conditionalFormatting sqref="C86">
    <cfRule type="cellIs" dxfId="21261" priority="6631" stopIfTrue="1" operator="equal">
      <formula>"Towel"</formula>
    </cfRule>
    <cfRule type="cellIs" dxfId="21260" priority="6632" stopIfTrue="1" operator="equal">
      <formula>"Napkin Hs"</formula>
    </cfRule>
  </conditionalFormatting>
  <conditionalFormatting sqref="C86">
    <cfRule type="cellIs" dxfId="21259" priority="6629" stopIfTrue="1" operator="equal">
      <formula>"Towel"</formula>
    </cfRule>
    <cfRule type="cellIs" dxfId="21258" priority="6630" stopIfTrue="1" operator="equal">
      <formula>"Napkin Hs"</formula>
    </cfRule>
  </conditionalFormatting>
  <conditionalFormatting sqref="B86:C86">
    <cfRule type="cellIs" dxfId="21257" priority="6627" stopIfTrue="1" operator="equal">
      <formula>"Towel"</formula>
    </cfRule>
    <cfRule type="cellIs" dxfId="21256" priority="6628" stopIfTrue="1" operator="equal">
      <formula>"Napkin Hs"</formula>
    </cfRule>
  </conditionalFormatting>
  <conditionalFormatting sqref="C86">
    <cfRule type="cellIs" dxfId="21255" priority="6625" stopIfTrue="1" operator="equal">
      <formula>"Towel"</formula>
    </cfRule>
    <cfRule type="cellIs" dxfId="21254" priority="6626" stopIfTrue="1" operator="equal">
      <formula>"Napkin Hs"</formula>
    </cfRule>
  </conditionalFormatting>
  <conditionalFormatting sqref="C86">
    <cfRule type="cellIs" dxfId="21253" priority="6623" stopIfTrue="1" operator="equal">
      <formula>"Towel"</formula>
    </cfRule>
    <cfRule type="cellIs" dxfId="21252" priority="6624" stopIfTrue="1" operator="equal">
      <formula>"Napkin Hs"</formula>
    </cfRule>
  </conditionalFormatting>
  <conditionalFormatting sqref="B86:C86">
    <cfRule type="cellIs" dxfId="21251" priority="6621" stopIfTrue="1" operator="equal">
      <formula>"Towel"</formula>
    </cfRule>
    <cfRule type="cellIs" dxfId="21250" priority="6622" stopIfTrue="1" operator="equal">
      <formula>"Napkin Hs"</formula>
    </cfRule>
  </conditionalFormatting>
  <conditionalFormatting sqref="C86">
    <cfRule type="cellIs" dxfId="21249" priority="6619" stopIfTrue="1" operator="equal">
      <formula>"Towel"</formula>
    </cfRule>
    <cfRule type="cellIs" dxfId="21248" priority="6620" stopIfTrue="1" operator="equal">
      <formula>"Napkin Hs"</formula>
    </cfRule>
  </conditionalFormatting>
  <conditionalFormatting sqref="C86">
    <cfRule type="cellIs" dxfId="21247" priority="6617" stopIfTrue="1" operator="equal">
      <formula>"Towel"</formula>
    </cfRule>
    <cfRule type="cellIs" dxfId="21246" priority="6618" stopIfTrue="1" operator="equal">
      <formula>"Napkin Hs"</formula>
    </cfRule>
  </conditionalFormatting>
  <conditionalFormatting sqref="B86:C86">
    <cfRule type="cellIs" dxfId="21245" priority="6616" stopIfTrue="1" operator="equal">
      <formula>"Napkin Hs"</formula>
    </cfRule>
  </conditionalFormatting>
  <conditionalFormatting sqref="B86:C86">
    <cfRule type="cellIs" dxfId="21244" priority="6615" stopIfTrue="1" operator="equal">
      <formula>"Towel"</formula>
    </cfRule>
  </conditionalFormatting>
  <conditionalFormatting sqref="C86">
    <cfRule type="cellIs" dxfId="21243" priority="6614" stopIfTrue="1" operator="equal">
      <formula>"Napkin Hs"</formula>
    </cfRule>
  </conditionalFormatting>
  <conditionalFormatting sqref="C86">
    <cfRule type="cellIs" dxfId="21242" priority="6611" stopIfTrue="1" operator="equal">
      <formula>"Towel"</formula>
    </cfRule>
    <cfRule type="cellIs" dxfId="21241" priority="6612" stopIfTrue="1" operator="equal">
      <formula>"Napkin Hs"</formula>
    </cfRule>
  </conditionalFormatting>
  <conditionalFormatting sqref="C86">
    <cfRule type="cellIs" dxfId="21240" priority="6613" stopIfTrue="1" operator="equal">
      <formula>"Towel"</formula>
    </cfRule>
  </conditionalFormatting>
  <conditionalFormatting sqref="B86:C86">
    <cfRule type="cellIs" dxfId="21239" priority="6609" stopIfTrue="1" operator="equal">
      <formula>"Towel"</formula>
    </cfRule>
    <cfRule type="cellIs" dxfId="21238" priority="6610" stopIfTrue="1" operator="equal">
      <formula>"Napkin Hs"</formula>
    </cfRule>
  </conditionalFormatting>
  <conditionalFormatting sqref="C86">
    <cfRule type="cellIs" dxfId="21237" priority="6605" stopIfTrue="1" operator="equal">
      <formula>"Towel"</formula>
    </cfRule>
    <cfRule type="cellIs" dxfId="21236" priority="6606" stopIfTrue="1" operator="equal">
      <formula>"Napkin Hs"</formula>
    </cfRule>
  </conditionalFormatting>
  <conditionalFormatting sqref="C86">
    <cfRule type="cellIs" dxfId="21235" priority="6607" stopIfTrue="1" operator="equal">
      <formula>"Towel"</formula>
    </cfRule>
    <cfRule type="cellIs" dxfId="21234" priority="6608" stopIfTrue="1" operator="equal">
      <formula>"Napkin Hs"</formula>
    </cfRule>
  </conditionalFormatting>
  <conditionalFormatting sqref="B86:C86">
    <cfRule type="cellIs" dxfId="21233" priority="6603" stopIfTrue="1" operator="equal">
      <formula>"Towel"</formula>
    </cfRule>
    <cfRule type="cellIs" dxfId="21232" priority="6604" stopIfTrue="1" operator="equal">
      <formula>"Napkin Hs"</formula>
    </cfRule>
  </conditionalFormatting>
  <conditionalFormatting sqref="C86">
    <cfRule type="cellIs" dxfId="21231" priority="6599" stopIfTrue="1" operator="equal">
      <formula>"Towel"</formula>
    </cfRule>
    <cfRule type="cellIs" dxfId="21230" priority="6600" stopIfTrue="1" operator="equal">
      <formula>"Napkin Hs"</formula>
    </cfRule>
  </conditionalFormatting>
  <conditionalFormatting sqref="C86">
    <cfRule type="cellIs" dxfId="21229" priority="6601" stopIfTrue="1" operator="equal">
      <formula>"Towel"</formula>
    </cfRule>
    <cfRule type="cellIs" dxfId="21228" priority="6602" stopIfTrue="1" operator="equal">
      <formula>"Napkin Hs"</formula>
    </cfRule>
  </conditionalFormatting>
  <conditionalFormatting sqref="B86:C86">
    <cfRule type="cellIs" dxfId="21227" priority="6597" stopIfTrue="1" operator="equal">
      <formula>"Towel"</formula>
    </cfRule>
    <cfRule type="cellIs" dxfId="21226" priority="6598" stopIfTrue="1" operator="equal">
      <formula>"Napkin Hs"</formula>
    </cfRule>
  </conditionalFormatting>
  <conditionalFormatting sqref="C86">
    <cfRule type="cellIs" dxfId="21225" priority="6595" stopIfTrue="1" operator="equal">
      <formula>"Towel"</formula>
    </cfRule>
    <cfRule type="cellIs" dxfId="21224" priority="6596" stopIfTrue="1" operator="equal">
      <formula>"Napkin Hs"</formula>
    </cfRule>
  </conditionalFormatting>
  <conditionalFormatting sqref="C86">
    <cfRule type="cellIs" dxfId="21223" priority="6593" stopIfTrue="1" operator="equal">
      <formula>"Towel"</formula>
    </cfRule>
    <cfRule type="cellIs" dxfId="21222" priority="6594" stopIfTrue="1" operator="equal">
      <formula>"Napkin Hs"</formula>
    </cfRule>
  </conditionalFormatting>
  <conditionalFormatting sqref="B86:C86">
    <cfRule type="cellIs" dxfId="21221" priority="6591" stopIfTrue="1" operator="equal">
      <formula>"Towel"</formula>
    </cfRule>
    <cfRule type="cellIs" dxfId="21220" priority="6592" stopIfTrue="1" operator="equal">
      <formula>"Napkin Hs"</formula>
    </cfRule>
  </conditionalFormatting>
  <conditionalFormatting sqref="C86">
    <cfRule type="cellIs" dxfId="21219" priority="6589" stopIfTrue="1" operator="equal">
      <formula>"Towel"</formula>
    </cfRule>
    <cfRule type="cellIs" dxfId="21218" priority="6590" stopIfTrue="1" operator="equal">
      <formula>"Napkin Hs"</formula>
    </cfRule>
  </conditionalFormatting>
  <conditionalFormatting sqref="C86">
    <cfRule type="cellIs" dxfId="21217" priority="6587" stopIfTrue="1" operator="equal">
      <formula>"Towel"</formula>
    </cfRule>
    <cfRule type="cellIs" dxfId="21216" priority="6588" stopIfTrue="1" operator="equal">
      <formula>"Napkin Hs"</formula>
    </cfRule>
  </conditionalFormatting>
  <conditionalFormatting sqref="B86:C86">
    <cfRule type="cellIs" dxfId="21215" priority="6585" stopIfTrue="1" operator="equal">
      <formula>"Towel"</formula>
    </cfRule>
    <cfRule type="cellIs" dxfId="21214" priority="6586" stopIfTrue="1" operator="equal">
      <formula>"Napkin Hs"</formula>
    </cfRule>
  </conditionalFormatting>
  <conditionalFormatting sqref="C86">
    <cfRule type="cellIs" dxfId="21213" priority="6583" stopIfTrue="1" operator="equal">
      <formula>"Towel"</formula>
    </cfRule>
    <cfRule type="cellIs" dxfId="21212" priority="6584" stopIfTrue="1" operator="equal">
      <formula>"Napkin Hs"</formula>
    </cfRule>
  </conditionalFormatting>
  <conditionalFormatting sqref="C86">
    <cfRule type="cellIs" dxfId="21211" priority="6581" stopIfTrue="1" operator="equal">
      <formula>"Towel"</formula>
    </cfRule>
    <cfRule type="cellIs" dxfId="21210" priority="6582" stopIfTrue="1" operator="equal">
      <formula>"Napkin Hs"</formula>
    </cfRule>
  </conditionalFormatting>
  <conditionalFormatting sqref="B86:C86">
    <cfRule type="cellIs" dxfId="21209" priority="6580" stopIfTrue="1" operator="equal">
      <formula>"Napkin Hs"</formula>
    </cfRule>
  </conditionalFormatting>
  <conditionalFormatting sqref="B86:C86">
    <cfRule type="cellIs" dxfId="21208" priority="6579" stopIfTrue="1" operator="equal">
      <formula>"Towel"</formula>
    </cfRule>
  </conditionalFormatting>
  <conditionalFormatting sqref="C86">
    <cfRule type="cellIs" dxfId="21207" priority="6578" stopIfTrue="1" operator="equal">
      <formula>"Napkin Hs"</formula>
    </cfRule>
  </conditionalFormatting>
  <conditionalFormatting sqref="C86">
    <cfRule type="cellIs" dxfId="21206" priority="6575" stopIfTrue="1" operator="equal">
      <formula>"Towel"</formula>
    </cfRule>
    <cfRule type="cellIs" dxfId="21205" priority="6576" stopIfTrue="1" operator="equal">
      <formula>"Napkin Hs"</formula>
    </cfRule>
  </conditionalFormatting>
  <conditionalFormatting sqref="C86">
    <cfRule type="cellIs" dxfId="21204" priority="6577" stopIfTrue="1" operator="equal">
      <formula>"Towel"</formula>
    </cfRule>
  </conditionalFormatting>
  <conditionalFormatting sqref="B86:C86">
    <cfRule type="cellIs" dxfId="21203" priority="6573" stopIfTrue="1" operator="equal">
      <formula>"Towel"</formula>
    </cfRule>
    <cfRule type="cellIs" dxfId="21202" priority="6574" stopIfTrue="1" operator="equal">
      <formula>"Napkin Hs"</formula>
    </cfRule>
  </conditionalFormatting>
  <conditionalFormatting sqref="C86">
    <cfRule type="cellIs" dxfId="21201" priority="6569" stopIfTrue="1" operator="equal">
      <formula>"Towel"</formula>
    </cfRule>
    <cfRule type="cellIs" dxfId="21200" priority="6570" stopIfTrue="1" operator="equal">
      <formula>"Napkin Hs"</formula>
    </cfRule>
  </conditionalFormatting>
  <conditionalFormatting sqref="C86">
    <cfRule type="cellIs" dxfId="21199" priority="6571" stopIfTrue="1" operator="equal">
      <formula>"Towel"</formula>
    </cfRule>
    <cfRule type="cellIs" dxfId="21198" priority="6572" stopIfTrue="1" operator="equal">
      <formula>"Napkin Hs"</formula>
    </cfRule>
  </conditionalFormatting>
  <conditionalFormatting sqref="C86">
    <cfRule type="cellIs" dxfId="21197" priority="6485" stopIfTrue="1" operator="equal">
      <formula>"Towel"</formula>
    </cfRule>
    <cfRule type="cellIs" dxfId="21196" priority="6486" stopIfTrue="1" operator="equal">
      <formula>"Napkin Hs"</formula>
    </cfRule>
  </conditionalFormatting>
  <conditionalFormatting sqref="C86">
    <cfRule type="cellIs" dxfId="21195" priority="6479" stopIfTrue="1" operator="equal">
      <formula>"Towel"</formula>
    </cfRule>
    <cfRule type="cellIs" dxfId="21194" priority="6480" stopIfTrue="1" operator="equal">
      <formula>"Napkin Hs"</formula>
    </cfRule>
  </conditionalFormatting>
  <conditionalFormatting sqref="C86">
    <cfRule type="cellIs" dxfId="21193" priority="6460" stopIfTrue="1" operator="equal">
      <formula>"Napkin Hs"</formula>
    </cfRule>
  </conditionalFormatting>
  <conditionalFormatting sqref="C86">
    <cfRule type="cellIs" dxfId="21192" priority="6459" stopIfTrue="1" operator="equal">
      <formula>"Towel"</formula>
    </cfRule>
  </conditionalFormatting>
  <conditionalFormatting sqref="C86">
    <cfRule type="cellIs" dxfId="21191" priority="6458" stopIfTrue="1" operator="equal">
      <formula>"Napkin Hs"</formula>
    </cfRule>
  </conditionalFormatting>
  <conditionalFormatting sqref="C86">
    <cfRule type="cellIs" dxfId="21190" priority="6455" stopIfTrue="1" operator="equal">
      <formula>"Towel"</formula>
    </cfRule>
    <cfRule type="cellIs" dxfId="21189" priority="6456" stopIfTrue="1" operator="equal">
      <formula>"Napkin Hs"</formula>
    </cfRule>
  </conditionalFormatting>
  <conditionalFormatting sqref="C86">
    <cfRule type="cellIs" dxfId="21188" priority="6457" stopIfTrue="1" operator="equal">
      <formula>"Towel"</formula>
    </cfRule>
  </conditionalFormatting>
  <conditionalFormatting sqref="C86">
    <cfRule type="cellIs" dxfId="21187" priority="6454" stopIfTrue="1" operator="equal">
      <formula>"Napkin Hs"</formula>
    </cfRule>
  </conditionalFormatting>
  <conditionalFormatting sqref="C86">
    <cfRule type="cellIs" dxfId="21186" priority="6453" stopIfTrue="1" operator="equal">
      <formula>"Towel"</formula>
    </cfRule>
  </conditionalFormatting>
  <conditionalFormatting sqref="C86">
    <cfRule type="cellIs" dxfId="21185" priority="6452" stopIfTrue="1" operator="equal">
      <formula>"Napkin Hs"</formula>
    </cfRule>
  </conditionalFormatting>
  <conditionalFormatting sqref="C86">
    <cfRule type="cellIs" dxfId="21184" priority="6449" stopIfTrue="1" operator="equal">
      <formula>"Towel"</formula>
    </cfRule>
    <cfRule type="cellIs" dxfId="21183" priority="6450" stopIfTrue="1" operator="equal">
      <formula>"Napkin Hs"</formula>
    </cfRule>
  </conditionalFormatting>
  <conditionalFormatting sqref="C86">
    <cfRule type="cellIs" dxfId="21182" priority="6451" stopIfTrue="1" operator="equal">
      <formula>"Towel"</formula>
    </cfRule>
  </conditionalFormatting>
  <conditionalFormatting sqref="C86">
    <cfRule type="cellIs" dxfId="21181" priority="6555" stopIfTrue="1" operator="equal">
      <formula>"Towel"</formula>
    </cfRule>
    <cfRule type="cellIs" dxfId="21180" priority="6556" stopIfTrue="1" operator="equal">
      <formula>"Napkin Hs"</formula>
    </cfRule>
  </conditionalFormatting>
  <conditionalFormatting sqref="C86">
    <cfRule type="cellIs" dxfId="21179" priority="6553" stopIfTrue="1" operator="equal">
      <formula>"Towel"</formula>
    </cfRule>
    <cfRule type="cellIs" dxfId="21178" priority="6554" stopIfTrue="1" operator="equal">
      <formula>"Napkin Hs"</formula>
    </cfRule>
  </conditionalFormatting>
  <conditionalFormatting sqref="C86">
    <cfRule type="cellIs" dxfId="21177" priority="6551" stopIfTrue="1" operator="equal">
      <formula>"Towel"</formula>
    </cfRule>
    <cfRule type="cellIs" dxfId="21176" priority="6552" stopIfTrue="1" operator="equal">
      <formula>"Napkin Hs"</formula>
    </cfRule>
  </conditionalFormatting>
  <conditionalFormatting sqref="C86">
    <cfRule type="cellIs" dxfId="21175" priority="6550" stopIfTrue="1" operator="equal">
      <formula>"Napkin Hs"</formula>
    </cfRule>
  </conditionalFormatting>
  <conditionalFormatting sqref="C86">
    <cfRule type="cellIs" dxfId="21174" priority="6549" stopIfTrue="1" operator="equal">
      <formula>"Towel"</formula>
    </cfRule>
  </conditionalFormatting>
  <conditionalFormatting sqref="C86">
    <cfRule type="cellIs" dxfId="21173" priority="6548" stopIfTrue="1" operator="equal">
      <formula>"Napkin Hs"</formula>
    </cfRule>
  </conditionalFormatting>
  <conditionalFormatting sqref="C86">
    <cfRule type="cellIs" dxfId="21172" priority="6547" stopIfTrue="1" operator="equal">
      <formula>"Towel"</formula>
    </cfRule>
  </conditionalFormatting>
  <conditionalFormatting sqref="C86">
    <cfRule type="cellIs" dxfId="21171" priority="6545" stopIfTrue="1" operator="equal">
      <formula>"Towel"</formula>
    </cfRule>
    <cfRule type="cellIs" dxfId="21170" priority="6546" stopIfTrue="1" operator="equal">
      <formula>"Napkin Hs"</formula>
    </cfRule>
  </conditionalFormatting>
  <conditionalFormatting sqref="C86">
    <cfRule type="cellIs" dxfId="21169" priority="6543" stopIfTrue="1" operator="equal">
      <formula>"Towel"</formula>
    </cfRule>
    <cfRule type="cellIs" dxfId="21168" priority="6544" stopIfTrue="1" operator="equal">
      <formula>"Napkin Hs"</formula>
    </cfRule>
  </conditionalFormatting>
  <conditionalFormatting sqref="C86">
    <cfRule type="cellIs" dxfId="21167" priority="6539" stopIfTrue="1" operator="equal">
      <formula>"Towel"</formula>
    </cfRule>
    <cfRule type="cellIs" dxfId="21166" priority="6540" stopIfTrue="1" operator="equal">
      <formula>"Napkin Hs"</formula>
    </cfRule>
  </conditionalFormatting>
  <conditionalFormatting sqref="C86">
    <cfRule type="cellIs" dxfId="21165" priority="6541" stopIfTrue="1" operator="equal">
      <formula>"Towel"</formula>
    </cfRule>
    <cfRule type="cellIs" dxfId="21164" priority="6542" stopIfTrue="1" operator="equal">
      <formula>"Napkin Hs"</formula>
    </cfRule>
  </conditionalFormatting>
  <conditionalFormatting sqref="C86">
    <cfRule type="cellIs" dxfId="21163" priority="6533" stopIfTrue="1" operator="equal">
      <formula>"Towel"</formula>
    </cfRule>
    <cfRule type="cellIs" dxfId="21162" priority="6534" stopIfTrue="1" operator="equal">
      <formula>"Napkin Hs"</formula>
    </cfRule>
  </conditionalFormatting>
  <conditionalFormatting sqref="C86">
    <cfRule type="cellIs" dxfId="21161" priority="6531" stopIfTrue="1" operator="equal">
      <formula>"Towel"</formula>
    </cfRule>
    <cfRule type="cellIs" dxfId="21160" priority="6532" stopIfTrue="1" operator="equal">
      <formula>"Napkin Hs"</formula>
    </cfRule>
  </conditionalFormatting>
  <conditionalFormatting sqref="C86">
    <cfRule type="cellIs" dxfId="21159" priority="6529" stopIfTrue="1" operator="equal">
      <formula>"Towel"</formula>
    </cfRule>
    <cfRule type="cellIs" dxfId="21158" priority="6530" stopIfTrue="1" operator="equal">
      <formula>"Napkin Hs"</formula>
    </cfRule>
  </conditionalFormatting>
  <conditionalFormatting sqref="C86">
    <cfRule type="cellIs" dxfId="21157" priority="6527" stopIfTrue="1" operator="equal">
      <formula>"Towel"</formula>
    </cfRule>
    <cfRule type="cellIs" dxfId="21156" priority="6528" stopIfTrue="1" operator="equal">
      <formula>"Napkin Hs"</formula>
    </cfRule>
  </conditionalFormatting>
  <conditionalFormatting sqref="C86">
    <cfRule type="cellIs" dxfId="21155" priority="6525" stopIfTrue="1" operator="equal">
      <formula>"Towel"</formula>
    </cfRule>
    <cfRule type="cellIs" dxfId="21154" priority="6526" stopIfTrue="1" operator="equal">
      <formula>"Napkin Hs"</formula>
    </cfRule>
  </conditionalFormatting>
  <conditionalFormatting sqref="C86">
    <cfRule type="cellIs" dxfId="21153" priority="6523" stopIfTrue="1" operator="equal">
      <formula>"Towel"</formula>
    </cfRule>
    <cfRule type="cellIs" dxfId="21152" priority="6524" stopIfTrue="1" operator="equal">
      <formula>"Napkin Hs"</formula>
    </cfRule>
  </conditionalFormatting>
  <conditionalFormatting sqref="C86">
    <cfRule type="cellIs" dxfId="21151" priority="6521" stopIfTrue="1" operator="equal">
      <formula>"Towel"</formula>
    </cfRule>
    <cfRule type="cellIs" dxfId="21150" priority="6522" stopIfTrue="1" operator="equal">
      <formula>"Napkin Hs"</formula>
    </cfRule>
  </conditionalFormatting>
  <conditionalFormatting sqref="C86">
    <cfRule type="cellIs" dxfId="21149" priority="6519" stopIfTrue="1" operator="equal">
      <formula>"Towel"</formula>
    </cfRule>
    <cfRule type="cellIs" dxfId="21148" priority="6520" stopIfTrue="1" operator="equal">
      <formula>"Napkin Hs"</formula>
    </cfRule>
  </conditionalFormatting>
  <conditionalFormatting sqref="C86">
    <cfRule type="cellIs" dxfId="21147" priority="6517" stopIfTrue="1" operator="equal">
      <formula>"Towel"</formula>
    </cfRule>
    <cfRule type="cellIs" dxfId="21146" priority="6518" stopIfTrue="1" operator="equal">
      <formula>"Napkin Hs"</formula>
    </cfRule>
  </conditionalFormatting>
  <conditionalFormatting sqref="C86">
    <cfRule type="cellIs" dxfId="21145" priority="6515" stopIfTrue="1" operator="equal">
      <formula>"Towel"</formula>
    </cfRule>
    <cfRule type="cellIs" dxfId="21144" priority="6516" stopIfTrue="1" operator="equal">
      <formula>"Napkin Hs"</formula>
    </cfRule>
  </conditionalFormatting>
  <conditionalFormatting sqref="C86">
    <cfRule type="cellIs" dxfId="21143" priority="6509" stopIfTrue="1" operator="equal">
      <formula>"Towel"</formula>
    </cfRule>
    <cfRule type="cellIs" dxfId="21142" priority="6510" stopIfTrue="1" operator="equal">
      <formula>"Napkin Hs"</formula>
    </cfRule>
  </conditionalFormatting>
  <conditionalFormatting sqref="C86">
    <cfRule type="cellIs" dxfId="21141" priority="6503" stopIfTrue="1" operator="equal">
      <formula>"Towel"</formula>
    </cfRule>
    <cfRule type="cellIs" dxfId="21140" priority="6504" stopIfTrue="1" operator="equal">
      <formula>"Napkin Hs"</formula>
    </cfRule>
  </conditionalFormatting>
  <conditionalFormatting sqref="C86">
    <cfRule type="cellIs" dxfId="21139" priority="6497" stopIfTrue="1" operator="equal">
      <formula>"Towel"</formula>
    </cfRule>
    <cfRule type="cellIs" dxfId="21138" priority="6498" stopIfTrue="1" operator="equal">
      <formula>"Napkin Hs"</formula>
    </cfRule>
  </conditionalFormatting>
  <conditionalFormatting sqref="C86">
    <cfRule type="cellIs" dxfId="21137" priority="6496" stopIfTrue="1" operator="equal">
      <formula>"Napkin Hs"</formula>
    </cfRule>
  </conditionalFormatting>
  <conditionalFormatting sqref="C86">
    <cfRule type="cellIs" dxfId="21136" priority="6495" stopIfTrue="1" operator="equal">
      <formula>"Towel"</formula>
    </cfRule>
  </conditionalFormatting>
  <conditionalFormatting sqref="C86">
    <cfRule type="cellIs" dxfId="21135" priority="6494" stopIfTrue="1" operator="equal">
      <formula>"Napkin Hs"</formula>
    </cfRule>
  </conditionalFormatting>
  <conditionalFormatting sqref="C86">
    <cfRule type="cellIs" dxfId="21134" priority="6493" stopIfTrue="1" operator="equal">
      <formula>"Towel"</formula>
    </cfRule>
  </conditionalFormatting>
  <conditionalFormatting sqref="C86">
    <cfRule type="cellIs" dxfId="21133" priority="6491" stopIfTrue="1" operator="equal">
      <formula>"Towel"</formula>
    </cfRule>
    <cfRule type="cellIs" dxfId="21132" priority="6492" stopIfTrue="1" operator="equal">
      <formula>"Napkin Hs"</formula>
    </cfRule>
  </conditionalFormatting>
  <conditionalFormatting sqref="C86">
    <cfRule type="cellIs" dxfId="21131" priority="6489" stopIfTrue="1" operator="equal">
      <formula>"Towel"</formula>
    </cfRule>
    <cfRule type="cellIs" dxfId="21130" priority="6490" stopIfTrue="1" operator="equal">
      <formula>"Napkin Hs"</formula>
    </cfRule>
  </conditionalFormatting>
  <conditionalFormatting sqref="C86">
    <cfRule type="cellIs" dxfId="21129" priority="6487" stopIfTrue="1" operator="equal">
      <formula>"Towel"</formula>
    </cfRule>
    <cfRule type="cellIs" dxfId="21128" priority="6488" stopIfTrue="1" operator="equal">
      <formula>"Napkin Hs"</formula>
    </cfRule>
  </conditionalFormatting>
  <conditionalFormatting sqref="C86">
    <cfRule type="cellIs" dxfId="21127" priority="6477" stopIfTrue="1" operator="equal">
      <formula>"Towel"</formula>
    </cfRule>
    <cfRule type="cellIs" dxfId="21126" priority="6478" stopIfTrue="1" operator="equal">
      <formula>"Napkin Hs"</formula>
    </cfRule>
  </conditionalFormatting>
  <conditionalFormatting sqref="C86">
    <cfRule type="cellIs" dxfId="21125" priority="6475" stopIfTrue="1" operator="equal">
      <formula>"Towel"</formula>
    </cfRule>
    <cfRule type="cellIs" dxfId="21124" priority="6476" stopIfTrue="1" operator="equal">
      <formula>"Napkin Hs"</formula>
    </cfRule>
  </conditionalFormatting>
  <conditionalFormatting sqref="C86">
    <cfRule type="cellIs" dxfId="21123" priority="6473" stopIfTrue="1" operator="equal">
      <formula>"Towel"</formula>
    </cfRule>
    <cfRule type="cellIs" dxfId="21122" priority="6474" stopIfTrue="1" operator="equal">
      <formula>"Napkin Hs"</formula>
    </cfRule>
  </conditionalFormatting>
  <conditionalFormatting sqref="C86">
    <cfRule type="cellIs" dxfId="21121" priority="6471" stopIfTrue="1" operator="equal">
      <formula>"Towel"</formula>
    </cfRule>
    <cfRule type="cellIs" dxfId="21120" priority="6472" stopIfTrue="1" operator="equal">
      <formula>"Napkin Hs"</formula>
    </cfRule>
  </conditionalFormatting>
  <conditionalFormatting sqref="C86">
    <cfRule type="cellIs" dxfId="21119" priority="6469" stopIfTrue="1" operator="equal">
      <formula>"Towel"</formula>
    </cfRule>
    <cfRule type="cellIs" dxfId="21118" priority="6470" stopIfTrue="1" operator="equal">
      <formula>"Napkin Hs"</formula>
    </cfRule>
  </conditionalFormatting>
  <conditionalFormatting sqref="C86">
    <cfRule type="cellIs" dxfId="21117" priority="6467" stopIfTrue="1" operator="equal">
      <formula>"Towel"</formula>
    </cfRule>
    <cfRule type="cellIs" dxfId="21116" priority="6468" stopIfTrue="1" operator="equal">
      <formula>"Napkin Hs"</formula>
    </cfRule>
  </conditionalFormatting>
  <conditionalFormatting sqref="C86">
    <cfRule type="cellIs" dxfId="21115" priority="6465" stopIfTrue="1" operator="equal">
      <formula>"Towel"</formula>
    </cfRule>
    <cfRule type="cellIs" dxfId="21114" priority="6466" stopIfTrue="1" operator="equal">
      <formula>"Napkin Hs"</formula>
    </cfRule>
  </conditionalFormatting>
  <conditionalFormatting sqref="C86">
    <cfRule type="cellIs" dxfId="21113" priority="6463" stopIfTrue="1" operator="equal">
      <formula>"Towel"</formula>
    </cfRule>
    <cfRule type="cellIs" dxfId="21112" priority="6464" stopIfTrue="1" operator="equal">
      <formula>"Napkin Hs"</formula>
    </cfRule>
  </conditionalFormatting>
  <conditionalFormatting sqref="C86">
    <cfRule type="cellIs" dxfId="21111" priority="6461" stopIfTrue="1" operator="equal">
      <formula>"Towel"</formula>
    </cfRule>
    <cfRule type="cellIs" dxfId="21110" priority="6462" stopIfTrue="1" operator="equal">
      <formula>"Napkin Hs"</formula>
    </cfRule>
  </conditionalFormatting>
  <conditionalFormatting sqref="C86">
    <cfRule type="cellIs" dxfId="21109" priority="6448" stopIfTrue="1" operator="equal">
      <formula>"Napkin Hs"</formula>
    </cfRule>
  </conditionalFormatting>
  <conditionalFormatting sqref="C86">
    <cfRule type="cellIs" dxfId="21108" priority="6447" stopIfTrue="1" operator="equal">
      <formula>"Towel"</formula>
    </cfRule>
  </conditionalFormatting>
  <conditionalFormatting sqref="C86">
    <cfRule type="cellIs" dxfId="21107" priority="6446" stopIfTrue="1" operator="equal">
      <formula>"Napkin Hs"</formula>
    </cfRule>
  </conditionalFormatting>
  <conditionalFormatting sqref="C86">
    <cfRule type="cellIs" dxfId="21106" priority="6443" stopIfTrue="1" operator="equal">
      <formula>"Towel"</formula>
    </cfRule>
    <cfRule type="cellIs" dxfId="21105" priority="6444" stopIfTrue="1" operator="equal">
      <formula>"Napkin Hs"</formula>
    </cfRule>
  </conditionalFormatting>
  <conditionalFormatting sqref="C86">
    <cfRule type="cellIs" dxfId="21104" priority="6445" stopIfTrue="1" operator="equal">
      <formula>"Towel"</formula>
    </cfRule>
  </conditionalFormatting>
  <conditionalFormatting sqref="C86">
    <cfRule type="cellIs" dxfId="21103" priority="6563" stopIfTrue="1" operator="equal">
      <formula>"Towel"</formula>
    </cfRule>
    <cfRule type="cellIs" dxfId="21102" priority="6564" stopIfTrue="1" operator="equal">
      <formula>"Napkin Hs"</formula>
    </cfRule>
  </conditionalFormatting>
  <conditionalFormatting sqref="C86">
    <cfRule type="cellIs" dxfId="21101" priority="6562" stopIfTrue="1" operator="equal">
      <formula>"Napkin Hs"</formula>
    </cfRule>
  </conditionalFormatting>
  <conditionalFormatting sqref="C86">
    <cfRule type="cellIs" dxfId="21100" priority="6561" stopIfTrue="1" operator="equal">
      <formula>"Towel"</formula>
    </cfRule>
  </conditionalFormatting>
  <conditionalFormatting sqref="C86">
    <cfRule type="cellIs" dxfId="21099" priority="6560" stopIfTrue="1" operator="equal">
      <formula>"Napkin Hs"</formula>
    </cfRule>
  </conditionalFormatting>
  <conditionalFormatting sqref="C86">
    <cfRule type="cellIs" dxfId="21098" priority="6557" stopIfTrue="1" operator="equal">
      <formula>"Towel"</formula>
    </cfRule>
    <cfRule type="cellIs" dxfId="21097" priority="6558" stopIfTrue="1" operator="equal">
      <formula>"Napkin Hs"</formula>
    </cfRule>
  </conditionalFormatting>
  <conditionalFormatting sqref="C86">
    <cfRule type="cellIs" dxfId="21096" priority="6559" stopIfTrue="1" operator="equal">
      <formula>"Towel"</formula>
    </cfRule>
  </conditionalFormatting>
  <conditionalFormatting sqref="C86">
    <cfRule type="cellIs" dxfId="21095" priority="6567" stopIfTrue="1" operator="equal">
      <formula>"Towel"</formula>
    </cfRule>
    <cfRule type="cellIs" dxfId="21094" priority="6568" stopIfTrue="1" operator="equal">
      <formula>"Napkin Hs"</formula>
    </cfRule>
  </conditionalFormatting>
  <conditionalFormatting sqref="C86">
    <cfRule type="cellIs" dxfId="21093" priority="6565" stopIfTrue="1" operator="equal">
      <formula>"Towel"</formula>
    </cfRule>
    <cfRule type="cellIs" dxfId="21092" priority="6566" stopIfTrue="1" operator="equal">
      <formula>"Napkin Hs"</formula>
    </cfRule>
  </conditionalFormatting>
  <conditionalFormatting sqref="C86">
    <cfRule type="cellIs" dxfId="21091" priority="6537" stopIfTrue="1" operator="equal">
      <formula>"Towel"</formula>
    </cfRule>
    <cfRule type="cellIs" dxfId="21090" priority="6538" stopIfTrue="1" operator="equal">
      <formula>"Napkin Hs"</formula>
    </cfRule>
  </conditionalFormatting>
  <conditionalFormatting sqref="C86">
    <cfRule type="cellIs" dxfId="21089" priority="6535" stopIfTrue="1" operator="equal">
      <formula>"Towel"</formula>
    </cfRule>
    <cfRule type="cellIs" dxfId="21088" priority="6536" stopIfTrue="1" operator="equal">
      <formula>"Napkin Hs"</formula>
    </cfRule>
  </conditionalFormatting>
  <conditionalFormatting sqref="C86">
    <cfRule type="cellIs" dxfId="21087" priority="6514" stopIfTrue="1" operator="equal">
      <formula>"Napkin Hs"</formula>
    </cfRule>
  </conditionalFormatting>
  <conditionalFormatting sqref="C86">
    <cfRule type="cellIs" dxfId="21086" priority="6513" stopIfTrue="1" operator="equal">
      <formula>"Towel"</formula>
    </cfRule>
  </conditionalFormatting>
  <conditionalFormatting sqref="C86">
    <cfRule type="cellIs" dxfId="21085" priority="6512" stopIfTrue="1" operator="equal">
      <formula>"Napkin Hs"</formula>
    </cfRule>
  </conditionalFormatting>
  <conditionalFormatting sqref="C86">
    <cfRule type="cellIs" dxfId="21084" priority="6511" stopIfTrue="1" operator="equal">
      <formula>"Towel"</formula>
    </cfRule>
  </conditionalFormatting>
  <conditionalFormatting sqref="C86">
    <cfRule type="cellIs" dxfId="21083" priority="6508" stopIfTrue="1" operator="equal">
      <formula>"Napkin Hs"</formula>
    </cfRule>
  </conditionalFormatting>
  <conditionalFormatting sqref="C86">
    <cfRule type="cellIs" dxfId="21082" priority="6507" stopIfTrue="1" operator="equal">
      <formula>"Towel"</formula>
    </cfRule>
  </conditionalFormatting>
  <conditionalFormatting sqref="C86">
    <cfRule type="cellIs" dxfId="21081" priority="6506" stopIfTrue="1" operator="equal">
      <formula>"Napkin Hs"</formula>
    </cfRule>
  </conditionalFormatting>
  <conditionalFormatting sqref="C86">
    <cfRule type="cellIs" dxfId="21080" priority="6505" stopIfTrue="1" operator="equal">
      <formula>"Towel"</formula>
    </cfRule>
  </conditionalFormatting>
  <conditionalFormatting sqref="C86">
    <cfRule type="cellIs" dxfId="21079" priority="6501" stopIfTrue="1" operator="equal">
      <formula>"Towel"</formula>
    </cfRule>
    <cfRule type="cellIs" dxfId="21078" priority="6502" stopIfTrue="1" operator="equal">
      <formula>"Napkin Hs"</formula>
    </cfRule>
  </conditionalFormatting>
  <conditionalFormatting sqref="C86">
    <cfRule type="cellIs" dxfId="21077" priority="6499" stopIfTrue="1" operator="equal">
      <formula>"Towel"</formula>
    </cfRule>
    <cfRule type="cellIs" dxfId="21076" priority="6500" stopIfTrue="1" operator="equal">
      <formula>"Napkin Hs"</formula>
    </cfRule>
  </conditionalFormatting>
  <conditionalFormatting sqref="C86">
    <cfRule type="cellIs" dxfId="21075" priority="6483" stopIfTrue="1" operator="equal">
      <formula>"Towel"</formula>
    </cfRule>
    <cfRule type="cellIs" dxfId="21074" priority="6484" stopIfTrue="1" operator="equal">
      <formula>"Napkin Hs"</formula>
    </cfRule>
  </conditionalFormatting>
  <conditionalFormatting sqref="C86">
    <cfRule type="cellIs" dxfId="21073" priority="6481" stopIfTrue="1" operator="equal">
      <formula>"Towel"</formula>
    </cfRule>
    <cfRule type="cellIs" dxfId="21072" priority="6482" stopIfTrue="1" operator="equal">
      <formula>"Napkin Hs"</formula>
    </cfRule>
  </conditionalFormatting>
  <conditionalFormatting sqref="B86:C86">
    <cfRule type="cellIs" dxfId="21071" priority="6442" stopIfTrue="1" operator="equal">
      <formula>"Napkin Hs"</formula>
    </cfRule>
  </conditionalFormatting>
  <conditionalFormatting sqref="B86:C86">
    <cfRule type="cellIs" dxfId="21070" priority="6441" stopIfTrue="1" operator="equal">
      <formula>"Towel"</formula>
    </cfRule>
  </conditionalFormatting>
  <conditionalFormatting sqref="C86">
    <cfRule type="cellIs" dxfId="21069" priority="6440" stopIfTrue="1" operator="equal">
      <formula>"Napkin Hs"</formula>
    </cfRule>
  </conditionalFormatting>
  <conditionalFormatting sqref="C86">
    <cfRule type="cellIs" dxfId="21068" priority="6437" stopIfTrue="1" operator="equal">
      <formula>"Towel"</formula>
    </cfRule>
    <cfRule type="cellIs" dxfId="21067" priority="6438" stopIfTrue="1" operator="equal">
      <formula>"Napkin Hs"</formula>
    </cfRule>
  </conditionalFormatting>
  <conditionalFormatting sqref="C86">
    <cfRule type="cellIs" dxfId="21066" priority="6439" stopIfTrue="1" operator="equal">
      <formula>"Towel"</formula>
    </cfRule>
  </conditionalFormatting>
  <conditionalFormatting sqref="B86:C86">
    <cfRule type="cellIs" dxfId="21065" priority="6436" stopIfTrue="1" operator="equal">
      <formula>"Napkin Hs"</formula>
    </cfRule>
  </conditionalFormatting>
  <conditionalFormatting sqref="B86:C86">
    <cfRule type="cellIs" dxfId="21064" priority="6435" stopIfTrue="1" operator="equal">
      <formula>"Towel"</formula>
    </cfRule>
  </conditionalFormatting>
  <conditionalFormatting sqref="C86">
    <cfRule type="cellIs" dxfId="21063" priority="6434" stopIfTrue="1" operator="equal">
      <formula>"Napkin Hs"</formula>
    </cfRule>
  </conditionalFormatting>
  <conditionalFormatting sqref="C86">
    <cfRule type="cellIs" dxfId="21062" priority="6433" stopIfTrue="1" operator="equal">
      <formula>"Towel"</formula>
    </cfRule>
  </conditionalFormatting>
  <conditionalFormatting sqref="C86">
    <cfRule type="cellIs" dxfId="21061" priority="6431" stopIfTrue="1" operator="equal">
      <formula>"Towel"</formula>
    </cfRule>
    <cfRule type="cellIs" dxfId="21060" priority="6432" stopIfTrue="1" operator="equal">
      <formula>"Napkin Hs"</formula>
    </cfRule>
  </conditionalFormatting>
  <conditionalFormatting sqref="C86">
    <cfRule type="cellIs" dxfId="21059" priority="6347" stopIfTrue="1" operator="equal">
      <formula>"Towel"</formula>
    </cfRule>
    <cfRule type="cellIs" dxfId="21058" priority="6348" stopIfTrue="1" operator="equal">
      <formula>"Napkin Hs"</formula>
    </cfRule>
  </conditionalFormatting>
  <conditionalFormatting sqref="C86">
    <cfRule type="cellIs" dxfId="21057" priority="6341" stopIfTrue="1" operator="equal">
      <formula>"Towel"</formula>
    </cfRule>
    <cfRule type="cellIs" dxfId="21056" priority="6342" stopIfTrue="1" operator="equal">
      <formula>"Napkin Hs"</formula>
    </cfRule>
  </conditionalFormatting>
  <conditionalFormatting sqref="C86">
    <cfRule type="cellIs" dxfId="21055" priority="6322" stopIfTrue="1" operator="equal">
      <formula>"Napkin Hs"</formula>
    </cfRule>
  </conditionalFormatting>
  <conditionalFormatting sqref="C86">
    <cfRule type="cellIs" dxfId="21054" priority="6321" stopIfTrue="1" operator="equal">
      <formula>"Towel"</formula>
    </cfRule>
  </conditionalFormatting>
  <conditionalFormatting sqref="C86">
    <cfRule type="cellIs" dxfId="21053" priority="6320" stopIfTrue="1" operator="equal">
      <formula>"Napkin Hs"</formula>
    </cfRule>
  </conditionalFormatting>
  <conditionalFormatting sqref="C86">
    <cfRule type="cellIs" dxfId="21052" priority="6317" stopIfTrue="1" operator="equal">
      <formula>"Towel"</formula>
    </cfRule>
    <cfRule type="cellIs" dxfId="21051" priority="6318" stopIfTrue="1" operator="equal">
      <formula>"Napkin Hs"</formula>
    </cfRule>
  </conditionalFormatting>
  <conditionalFormatting sqref="C86">
    <cfRule type="cellIs" dxfId="21050" priority="6319" stopIfTrue="1" operator="equal">
      <formula>"Towel"</formula>
    </cfRule>
  </conditionalFormatting>
  <conditionalFormatting sqref="C86">
    <cfRule type="cellIs" dxfId="21049" priority="6316" stopIfTrue="1" operator="equal">
      <formula>"Napkin Hs"</formula>
    </cfRule>
  </conditionalFormatting>
  <conditionalFormatting sqref="C86">
    <cfRule type="cellIs" dxfId="21048" priority="6315" stopIfTrue="1" operator="equal">
      <formula>"Towel"</formula>
    </cfRule>
  </conditionalFormatting>
  <conditionalFormatting sqref="C86">
    <cfRule type="cellIs" dxfId="21047" priority="6314" stopIfTrue="1" operator="equal">
      <formula>"Napkin Hs"</formula>
    </cfRule>
  </conditionalFormatting>
  <conditionalFormatting sqref="C86">
    <cfRule type="cellIs" dxfId="21046" priority="6311" stopIfTrue="1" operator="equal">
      <formula>"Towel"</formula>
    </cfRule>
    <cfRule type="cellIs" dxfId="21045" priority="6312" stopIfTrue="1" operator="equal">
      <formula>"Napkin Hs"</formula>
    </cfRule>
  </conditionalFormatting>
  <conditionalFormatting sqref="C86">
    <cfRule type="cellIs" dxfId="21044" priority="6313" stopIfTrue="1" operator="equal">
      <formula>"Towel"</formula>
    </cfRule>
  </conditionalFormatting>
  <conditionalFormatting sqref="C86">
    <cfRule type="cellIs" dxfId="21043" priority="6417" stopIfTrue="1" operator="equal">
      <formula>"Towel"</formula>
    </cfRule>
    <cfRule type="cellIs" dxfId="21042" priority="6418" stopIfTrue="1" operator="equal">
      <formula>"Napkin Hs"</formula>
    </cfRule>
  </conditionalFormatting>
  <conditionalFormatting sqref="C86">
    <cfRule type="cellIs" dxfId="21041" priority="6415" stopIfTrue="1" operator="equal">
      <formula>"Towel"</formula>
    </cfRule>
    <cfRule type="cellIs" dxfId="21040" priority="6416" stopIfTrue="1" operator="equal">
      <formula>"Napkin Hs"</formula>
    </cfRule>
  </conditionalFormatting>
  <conditionalFormatting sqref="C86">
    <cfRule type="cellIs" dxfId="21039" priority="6413" stopIfTrue="1" operator="equal">
      <formula>"Towel"</formula>
    </cfRule>
    <cfRule type="cellIs" dxfId="21038" priority="6414" stopIfTrue="1" operator="equal">
      <formula>"Napkin Hs"</formula>
    </cfRule>
  </conditionalFormatting>
  <conditionalFormatting sqref="C86">
    <cfRule type="cellIs" dxfId="21037" priority="6412" stopIfTrue="1" operator="equal">
      <formula>"Napkin Hs"</formula>
    </cfRule>
  </conditionalFormatting>
  <conditionalFormatting sqref="C86">
    <cfRule type="cellIs" dxfId="21036" priority="6411" stopIfTrue="1" operator="equal">
      <formula>"Towel"</formula>
    </cfRule>
  </conditionalFormatting>
  <conditionalFormatting sqref="C86">
    <cfRule type="cellIs" dxfId="21035" priority="6410" stopIfTrue="1" operator="equal">
      <formula>"Napkin Hs"</formula>
    </cfRule>
  </conditionalFormatting>
  <conditionalFormatting sqref="C86">
    <cfRule type="cellIs" dxfId="21034" priority="6409" stopIfTrue="1" operator="equal">
      <formula>"Towel"</formula>
    </cfRule>
  </conditionalFormatting>
  <conditionalFormatting sqref="C86">
    <cfRule type="cellIs" dxfId="21033" priority="6407" stopIfTrue="1" operator="equal">
      <formula>"Towel"</formula>
    </cfRule>
    <cfRule type="cellIs" dxfId="21032" priority="6408" stopIfTrue="1" operator="equal">
      <formula>"Napkin Hs"</formula>
    </cfRule>
  </conditionalFormatting>
  <conditionalFormatting sqref="C86">
    <cfRule type="cellIs" dxfId="21031" priority="6405" stopIfTrue="1" operator="equal">
      <formula>"Towel"</formula>
    </cfRule>
    <cfRule type="cellIs" dxfId="21030" priority="6406" stopIfTrue="1" operator="equal">
      <formula>"Napkin Hs"</formula>
    </cfRule>
  </conditionalFormatting>
  <conditionalFormatting sqref="C86">
    <cfRule type="cellIs" dxfId="21029" priority="6401" stopIfTrue="1" operator="equal">
      <formula>"Towel"</formula>
    </cfRule>
    <cfRule type="cellIs" dxfId="21028" priority="6402" stopIfTrue="1" operator="equal">
      <formula>"Napkin Hs"</formula>
    </cfRule>
  </conditionalFormatting>
  <conditionalFormatting sqref="C86">
    <cfRule type="cellIs" dxfId="21027" priority="6403" stopIfTrue="1" operator="equal">
      <formula>"Towel"</formula>
    </cfRule>
    <cfRule type="cellIs" dxfId="21026" priority="6404" stopIfTrue="1" operator="equal">
      <formula>"Napkin Hs"</formula>
    </cfRule>
  </conditionalFormatting>
  <conditionalFormatting sqref="C86">
    <cfRule type="cellIs" dxfId="21025" priority="6395" stopIfTrue="1" operator="equal">
      <formula>"Towel"</formula>
    </cfRule>
    <cfRule type="cellIs" dxfId="21024" priority="6396" stopIfTrue="1" operator="equal">
      <formula>"Napkin Hs"</formula>
    </cfRule>
  </conditionalFormatting>
  <conditionalFormatting sqref="C86">
    <cfRule type="cellIs" dxfId="21023" priority="6393" stopIfTrue="1" operator="equal">
      <formula>"Towel"</formula>
    </cfRule>
    <cfRule type="cellIs" dxfId="21022" priority="6394" stopIfTrue="1" operator="equal">
      <formula>"Napkin Hs"</formula>
    </cfRule>
  </conditionalFormatting>
  <conditionalFormatting sqref="C86">
    <cfRule type="cellIs" dxfId="21021" priority="6391" stopIfTrue="1" operator="equal">
      <formula>"Towel"</formula>
    </cfRule>
    <cfRule type="cellIs" dxfId="21020" priority="6392" stopIfTrue="1" operator="equal">
      <formula>"Napkin Hs"</formula>
    </cfRule>
  </conditionalFormatting>
  <conditionalFormatting sqref="C86">
    <cfRule type="cellIs" dxfId="21019" priority="6389" stopIfTrue="1" operator="equal">
      <formula>"Towel"</formula>
    </cfRule>
    <cfRule type="cellIs" dxfId="21018" priority="6390" stopIfTrue="1" operator="equal">
      <formula>"Napkin Hs"</formula>
    </cfRule>
  </conditionalFormatting>
  <conditionalFormatting sqref="C86">
    <cfRule type="cellIs" dxfId="21017" priority="6387" stopIfTrue="1" operator="equal">
      <formula>"Towel"</formula>
    </cfRule>
    <cfRule type="cellIs" dxfId="21016" priority="6388" stopIfTrue="1" operator="equal">
      <formula>"Napkin Hs"</formula>
    </cfRule>
  </conditionalFormatting>
  <conditionalFormatting sqref="C86">
    <cfRule type="cellIs" dxfId="21015" priority="6385" stopIfTrue="1" operator="equal">
      <formula>"Towel"</formula>
    </cfRule>
    <cfRule type="cellIs" dxfId="21014" priority="6386" stopIfTrue="1" operator="equal">
      <formula>"Napkin Hs"</formula>
    </cfRule>
  </conditionalFormatting>
  <conditionalFormatting sqref="C86">
    <cfRule type="cellIs" dxfId="21013" priority="6383" stopIfTrue="1" operator="equal">
      <formula>"Towel"</formula>
    </cfRule>
    <cfRule type="cellIs" dxfId="21012" priority="6384" stopIfTrue="1" operator="equal">
      <formula>"Napkin Hs"</formula>
    </cfRule>
  </conditionalFormatting>
  <conditionalFormatting sqref="C86">
    <cfRule type="cellIs" dxfId="21011" priority="6381" stopIfTrue="1" operator="equal">
      <formula>"Towel"</formula>
    </cfRule>
    <cfRule type="cellIs" dxfId="21010" priority="6382" stopIfTrue="1" operator="equal">
      <formula>"Napkin Hs"</formula>
    </cfRule>
  </conditionalFormatting>
  <conditionalFormatting sqref="C86">
    <cfRule type="cellIs" dxfId="21009" priority="6379" stopIfTrue="1" operator="equal">
      <formula>"Towel"</formula>
    </cfRule>
    <cfRule type="cellIs" dxfId="21008" priority="6380" stopIfTrue="1" operator="equal">
      <formula>"Napkin Hs"</formula>
    </cfRule>
  </conditionalFormatting>
  <conditionalFormatting sqref="C86">
    <cfRule type="cellIs" dxfId="21007" priority="6377" stopIfTrue="1" operator="equal">
      <formula>"Towel"</formula>
    </cfRule>
    <cfRule type="cellIs" dxfId="21006" priority="6378" stopIfTrue="1" operator="equal">
      <formula>"Napkin Hs"</formula>
    </cfRule>
  </conditionalFormatting>
  <conditionalFormatting sqref="C86">
    <cfRule type="cellIs" dxfId="21005" priority="6371" stopIfTrue="1" operator="equal">
      <formula>"Towel"</formula>
    </cfRule>
    <cfRule type="cellIs" dxfId="21004" priority="6372" stopIfTrue="1" operator="equal">
      <formula>"Napkin Hs"</formula>
    </cfRule>
  </conditionalFormatting>
  <conditionalFormatting sqref="C86">
    <cfRule type="cellIs" dxfId="21003" priority="6365" stopIfTrue="1" operator="equal">
      <formula>"Towel"</formula>
    </cfRule>
    <cfRule type="cellIs" dxfId="21002" priority="6366" stopIfTrue="1" operator="equal">
      <formula>"Napkin Hs"</formula>
    </cfRule>
  </conditionalFormatting>
  <conditionalFormatting sqref="C86">
    <cfRule type="cellIs" dxfId="21001" priority="6359" stopIfTrue="1" operator="equal">
      <formula>"Towel"</formula>
    </cfRule>
    <cfRule type="cellIs" dxfId="21000" priority="6360" stopIfTrue="1" operator="equal">
      <formula>"Napkin Hs"</formula>
    </cfRule>
  </conditionalFormatting>
  <conditionalFormatting sqref="C86">
    <cfRule type="cellIs" dxfId="20999" priority="6358" stopIfTrue="1" operator="equal">
      <formula>"Napkin Hs"</formula>
    </cfRule>
  </conditionalFormatting>
  <conditionalFormatting sqref="C86">
    <cfRule type="cellIs" dxfId="20998" priority="6357" stopIfTrue="1" operator="equal">
      <formula>"Towel"</formula>
    </cfRule>
  </conditionalFormatting>
  <conditionalFormatting sqref="C86">
    <cfRule type="cellIs" dxfId="20997" priority="6356" stopIfTrue="1" operator="equal">
      <formula>"Napkin Hs"</formula>
    </cfRule>
  </conditionalFormatting>
  <conditionalFormatting sqref="C86">
    <cfRule type="cellIs" dxfId="20996" priority="6355" stopIfTrue="1" operator="equal">
      <formula>"Towel"</formula>
    </cfRule>
  </conditionalFormatting>
  <conditionalFormatting sqref="C86">
    <cfRule type="cellIs" dxfId="20995" priority="6353" stopIfTrue="1" operator="equal">
      <formula>"Towel"</formula>
    </cfRule>
    <cfRule type="cellIs" dxfId="20994" priority="6354" stopIfTrue="1" operator="equal">
      <formula>"Napkin Hs"</formula>
    </cfRule>
  </conditionalFormatting>
  <conditionalFormatting sqref="C86">
    <cfRule type="cellIs" dxfId="20993" priority="6351" stopIfTrue="1" operator="equal">
      <formula>"Towel"</formula>
    </cfRule>
    <cfRule type="cellIs" dxfId="20992" priority="6352" stopIfTrue="1" operator="equal">
      <formula>"Napkin Hs"</formula>
    </cfRule>
  </conditionalFormatting>
  <conditionalFormatting sqref="C86">
    <cfRule type="cellIs" dxfId="20991" priority="6349" stopIfTrue="1" operator="equal">
      <formula>"Towel"</formula>
    </cfRule>
    <cfRule type="cellIs" dxfId="20990" priority="6350" stopIfTrue="1" operator="equal">
      <formula>"Napkin Hs"</formula>
    </cfRule>
  </conditionalFormatting>
  <conditionalFormatting sqref="C86">
    <cfRule type="cellIs" dxfId="20989" priority="6339" stopIfTrue="1" operator="equal">
      <formula>"Towel"</formula>
    </cfRule>
    <cfRule type="cellIs" dxfId="20988" priority="6340" stopIfTrue="1" operator="equal">
      <formula>"Napkin Hs"</formula>
    </cfRule>
  </conditionalFormatting>
  <conditionalFormatting sqref="C86">
    <cfRule type="cellIs" dxfId="20987" priority="6337" stopIfTrue="1" operator="equal">
      <formula>"Towel"</formula>
    </cfRule>
    <cfRule type="cellIs" dxfId="20986" priority="6338" stopIfTrue="1" operator="equal">
      <formula>"Napkin Hs"</formula>
    </cfRule>
  </conditionalFormatting>
  <conditionalFormatting sqref="C86">
    <cfRule type="cellIs" dxfId="20985" priority="6335" stopIfTrue="1" operator="equal">
      <formula>"Towel"</formula>
    </cfRule>
    <cfRule type="cellIs" dxfId="20984" priority="6336" stopIfTrue="1" operator="equal">
      <formula>"Napkin Hs"</formula>
    </cfRule>
  </conditionalFormatting>
  <conditionalFormatting sqref="C86">
    <cfRule type="cellIs" dxfId="20983" priority="6333" stopIfTrue="1" operator="equal">
      <formula>"Towel"</formula>
    </cfRule>
    <cfRule type="cellIs" dxfId="20982" priority="6334" stopIfTrue="1" operator="equal">
      <formula>"Napkin Hs"</formula>
    </cfRule>
  </conditionalFormatting>
  <conditionalFormatting sqref="C86">
    <cfRule type="cellIs" dxfId="20981" priority="6331" stopIfTrue="1" operator="equal">
      <formula>"Towel"</formula>
    </cfRule>
    <cfRule type="cellIs" dxfId="20980" priority="6332" stopIfTrue="1" operator="equal">
      <formula>"Napkin Hs"</formula>
    </cfRule>
  </conditionalFormatting>
  <conditionalFormatting sqref="C86">
    <cfRule type="cellIs" dxfId="20979" priority="6329" stopIfTrue="1" operator="equal">
      <formula>"Towel"</formula>
    </cfRule>
    <cfRule type="cellIs" dxfId="20978" priority="6330" stopIfTrue="1" operator="equal">
      <formula>"Napkin Hs"</formula>
    </cfRule>
  </conditionalFormatting>
  <conditionalFormatting sqref="C86">
    <cfRule type="cellIs" dxfId="20977" priority="6327" stopIfTrue="1" operator="equal">
      <formula>"Towel"</formula>
    </cfRule>
    <cfRule type="cellIs" dxfId="20976" priority="6328" stopIfTrue="1" operator="equal">
      <formula>"Napkin Hs"</formula>
    </cfRule>
  </conditionalFormatting>
  <conditionalFormatting sqref="C86">
    <cfRule type="cellIs" dxfId="20975" priority="6325" stopIfTrue="1" operator="equal">
      <formula>"Towel"</formula>
    </cfRule>
    <cfRule type="cellIs" dxfId="20974" priority="6326" stopIfTrue="1" operator="equal">
      <formula>"Napkin Hs"</formula>
    </cfRule>
  </conditionalFormatting>
  <conditionalFormatting sqref="C86">
    <cfRule type="cellIs" dxfId="20973" priority="6323" stopIfTrue="1" operator="equal">
      <formula>"Towel"</formula>
    </cfRule>
    <cfRule type="cellIs" dxfId="20972" priority="6324" stopIfTrue="1" operator="equal">
      <formula>"Napkin Hs"</formula>
    </cfRule>
  </conditionalFormatting>
  <conditionalFormatting sqref="C86">
    <cfRule type="cellIs" dxfId="20971" priority="6310" stopIfTrue="1" operator="equal">
      <formula>"Napkin Hs"</formula>
    </cfRule>
  </conditionalFormatting>
  <conditionalFormatting sqref="C86">
    <cfRule type="cellIs" dxfId="20970" priority="6309" stopIfTrue="1" operator="equal">
      <formula>"Towel"</formula>
    </cfRule>
  </conditionalFormatting>
  <conditionalFormatting sqref="C86">
    <cfRule type="cellIs" dxfId="20969" priority="6308" stopIfTrue="1" operator="equal">
      <formula>"Napkin Hs"</formula>
    </cfRule>
  </conditionalFormatting>
  <conditionalFormatting sqref="C86">
    <cfRule type="cellIs" dxfId="20968" priority="6305" stopIfTrue="1" operator="equal">
      <formula>"Towel"</formula>
    </cfRule>
    <cfRule type="cellIs" dxfId="20967" priority="6306" stopIfTrue="1" operator="equal">
      <formula>"Napkin Hs"</formula>
    </cfRule>
  </conditionalFormatting>
  <conditionalFormatting sqref="C86">
    <cfRule type="cellIs" dxfId="20966" priority="6307" stopIfTrue="1" operator="equal">
      <formula>"Towel"</formula>
    </cfRule>
  </conditionalFormatting>
  <conditionalFormatting sqref="C86">
    <cfRule type="cellIs" dxfId="20965" priority="6425" stopIfTrue="1" operator="equal">
      <formula>"Towel"</formula>
    </cfRule>
    <cfRule type="cellIs" dxfId="20964" priority="6426" stopIfTrue="1" operator="equal">
      <formula>"Napkin Hs"</formula>
    </cfRule>
  </conditionalFormatting>
  <conditionalFormatting sqref="C86">
    <cfRule type="cellIs" dxfId="20963" priority="6424" stopIfTrue="1" operator="equal">
      <formula>"Napkin Hs"</formula>
    </cfRule>
  </conditionalFormatting>
  <conditionalFormatting sqref="C86">
    <cfRule type="cellIs" dxfId="20962" priority="6423" stopIfTrue="1" operator="equal">
      <formula>"Towel"</formula>
    </cfRule>
  </conditionalFormatting>
  <conditionalFormatting sqref="C86">
    <cfRule type="cellIs" dxfId="20961" priority="6422" stopIfTrue="1" operator="equal">
      <formula>"Napkin Hs"</formula>
    </cfRule>
  </conditionalFormatting>
  <conditionalFormatting sqref="C86">
    <cfRule type="cellIs" dxfId="20960" priority="6419" stopIfTrue="1" operator="equal">
      <formula>"Towel"</formula>
    </cfRule>
    <cfRule type="cellIs" dxfId="20959" priority="6420" stopIfTrue="1" operator="equal">
      <formula>"Napkin Hs"</formula>
    </cfRule>
  </conditionalFormatting>
  <conditionalFormatting sqref="C86">
    <cfRule type="cellIs" dxfId="20958" priority="6421" stopIfTrue="1" operator="equal">
      <formula>"Towel"</formula>
    </cfRule>
  </conditionalFormatting>
  <conditionalFormatting sqref="C86">
    <cfRule type="cellIs" dxfId="20957" priority="6429" stopIfTrue="1" operator="equal">
      <formula>"Towel"</formula>
    </cfRule>
    <cfRule type="cellIs" dxfId="20956" priority="6430" stopIfTrue="1" operator="equal">
      <formula>"Napkin Hs"</formula>
    </cfRule>
  </conditionalFormatting>
  <conditionalFormatting sqref="C86">
    <cfRule type="cellIs" dxfId="20955" priority="6427" stopIfTrue="1" operator="equal">
      <formula>"Towel"</formula>
    </cfRule>
    <cfRule type="cellIs" dxfId="20954" priority="6428" stopIfTrue="1" operator="equal">
      <formula>"Napkin Hs"</formula>
    </cfRule>
  </conditionalFormatting>
  <conditionalFormatting sqref="C86">
    <cfRule type="cellIs" dxfId="20953" priority="6399" stopIfTrue="1" operator="equal">
      <formula>"Towel"</formula>
    </cfRule>
    <cfRule type="cellIs" dxfId="20952" priority="6400" stopIfTrue="1" operator="equal">
      <formula>"Napkin Hs"</formula>
    </cfRule>
  </conditionalFormatting>
  <conditionalFormatting sqref="C86">
    <cfRule type="cellIs" dxfId="20951" priority="6397" stopIfTrue="1" operator="equal">
      <formula>"Towel"</formula>
    </cfRule>
    <cfRule type="cellIs" dxfId="20950" priority="6398" stopIfTrue="1" operator="equal">
      <formula>"Napkin Hs"</formula>
    </cfRule>
  </conditionalFormatting>
  <conditionalFormatting sqref="C86">
    <cfRule type="cellIs" dxfId="20949" priority="6376" stopIfTrue="1" operator="equal">
      <formula>"Napkin Hs"</formula>
    </cfRule>
  </conditionalFormatting>
  <conditionalFormatting sqref="C86">
    <cfRule type="cellIs" dxfId="20948" priority="6375" stopIfTrue="1" operator="equal">
      <formula>"Towel"</formula>
    </cfRule>
  </conditionalFormatting>
  <conditionalFormatting sqref="C86">
    <cfRule type="cellIs" dxfId="20947" priority="6374" stopIfTrue="1" operator="equal">
      <formula>"Napkin Hs"</formula>
    </cfRule>
  </conditionalFormatting>
  <conditionalFormatting sqref="C86">
    <cfRule type="cellIs" dxfId="20946" priority="6373" stopIfTrue="1" operator="equal">
      <formula>"Towel"</formula>
    </cfRule>
  </conditionalFormatting>
  <conditionalFormatting sqref="C86">
    <cfRule type="cellIs" dxfId="20945" priority="6370" stopIfTrue="1" operator="equal">
      <formula>"Napkin Hs"</formula>
    </cfRule>
  </conditionalFormatting>
  <conditionalFormatting sqref="C86">
    <cfRule type="cellIs" dxfId="20944" priority="6369" stopIfTrue="1" operator="equal">
      <formula>"Towel"</formula>
    </cfRule>
  </conditionalFormatting>
  <conditionalFormatting sqref="C86">
    <cfRule type="cellIs" dxfId="20943" priority="6368" stopIfTrue="1" operator="equal">
      <formula>"Napkin Hs"</formula>
    </cfRule>
  </conditionalFormatting>
  <conditionalFormatting sqref="C86">
    <cfRule type="cellIs" dxfId="20942" priority="6367" stopIfTrue="1" operator="equal">
      <formula>"Towel"</formula>
    </cfRule>
  </conditionalFormatting>
  <conditionalFormatting sqref="C86">
    <cfRule type="cellIs" dxfId="20941" priority="6363" stopIfTrue="1" operator="equal">
      <formula>"Towel"</formula>
    </cfRule>
    <cfRule type="cellIs" dxfId="20940" priority="6364" stopIfTrue="1" operator="equal">
      <formula>"Napkin Hs"</formula>
    </cfRule>
  </conditionalFormatting>
  <conditionalFormatting sqref="C86">
    <cfRule type="cellIs" dxfId="20939" priority="6361" stopIfTrue="1" operator="equal">
      <formula>"Towel"</formula>
    </cfRule>
    <cfRule type="cellIs" dxfId="20938" priority="6362" stopIfTrue="1" operator="equal">
      <formula>"Napkin Hs"</formula>
    </cfRule>
  </conditionalFormatting>
  <conditionalFormatting sqref="C86">
    <cfRule type="cellIs" dxfId="20937" priority="6345" stopIfTrue="1" operator="equal">
      <formula>"Towel"</formula>
    </cfRule>
    <cfRule type="cellIs" dxfId="20936" priority="6346" stopIfTrue="1" operator="equal">
      <formula>"Napkin Hs"</formula>
    </cfRule>
  </conditionalFormatting>
  <conditionalFormatting sqref="C86">
    <cfRule type="cellIs" dxfId="20935" priority="6343" stopIfTrue="1" operator="equal">
      <formula>"Towel"</formula>
    </cfRule>
    <cfRule type="cellIs" dxfId="20934" priority="6344" stopIfTrue="1" operator="equal">
      <formula>"Napkin Hs"</formula>
    </cfRule>
  </conditionalFormatting>
  <conditionalFormatting sqref="B86:C86">
    <cfRule type="cellIs" dxfId="20933" priority="6304" stopIfTrue="1" operator="equal">
      <formula>"Napkin Hs"</formula>
    </cfRule>
  </conditionalFormatting>
  <conditionalFormatting sqref="B86:C86">
    <cfRule type="cellIs" dxfId="20932" priority="6303" stopIfTrue="1" operator="equal">
      <formula>"Towel"</formula>
    </cfRule>
  </conditionalFormatting>
  <conditionalFormatting sqref="C86">
    <cfRule type="cellIs" dxfId="20931" priority="6302" stopIfTrue="1" operator="equal">
      <formula>"Napkin Hs"</formula>
    </cfRule>
  </conditionalFormatting>
  <conditionalFormatting sqref="C86">
    <cfRule type="cellIs" dxfId="20930" priority="6299" stopIfTrue="1" operator="equal">
      <formula>"Towel"</formula>
    </cfRule>
    <cfRule type="cellIs" dxfId="20929" priority="6300" stopIfTrue="1" operator="equal">
      <formula>"Napkin Hs"</formula>
    </cfRule>
  </conditionalFormatting>
  <conditionalFormatting sqref="C86">
    <cfRule type="cellIs" dxfId="20928" priority="6301" stopIfTrue="1" operator="equal">
      <formula>"Towel"</formula>
    </cfRule>
  </conditionalFormatting>
  <conditionalFormatting sqref="B85:C85">
    <cfRule type="cellIs" dxfId="20927" priority="6297" stopIfTrue="1" operator="equal">
      <formula>"Towel"</formula>
    </cfRule>
    <cfRule type="cellIs" dxfId="20926" priority="6298" stopIfTrue="1" operator="equal">
      <formula>"Napkin Hs"</formula>
    </cfRule>
  </conditionalFormatting>
  <conditionalFormatting sqref="C85">
    <cfRule type="cellIs" dxfId="20925" priority="6293" stopIfTrue="1" operator="equal">
      <formula>"Towel"</formula>
    </cfRule>
    <cfRule type="cellIs" dxfId="20924" priority="6294" stopIfTrue="1" operator="equal">
      <formula>"Napkin Hs"</formula>
    </cfRule>
  </conditionalFormatting>
  <conditionalFormatting sqref="C85">
    <cfRule type="cellIs" dxfId="20923" priority="6295" stopIfTrue="1" operator="equal">
      <formula>"Towel"</formula>
    </cfRule>
    <cfRule type="cellIs" dxfId="20922" priority="6296" stopIfTrue="1" operator="equal">
      <formula>"Napkin Hs"</formula>
    </cfRule>
  </conditionalFormatting>
  <conditionalFormatting sqref="B85:C85">
    <cfRule type="cellIs" dxfId="20921" priority="6291" stopIfTrue="1" operator="equal">
      <formula>"Towel"</formula>
    </cfRule>
    <cfRule type="cellIs" dxfId="20920" priority="6292" stopIfTrue="1" operator="equal">
      <formula>"Napkin Hs"</formula>
    </cfRule>
  </conditionalFormatting>
  <conditionalFormatting sqref="C85">
    <cfRule type="cellIs" dxfId="20919" priority="6287" stopIfTrue="1" operator="equal">
      <formula>"Towel"</formula>
    </cfRule>
    <cfRule type="cellIs" dxfId="20918" priority="6288" stopIfTrue="1" operator="equal">
      <formula>"Napkin Hs"</formula>
    </cfRule>
  </conditionalFormatting>
  <conditionalFormatting sqref="C85">
    <cfRule type="cellIs" dxfId="20917" priority="6289" stopIfTrue="1" operator="equal">
      <formula>"Towel"</formula>
    </cfRule>
    <cfRule type="cellIs" dxfId="20916" priority="6290" stopIfTrue="1" operator="equal">
      <formula>"Napkin Hs"</formula>
    </cfRule>
  </conditionalFormatting>
  <conditionalFormatting sqref="B85:C85">
    <cfRule type="cellIs" dxfId="20915" priority="6285" stopIfTrue="1" operator="equal">
      <formula>"Towel"</formula>
    </cfRule>
    <cfRule type="cellIs" dxfId="20914" priority="6286" stopIfTrue="1" operator="equal">
      <formula>"Napkin Hs"</formula>
    </cfRule>
  </conditionalFormatting>
  <conditionalFormatting sqref="C85">
    <cfRule type="cellIs" dxfId="20913" priority="6283" stopIfTrue="1" operator="equal">
      <formula>"Towel"</formula>
    </cfRule>
    <cfRule type="cellIs" dxfId="20912" priority="6284" stopIfTrue="1" operator="equal">
      <formula>"Napkin Hs"</formula>
    </cfRule>
  </conditionalFormatting>
  <conditionalFormatting sqref="C85">
    <cfRule type="cellIs" dxfId="20911" priority="6281" stopIfTrue="1" operator="equal">
      <formula>"Towel"</formula>
    </cfRule>
    <cfRule type="cellIs" dxfId="20910" priority="6282" stopIfTrue="1" operator="equal">
      <formula>"Napkin Hs"</formula>
    </cfRule>
  </conditionalFormatting>
  <conditionalFormatting sqref="B85:C85">
    <cfRule type="cellIs" dxfId="20909" priority="6279" stopIfTrue="1" operator="equal">
      <formula>"Towel"</formula>
    </cfRule>
    <cfRule type="cellIs" dxfId="20908" priority="6280" stopIfTrue="1" operator="equal">
      <formula>"Napkin Hs"</formula>
    </cfRule>
  </conditionalFormatting>
  <conditionalFormatting sqref="C85">
    <cfRule type="cellIs" dxfId="20907" priority="6277" stopIfTrue="1" operator="equal">
      <formula>"Towel"</formula>
    </cfRule>
    <cfRule type="cellIs" dxfId="20906" priority="6278" stopIfTrue="1" operator="equal">
      <formula>"Napkin Hs"</formula>
    </cfRule>
  </conditionalFormatting>
  <conditionalFormatting sqref="C85">
    <cfRule type="cellIs" dxfId="20905" priority="6275" stopIfTrue="1" operator="equal">
      <formula>"Towel"</formula>
    </cfRule>
    <cfRule type="cellIs" dxfId="20904" priority="6276" stopIfTrue="1" operator="equal">
      <formula>"Napkin Hs"</formula>
    </cfRule>
  </conditionalFormatting>
  <conditionalFormatting sqref="B85:C85">
    <cfRule type="cellIs" dxfId="20903" priority="6273" stopIfTrue="1" operator="equal">
      <formula>"Towel"</formula>
    </cfRule>
    <cfRule type="cellIs" dxfId="20902" priority="6274" stopIfTrue="1" operator="equal">
      <formula>"Napkin Hs"</formula>
    </cfRule>
  </conditionalFormatting>
  <conditionalFormatting sqref="C85">
    <cfRule type="cellIs" dxfId="20901" priority="6271" stopIfTrue="1" operator="equal">
      <formula>"Towel"</formula>
    </cfRule>
    <cfRule type="cellIs" dxfId="20900" priority="6272" stopIfTrue="1" operator="equal">
      <formula>"Napkin Hs"</formula>
    </cfRule>
  </conditionalFormatting>
  <conditionalFormatting sqref="C85">
    <cfRule type="cellIs" dxfId="20899" priority="6269" stopIfTrue="1" operator="equal">
      <formula>"Towel"</formula>
    </cfRule>
    <cfRule type="cellIs" dxfId="20898" priority="6270" stopIfTrue="1" operator="equal">
      <formula>"Napkin Hs"</formula>
    </cfRule>
  </conditionalFormatting>
  <conditionalFormatting sqref="B85:C85">
    <cfRule type="cellIs" dxfId="20897" priority="6268" stopIfTrue="1" operator="equal">
      <formula>"Napkin Hs"</formula>
    </cfRule>
  </conditionalFormatting>
  <conditionalFormatting sqref="B85:C85">
    <cfRule type="cellIs" dxfId="20896" priority="6267" stopIfTrue="1" operator="equal">
      <formula>"Towel"</formula>
    </cfRule>
  </conditionalFormatting>
  <conditionalFormatting sqref="C85">
    <cfRule type="cellIs" dxfId="20895" priority="6266" stopIfTrue="1" operator="equal">
      <formula>"Napkin Hs"</formula>
    </cfRule>
  </conditionalFormatting>
  <conditionalFormatting sqref="C85">
    <cfRule type="cellIs" dxfId="20894" priority="6263" stopIfTrue="1" operator="equal">
      <formula>"Towel"</formula>
    </cfRule>
    <cfRule type="cellIs" dxfId="20893" priority="6264" stopIfTrue="1" operator="equal">
      <formula>"Napkin Hs"</formula>
    </cfRule>
  </conditionalFormatting>
  <conditionalFormatting sqref="C85">
    <cfRule type="cellIs" dxfId="20892" priority="6265" stopIfTrue="1" operator="equal">
      <formula>"Towel"</formula>
    </cfRule>
  </conditionalFormatting>
  <conditionalFormatting sqref="C85">
    <cfRule type="cellIs" dxfId="20891" priority="6227" stopIfTrue="1" operator="equal">
      <formula>"Towel"</formula>
    </cfRule>
    <cfRule type="cellIs" dxfId="20890" priority="6228" stopIfTrue="1" operator="equal">
      <formula>"Napkin Hs"</formula>
    </cfRule>
  </conditionalFormatting>
  <conditionalFormatting sqref="B85:C85">
    <cfRule type="cellIs" dxfId="20889" priority="6225" stopIfTrue="1" operator="equal">
      <formula>"Towel"</formula>
    </cfRule>
    <cfRule type="cellIs" dxfId="20888" priority="6226" stopIfTrue="1" operator="equal">
      <formula>"Napkin Hs"</formula>
    </cfRule>
  </conditionalFormatting>
  <conditionalFormatting sqref="C85">
    <cfRule type="cellIs" dxfId="20887" priority="6223" stopIfTrue="1" operator="equal">
      <formula>"Towel"</formula>
    </cfRule>
    <cfRule type="cellIs" dxfId="20886" priority="6224" stopIfTrue="1" operator="equal">
      <formula>"Napkin Hs"</formula>
    </cfRule>
  </conditionalFormatting>
  <conditionalFormatting sqref="C85">
    <cfRule type="cellIs" dxfId="20885" priority="6215" stopIfTrue="1" operator="equal">
      <formula>"Towel"</formula>
    </cfRule>
    <cfRule type="cellIs" dxfId="20884" priority="6216" stopIfTrue="1" operator="equal">
      <formula>"Napkin Hs"</formula>
    </cfRule>
  </conditionalFormatting>
  <conditionalFormatting sqref="B85:C85">
    <cfRule type="cellIs" dxfId="20883" priority="6261" stopIfTrue="1" operator="equal">
      <formula>"Towel"</formula>
    </cfRule>
    <cfRule type="cellIs" dxfId="20882" priority="6262" stopIfTrue="1" operator="equal">
      <formula>"Napkin Hs"</formula>
    </cfRule>
  </conditionalFormatting>
  <conditionalFormatting sqref="C85">
    <cfRule type="cellIs" dxfId="20881" priority="6257" stopIfTrue="1" operator="equal">
      <formula>"Towel"</formula>
    </cfRule>
    <cfRule type="cellIs" dxfId="20880" priority="6258" stopIfTrue="1" operator="equal">
      <formula>"Napkin Hs"</formula>
    </cfRule>
  </conditionalFormatting>
  <conditionalFormatting sqref="C85">
    <cfRule type="cellIs" dxfId="20879" priority="6259" stopIfTrue="1" operator="equal">
      <formula>"Towel"</formula>
    </cfRule>
    <cfRule type="cellIs" dxfId="20878" priority="6260" stopIfTrue="1" operator="equal">
      <formula>"Napkin Hs"</formula>
    </cfRule>
  </conditionalFormatting>
  <conditionalFormatting sqref="B85:C85">
    <cfRule type="cellIs" dxfId="20877" priority="6256" stopIfTrue="1" operator="equal">
      <formula>"Napkin Hs"</formula>
    </cfRule>
  </conditionalFormatting>
  <conditionalFormatting sqref="B85:C85">
    <cfRule type="cellIs" dxfId="20876" priority="6255" stopIfTrue="1" operator="equal">
      <formula>"Towel"</formula>
    </cfRule>
  </conditionalFormatting>
  <conditionalFormatting sqref="C85">
    <cfRule type="cellIs" dxfId="20875" priority="6254" stopIfTrue="1" operator="equal">
      <formula>"Napkin Hs"</formula>
    </cfRule>
  </conditionalFormatting>
  <conditionalFormatting sqref="C85">
    <cfRule type="cellIs" dxfId="20874" priority="6253" stopIfTrue="1" operator="equal">
      <formula>"Towel"</formula>
    </cfRule>
  </conditionalFormatting>
  <conditionalFormatting sqref="C85">
    <cfRule type="cellIs" dxfId="20873" priority="6251" stopIfTrue="1" operator="equal">
      <formula>"Towel"</formula>
    </cfRule>
    <cfRule type="cellIs" dxfId="20872" priority="6252" stopIfTrue="1" operator="equal">
      <formula>"Napkin Hs"</formula>
    </cfRule>
  </conditionalFormatting>
  <conditionalFormatting sqref="B85:C85">
    <cfRule type="cellIs" dxfId="20871" priority="6249" stopIfTrue="1" operator="equal">
      <formula>"Towel"</formula>
    </cfRule>
    <cfRule type="cellIs" dxfId="20870" priority="6250" stopIfTrue="1" operator="equal">
      <formula>"Napkin Hs"</formula>
    </cfRule>
  </conditionalFormatting>
  <conditionalFormatting sqref="C85">
    <cfRule type="cellIs" dxfId="20869" priority="6247" stopIfTrue="1" operator="equal">
      <formula>"Towel"</formula>
    </cfRule>
    <cfRule type="cellIs" dxfId="20868" priority="6248" stopIfTrue="1" operator="equal">
      <formula>"Napkin Hs"</formula>
    </cfRule>
  </conditionalFormatting>
  <conditionalFormatting sqref="C85">
    <cfRule type="cellIs" dxfId="20867" priority="6245" stopIfTrue="1" operator="equal">
      <formula>"Towel"</formula>
    </cfRule>
    <cfRule type="cellIs" dxfId="20866" priority="6246" stopIfTrue="1" operator="equal">
      <formula>"Napkin Hs"</formula>
    </cfRule>
  </conditionalFormatting>
  <conditionalFormatting sqref="B85:C85">
    <cfRule type="cellIs" dxfId="20865" priority="6243" stopIfTrue="1" operator="equal">
      <formula>"Towel"</formula>
    </cfRule>
    <cfRule type="cellIs" dxfId="20864" priority="6244" stopIfTrue="1" operator="equal">
      <formula>"Napkin Hs"</formula>
    </cfRule>
  </conditionalFormatting>
  <conditionalFormatting sqref="C85">
    <cfRule type="cellIs" dxfId="20863" priority="6241" stopIfTrue="1" operator="equal">
      <formula>"Towel"</formula>
    </cfRule>
    <cfRule type="cellIs" dxfId="20862" priority="6242" stopIfTrue="1" operator="equal">
      <formula>"Napkin Hs"</formula>
    </cfRule>
  </conditionalFormatting>
  <conditionalFormatting sqref="C85">
    <cfRule type="cellIs" dxfId="20861" priority="6239" stopIfTrue="1" operator="equal">
      <formula>"Towel"</formula>
    </cfRule>
    <cfRule type="cellIs" dxfId="20860" priority="6240" stopIfTrue="1" operator="equal">
      <formula>"Napkin Hs"</formula>
    </cfRule>
  </conditionalFormatting>
  <conditionalFormatting sqref="B85:C85">
    <cfRule type="cellIs" dxfId="20859" priority="6237" stopIfTrue="1" operator="equal">
      <formula>"Towel"</formula>
    </cfRule>
    <cfRule type="cellIs" dxfId="20858" priority="6238" stopIfTrue="1" operator="equal">
      <formula>"Napkin Hs"</formula>
    </cfRule>
  </conditionalFormatting>
  <conditionalFormatting sqref="C85">
    <cfRule type="cellIs" dxfId="20857" priority="6235" stopIfTrue="1" operator="equal">
      <formula>"Towel"</formula>
    </cfRule>
    <cfRule type="cellIs" dxfId="20856" priority="6236" stopIfTrue="1" operator="equal">
      <formula>"Napkin Hs"</formula>
    </cfRule>
  </conditionalFormatting>
  <conditionalFormatting sqref="C85">
    <cfRule type="cellIs" dxfId="20855" priority="6233" stopIfTrue="1" operator="equal">
      <formula>"Towel"</formula>
    </cfRule>
    <cfRule type="cellIs" dxfId="20854" priority="6234" stopIfTrue="1" operator="equal">
      <formula>"Napkin Hs"</formula>
    </cfRule>
  </conditionalFormatting>
  <conditionalFormatting sqref="B85:C85">
    <cfRule type="cellIs" dxfId="20853" priority="6231" stopIfTrue="1" operator="equal">
      <formula>"Towel"</formula>
    </cfRule>
    <cfRule type="cellIs" dxfId="20852" priority="6232" stopIfTrue="1" operator="equal">
      <formula>"Napkin Hs"</formula>
    </cfRule>
  </conditionalFormatting>
  <conditionalFormatting sqref="C85">
    <cfRule type="cellIs" dxfId="20851" priority="6229" stopIfTrue="1" operator="equal">
      <formula>"Towel"</formula>
    </cfRule>
    <cfRule type="cellIs" dxfId="20850" priority="6230" stopIfTrue="1" operator="equal">
      <formula>"Napkin Hs"</formula>
    </cfRule>
  </conditionalFormatting>
  <conditionalFormatting sqref="C85">
    <cfRule type="cellIs" dxfId="20849" priority="6221" stopIfTrue="1" operator="equal">
      <formula>"Towel"</formula>
    </cfRule>
    <cfRule type="cellIs" dxfId="20848" priority="6222" stopIfTrue="1" operator="equal">
      <formula>"Napkin Hs"</formula>
    </cfRule>
  </conditionalFormatting>
  <conditionalFormatting sqref="B85:C85">
    <cfRule type="cellIs" dxfId="20847" priority="6220" stopIfTrue="1" operator="equal">
      <formula>"Napkin Hs"</formula>
    </cfRule>
  </conditionalFormatting>
  <conditionalFormatting sqref="B85:C85">
    <cfRule type="cellIs" dxfId="20846" priority="6219" stopIfTrue="1" operator="equal">
      <formula>"Towel"</formula>
    </cfRule>
  </conditionalFormatting>
  <conditionalFormatting sqref="C85">
    <cfRule type="cellIs" dxfId="20845" priority="6218" stopIfTrue="1" operator="equal">
      <formula>"Napkin Hs"</formula>
    </cfRule>
  </conditionalFormatting>
  <conditionalFormatting sqref="C85">
    <cfRule type="cellIs" dxfId="20844" priority="6217" stopIfTrue="1" operator="equal">
      <formula>"Towel"</formula>
    </cfRule>
  </conditionalFormatting>
  <conditionalFormatting sqref="B85:C85">
    <cfRule type="cellIs" dxfId="20843" priority="6213" stopIfTrue="1" operator="equal">
      <formula>"Towel"</formula>
    </cfRule>
    <cfRule type="cellIs" dxfId="20842" priority="6214" stopIfTrue="1" operator="equal">
      <formula>"Napkin Hs"</formula>
    </cfRule>
  </conditionalFormatting>
  <conditionalFormatting sqref="C85">
    <cfRule type="cellIs" dxfId="20841" priority="6209" stopIfTrue="1" operator="equal">
      <formula>"Towel"</formula>
    </cfRule>
    <cfRule type="cellIs" dxfId="20840" priority="6210" stopIfTrue="1" operator="equal">
      <formula>"Napkin Hs"</formula>
    </cfRule>
  </conditionalFormatting>
  <conditionalFormatting sqref="C85">
    <cfRule type="cellIs" dxfId="20839" priority="6211" stopIfTrue="1" operator="equal">
      <formula>"Towel"</formula>
    </cfRule>
    <cfRule type="cellIs" dxfId="20838" priority="6212" stopIfTrue="1" operator="equal">
      <formula>"Napkin Hs"</formula>
    </cfRule>
  </conditionalFormatting>
  <conditionalFormatting sqref="B85:C85">
    <cfRule type="cellIs" dxfId="20837" priority="6207" stopIfTrue="1" operator="equal">
      <formula>"Towel"</formula>
    </cfRule>
    <cfRule type="cellIs" dxfId="20836" priority="6208" stopIfTrue="1" operator="equal">
      <formula>"Napkin Hs"</formula>
    </cfRule>
  </conditionalFormatting>
  <conditionalFormatting sqref="C85">
    <cfRule type="cellIs" dxfId="20835" priority="6203" stopIfTrue="1" operator="equal">
      <formula>"Towel"</formula>
    </cfRule>
    <cfRule type="cellIs" dxfId="20834" priority="6204" stopIfTrue="1" operator="equal">
      <formula>"Napkin Hs"</formula>
    </cfRule>
  </conditionalFormatting>
  <conditionalFormatting sqref="C85">
    <cfRule type="cellIs" dxfId="20833" priority="6205" stopIfTrue="1" operator="equal">
      <formula>"Towel"</formula>
    </cfRule>
    <cfRule type="cellIs" dxfId="20832" priority="6206" stopIfTrue="1" operator="equal">
      <formula>"Napkin Hs"</formula>
    </cfRule>
  </conditionalFormatting>
  <conditionalFormatting sqref="B85:C85">
    <cfRule type="cellIs" dxfId="20831" priority="6201" stopIfTrue="1" operator="equal">
      <formula>"Towel"</formula>
    </cfRule>
    <cfRule type="cellIs" dxfId="20830" priority="6202" stopIfTrue="1" operator="equal">
      <formula>"Napkin Hs"</formula>
    </cfRule>
  </conditionalFormatting>
  <conditionalFormatting sqref="C85">
    <cfRule type="cellIs" dxfId="20829" priority="6199" stopIfTrue="1" operator="equal">
      <formula>"Towel"</formula>
    </cfRule>
    <cfRule type="cellIs" dxfId="20828" priority="6200" stopIfTrue="1" operator="equal">
      <formula>"Napkin Hs"</formula>
    </cfRule>
  </conditionalFormatting>
  <conditionalFormatting sqref="C85">
    <cfRule type="cellIs" dxfId="20827" priority="6197" stopIfTrue="1" operator="equal">
      <formula>"Towel"</formula>
    </cfRule>
    <cfRule type="cellIs" dxfId="20826" priority="6198" stopIfTrue="1" operator="equal">
      <formula>"Napkin Hs"</formula>
    </cfRule>
  </conditionalFormatting>
  <conditionalFormatting sqref="B85:C85">
    <cfRule type="cellIs" dxfId="20825" priority="6195" stopIfTrue="1" operator="equal">
      <formula>"Towel"</formula>
    </cfRule>
    <cfRule type="cellIs" dxfId="20824" priority="6196" stopIfTrue="1" operator="equal">
      <formula>"Napkin Hs"</formula>
    </cfRule>
  </conditionalFormatting>
  <conditionalFormatting sqref="C85">
    <cfRule type="cellIs" dxfId="20823" priority="6193" stopIfTrue="1" operator="equal">
      <formula>"Towel"</formula>
    </cfRule>
    <cfRule type="cellIs" dxfId="20822" priority="6194" stopIfTrue="1" operator="equal">
      <formula>"Napkin Hs"</formula>
    </cfRule>
  </conditionalFormatting>
  <conditionalFormatting sqref="C85">
    <cfRule type="cellIs" dxfId="20821" priority="6191" stopIfTrue="1" operator="equal">
      <formula>"Towel"</formula>
    </cfRule>
    <cfRule type="cellIs" dxfId="20820" priority="6192" stopIfTrue="1" operator="equal">
      <formula>"Napkin Hs"</formula>
    </cfRule>
  </conditionalFormatting>
  <conditionalFormatting sqref="B85:C85">
    <cfRule type="cellIs" dxfId="20819" priority="6189" stopIfTrue="1" operator="equal">
      <formula>"Towel"</formula>
    </cfRule>
    <cfRule type="cellIs" dxfId="20818" priority="6190" stopIfTrue="1" operator="equal">
      <formula>"Napkin Hs"</formula>
    </cfRule>
  </conditionalFormatting>
  <conditionalFormatting sqref="C85">
    <cfRule type="cellIs" dxfId="20817" priority="6187" stopIfTrue="1" operator="equal">
      <formula>"Towel"</formula>
    </cfRule>
    <cfRule type="cellIs" dxfId="20816" priority="6188" stopIfTrue="1" operator="equal">
      <formula>"Napkin Hs"</formula>
    </cfRule>
  </conditionalFormatting>
  <conditionalFormatting sqref="C85">
    <cfRule type="cellIs" dxfId="20815" priority="6185" stopIfTrue="1" operator="equal">
      <formula>"Towel"</formula>
    </cfRule>
    <cfRule type="cellIs" dxfId="20814" priority="6186" stopIfTrue="1" operator="equal">
      <formula>"Napkin Hs"</formula>
    </cfRule>
  </conditionalFormatting>
  <conditionalFormatting sqref="B85:C85">
    <cfRule type="cellIs" dxfId="20813" priority="6184" stopIfTrue="1" operator="equal">
      <formula>"Napkin Hs"</formula>
    </cfRule>
  </conditionalFormatting>
  <conditionalFormatting sqref="B85:C85">
    <cfRule type="cellIs" dxfId="20812" priority="6183" stopIfTrue="1" operator="equal">
      <formula>"Towel"</formula>
    </cfRule>
  </conditionalFormatting>
  <conditionalFormatting sqref="C85">
    <cfRule type="cellIs" dxfId="20811" priority="6182" stopIfTrue="1" operator="equal">
      <formula>"Napkin Hs"</formula>
    </cfRule>
  </conditionalFormatting>
  <conditionalFormatting sqref="C85">
    <cfRule type="cellIs" dxfId="20810" priority="6179" stopIfTrue="1" operator="equal">
      <formula>"Towel"</formula>
    </cfRule>
    <cfRule type="cellIs" dxfId="20809" priority="6180" stopIfTrue="1" operator="equal">
      <formula>"Napkin Hs"</formula>
    </cfRule>
  </conditionalFormatting>
  <conditionalFormatting sqref="C85">
    <cfRule type="cellIs" dxfId="20808" priority="6181" stopIfTrue="1" operator="equal">
      <formula>"Towel"</formula>
    </cfRule>
  </conditionalFormatting>
  <conditionalFormatting sqref="B85:C85">
    <cfRule type="cellIs" dxfId="20807" priority="6177" stopIfTrue="1" operator="equal">
      <formula>"Towel"</formula>
    </cfRule>
    <cfRule type="cellIs" dxfId="20806" priority="6178" stopIfTrue="1" operator="equal">
      <formula>"Napkin Hs"</formula>
    </cfRule>
  </conditionalFormatting>
  <conditionalFormatting sqref="C85">
    <cfRule type="cellIs" dxfId="20805" priority="6173" stopIfTrue="1" operator="equal">
      <formula>"Towel"</formula>
    </cfRule>
    <cfRule type="cellIs" dxfId="20804" priority="6174" stopIfTrue="1" operator="equal">
      <formula>"Napkin Hs"</formula>
    </cfRule>
  </conditionalFormatting>
  <conditionalFormatting sqref="C85">
    <cfRule type="cellIs" dxfId="20803" priority="6175" stopIfTrue="1" operator="equal">
      <formula>"Towel"</formula>
    </cfRule>
    <cfRule type="cellIs" dxfId="20802" priority="6176" stopIfTrue="1" operator="equal">
      <formula>"Napkin Hs"</formula>
    </cfRule>
  </conditionalFormatting>
  <conditionalFormatting sqref="B85:C85">
    <cfRule type="cellIs" dxfId="20801" priority="6171" stopIfTrue="1" operator="equal">
      <formula>"Towel"</formula>
    </cfRule>
    <cfRule type="cellIs" dxfId="20800" priority="6172" stopIfTrue="1" operator="equal">
      <formula>"Napkin Hs"</formula>
    </cfRule>
  </conditionalFormatting>
  <conditionalFormatting sqref="C85">
    <cfRule type="cellIs" dxfId="20799" priority="6167" stopIfTrue="1" operator="equal">
      <formula>"Towel"</formula>
    </cfRule>
    <cfRule type="cellIs" dxfId="20798" priority="6168" stopIfTrue="1" operator="equal">
      <formula>"Napkin Hs"</formula>
    </cfRule>
  </conditionalFormatting>
  <conditionalFormatting sqref="C85">
    <cfRule type="cellIs" dxfId="20797" priority="6169" stopIfTrue="1" operator="equal">
      <formula>"Towel"</formula>
    </cfRule>
    <cfRule type="cellIs" dxfId="20796" priority="6170" stopIfTrue="1" operator="equal">
      <formula>"Napkin Hs"</formula>
    </cfRule>
  </conditionalFormatting>
  <conditionalFormatting sqref="B85:C85">
    <cfRule type="cellIs" dxfId="20795" priority="6165" stopIfTrue="1" operator="equal">
      <formula>"Towel"</formula>
    </cfRule>
    <cfRule type="cellIs" dxfId="20794" priority="6166" stopIfTrue="1" operator="equal">
      <formula>"Napkin Hs"</formula>
    </cfRule>
  </conditionalFormatting>
  <conditionalFormatting sqref="C85">
    <cfRule type="cellIs" dxfId="20793" priority="6163" stopIfTrue="1" operator="equal">
      <formula>"Towel"</formula>
    </cfRule>
    <cfRule type="cellIs" dxfId="20792" priority="6164" stopIfTrue="1" operator="equal">
      <formula>"Napkin Hs"</formula>
    </cfRule>
  </conditionalFormatting>
  <conditionalFormatting sqref="C85">
    <cfRule type="cellIs" dxfId="20791" priority="6161" stopIfTrue="1" operator="equal">
      <formula>"Towel"</formula>
    </cfRule>
    <cfRule type="cellIs" dxfId="20790" priority="6162" stopIfTrue="1" operator="equal">
      <formula>"Napkin Hs"</formula>
    </cfRule>
  </conditionalFormatting>
  <conditionalFormatting sqref="B85:C85">
    <cfRule type="cellIs" dxfId="20789" priority="6159" stopIfTrue="1" operator="equal">
      <formula>"Towel"</formula>
    </cfRule>
    <cfRule type="cellIs" dxfId="20788" priority="6160" stopIfTrue="1" operator="equal">
      <formula>"Napkin Hs"</formula>
    </cfRule>
  </conditionalFormatting>
  <conditionalFormatting sqref="C85">
    <cfRule type="cellIs" dxfId="20787" priority="6157" stopIfTrue="1" operator="equal">
      <formula>"Towel"</formula>
    </cfRule>
    <cfRule type="cellIs" dxfId="20786" priority="6158" stopIfTrue="1" operator="equal">
      <formula>"Napkin Hs"</formula>
    </cfRule>
  </conditionalFormatting>
  <conditionalFormatting sqref="C85">
    <cfRule type="cellIs" dxfId="20785" priority="6155" stopIfTrue="1" operator="equal">
      <formula>"Towel"</formula>
    </cfRule>
    <cfRule type="cellIs" dxfId="20784" priority="6156" stopIfTrue="1" operator="equal">
      <formula>"Napkin Hs"</formula>
    </cfRule>
  </conditionalFormatting>
  <conditionalFormatting sqref="B85:C85">
    <cfRule type="cellIs" dxfId="20783" priority="6153" stopIfTrue="1" operator="equal">
      <formula>"Towel"</formula>
    </cfRule>
    <cfRule type="cellIs" dxfId="20782" priority="6154" stopIfTrue="1" operator="equal">
      <formula>"Napkin Hs"</formula>
    </cfRule>
  </conditionalFormatting>
  <conditionalFormatting sqref="C85">
    <cfRule type="cellIs" dxfId="20781" priority="6151" stopIfTrue="1" operator="equal">
      <formula>"Towel"</formula>
    </cfRule>
    <cfRule type="cellIs" dxfId="20780" priority="6152" stopIfTrue="1" operator="equal">
      <formula>"Napkin Hs"</formula>
    </cfRule>
  </conditionalFormatting>
  <conditionalFormatting sqref="C85">
    <cfRule type="cellIs" dxfId="20779" priority="6149" stopIfTrue="1" operator="equal">
      <formula>"Towel"</formula>
    </cfRule>
    <cfRule type="cellIs" dxfId="20778" priority="6150" stopIfTrue="1" operator="equal">
      <formula>"Napkin Hs"</formula>
    </cfRule>
  </conditionalFormatting>
  <conditionalFormatting sqref="B85:C85">
    <cfRule type="cellIs" dxfId="20777" priority="6148" stopIfTrue="1" operator="equal">
      <formula>"Napkin Hs"</formula>
    </cfRule>
  </conditionalFormatting>
  <conditionalFormatting sqref="B85:C85">
    <cfRule type="cellIs" dxfId="20776" priority="6147" stopIfTrue="1" operator="equal">
      <formula>"Towel"</formula>
    </cfRule>
  </conditionalFormatting>
  <conditionalFormatting sqref="C85">
    <cfRule type="cellIs" dxfId="20775" priority="6146" stopIfTrue="1" operator="equal">
      <formula>"Napkin Hs"</formula>
    </cfRule>
  </conditionalFormatting>
  <conditionalFormatting sqref="C85">
    <cfRule type="cellIs" dxfId="20774" priority="6143" stopIfTrue="1" operator="equal">
      <formula>"Towel"</formula>
    </cfRule>
    <cfRule type="cellIs" dxfId="20773" priority="6144" stopIfTrue="1" operator="equal">
      <formula>"Napkin Hs"</formula>
    </cfRule>
  </conditionalFormatting>
  <conditionalFormatting sqref="C85">
    <cfRule type="cellIs" dxfId="20772" priority="6145" stopIfTrue="1" operator="equal">
      <formula>"Towel"</formula>
    </cfRule>
  </conditionalFormatting>
  <conditionalFormatting sqref="B85:C85">
    <cfRule type="cellIs" dxfId="20771" priority="6141" stopIfTrue="1" operator="equal">
      <formula>"Towel"</formula>
    </cfRule>
    <cfRule type="cellIs" dxfId="20770" priority="6142" stopIfTrue="1" operator="equal">
      <formula>"Napkin Hs"</formula>
    </cfRule>
  </conditionalFormatting>
  <conditionalFormatting sqref="C85">
    <cfRule type="cellIs" dxfId="20769" priority="6137" stopIfTrue="1" operator="equal">
      <formula>"Towel"</formula>
    </cfRule>
    <cfRule type="cellIs" dxfId="20768" priority="6138" stopIfTrue="1" operator="equal">
      <formula>"Napkin Hs"</formula>
    </cfRule>
  </conditionalFormatting>
  <conditionalFormatting sqref="C85">
    <cfRule type="cellIs" dxfId="20767" priority="6139" stopIfTrue="1" operator="equal">
      <formula>"Towel"</formula>
    </cfRule>
    <cfRule type="cellIs" dxfId="20766" priority="6140" stopIfTrue="1" operator="equal">
      <formula>"Napkin Hs"</formula>
    </cfRule>
  </conditionalFormatting>
  <conditionalFormatting sqref="C85">
    <cfRule type="cellIs" dxfId="20765" priority="6053" stopIfTrue="1" operator="equal">
      <formula>"Towel"</formula>
    </cfRule>
    <cfRule type="cellIs" dxfId="20764" priority="6054" stopIfTrue="1" operator="equal">
      <formula>"Napkin Hs"</formula>
    </cfRule>
  </conditionalFormatting>
  <conditionalFormatting sqref="C85">
    <cfRule type="cellIs" dxfId="20763" priority="6047" stopIfTrue="1" operator="equal">
      <formula>"Towel"</formula>
    </cfRule>
    <cfRule type="cellIs" dxfId="20762" priority="6048" stopIfTrue="1" operator="equal">
      <formula>"Napkin Hs"</formula>
    </cfRule>
  </conditionalFormatting>
  <conditionalFormatting sqref="C85">
    <cfRule type="cellIs" dxfId="20761" priority="6028" stopIfTrue="1" operator="equal">
      <formula>"Napkin Hs"</formula>
    </cfRule>
  </conditionalFormatting>
  <conditionalFormatting sqref="C85">
    <cfRule type="cellIs" dxfId="20760" priority="6027" stopIfTrue="1" operator="equal">
      <formula>"Towel"</formula>
    </cfRule>
  </conditionalFormatting>
  <conditionalFormatting sqref="C85">
    <cfRule type="cellIs" dxfId="20759" priority="6026" stopIfTrue="1" operator="equal">
      <formula>"Napkin Hs"</formula>
    </cfRule>
  </conditionalFormatting>
  <conditionalFormatting sqref="C85">
    <cfRule type="cellIs" dxfId="20758" priority="6023" stopIfTrue="1" operator="equal">
      <formula>"Towel"</formula>
    </cfRule>
    <cfRule type="cellIs" dxfId="20757" priority="6024" stopIfTrue="1" operator="equal">
      <formula>"Napkin Hs"</formula>
    </cfRule>
  </conditionalFormatting>
  <conditionalFormatting sqref="C85">
    <cfRule type="cellIs" dxfId="20756" priority="6025" stopIfTrue="1" operator="equal">
      <formula>"Towel"</formula>
    </cfRule>
  </conditionalFormatting>
  <conditionalFormatting sqref="C85">
    <cfRule type="cellIs" dxfId="20755" priority="6022" stopIfTrue="1" operator="equal">
      <formula>"Napkin Hs"</formula>
    </cfRule>
  </conditionalFormatting>
  <conditionalFormatting sqref="C85">
    <cfRule type="cellIs" dxfId="20754" priority="6021" stopIfTrue="1" operator="equal">
      <formula>"Towel"</formula>
    </cfRule>
  </conditionalFormatting>
  <conditionalFormatting sqref="C85">
    <cfRule type="cellIs" dxfId="20753" priority="6020" stopIfTrue="1" operator="equal">
      <formula>"Napkin Hs"</formula>
    </cfRule>
  </conditionalFormatting>
  <conditionalFormatting sqref="C85">
    <cfRule type="cellIs" dxfId="20752" priority="6017" stopIfTrue="1" operator="equal">
      <formula>"Towel"</formula>
    </cfRule>
    <cfRule type="cellIs" dxfId="20751" priority="6018" stopIfTrue="1" operator="equal">
      <formula>"Napkin Hs"</formula>
    </cfRule>
  </conditionalFormatting>
  <conditionalFormatting sqref="C85">
    <cfRule type="cellIs" dxfId="20750" priority="6019" stopIfTrue="1" operator="equal">
      <formula>"Towel"</formula>
    </cfRule>
  </conditionalFormatting>
  <conditionalFormatting sqref="C85">
    <cfRule type="cellIs" dxfId="20749" priority="6123" stopIfTrue="1" operator="equal">
      <formula>"Towel"</formula>
    </cfRule>
    <cfRule type="cellIs" dxfId="20748" priority="6124" stopIfTrue="1" operator="equal">
      <formula>"Napkin Hs"</formula>
    </cfRule>
  </conditionalFormatting>
  <conditionalFormatting sqref="C85">
    <cfRule type="cellIs" dxfId="20747" priority="6121" stopIfTrue="1" operator="equal">
      <formula>"Towel"</formula>
    </cfRule>
    <cfRule type="cellIs" dxfId="20746" priority="6122" stopIfTrue="1" operator="equal">
      <formula>"Napkin Hs"</formula>
    </cfRule>
  </conditionalFormatting>
  <conditionalFormatting sqref="C85">
    <cfRule type="cellIs" dxfId="20745" priority="6119" stopIfTrue="1" operator="equal">
      <formula>"Towel"</formula>
    </cfRule>
    <cfRule type="cellIs" dxfId="20744" priority="6120" stopIfTrue="1" operator="equal">
      <formula>"Napkin Hs"</formula>
    </cfRule>
  </conditionalFormatting>
  <conditionalFormatting sqref="C85">
    <cfRule type="cellIs" dxfId="20743" priority="6118" stopIfTrue="1" operator="equal">
      <formula>"Napkin Hs"</formula>
    </cfRule>
  </conditionalFormatting>
  <conditionalFormatting sqref="C85">
    <cfRule type="cellIs" dxfId="20742" priority="6117" stopIfTrue="1" operator="equal">
      <formula>"Towel"</formula>
    </cfRule>
  </conditionalFormatting>
  <conditionalFormatting sqref="C85">
    <cfRule type="cellIs" dxfId="20741" priority="6116" stopIfTrue="1" operator="equal">
      <formula>"Napkin Hs"</formula>
    </cfRule>
  </conditionalFormatting>
  <conditionalFormatting sqref="C85">
    <cfRule type="cellIs" dxfId="20740" priority="6115" stopIfTrue="1" operator="equal">
      <formula>"Towel"</formula>
    </cfRule>
  </conditionalFormatting>
  <conditionalFormatting sqref="C85">
    <cfRule type="cellIs" dxfId="20739" priority="6113" stopIfTrue="1" operator="equal">
      <formula>"Towel"</formula>
    </cfRule>
    <cfRule type="cellIs" dxfId="20738" priority="6114" stopIfTrue="1" operator="equal">
      <formula>"Napkin Hs"</formula>
    </cfRule>
  </conditionalFormatting>
  <conditionalFormatting sqref="C85">
    <cfRule type="cellIs" dxfId="20737" priority="6111" stopIfTrue="1" operator="equal">
      <formula>"Towel"</formula>
    </cfRule>
    <cfRule type="cellIs" dxfId="20736" priority="6112" stopIfTrue="1" operator="equal">
      <formula>"Napkin Hs"</formula>
    </cfRule>
  </conditionalFormatting>
  <conditionalFormatting sqref="C85">
    <cfRule type="cellIs" dxfId="20735" priority="6107" stopIfTrue="1" operator="equal">
      <formula>"Towel"</formula>
    </cfRule>
    <cfRule type="cellIs" dxfId="20734" priority="6108" stopIfTrue="1" operator="equal">
      <formula>"Napkin Hs"</formula>
    </cfRule>
  </conditionalFormatting>
  <conditionalFormatting sqref="C85">
    <cfRule type="cellIs" dxfId="20733" priority="6109" stopIfTrue="1" operator="equal">
      <formula>"Towel"</formula>
    </cfRule>
    <cfRule type="cellIs" dxfId="20732" priority="6110" stopIfTrue="1" operator="equal">
      <formula>"Napkin Hs"</formula>
    </cfRule>
  </conditionalFormatting>
  <conditionalFormatting sqref="C85">
    <cfRule type="cellIs" dxfId="20731" priority="6101" stopIfTrue="1" operator="equal">
      <formula>"Towel"</formula>
    </cfRule>
    <cfRule type="cellIs" dxfId="20730" priority="6102" stopIfTrue="1" operator="equal">
      <formula>"Napkin Hs"</formula>
    </cfRule>
  </conditionalFormatting>
  <conditionalFormatting sqref="C85">
    <cfRule type="cellIs" dxfId="20729" priority="6099" stopIfTrue="1" operator="equal">
      <formula>"Towel"</formula>
    </cfRule>
    <cfRule type="cellIs" dxfId="20728" priority="6100" stopIfTrue="1" operator="equal">
      <formula>"Napkin Hs"</formula>
    </cfRule>
  </conditionalFormatting>
  <conditionalFormatting sqref="C85">
    <cfRule type="cellIs" dxfId="20727" priority="6097" stopIfTrue="1" operator="equal">
      <formula>"Towel"</formula>
    </cfRule>
    <cfRule type="cellIs" dxfId="20726" priority="6098" stopIfTrue="1" operator="equal">
      <formula>"Napkin Hs"</formula>
    </cfRule>
  </conditionalFormatting>
  <conditionalFormatting sqref="C85">
    <cfRule type="cellIs" dxfId="20725" priority="6095" stopIfTrue="1" operator="equal">
      <formula>"Towel"</formula>
    </cfRule>
    <cfRule type="cellIs" dxfId="20724" priority="6096" stopIfTrue="1" operator="equal">
      <formula>"Napkin Hs"</formula>
    </cfRule>
  </conditionalFormatting>
  <conditionalFormatting sqref="C85">
    <cfRule type="cellIs" dxfId="20723" priority="6093" stopIfTrue="1" operator="equal">
      <formula>"Towel"</formula>
    </cfRule>
    <cfRule type="cellIs" dxfId="20722" priority="6094" stopIfTrue="1" operator="equal">
      <formula>"Napkin Hs"</formula>
    </cfRule>
  </conditionalFormatting>
  <conditionalFormatting sqref="C85">
    <cfRule type="cellIs" dxfId="20721" priority="6091" stopIfTrue="1" operator="equal">
      <formula>"Towel"</formula>
    </cfRule>
    <cfRule type="cellIs" dxfId="20720" priority="6092" stopIfTrue="1" operator="equal">
      <formula>"Napkin Hs"</formula>
    </cfRule>
  </conditionalFormatting>
  <conditionalFormatting sqref="C85">
    <cfRule type="cellIs" dxfId="20719" priority="6089" stopIfTrue="1" operator="equal">
      <formula>"Towel"</formula>
    </cfRule>
    <cfRule type="cellIs" dxfId="20718" priority="6090" stopIfTrue="1" operator="equal">
      <formula>"Napkin Hs"</formula>
    </cfRule>
  </conditionalFormatting>
  <conditionalFormatting sqref="C85">
    <cfRule type="cellIs" dxfId="20717" priority="6087" stopIfTrue="1" operator="equal">
      <formula>"Towel"</formula>
    </cfRule>
    <cfRule type="cellIs" dxfId="20716" priority="6088" stopIfTrue="1" operator="equal">
      <formula>"Napkin Hs"</formula>
    </cfRule>
  </conditionalFormatting>
  <conditionalFormatting sqref="C85">
    <cfRule type="cellIs" dxfId="20715" priority="6085" stopIfTrue="1" operator="equal">
      <formula>"Towel"</formula>
    </cfRule>
    <cfRule type="cellIs" dxfId="20714" priority="6086" stopIfTrue="1" operator="equal">
      <formula>"Napkin Hs"</formula>
    </cfRule>
  </conditionalFormatting>
  <conditionalFormatting sqref="C85">
    <cfRule type="cellIs" dxfId="20713" priority="6083" stopIfTrue="1" operator="equal">
      <formula>"Towel"</formula>
    </cfRule>
    <cfRule type="cellIs" dxfId="20712" priority="6084" stopIfTrue="1" operator="equal">
      <formula>"Napkin Hs"</formula>
    </cfRule>
  </conditionalFormatting>
  <conditionalFormatting sqref="C85">
    <cfRule type="cellIs" dxfId="20711" priority="6077" stopIfTrue="1" operator="equal">
      <formula>"Towel"</formula>
    </cfRule>
    <cfRule type="cellIs" dxfId="20710" priority="6078" stopIfTrue="1" operator="equal">
      <formula>"Napkin Hs"</formula>
    </cfRule>
  </conditionalFormatting>
  <conditionalFormatting sqref="C85">
    <cfRule type="cellIs" dxfId="20709" priority="6071" stopIfTrue="1" operator="equal">
      <formula>"Towel"</formula>
    </cfRule>
    <cfRule type="cellIs" dxfId="20708" priority="6072" stopIfTrue="1" operator="equal">
      <formula>"Napkin Hs"</formula>
    </cfRule>
  </conditionalFormatting>
  <conditionalFormatting sqref="C85">
    <cfRule type="cellIs" dxfId="20707" priority="6065" stopIfTrue="1" operator="equal">
      <formula>"Towel"</formula>
    </cfRule>
    <cfRule type="cellIs" dxfId="20706" priority="6066" stopIfTrue="1" operator="equal">
      <formula>"Napkin Hs"</formula>
    </cfRule>
  </conditionalFormatting>
  <conditionalFormatting sqref="C85">
    <cfRule type="cellIs" dxfId="20705" priority="6064" stopIfTrue="1" operator="equal">
      <formula>"Napkin Hs"</formula>
    </cfRule>
  </conditionalFormatting>
  <conditionalFormatting sqref="C85">
    <cfRule type="cellIs" dxfId="20704" priority="6063" stopIfTrue="1" operator="equal">
      <formula>"Towel"</formula>
    </cfRule>
  </conditionalFormatting>
  <conditionalFormatting sqref="C85">
    <cfRule type="cellIs" dxfId="20703" priority="6062" stopIfTrue="1" operator="equal">
      <formula>"Napkin Hs"</formula>
    </cfRule>
  </conditionalFormatting>
  <conditionalFormatting sqref="C85">
    <cfRule type="cellIs" dxfId="20702" priority="6061" stopIfTrue="1" operator="equal">
      <formula>"Towel"</formula>
    </cfRule>
  </conditionalFormatting>
  <conditionalFormatting sqref="C85">
    <cfRule type="cellIs" dxfId="20701" priority="6059" stopIfTrue="1" operator="equal">
      <formula>"Towel"</formula>
    </cfRule>
    <cfRule type="cellIs" dxfId="20700" priority="6060" stopIfTrue="1" operator="equal">
      <formula>"Napkin Hs"</formula>
    </cfRule>
  </conditionalFormatting>
  <conditionalFormatting sqref="C85">
    <cfRule type="cellIs" dxfId="20699" priority="6057" stopIfTrue="1" operator="equal">
      <formula>"Towel"</formula>
    </cfRule>
    <cfRule type="cellIs" dxfId="20698" priority="6058" stopIfTrue="1" operator="equal">
      <formula>"Napkin Hs"</formula>
    </cfRule>
  </conditionalFormatting>
  <conditionalFormatting sqref="C85">
    <cfRule type="cellIs" dxfId="20697" priority="6055" stopIfTrue="1" operator="equal">
      <formula>"Towel"</formula>
    </cfRule>
    <cfRule type="cellIs" dxfId="20696" priority="6056" stopIfTrue="1" operator="equal">
      <formula>"Napkin Hs"</formula>
    </cfRule>
  </conditionalFormatting>
  <conditionalFormatting sqref="C85">
    <cfRule type="cellIs" dxfId="20695" priority="6045" stopIfTrue="1" operator="equal">
      <formula>"Towel"</formula>
    </cfRule>
    <cfRule type="cellIs" dxfId="20694" priority="6046" stopIfTrue="1" operator="equal">
      <formula>"Napkin Hs"</formula>
    </cfRule>
  </conditionalFormatting>
  <conditionalFormatting sqref="C85">
    <cfRule type="cellIs" dxfId="20693" priority="6043" stopIfTrue="1" operator="equal">
      <formula>"Towel"</formula>
    </cfRule>
    <cfRule type="cellIs" dxfId="20692" priority="6044" stopIfTrue="1" operator="equal">
      <formula>"Napkin Hs"</formula>
    </cfRule>
  </conditionalFormatting>
  <conditionalFormatting sqref="C85">
    <cfRule type="cellIs" dxfId="20691" priority="6041" stopIfTrue="1" operator="equal">
      <formula>"Towel"</formula>
    </cfRule>
    <cfRule type="cellIs" dxfId="20690" priority="6042" stopIfTrue="1" operator="equal">
      <formula>"Napkin Hs"</formula>
    </cfRule>
  </conditionalFormatting>
  <conditionalFormatting sqref="C85">
    <cfRule type="cellIs" dxfId="20689" priority="6039" stopIfTrue="1" operator="equal">
      <formula>"Towel"</formula>
    </cfRule>
    <cfRule type="cellIs" dxfId="20688" priority="6040" stopIfTrue="1" operator="equal">
      <formula>"Napkin Hs"</formula>
    </cfRule>
  </conditionalFormatting>
  <conditionalFormatting sqref="C85">
    <cfRule type="cellIs" dxfId="20687" priority="6037" stopIfTrue="1" operator="equal">
      <formula>"Towel"</formula>
    </cfRule>
    <cfRule type="cellIs" dxfId="20686" priority="6038" stopIfTrue="1" operator="equal">
      <formula>"Napkin Hs"</formula>
    </cfRule>
  </conditionalFormatting>
  <conditionalFormatting sqref="C85">
    <cfRule type="cellIs" dxfId="20685" priority="6035" stopIfTrue="1" operator="equal">
      <formula>"Towel"</formula>
    </cfRule>
    <cfRule type="cellIs" dxfId="20684" priority="6036" stopIfTrue="1" operator="equal">
      <formula>"Napkin Hs"</formula>
    </cfRule>
  </conditionalFormatting>
  <conditionalFormatting sqref="C85">
    <cfRule type="cellIs" dxfId="20683" priority="6033" stopIfTrue="1" operator="equal">
      <formula>"Towel"</formula>
    </cfRule>
    <cfRule type="cellIs" dxfId="20682" priority="6034" stopIfTrue="1" operator="equal">
      <formula>"Napkin Hs"</formula>
    </cfRule>
  </conditionalFormatting>
  <conditionalFormatting sqref="C85">
    <cfRule type="cellIs" dxfId="20681" priority="6031" stopIfTrue="1" operator="equal">
      <formula>"Towel"</formula>
    </cfRule>
    <cfRule type="cellIs" dxfId="20680" priority="6032" stopIfTrue="1" operator="equal">
      <formula>"Napkin Hs"</formula>
    </cfRule>
  </conditionalFormatting>
  <conditionalFormatting sqref="C85">
    <cfRule type="cellIs" dxfId="20679" priority="6029" stopIfTrue="1" operator="equal">
      <formula>"Towel"</formula>
    </cfRule>
    <cfRule type="cellIs" dxfId="20678" priority="6030" stopIfTrue="1" operator="equal">
      <formula>"Napkin Hs"</formula>
    </cfRule>
  </conditionalFormatting>
  <conditionalFormatting sqref="C85">
    <cfRule type="cellIs" dxfId="20677" priority="6016" stopIfTrue="1" operator="equal">
      <formula>"Napkin Hs"</formula>
    </cfRule>
  </conditionalFormatting>
  <conditionalFormatting sqref="C85">
    <cfRule type="cellIs" dxfId="20676" priority="6015" stopIfTrue="1" operator="equal">
      <formula>"Towel"</formula>
    </cfRule>
  </conditionalFormatting>
  <conditionalFormatting sqref="C85">
    <cfRule type="cellIs" dxfId="20675" priority="6014" stopIfTrue="1" operator="equal">
      <formula>"Napkin Hs"</formula>
    </cfRule>
  </conditionalFormatting>
  <conditionalFormatting sqref="C85">
    <cfRule type="cellIs" dxfId="20674" priority="6011" stopIfTrue="1" operator="equal">
      <formula>"Towel"</formula>
    </cfRule>
    <cfRule type="cellIs" dxfId="20673" priority="6012" stopIfTrue="1" operator="equal">
      <formula>"Napkin Hs"</formula>
    </cfRule>
  </conditionalFormatting>
  <conditionalFormatting sqref="C85">
    <cfRule type="cellIs" dxfId="20672" priority="6013" stopIfTrue="1" operator="equal">
      <formula>"Towel"</formula>
    </cfRule>
  </conditionalFormatting>
  <conditionalFormatting sqref="C85">
    <cfRule type="cellIs" dxfId="20671" priority="6131" stopIfTrue="1" operator="equal">
      <formula>"Towel"</formula>
    </cfRule>
    <cfRule type="cellIs" dxfId="20670" priority="6132" stopIfTrue="1" operator="equal">
      <formula>"Napkin Hs"</formula>
    </cfRule>
  </conditionalFormatting>
  <conditionalFormatting sqref="C85">
    <cfRule type="cellIs" dxfId="20669" priority="6130" stopIfTrue="1" operator="equal">
      <formula>"Napkin Hs"</formula>
    </cfRule>
  </conditionalFormatting>
  <conditionalFormatting sqref="C85">
    <cfRule type="cellIs" dxfId="20668" priority="6129" stopIfTrue="1" operator="equal">
      <formula>"Towel"</formula>
    </cfRule>
  </conditionalFormatting>
  <conditionalFormatting sqref="C85">
    <cfRule type="cellIs" dxfId="20667" priority="6128" stopIfTrue="1" operator="equal">
      <formula>"Napkin Hs"</formula>
    </cfRule>
  </conditionalFormatting>
  <conditionalFormatting sqref="C85">
    <cfRule type="cellIs" dxfId="20666" priority="6125" stopIfTrue="1" operator="equal">
      <formula>"Towel"</formula>
    </cfRule>
    <cfRule type="cellIs" dxfId="20665" priority="6126" stopIfTrue="1" operator="equal">
      <formula>"Napkin Hs"</formula>
    </cfRule>
  </conditionalFormatting>
  <conditionalFormatting sqref="C85">
    <cfRule type="cellIs" dxfId="20664" priority="6127" stopIfTrue="1" operator="equal">
      <formula>"Towel"</formula>
    </cfRule>
  </conditionalFormatting>
  <conditionalFormatting sqref="C85">
    <cfRule type="cellIs" dxfId="20663" priority="6135" stopIfTrue="1" operator="equal">
      <formula>"Towel"</formula>
    </cfRule>
    <cfRule type="cellIs" dxfId="20662" priority="6136" stopIfTrue="1" operator="equal">
      <formula>"Napkin Hs"</formula>
    </cfRule>
  </conditionalFormatting>
  <conditionalFormatting sqref="C85">
    <cfRule type="cellIs" dxfId="20661" priority="6133" stopIfTrue="1" operator="equal">
      <formula>"Towel"</formula>
    </cfRule>
    <cfRule type="cellIs" dxfId="20660" priority="6134" stopIfTrue="1" operator="equal">
      <formula>"Napkin Hs"</formula>
    </cfRule>
  </conditionalFormatting>
  <conditionalFormatting sqref="C85">
    <cfRule type="cellIs" dxfId="20659" priority="6105" stopIfTrue="1" operator="equal">
      <formula>"Towel"</formula>
    </cfRule>
    <cfRule type="cellIs" dxfId="20658" priority="6106" stopIfTrue="1" operator="equal">
      <formula>"Napkin Hs"</formula>
    </cfRule>
  </conditionalFormatting>
  <conditionalFormatting sqref="C85">
    <cfRule type="cellIs" dxfId="20657" priority="6103" stopIfTrue="1" operator="equal">
      <formula>"Towel"</formula>
    </cfRule>
    <cfRule type="cellIs" dxfId="20656" priority="6104" stopIfTrue="1" operator="equal">
      <formula>"Napkin Hs"</formula>
    </cfRule>
  </conditionalFormatting>
  <conditionalFormatting sqref="C85">
    <cfRule type="cellIs" dxfId="20655" priority="6082" stopIfTrue="1" operator="equal">
      <formula>"Napkin Hs"</formula>
    </cfRule>
  </conditionalFormatting>
  <conditionalFormatting sqref="C85">
    <cfRule type="cellIs" dxfId="20654" priority="6081" stopIfTrue="1" operator="equal">
      <formula>"Towel"</formula>
    </cfRule>
  </conditionalFormatting>
  <conditionalFormatting sqref="C85">
    <cfRule type="cellIs" dxfId="20653" priority="6080" stopIfTrue="1" operator="equal">
      <formula>"Napkin Hs"</formula>
    </cfRule>
  </conditionalFormatting>
  <conditionalFormatting sqref="C85">
    <cfRule type="cellIs" dxfId="20652" priority="6079" stopIfTrue="1" operator="equal">
      <formula>"Towel"</formula>
    </cfRule>
  </conditionalFormatting>
  <conditionalFormatting sqref="C85">
    <cfRule type="cellIs" dxfId="20651" priority="6076" stopIfTrue="1" operator="equal">
      <formula>"Napkin Hs"</formula>
    </cfRule>
  </conditionalFormatting>
  <conditionalFormatting sqref="C85">
    <cfRule type="cellIs" dxfId="20650" priority="6075" stopIfTrue="1" operator="equal">
      <formula>"Towel"</formula>
    </cfRule>
  </conditionalFormatting>
  <conditionalFormatting sqref="C85">
    <cfRule type="cellIs" dxfId="20649" priority="6074" stopIfTrue="1" operator="equal">
      <formula>"Napkin Hs"</formula>
    </cfRule>
  </conditionalFormatting>
  <conditionalFormatting sqref="C85">
    <cfRule type="cellIs" dxfId="20648" priority="6073" stopIfTrue="1" operator="equal">
      <formula>"Towel"</formula>
    </cfRule>
  </conditionalFormatting>
  <conditionalFormatting sqref="C85">
    <cfRule type="cellIs" dxfId="20647" priority="6069" stopIfTrue="1" operator="equal">
      <formula>"Towel"</formula>
    </cfRule>
    <cfRule type="cellIs" dxfId="20646" priority="6070" stopIfTrue="1" operator="equal">
      <formula>"Napkin Hs"</formula>
    </cfRule>
  </conditionalFormatting>
  <conditionalFormatting sqref="C85">
    <cfRule type="cellIs" dxfId="20645" priority="6067" stopIfTrue="1" operator="equal">
      <formula>"Towel"</formula>
    </cfRule>
    <cfRule type="cellIs" dxfId="20644" priority="6068" stopIfTrue="1" operator="equal">
      <formula>"Napkin Hs"</formula>
    </cfRule>
  </conditionalFormatting>
  <conditionalFormatting sqref="C85">
    <cfRule type="cellIs" dxfId="20643" priority="6051" stopIfTrue="1" operator="equal">
      <formula>"Towel"</formula>
    </cfRule>
    <cfRule type="cellIs" dxfId="20642" priority="6052" stopIfTrue="1" operator="equal">
      <formula>"Napkin Hs"</formula>
    </cfRule>
  </conditionalFormatting>
  <conditionalFormatting sqref="C85">
    <cfRule type="cellIs" dxfId="20641" priority="6049" stopIfTrue="1" operator="equal">
      <formula>"Towel"</formula>
    </cfRule>
    <cfRule type="cellIs" dxfId="20640" priority="6050" stopIfTrue="1" operator="equal">
      <formula>"Napkin Hs"</formula>
    </cfRule>
  </conditionalFormatting>
  <conditionalFormatting sqref="B85:C85">
    <cfRule type="cellIs" dxfId="20639" priority="6010" stopIfTrue="1" operator="equal">
      <formula>"Napkin Hs"</formula>
    </cfRule>
  </conditionalFormatting>
  <conditionalFormatting sqref="B85:C85">
    <cfRule type="cellIs" dxfId="20638" priority="6009" stopIfTrue="1" operator="equal">
      <formula>"Towel"</formula>
    </cfRule>
  </conditionalFormatting>
  <conditionalFormatting sqref="C85">
    <cfRule type="cellIs" dxfId="20637" priority="6008" stopIfTrue="1" operator="equal">
      <formula>"Napkin Hs"</formula>
    </cfRule>
  </conditionalFormatting>
  <conditionalFormatting sqref="C85">
    <cfRule type="cellIs" dxfId="20636" priority="6005" stopIfTrue="1" operator="equal">
      <formula>"Towel"</formula>
    </cfRule>
    <cfRule type="cellIs" dxfId="20635" priority="6006" stopIfTrue="1" operator="equal">
      <formula>"Napkin Hs"</formula>
    </cfRule>
  </conditionalFormatting>
  <conditionalFormatting sqref="C85">
    <cfRule type="cellIs" dxfId="20634" priority="6007" stopIfTrue="1" operator="equal">
      <formula>"Towel"</formula>
    </cfRule>
  </conditionalFormatting>
  <conditionalFormatting sqref="B85:C85">
    <cfRule type="cellIs" dxfId="20633" priority="6004" stopIfTrue="1" operator="equal">
      <formula>"Napkin Hs"</formula>
    </cfRule>
  </conditionalFormatting>
  <conditionalFormatting sqref="B85:C85">
    <cfRule type="cellIs" dxfId="20632" priority="6003" stopIfTrue="1" operator="equal">
      <formula>"Towel"</formula>
    </cfRule>
  </conditionalFormatting>
  <conditionalFormatting sqref="C85">
    <cfRule type="cellIs" dxfId="20631" priority="6002" stopIfTrue="1" operator="equal">
      <formula>"Napkin Hs"</formula>
    </cfRule>
  </conditionalFormatting>
  <conditionalFormatting sqref="C85">
    <cfRule type="cellIs" dxfId="20630" priority="6001" stopIfTrue="1" operator="equal">
      <formula>"Towel"</formula>
    </cfRule>
  </conditionalFormatting>
  <conditionalFormatting sqref="C85">
    <cfRule type="cellIs" dxfId="20629" priority="5999" stopIfTrue="1" operator="equal">
      <formula>"Towel"</formula>
    </cfRule>
    <cfRule type="cellIs" dxfId="20628" priority="6000" stopIfTrue="1" operator="equal">
      <formula>"Napkin Hs"</formula>
    </cfRule>
  </conditionalFormatting>
  <conditionalFormatting sqref="C85">
    <cfRule type="cellIs" dxfId="20627" priority="5915" stopIfTrue="1" operator="equal">
      <formula>"Towel"</formula>
    </cfRule>
    <cfRule type="cellIs" dxfId="20626" priority="5916" stopIfTrue="1" operator="equal">
      <formula>"Napkin Hs"</formula>
    </cfRule>
  </conditionalFormatting>
  <conditionalFormatting sqref="C85">
    <cfRule type="cellIs" dxfId="20625" priority="5909" stopIfTrue="1" operator="equal">
      <formula>"Towel"</formula>
    </cfRule>
    <cfRule type="cellIs" dxfId="20624" priority="5910" stopIfTrue="1" operator="equal">
      <formula>"Napkin Hs"</formula>
    </cfRule>
  </conditionalFormatting>
  <conditionalFormatting sqref="C85">
    <cfRule type="cellIs" dxfId="20623" priority="5890" stopIfTrue="1" operator="equal">
      <formula>"Napkin Hs"</formula>
    </cfRule>
  </conditionalFormatting>
  <conditionalFormatting sqref="C85">
    <cfRule type="cellIs" dxfId="20622" priority="5889" stopIfTrue="1" operator="equal">
      <formula>"Towel"</formula>
    </cfRule>
  </conditionalFormatting>
  <conditionalFormatting sqref="C85">
    <cfRule type="cellIs" dxfId="20621" priority="5888" stopIfTrue="1" operator="equal">
      <formula>"Napkin Hs"</formula>
    </cfRule>
  </conditionalFormatting>
  <conditionalFormatting sqref="C85">
    <cfRule type="cellIs" dxfId="20620" priority="5885" stopIfTrue="1" operator="equal">
      <formula>"Towel"</formula>
    </cfRule>
    <cfRule type="cellIs" dxfId="20619" priority="5886" stopIfTrue="1" operator="equal">
      <formula>"Napkin Hs"</formula>
    </cfRule>
  </conditionalFormatting>
  <conditionalFormatting sqref="C85">
    <cfRule type="cellIs" dxfId="20618" priority="5887" stopIfTrue="1" operator="equal">
      <formula>"Towel"</formula>
    </cfRule>
  </conditionalFormatting>
  <conditionalFormatting sqref="C85">
    <cfRule type="cellIs" dxfId="20617" priority="5884" stopIfTrue="1" operator="equal">
      <formula>"Napkin Hs"</formula>
    </cfRule>
  </conditionalFormatting>
  <conditionalFormatting sqref="C85">
    <cfRule type="cellIs" dxfId="20616" priority="5883" stopIfTrue="1" operator="equal">
      <formula>"Towel"</formula>
    </cfRule>
  </conditionalFormatting>
  <conditionalFormatting sqref="C85">
    <cfRule type="cellIs" dxfId="20615" priority="5882" stopIfTrue="1" operator="equal">
      <formula>"Napkin Hs"</formula>
    </cfRule>
  </conditionalFormatting>
  <conditionalFormatting sqref="C85">
    <cfRule type="cellIs" dxfId="20614" priority="5879" stopIfTrue="1" operator="equal">
      <formula>"Towel"</formula>
    </cfRule>
    <cfRule type="cellIs" dxfId="20613" priority="5880" stopIfTrue="1" operator="equal">
      <formula>"Napkin Hs"</formula>
    </cfRule>
  </conditionalFormatting>
  <conditionalFormatting sqref="C85">
    <cfRule type="cellIs" dxfId="20612" priority="5881" stopIfTrue="1" operator="equal">
      <formula>"Towel"</formula>
    </cfRule>
  </conditionalFormatting>
  <conditionalFormatting sqref="C85">
    <cfRule type="cellIs" dxfId="20611" priority="5985" stopIfTrue="1" operator="equal">
      <formula>"Towel"</formula>
    </cfRule>
    <cfRule type="cellIs" dxfId="20610" priority="5986" stopIfTrue="1" operator="equal">
      <formula>"Napkin Hs"</formula>
    </cfRule>
  </conditionalFormatting>
  <conditionalFormatting sqref="C85">
    <cfRule type="cellIs" dxfId="20609" priority="5983" stopIfTrue="1" operator="equal">
      <formula>"Towel"</formula>
    </cfRule>
    <cfRule type="cellIs" dxfId="20608" priority="5984" stopIfTrue="1" operator="equal">
      <formula>"Napkin Hs"</formula>
    </cfRule>
  </conditionalFormatting>
  <conditionalFormatting sqref="C85">
    <cfRule type="cellIs" dxfId="20607" priority="5981" stopIfTrue="1" operator="equal">
      <formula>"Towel"</formula>
    </cfRule>
    <cfRule type="cellIs" dxfId="20606" priority="5982" stopIfTrue="1" operator="equal">
      <formula>"Napkin Hs"</formula>
    </cfRule>
  </conditionalFormatting>
  <conditionalFormatting sqref="C85">
    <cfRule type="cellIs" dxfId="20605" priority="5980" stopIfTrue="1" operator="equal">
      <formula>"Napkin Hs"</formula>
    </cfRule>
  </conditionalFormatting>
  <conditionalFormatting sqref="C85">
    <cfRule type="cellIs" dxfId="20604" priority="5979" stopIfTrue="1" operator="equal">
      <formula>"Towel"</formula>
    </cfRule>
  </conditionalFormatting>
  <conditionalFormatting sqref="C85">
    <cfRule type="cellIs" dxfId="20603" priority="5978" stopIfTrue="1" operator="equal">
      <formula>"Napkin Hs"</formula>
    </cfRule>
  </conditionalFormatting>
  <conditionalFormatting sqref="C85">
    <cfRule type="cellIs" dxfId="20602" priority="5977" stopIfTrue="1" operator="equal">
      <formula>"Towel"</formula>
    </cfRule>
  </conditionalFormatting>
  <conditionalFormatting sqref="C85">
    <cfRule type="cellIs" dxfId="20601" priority="5975" stopIfTrue="1" operator="equal">
      <formula>"Towel"</formula>
    </cfRule>
    <cfRule type="cellIs" dxfId="20600" priority="5976" stopIfTrue="1" operator="equal">
      <formula>"Napkin Hs"</formula>
    </cfRule>
  </conditionalFormatting>
  <conditionalFormatting sqref="C85">
    <cfRule type="cellIs" dxfId="20599" priority="5973" stopIfTrue="1" operator="equal">
      <formula>"Towel"</formula>
    </cfRule>
    <cfRule type="cellIs" dxfId="20598" priority="5974" stopIfTrue="1" operator="equal">
      <formula>"Napkin Hs"</formula>
    </cfRule>
  </conditionalFormatting>
  <conditionalFormatting sqref="C85">
    <cfRule type="cellIs" dxfId="20597" priority="5969" stopIfTrue="1" operator="equal">
      <formula>"Towel"</formula>
    </cfRule>
    <cfRule type="cellIs" dxfId="20596" priority="5970" stopIfTrue="1" operator="equal">
      <formula>"Napkin Hs"</formula>
    </cfRule>
  </conditionalFormatting>
  <conditionalFormatting sqref="C85">
    <cfRule type="cellIs" dxfId="20595" priority="5971" stopIfTrue="1" operator="equal">
      <formula>"Towel"</formula>
    </cfRule>
    <cfRule type="cellIs" dxfId="20594" priority="5972" stopIfTrue="1" operator="equal">
      <formula>"Napkin Hs"</formula>
    </cfRule>
  </conditionalFormatting>
  <conditionalFormatting sqref="C85">
    <cfRule type="cellIs" dxfId="20593" priority="5963" stopIfTrue="1" operator="equal">
      <formula>"Towel"</formula>
    </cfRule>
    <cfRule type="cellIs" dxfId="20592" priority="5964" stopIfTrue="1" operator="equal">
      <formula>"Napkin Hs"</formula>
    </cfRule>
  </conditionalFormatting>
  <conditionalFormatting sqref="C85">
    <cfRule type="cellIs" dxfId="20591" priority="5961" stopIfTrue="1" operator="equal">
      <formula>"Towel"</formula>
    </cfRule>
    <cfRule type="cellIs" dxfId="20590" priority="5962" stopIfTrue="1" operator="equal">
      <formula>"Napkin Hs"</formula>
    </cfRule>
  </conditionalFormatting>
  <conditionalFormatting sqref="C85">
    <cfRule type="cellIs" dxfId="20589" priority="5959" stopIfTrue="1" operator="equal">
      <formula>"Towel"</formula>
    </cfRule>
    <cfRule type="cellIs" dxfId="20588" priority="5960" stopIfTrue="1" operator="equal">
      <formula>"Napkin Hs"</formula>
    </cfRule>
  </conditionalFormatting>
  <conditionalFormatting sqref="C85">
    <cfRule type="cellIs" dxfId="20587" priority="5957" stopIfTrue="1" operator="equal">
      <formula>"Towel"</formula>
    </cfRule>
    <cfRule type="cellIs" dxfId="20586" priority="5958" stopIfTrue="1" operator="equal">
      <formula>"Napkin Hs"</formula>
    </cfRule>
  </conditionalFormatting>
  <conditionalFormatting sqref="C85">
    <cfRule type="cellIs" dxfId="20585" priority="5955" stopIfTrue="1" operator="equal">
      <formula>"Towel"</formula>
    </cfRule>
    <cfRule type="cellIs" dxfId="20584" priority="5956" stopIfTrue="1" operator="equal">
      <formula>"Napkin Hs"</formula>
    </cfRule>
  </conditionalFormatting>
  <conditionalFormatting sqref="C85">
    <cfRule type="cellIs" dxfId="20583" priority="5953" stopIfTrue="1" operator="equal">
      <formula>"Towel"</formula>
    </cfRule>
    <cfRule type="cellIs" dxfId="20582" priority="5954" stopIfTrue="1" operator="equal">
      <formula>"Napkin Hs"</formula>
    </cfRule>
  </conditionalFormatting>
  <conditionalFormatting sqref="C85">
    <cfRule type="cellIs" dxfId="20581" priority="5951" stopIfTrue="1" operator="equal">
      <formula>"Towel"</formula>
    </cfRule>
    <cfRule type="cellIs" dxfId="20580" priority="5952" stopIfTrue="1" operator="equal">
      <formula>"Napkin Hs"</formula>
    </cfRule>
  </conditionalFormatting>
  <conditionalFormatting sqref="C85">
    <cfRule type="cellIs" dxfId="20579" priority="5949" stopIfTrue="1" operator="equal">
      <formula>"Towel"</formula>
    </cfRule>
    <cfRule type="cellIs" dxfId="20578" priority="5950" stopIfTrue="1" operator="equal">
      <formula>"Napkin Hs"</formula>
    </cfRule>
  </conditionalFormatting>
  <conditionalFormatting sqref="C85">
    <cfRule type="cellIs" dxfId="20577" priority="5947" stopIfTrue="1" operator="equal">
      <formula>"Towel"</formula>
    </cfRule>
    <cfRule type="cellIs" dxfId="20576" priority="5948" stopIfTrue="1" operator="equal">
      <formula>"Napkin Hs"</formula>
    </cfRule>
  </conditionalFormatting>
  <conditionalFormatting sqref="C85">
    <cfRule type="cellIs" dxfId="20575" priority="5945" stopIfTrue="1" operator="equal">
      <formula>"Towel"</formula>
    </cfRule>
    <cfRule type="cellIs" dxfId="20574" priority="5946" stopIfTrue="1" operator="equal">
      <formula>"Napkin Hs"</formula>
    </cfRule>
  </conditionalFormatting>
  <conditionalFormatting sqref="C85">
    <cfRule type="cellIs" dxfId="20573" priority="5939" stopIfTrue="1" operator="equal">
      <formula>"Towel"</formula>
    </cfRule>
    <cfRule type="cellIs" dxfId="20572" priority="5940" stopIfTrue="1" operator="equal">
      <formula>"Napkin Hs"</formula>
    </cfRule>
  </conditionalFormatting>
  <conditionalFormatting sqref="C85">
    <cfRule type="cellIs" dxfId="20571" priority="5933" stopIfTrue="1" operator="equal">
      <formula>"Towel"</formula>
    </cfRule>
    <cfRule type="cellIs" dxfId="20570" priority="5934" stopIfTrue="1" operator="equal">
      <formula>"Napkin Hs"</formula>
    </cfRule>
  </conditionalFormatting>
  <conditionalFormatting sqref="C85">
    <cfRule type="cellIs" dxfId="20569" priority="5927" stopIfTrue="1" operator="equal">
      <formula>"Towel"</formula>
    </cfRule>
    <cfRule type="cellIs" dxfId="20568" priority="5928" stopIfTrue="1" operator="equal">
      <formula>"Napkin Hs"</formula>
    </cfRule>
  </conditionalFormatting>
  <conditionalFormatting sqref="C85">
    <cfRule type="cellIs" dxfId="20567" priority="5926" stopIfTrue="1" operator="equal">
      <formula>"Napkin Hs"</formula>
    </cfRule>
  </conditionalFormatting>
  <conditionalFormatting sqref="C85">
    <cfRule type="cellIs" dxfId="20566" priority="5925" stopIfTrue="1" operator="equal">
      <formula>"Towel"</formula>
    </cfRule>
  </conditionalFormatting>
  <conditionalFormatting sqref="C85">
    <cfRule type="cellIs" dxfId="20565" priority="5924" stopIfTrue="1" operator="equal">
      <formula>"Napkin Hs"</formula>
    </cfRule>
  </conditionalFormatting>
  <conditionalFormatting sqref="C85">
    <cfRule type="cellIs" dxfId="20564" priority="5923" stopIfTrue="1" operator="equal">
      <formula>"Towel"</formula>
    </cfRule>
  </conditionalFormatting>
  <conditionalFormatting sqref="C85">
    <cfRule type="cellIs" dxfId="20563" priority="5921" stopIfTrue="1" operator="equal">
      <formula>"Towel"</formula>
    </cfRule>
    <cfRule type="cellIs" dxfId="20562" priority="5922" stopIfTrue="1" operator="equal">
      <formula>"Napkin Hs"</formula>
    </cfRule>
  </conditionalFormatting>
  <conditionalFormatting sqref="C85">
    <cfRule type="cellIs" dxfId="20561" priority="5919" stopIfTrue="1" operator="equal">
      <formula>"Towel"</formula>
    </cfRule>
    <cfRule type="cellIs" dxfId="20560" priority="5920" stopIfTrue="1" operator="equal">
      <formula>"Napkin Hs"</formula>
    </cfRule>
  </conditionalFormatting>
  <conditionalFormatting sqref="C85">
    <cfRule type="cellIs" dxfId="20559" priority="5917" stopIfTrue="1" operator="equal">
      <formula>"Towel"</formula>
    </cfRule>
    <cfRule type="cellIs" dxfId="20558" priority="5918" stopIfTrue="1" operator="equal">
      <formula>"Napkin Hs"</formula>
    </cfRule>
  </conditionalFormatting>
  <conditionalFormatting sqref="C85">
    <cfRule type="cellIs" dxfId="20557" priority="5907" stopIfTrue="1" operator="equal">
      <formula>"Towel"</formula>
    </cfRule>
    <cfRule type="cellIs" dxfId="20556" priority="5908" stopIfTrue="1" operator="equal">
      <formula>"Napkin Hs"</formula>
    </cfRule>
  </conditionalFormatting>
  <conditionalFormatting sqref="C85">
    <cfRule type="cellIs" dxfId="20555" priority="5905" stopIfTrue="1" operator="equal">
      <formula>"Towel"</formula>
    </cfRule>
    <cfRule type="cellIs" dxfId="20554" priority="5906" stopIfTrue="1" operator="equal">
      <formula>"Napkin Hs"</formula>
    </cfRule>
  </conditionalFormatting>
  <conditionalFormatting sqref="C85">
    <cfRule type="cellIs" dxfId="20553" priority="5903" stopIfTrue="1" operator="equal">
      <formula>"Towel"</formula>
    </cfRule>
    <cfRule type="cellIs" dxfId="20552" priority="5904" stopIfTrue="1" operator="equal">
      <formula>"Napkin Hs"</formula>
    </cfRule>
  </conditionalFormatting>
  <conditionalFormatting sqref="C85">
    <cfRule type="cellIs" dxfId="20551" priority="5901" stopIfTrue="1" operator="equal">
      <formula>"Towel"</formula>
    </cfRule>
    <cfRule type="cellIs" dxfId="20550" priority="5902" stopIfTrue="1" operator="equal">
      <formula>"Napkin Hs"</formula>
    </cfRule>
  </conditionalFormatting>
  <conditionalFormatting sqref="C85">
    <cfRule type="cellIs" dxfId="20549" priority="5899" stopIfTrue="1" operator="equal">
      <formula>"Towel"</formula>
    </cfRule>
    <cfRule type="cellIs" dxfId="20548" priority="5900" stopIfTrue="1" operator="equal">
      <formula>"Napkin Hs"</formula>
    </cfRule>
  </conditionalFormatting>
  <conditionalFormatting sqref="C85">
    <cfRule type="cellIs" dxfId="20547" priority="5897" stopIfTrue="1" operator="equal">
      <formula>"Towel"</formula>
    </cfRule>
    <cfRule type="cellIs" dxfId="20546" priority="5898" stopIfTrue="1" operator="equal">
      <formula>"Napkin Hs"</formula>
    </cfRule>
  </conditionalFormatting>
  <conditionalFormatting sqref="C85">
    <cfRule type="cellIs" dxfId="20545" priority="5895" stopIfTrue="1" operator="equal">
      <formula>"Towel"</formula>
    </cfRule>
    <cfRule type="cellIs" dxfId="20544" priority="5896" stopIfTrue="1" operator="equal">
      <formula>"Napkin Hs"</formula>
    </cfRule>
  </conditionalFormatting>
  <conditionalFormatting sqref="C85">
    <cfRule type="cellIs" dxfId="20543" priority="5893" stopIfTrue="1" operator="equal">
      <formula>"Towel"</formula>
    </cfRule>
    <cfRule type="cellIs" dxfId="20542" priority="5894" stopIfTrue="1" operator="equal">
      <formula>"Napkin Hs"</formula>
    </cfRule>
  </conditionalFormatting>
  <conditionalFormatting sqref="C85">
    <cfRule type="cellIs" dxfId="20541" priority="5891" stopIfTrue="1" operator="equal">
      <formula>"Towel"</formula>
    </cfRule>
    <cfRule type="cellIs" dxfId="20540" priority="5892" stopIfTrue="1" operator="equal">
      <formula>"Napkin Hs"</formula>
    </cfRule>
  </conditionalFormatting>
  <conditionalFormatting sqref="C85">
    <cfRule type="cellIs" dxfId="20539" priority="5878" stopIfTrue="1" operator="equal">
      <formula>"Napkin Hs"</formula>
    </cfRule>
  </conditionalFormatting>
  <conditionalFormatting sqref="C85">
    <cfRule type="cellIs" dxfId="20538" priority="5877" stopIfTrue="1" operator="equal">
      <formula>"Towel"</formula>
    </cfRule>
  </conditionalFormatting>
  <conditionalFormatting sqref="C85">
    <cfRule type="cellIs" dxfId="20537" priority="5876" stopIfTrue="1" operator="equal">
      <formula>"Napkin Hs"</formula>
    </cfRule>
  </conditionalFormatting>
  <conditionalFormatting sqref="C85">
    <cfRule type="cellIs" dxfId="20536" priority="5873" stopIfTrue="1" operator="equal">
      <formula>"Towel"</formula>
    </cfRule>
    <cfRule type="cellIs" dxfId="20535" priority="5874" stopIfTrue="1" operator="equal">
      <formula>"Napkin Hs"</formula>
    </cfRule>
  </conditionalFormatting>
  <conditionalFormatting sqref="C85">
    <cfRule type="cellIs" dxfId="20534" priority="5875" stopIfTrue="1" operator="equal">
      <formula>"Towel"</formula>
    </cfRule>
  </conditionalFormatting>
  <conditionalFormatting sqref="C85">
    <cfRule type="cellIs" dxfId="20533" priority="5993" stopIfTrue="1" operator="equal">
      <formula>"Towel"</formula>
    </cfRule>
    <cfRule type="cellIs" dxfId="20532" priority="5994" stopIfTrue="1" operator="equal">
      <formula>"Napkin Hs"</formula>
    </cfRule>
  </conditionalFormatting>
  <conditionalFormatting sqref="C85">
    <cfRule type="cellIs" dxfId="20531" priority="5992" stopIfTrue="1" operator="equal">
      <formula>"Napkin Hs"</formula>
    </cfRule>
  </conditionalFormatting>
  <conditionalFormatting sqref="C85">
    <cfRule type="cellIs" dxfId="20530" priority="5991" stopIfTrue="1" operator="equal">
      <formula>"Towel"</formula>
    </cfRule>
  </conditionalFormatting>
  <conditionalFormatting sqref="C85">
    <cfRule type="cellIs" dxfId="20529" priority="5990" stopIfTrue="1" operator="equal">
      <formula>"Napkin Hs"</formula>
    </cfRule>
  </conditionalFormatting>
  <conditionalFormatting sqref="C85">
    <cfRule type="cellIs" dxfId="20528" priority="5987" stopIfTrue="1" operator="equal">
      <formula>"Towel"</formula>
    </cfRule>
    <cfRule type="cellIs" dxfId="20527" priority="5988" stopIfTrue="1" operator="equal">
      <formula>"Napkin Hs"</formula>
    </cfRule>
  </conditionalFormatting>
  <conditionalFormatting sqref="C85">
    <cfRule type="cellIs" dxfId="20526" priority="5989" stopIfTrue="1" operator="equal">
      <formula>"Towel"</formula>
    </cfRule>
  </conditionalFormatting>
  <conditionalFormatting sqref="C85">
    <cfRule type="cellIs" dxfId="20525" priority="5997" stopIfTrue="1" operator="equal">
      <formula>"Towel"</formula>
    </cfRule>
    <cfRule type="cellIs" dxfId="20524" priority="5998" stopIfTrue="1" operator="equal">
      <formula>"Napkin Hs"</formula>
    </cfRule>
  </conditionalFormatting>
  <conditionalFormatting sqref="C85">
    <cfRule type="cellIs" dxfId="20523" priority="5995" stopIfTrue="1" operator="equal">
      <formula>"Towel"</formula>
    </cfRule>
    <cfRule type="cellIs" dxfId="20522" priority="5996" stopIfTrue="1" operator="equal">
      <formula>"Napkin Hs"</formula>
    </cfRule>
  </conditionalFormatting>
  <conditionalFormatting sqref="C85">
    <cfRule type="cellIs" dxfId="20521" priority="5967" stopIfTrue="1" operator="equal">
      <formula>"Towel"</formula>
    </cfRule>
    <cfRule type="cellIs" dxfId="20520" priority="5968" stopIfTrue="1" operator="equal">
      <formula>"Napkin Hs"</formula>
    </cfRule>
  </conditionalFormatting>
  <conditionalFormatting sqref="C85">
    <cfRule type="cellIs" dxfId="20519" priority="5965" stopIfTrue="1" operator="equal">
      <formula>"Towel"</formula>
    </cfRule>
    <cfRule type="cellIs" dxfId="20518" priority="5966" stopIfTrue="1" operator="equal">
      <formula>"Napkin Hs"</formula>
    </cfRule>
  </conditionalFormatting>
  <conditionalFormatting sqref="C85">
    <cfRule type="cellIs" dxfId="20517" priority="5944" stopIfTrue="1" operator="equal">
      <formula>"Napkin Hs"</formula>
    </cfRule>
  </conditionalFormatting>
  <conditionalFormatting sqref="C85">
    <cfRule type="cellIs" dxfId="20516" priority="5943" stopIfTrue="1" operator="equal">
      <formula>"Towel"</formula>
    </cfRule>
  </conditionalFormatting>
  <conditionalFormatting sqref="C85">
    <cfRule type="cellIs" dxfId="20515" priority="5942" stopIfTrue="1" operator="equal">
      <formula>"Napkin Hs"</formula>
    </cfRule>
  </conditionalFormatting>
  <conditionalFormatting sqref="C85">
    <cfRule type="cellIs" dxfId="20514" priority="5941" stopIfTrue="1" operator="equal">
      <formula>"Towel"</formula>
    </cfRule>
  </conditionalFormatting>
  <conditionalFormatting sqref="C85">
    <cfRule type="cellIs" dxfId="20513" priority="5938" stopIfTrue="1" operator="equal">
      <formula>"Napkin Hs"</formula>
    </cfRule>
  </conditionalFormatting>
  <conditionalFormatting sqref="C85">
    <cfRule type="cellIs" dxfId="20512" priority="5937" stopIfTrue="1" operator="equal">
      <formula>"Towel"</formula>
    </cfRule>
  </conditionalFormatting>
  <conditionalFormatting sqref="C85">
    <cfRule type="cellIs" dxfId="20511" priority="5936" stopIfTrue="1" operator="equal">
      <formula>"Napkin Hs"</formula>
    </cfRule>
  </conditionalFormatting>
  <conditionalFormatting sqref="C85">
    <cfRule type="cellIs" dxfId="20510" priority="5935" stopIfTrue="1" operator="equal">
      <formula>"Towel"</formula>
    </cfRule>
  </conditionalFormatting>
  <conditionalFormatting sqref="C85">
    <cfRule type="cellIs" dxfId="20509" priority="5931" stopIfTrue="1" operator="equal">
      <formula>"Towel"</formula>
    </cfRule>
    <cfRule type="cellIs" dxfId="20508" priority="5932" stopIfTrue="1" operator="equal">
      <formula>"Napkin Hs"</formula>
    </cfRule>
  </conditionalFormatting>
  <conditionalFormatting sqref="C85">
    <cfRule type="cellIs" dxfId="20507" priority="5929" stopIfTrue="1" operator="equal">
      <formula>"Towel"</formula>
    </cfRule>
    <cfRule type="cellIs" dxfId="20506" priority="5930" stopIfTrue="1" operator="equal">
      <formula>"Napkin Hs"</formula>
    </cfRule>
  </conditionalFormatting>
  <conditionalFormatting sqref="C85">
    <cfRule type="cellIs" dxfId="20505" priority="5913" stopIfTrue="1" operator="equal">
      <formula>"Towel"</formula>
    </cfRule>
    <cfRule type="cellIs" dxfId="20504" priority="5914" stopIfTrue="1" operator="equal">
      <formula>"Napkin Hs"</formula>
    </cfRule>
  </conditionalFormatting>
  <conditionalFormatting sqref="C85">
    <cfRule type="cellIs" dxfId="20503" priority="5911" stopIfTrue="1" operator="equal">
      <formula>"Towel"</formula>
    </cfRule>
    <cfRule type="cellIs" dxfId="20502" priority="5912" stopIfTrue="1" operator="equal">
      <formula>"Napkin Hs"</formula>
    </cfRule>
  </conditionalFormatting>
  <conditionalFormatting sqref="B85:C85">
    <cfRule type="cellIs" dxfId="20501" priority="5872" stopIfTrue="1" operator="equal">
      <formula>"Napkin Hs"</formula>
    </cfRule>
  </conditionalFormatting>
  <conditionalFormatting sqref="B85:C85">
    <cfRule type="cellIs" dxfId="20500" priority="5871" stopIfTrue="1" operator="equal">
      <formula>"Towel"</formula>
    </cfRule>
  </conditionalFormatting>
  <conditionalFormatting sqref="C85">
    <cfRule type="cellIs" dxfId="20499" priority="5870" stopIfTrue="1" operator="equal">
      <formula>"Napkin Hs"</formula>
    </cfRule>
  </conditionalFormatting>
  <conditionalFormatting sqref="C85">
    <cfRule type="cellIs" dxfId="20498" priority="5867" stopIfTrue="1" operator="equal">
      <formula>"Towel"</formula>
    </cfRule>
    <cfRule type="cellIs" dxfId="20497" priority="5868" stopIfTrue="1" operator="equal">
      <formula>"Napkin Hs"</formula>
    </cfRule>
  </conditionalFormatting>
  <conditionalFormatting sqref="C85">
    <cfRule type="cellIs" dxfId="20496" priority="5869" stopIfTrue="1" operator="equal">
      <formula>"Towel"</formula>
    </cfRule>
  </conditionalFormatting>
  <conditionalFormatting sqref="B97:C97">
    <cfRule type="cellIs" dxfId="20495" priority="5865" stopIfTrue="1" operator="equal">
      <formula>"Towel"</formula>
    </cfRule>
    <cfRule type="cellIs" dxfId="20494" priority="5866" stopIfTrue="1" operator="equal">
      <formula>"Napkin Hs"</formula>
    </cfRule>
  </conditionalFormatting>
  <conditionalFormatting sqref="C97">
    <cfRule type="cellIs" dxfId="20493" priority="5861" stopIfTrue="1" operator="equal">
      <formula>"Towel"</formula>
    </cfRule>
    <cfRule type="cellIs" dxfId="20492" priority="5862" stopIfTrue="1" operator="equal">
      <formula>"Napkin Hs"</formula>
    </cfRule>
  </conditionalFormatting>
  <conditionalFormatting sqref="C97">
    <cfRule type="cellIs" dxfId="20491" priority="5863" stopIfTrue="1" operator="equal">
      <formula>"Towel"</formula>
    </cfRule>
    <cfRule type="cellIs" dxfId="20490" priority="5864" stopIfTrue="1" operator="equal">
      <formula>"Napkin Hs"</formula>
    </cfRule>
  </conditionalFormatting>
  <conditionalFormatting sqref="B97:C97">
    <cfRule type="cellIs" dxfId="20489" priority="5859" stopIfTrue="1" operator="equal">
      <formula>"Towel"</formula>
    </cfRule>
    <cfRule type="cellIs" dxfId="20488" priority="5860" stopIfTrue="1" operator="equal">
      <formula>"Napkin Hs"</formula>
    </cfRule>
  </conditionalFormatting>
  <conditionalFormatting sqref="C97">
    <cfRule type="cellIs" dxfId="20487" priority="5855" stopIfTrue="1" operator="equal">
      <formula>"Towel"</formula>
    </cfRule>
    <cfRule type="cellIs" dxfId="20486" priority="5856" stopIfTrue="1" operator="equal">
      <formula>"Napkin Hs"</formula>
    </cfRule>
  </conditionalFormatting>
  <conditionalFormatting sqref="C97">
    <cfRule type="cellIs" dxfId="20485" priority="5857" stopIfTrue="1" operator="equal">
      <formula>"Towel"</formula>
    </cfRule>
    <cfRule type="cellIs" dxfId="20484" priority="5858" stopIfTrue="1" operator="equal">
      <formula>"Napkin Hs"</formula>
    </cfRule>
  </conditionalFormatting>
  <conditionalFormatting sqref="B97:C97">
    <cfRule type="cellIs" dxfId="20483" priority="5853" stopIfTrue="1" operator="equal">
      <formula>"Towel"</formula>
    </cfRule>
    <cfRule type="cellIs" dxfId="20482" priority="5854" stopIfTrue="1" operator="equal">
      <formula>"Napkin Hs"</formula>
    </cfRule>
  </conditionalFormatting>
  <conditionalFormatting sqref="C97">
    <cfRule type="cellIs" dxfId="20481" priority="5851" stopIfTrue="1" operator="equal">
      <formula>"Towel"</formula>
    </cfRule>
    <cfRule type="cellIs" dxfId="20480" priority="5852" stopIfTrue="1" operator="equal">
      <formula>"Napkin Hs"</formula>
    </cfRule>
  </conditionalFormatting>
  <conditionalFormatting sqref="C97">
    <cfRule type="cellIs" dxfId="20479" priority="5849" stopIfTrue="1" operator="equal">
      <formula>"Towel"</formula>
    </cfRule>
    <cfRule type="cellIs" dxfId="20478" priority="5850" stopIfTrue="1" operator="equal">
      <formula>"Napkin Hs"</formula>
    </cfRule>
  </conditionalFormatting>
  <conditionalFormatting sqref="B97:C97">
    <cfRule type="cellIs" dxfId="20477" priority="5847" stopIfTrue="1" operator="equal">
      <formula>"Towel"</formula>
    </cfRule>
    <cfRule type="cellIs" dxfId="20476" priority="5848" stopIfTrue="1" operator="equal">
      <formula>"Napkin Hs"</formula>
    </cfRule>
  </conditionalFormatting>
  <conditionalFormatting sqref="C97">
    <cfRule type="cellIs" dxfId="20475" priority="5845" stopIfTrue="1" operator="equal">
      <formula>"Towel"</formula>
    </cfRule>
    <cfRule type="cellIs" dxfId="20474" priority="5846" stopIfTrue="1" operator="equal">
      <formula>"Napkin Hs"</formula>
    </cfRule>
  </conditionalFormatting>
  <conditionalFormatting sqref="C97">
    <cfRule type="cellIs" dxfId="20473" priority="5843" stopIfTrue="1" operator="equal">
      <formula>"Towel"</formula>
    </cfRule>
    <cfRule type="cellIs" dxfId="20472" priority="5844" stopIfTrue="1" operator="equal">
      <formula>"Napkin Hs"</formula>
    </cfRule>
  </conditionalFormatting>
  <conditionalFormatting sqref="B97:C97">
    <cfRule type="cellIs" dxfId="20471" priority="5841" stopIfTrue="1" operator="equal">
      <formula>"Towel"</formula>
    </cfRule>
    <cfRule type="cellIs" dxfId="20470" priority="5842" stopIfTrue="1" operator="equal">
      <formula>"Napkin Hs"</formula>
    </cfRule>
  </conditionalFormatting>
  <conditionalFormatting sqref="C97">
    <cfRule type="cellIs" dxfId="20469" priority="5839" stopIfTrue="1" operator="equal">
      <formula>"Towel"</formula>
    </cfRule>
    <cfRule type="cellIs" dxfId="20468" priority="5840" stopIfTrue="1" operator="equal">
      <formula>"Napkin Hs"</formula>
    </cfRule>
  </conditionalFormatting>
  <conditionalFormatting sqref="C97">
    <cfRule type="cellIs" dxfId="20467" priority="5837" stopIfTrue="1" operator="equal">
      <formula>"Towel"</formula>
    </cfRule>
    <cfRule type="cellIs" dxfId="20466" priority="5838" stopIfTrue="1" operator="equal">
      <formula>"Napkin Hs"</formula>
    </cfRule>
  </conditionalFormatting>
  <conditionalFormatting sqref="B97:C97">
    <cfRule type="cellIs" dxfId="20465" priority="5836" stopIfTrue="1" operator="equal">
      <formula>"Napkin Hs"</formula>
    </cfRule>
  </conditionalFormatting>
  <conditionalFormatting sqref="B97:C97">
    <cfRule type="cellIs" dxfId="20464" priority="5835" stopIfTrue="1" operator="equal">
      <formula>"Towel"</formula>
    </cfRule>
  </conditionalFormatting>
  <conditionalFormatting sqref="C97">
    <cfRule type="cellIs" dxfId="20463" priority="5834" stopIfTrue="1" operator="equal">
      <formula>"Napkin Hs"</formula>
    </cfRule>
  </conditionalFormatting>
  <conditionalFormatting sqref="C97">
    <cfRule type="cellIs" dxfId="20462" priority="5831" stopIfTrue="1" operator="equal">
      <formula>"Towel"</formula>
    </cfRule>
    <cfRule type="cellIs" dxfId="20461" priority="5832" stopIfTrue="1" operator="equal">
      <formula>"Napkin Hs"</formula>
    </cfRule>
  </conditionalFormatting>
  <conditionalFormatting sqref="C97">
    <cfRule type="cellIs" dxfId="20460" priority="5833" stopIfTrue="1" operator="equal">
      <formula>"Towel"</formula>
    </cfRule>
  </conditionalFormatting>
  <conditionalFormatting sqref="B95:C95">
    <cfRule type="cellIs" dxfId="20459" priority="5823" stopIfTrue="1" operator="equal">
      <formula>"Towel"</formula>
    </cfRule>
    <cfRule type="cellIs" dxfId="20458" priority="5824" stopIfTrue="1" operator="equal">
      <formula>"Napkin Hs"</formula>
    </cfRule>
  </conditionalFormatting>
  <conditionalFormatting sqref="C95">
    <cfRule type="cellIs" dxfId="20457" priority="5819" stopIfTrue="1" operator="equal">
      <formula>"Towel"</formula>
    </cfRule>
    <cfRule type="cellIs" dxfId="20456" priority="5820" stopIfTrue="1" operator="equal">
      <formula>"Napkin Hs"</formula>
    </cfRule>
  </conditionalFormatting>
  <conditionalFormatting sqref="C95">
    <cfRule type="cellIs" dxfId="20455" priority="5821" stopIfTrue="1" operator="equal">
      <formula>"Towel"</formula>
    </cfRule>
    <cfRule type="cellIs" dxfId="20454" priority="5822" stopIfTrue="1" operator="equal">
      <formula>"Napkin Hs"</formula>
    </cfRule>
  </conditionalFormatting>
  <conditionalFormatting sqref="B95:C95">
    <cfRule type="cellIs" dxfId="20453" priority="5817" stopIfTrue="1" operator="equal">
      <formula>"Towel"</formula>
    </cfRule>
    <cfRule type="cellIs" dxfId="20452" priority="5818" stopIfTrue="1" operator="equal">
      <formula>"Napkin Hs"</formula>
    </cfRule>
  </conditionalFormatting>
  <conditionalFormatting sqref="C95">
    <cfRule type="cellIs" dxfId="20451" priority="5813" stopIfTrue="1" operator="equal">
      <formula>"Towel"</formula>
    </cfRule>
    <cfRule type="cellIs" dxfId="20450" priority="5814" stopIfTrue="1" operator="equal">
      <formula>"Napkin Hs"</formula>
    </cfRule>
  </conditionalFormatting>
  <conditionalFormatting sqref="C95">
    <cfRule type="cellIs" dxfId="20449" priority="5815" stopIfTrue="1" operator="equal">
      <formula>"Towel"</formula>
    </cfRule>
    <cfRule type="cellIs" dxfId="20448" priority="5816" stopIfTrue="1" operator="equal">
      <formula>"Napkin Hs"</formula>
    </cfRule>
  </conditionalFormatting>
  <conditionalFormatting sqref="B95:C95">
    <cfRule type="cellIs" dxfId="20447" priority="5811" stopIfTrue="1" operator="equal">
      <formula>"Towel"</formula>
    </cfRule>
    <cfRule type="cellIs" dxfId="20446" priority="5812" stopIfTrue="1" operator="equal">
      <formula>"Napkin Hs"</formula>
    </cfRule>
  </conditionalFormatting>
  <conditionalFormatting sqref="C95">
    <cfRule type="cellIs" dxfId="20445" priority="5809" stopIfTrue="1" operator="equal">
      <formula>"Towel"</formula>
    </cfRule>
    <cfRule type="cellIs" dxfId="20444" priority="5810" stopIfTrue="1" operator="equal">
      <formula>"Napkin Hs"</formula>
    </cfRule>
  </conditionalFormatting>
  <conditionalFormatting sqref="C95">
    <cfRule type="cellIs" dxfId="20443" priority="5807" stopIfTrue="1" operator="equal">
      <formula>"Towel"</formula>
    </cfRule>
    <cfRule type="cellIs" dxfId="20442" priority="5808" stopIfTrue="1" operator="equal">
      <formula>"Napkin Hs"</formula>
    </cfRule>
  </conditionalFormatting>
  <conditionalFormatting sqref="B95:C95">
    <cfRule type="cellIs" dxfId="20441" priority="5805" stopIfTrue="1" operator="equal">
      <formula>"Towel"</formula>
    </cfRule>
    <cfRule type="cellIs" dxfId="20440" priority="5806" stopIfTrue="1" operator="equal">
      <formula>"Napkin Hs"</formula>
    </cfRule>
  </conditionalFormatting>
  <conditionalFormatting sqref="C95">
    <cfRule type="cellIs" dxfId="20439" priority="5803" stopIfTrue="1" operator="equal">
      <formula>"Towel"</formula>
    </cfRule>
    <cfRule type="cellIs" dxfId="20438" priority="5804" stopIfTrue="1" operator="equal">
      <formula>"Napkin Hs"</formula>
    </cfRule>
  </conditionalFormatting>
  <conditionalFormatting sqref="C95">
    <cfRule type="cellIs" dxfId="20437" priority="5801" stopIfTrue="1" operator="equal">
      <formula>"Towel"</formula>
    </cfRule>
    <cfRule type="cellIs" dxfId="20436" priority="5802" stopIfTrue="1" operator="equal">
      <formula>"Napkin Hs"</formula>
    </cfRule>
  </conditionalFormatting>
  <conditionalFormatting sqref="B95:C95">
    <cfRule type="cellIs" dxfId="20435" priority="5799" stopIfTrue="1" operator="equal">
      <formula>"Towel"</formula>
    </cfRule>
    <cfRule type="cellIs" dxfId="20434" priority="5800" stopIfTrue="1" operator="equal">
      <formula>"Napkin Hs"</formula>
    </cfRule>
  </conditionalFormatting>
  <conditionalFormatting sqref="C95">
    <cfRule type="cellIs" dxfId="20433" priority="5797" stopIfTrue="1" operator="equal">
      <formula>"Towel"</formula>
    </cfRule>
    <cfRule type="cellIs" dxfId="20432" priority="5798" stopIfTrue="1" operator="equal">
      <formula>"Napkin Hs"</formula>
    </cfRule>
  </conditionalFormatting>
  <conditionalFormatting sqref="C95">
    <cfRule type="cellIs" dxfId="20431" priority="5795" stopIfTrue="1" operator="equal">
      <formula>"Towel"</formula>
    </cfRule>
    <cfRule type="cellIs" dxfId="20430" priority="5796" stopIfTrue="1" operator="equal">
      <formula>"Napkin Hs"</formula>
    </cfRule>
  </conditionalFormatting>
  <conditionalFormatting sqref="B95:C95">
    <cfRule type="cellIs" dxfId="20429" priority="5794" stopIfTrue="1" operator="equal">
      <formula>"Napkin Hs"</formula>
    </cfRule>
  </conditionalFormatting>
  <conditionalFormatting sqref="B95:C95">
    <cfRule type="cellIs" dxfId="20428" priority="5793" stopIfTrue="1" operator="equal">
      <formula>"Towel"</formula>
    </cfRule>
  </conditionalFormatting>
  <conditionalFormatting sqref="C95">
    <cfRule type="cellIs" dxfId="20427" priority="5792" stopIfTrue="1" operator="equal">
      <formula>"Napkin Hs"</formula>
    </cfRule>
  </conditionalFormatting>
  <conditionalFormatting sqref="C95">
    <cfRule type="cellIs" dxfId="20426" priority="5789" stopIfTrue="1" operator="equal">
      <formula>"Towel"</formula>
    </cfRule>
    <cfRule type="cellIs" dxfId="20425" priority="5790" stopIfTrue="1" operator="equal">
      <formula>"Napkin Hs"</formula>
    </cfRule>
  </conditionalFormatting>
  <conditionalFormatting sqref="C95">
    <cfRule type="cellIs" dxfId="20424" priority="5791" stopIfTrue="1" operator="equal">
      <formula>"Towel"</formula>
    </cfRule>
  </conditionalFormatting>
  <conditionalFormatting sqref="B94:C94">
    <cfRule type="cellIs" dxfId="20423" priority="5787" stopIfTrue="1" operator="equal">
      <formula>"Towel"</formula>
    </cfRule>
    <cfRule type="cellIs" dxfId="20422" priority="5788" stopIfTrue="1" operator="equal">
      <formula>"Napkin Hs"</formula>
    </cfRule>
  </conditionalFormatting>
  <conditionalFormatting sqref="C94">
    <cfRule type="cellIs" dxfId="20421" priority="5783" stopIfTrue="1" operator="equal">
      <formula>"Towel"</formula>
    </cfRule>
    <cfRule type="cellIs" dxfId="20420" priority="5784" stopIfTrue="1" operator="equal">
      <formula>"Napkin Hs"</formula>
    </cfRule>
  </conditionalFormatting>
  <conditionalFormatting sqref="C94">
    <cfRule type="cellIs" dxfId="20419" priority="5785" stopIfTrue="1" operator="equal">
      <formula>"Towel"</formula>
    </cfRule>
    <cfRule type="cellIs" dxfId="20418" priority="5786" stopIfTrue="1" operator="equal">
      <formula>"Napkin Hs"</formula>
    </cfRule>
  </conditionalFormatting>
  <conditionalFormatting sqref="B94:C94">
    <cfRule type="cellIs" dxfId="20417" priority="5782" stopIfTrue="1" operator="equal">
      <formula>"Napkin Hs"</formula>
    </cfRule>
  </conditionalFormatting>
  <conditionalFormatting sqref="B94:C94">
    <cfRule type="cellIs" dxfId="20416" priority="5781" stopIfTrue="1" operator="equal">
      <formula>"Towel"</formula>
    </cfRule>
  </conditionalFormatting>
  <conditionalFormatting sqref="C94">
    <cfRule type="cellIs" dxfId="20415" priority="5780" stopIfTrue="1" operator="equal">
      <formula>"Napkin Hs"</formula>
    </cfRule>
  </conditionalFormatting>
  <conditionalFormatting sqref="C94">
    <cfRule type="cellIs" dxfId="20414" priority="5779" stopIfTrue="1" operator="equal">
      <formula>"Towel"</formula>
    </cfRule>
  </conditionalFormatting>
  <conditionalFormatting sqref="C94">
    <cfRule type="cellIs" dxfId="20413" priority="5777" stopIfTrue="1" operator="equal">
      <formula>"Towel"</formula>
    </cfRule>
    <cfRule type="cellIs" dxfId="20412" priority="5778" stopIfTrue="1" operator="equal">
      <formula>"Napkin Hs"</formula>
    </cfRule>
  </conditionalFormatting>
  <conditionalFormatting sqref="B94:C94">
    <cfRule type="cellIs" dxfId="20411" priority="5775" stopIfTrue="1" operator="equal">
      <formula>"Towel"</formula>
    </cfRule>
    <cfRule type="cellIs" dxfId="20410" priority="5776" stopIfTrue="1" operator="equal">
      <formula>"Napkin Hs"</formula>
    </cfRule>
  </conditionalFormatting>
  <conditionalFormatting sqref="C94">
    <cfRule type="cellIs" dxfId="20409" priority="5773" stopIfTrue="1" operator="equal">
      <formula>"Towel"</formula>
    </cfRule>
    <cfRule type="cellIs" dxfId="20408" priority="5774" stopIfTrue="1" operator="equal">
      <formula>"Napkin Hs"</formula>
    </cfRule>
  </conditionalFormatting>
  <conditionalFormatting sqref="C94">
    <cfRule type="cellIs" dxfId="20407" priority="5771" stopIfTrue="1" operator="equal">
      <formula>"Towel"</formula>
    </cfRule>
    <cfRule type="cellIs" dxfId="20406" priority="5772" stopIfTrue="1" operator="equal">
      <formula>"Napkin Hs"</formula>
    </cfRule>
  </conditionalFormatting>
  <conditionalFormatting sqref="B94:C94">
    <cfRule type="cellIs" dxfId="20405" priority="5769" stopIfTrue="1" operator="equal">
      <formula>"Towel"</formula>
    </cfRule>
    <cfRule type="cellIs" dxfId="20404" priority="5770" stopIfTrue="1" operator="equal">
      <formula>"Napkin Hs"</formula>
    </cfRule>
  </conditionalFormatting>
  <conditionalFormatting sqref="C94">
    <cfRule type="cellIs" dxfId="20403" priority="5767" stopIfTrue="1" operator="equal">
      <formula>"Towel"</formula>
    </cfRule>
    <cfRule type="cellIs" dxfId="20402" priority="5768" stopIfTrue="1" operator="equal">
      <formula>"Napkin Hs"</formula>
    </cfRule>
  </conditionalFormatting>
  <conditionalFormatting sqref="C94">
    <cfRule type="cellIs" dxfId="20401" priority="5765" stopIfTrue="1" operator="equal">
      <formula>"Towel"</formula>
    </cfRule>
    <cfRule type="cellIs" dxfId="20400" priority="5766" stopIfTrue="1" operator="equal">
      <formula>"Napkin Hs"</formula>
    </cfRule>
  </conditionalFormatting>
  <conditionalFormatting sqref="B94:C94">
    <cfRule type="cellIs" dxfId="20399" priority="5763" stopIfTrue="1" operator="equal">
      <formula>"Towel"</formula>
    </cfRule>
    <cfRule type="cellIs" dxfId="20398" priority="5764" stopIfTrue="1" operator="equal">
      <formula>"Napkin Hs"</formula>
    </cfRule>
  </conditionalFormatting>
  <conditionalFormatting sqref="C94">
    <cfRule type="cellIs" dxfId="20397" priority="5761" stopIfTrue="1" operator="equal">
      <formula>"Towel"</formula>
    </cfRule>
    <cfRule type="cellIs" dxfId="20396" priority="5762" stopIfTrue="1" operator="equal">
      <formula>"Napkin Hs"</formula>
    </cfRule>
  </conditionalFormatting>
  <conditionalFormatting sqref="C94">
    <cfRule type="cellIs" dxfId="20395" priority="5759" stopIfTrue="1" operator="equal">
      <formula>"Towel"</formula>
    </cfRule>
    <cfRule type="cellIs" dxfId="20394" priority="5760" stopIfTrue="1" operator="equal">
      <formula>"Napkin Hs"</formula>
    </cfRule>
  </conditionalFormatting>
  <conditionalFormatting sqref="B94:C94">
    <cfRule type="cellIs" dxfId="20393" priority="5757" stopIfTrue="1" operator="equal">
      <formula>"Towel"</formula>
    </cfRule>
    <cfRule type="cellIs" dxfId="20392" priority="5758" stopIfTrue="1" operator="equal">
      <formula>"Napkin Hs"</formula>
    </cfRule>
  </conditionalFormatting>
  <conditionalFormatting sqref="C94">
    <cfRule type="cellIs" dxfId="20391" priority="5755" stopIfTrue="1" operator="equal">
      <formula>"Towel"</formula>
    </cfRule>
    <cfRule type="cellIs" dxfId="20390" priority="5756" stopIfTrue="1" operator="equal">
      <formula>"Napkin Hs"</formula>
    </cfRule>
  </conditionalFormatting>
  <conditionalFormatting sqref="C94">
    <cfRule type="cellIs" dxfId="20389" priority="5753" stopIfTrue="1" operator="equal">
      <formula>"Towel"</formula>
    </cfRule>
    <cfRule type="cellIs" dxfId="20388" priority="5754" stopIfTrue="1" operator="equal">
      <formula>"Napkin Hs"</formula>
    </cfRule>
  </conditionalFormatting>
  <conditionalFormatting sqref="B94:C94">
    <cfRule type="cellIs" dxfId="20387" priority="5751" stopIfTrue="1" operator="equal">
      <formula>"Towel"</formula>
    </cfRule>
    <cfRule type="cellIs" dxfId="20386" priority="5752" stopIfTrue="1" operator="equal">
      <formula>"Napkin Hs"</formula>
    </cfRule>
  </conditionalFormatting>
  <conditionalFormatting sqref="C94">
    <cfRule type="cellIs" dxfId="20385" priority="5749" stopIfTrue="1" operator="equal">
      <formula>"Towel"</formula>
    </cfRule>
    <cfRule type="cellIs" dxfId="20384" priority="5750" stopIfTrue="1" operator="equal">
      <formula>"Napkin Hs"</formula>
    </cfRule>
  </conditionalFormatting>
  <conditionalFormatting sqref="C94">
    <cfRule type="cellIs" dxfId="20383" priority="5747" stopIfTrue="1" operator="equal">
      <formula>"Towel"</formula>
    </cfRule>
    <cfRule type="cellIs" dxfId="20382" priority="5748" stopIfTrue="1" operator="equal">
      <formula>"Napkin Hs"</formula>
    </cfRule>
  </conditionalFormatting>
  <conditionalFormatting sqref="B94:C94">
    <cfRule type="cellIs" dxfId="20381" priority="5746" stopIfTrue="1" operator="equal">
      <formula>"Napkin Hs"</formula>
    </cfRule>
  </conditionalFormatting>
  <conditionalFormatting sqref="B94:C94">
    <cfRule type="cellIs" dxfId="20380" priority="5745" stopIfTrue="1" operator="equal">
      <formula>"Towel"</formula>
    </cfRule>
  </conditionalFormatting>
  <conditionalFormatting sqref="C94">
    <cfRule type="cellIs" dxfId="20379" priority="5744" stopIfTrue="1" operator="equal">
      <formula>"Napkin Hs"</formula>
    </cfRule>
  </conditionalFormatting>
  <conditionalFormatting sqref="C94">
    <cfRule type="cellIs" dxfId="20378" priority="5741" stopIfTrue="1" operator="equal">
      <formula>"Towel"</formula>
    </cfRule>
    <cfRule type="cellIs" dxfId="20377" priority="5742" stopIfTrue="1" operator="equal">
      <formula>"Napkin Hs"</formula>
    </cfRule>
  </conditionalFormatting>
  <conditionalFormatting sqref="C94">
    <cfRule type="cellIs" dxfId="20376" priority="5743" stopIfTrue="1" operator="equal">
      <formula>"Towel"</formula>
    </cfRule>
  </conditionalFormatting>
  <conditionalFormatting sqref="B93:C93">
    <cfRule type="cellIs" dxfId="20375" priority="5739" stopIfTrue="1" operator="equal">
      <formula>"Towel"</formula>
    </cfRule>
    <cfRule type="cellIs" dxfId="20374" priority="5740" stopIfTrue="1" operator="equal">
      <formula>"Napkin Hs"</formula>
    </cfRule>
  </conditionalFormatting>
  <conditionalFormatting sqref="C93">
    <cfRule type="cellIs" dxfId="20373" priority="5735" stopIfTrue="1" operator="equal">
      <formula>"Towel"</formula>
    </cfRule>
    <cfRule type="cellIs" dxfId="20372" priority="5736" stopIfTrue="1" operator="equal">
      <formula>"Napkin Hs"</formula>
    </cfRule>
  </conditionalFormatting>
  <conditionalFormatting sqref="C93">
    <cfRule type="cellIs" dxfId="20371" priority="5737" stopIfTrue="1" operator="equal">
      <formula>"Towel"</formula>
    </cfRule>
    <cfRule type="cellIs" dxfId="20370" priority="5738" stopIfTrue="1" operator="equal">
      <formula>"Napkin Hs"</formula>
    </cfRule>
  </conditionalFormatting>
  <conditionalFormatting sqref="B93:C93">
    <cfRule type="cellIs" dxfId="20369" priority="5734" stopIfTrue="1" operator="equal">
      <formula>"Napkin Hs"</formula>
    </cfRule>
  </conditionalFormatting>
  <conditionalFormatting sqref="B93:C93">
    <cfRule type="cellIs" dxfId="20368" priority="5733" stopIfTrue="1" operator="equal">
      <formula>"Towel"</formula>
    </cfRule>
  </conditionalFormatting>
  <conditionalFormatting sqref="C93">
    <cfRule type="cellIs" dxfId="20367" priority="5732" stopIfTrue="1" operator="equal">
      <formula>"Napkin Hs"</formula>
    </cfRule>
  </conditionalFormatting>
  <conditionalFormatting sqref="C93">
    <cfRule type="cellIs" dxfId="20366" priority="5731" stopIfTrue="1" operator="equal">
      <formula>"Towel"</formula>
    </cfRule>
  </conditionalFormatting>
  <conditionalFormatting sqref="C93">
    <cfRule type="cellIs" dxfId="20365" priority="5729" stopIfTrue="1" operator="equal">
      <formula>"Towel"</formula>
    </cfRule>
    <cfRule type="cellIs" dxfId="20364" priority="5730" stopIfTrue="1" operator="equal">
      <formula>"Napkin Hs"</formula>
    </cfRule>
  </conditionalFormatting>
  <conditionalFormatting sqref="B93:C93">
    <cfRule type="cellIs" dxfId="20363" priority="5727" stopIfTrue="1" operator="equal">
      <formula>"Towel"</formula>
    </cfRule>
    <cfRule type="cellIs" dxfId="20362" priority="5728" stopIfTrue="1" operator="equal">
      <formula>"Napkin Hs"</formula>
    </cfRule>
  </conditionalFormatting>
  <conditionalFormatting sqref="C93">
    <cfRule type="cellIs" dxfId="20361" priority="5725" stopIfTrue="1" operator="equal">
      <formula>"Towel"</formula>
    </cfRule>
    <cfRule type="cellIs" dxfId="20360" priority="5726" stopIfTrue="1" operator="equal">
      <formula>"Napkin Hs"</formula>
    </cfRule>
  </conditionalFormatting>
  <conditionalFormatting sqref="C93">
    <cfRule type="cellIs" dxfId="20359" priority="5723" stopIfTrue="1" operator="equal">
      <formula>"Towel"</formula>
    </cfRule>
    <cfRule type="cellIs" dxfId="20358" priority="5724" stopIfTrue="1" operator="equal">
      <formula>"Napkin Hs"</formula>
    </cfRule>
  </conditionalFormatting>
  <conditionalFormatting sqref="B93:C93">
    <cfRule type="cellIs" dxfId="20357" priority="5721" stopIfTrue="1" operator="equal">
      <formula>"Towel"</formula>
    </cfRule>
    <cfRule type="cellIs" dxfId="20356" priority="5722" stopIfTrue="1" operator="equal">
      <formula>"Napkin Hs"</formula>
    </cfRule>
  </conditionalFormatting>
  <conditionalFormatting sqref="C93">
    <cfRule type="cellIs" dxfId="20355" priority="5719" stopIfTrue="1" operator="equal">
      <formula>"Towel"</formula>
    </cfRule>
    <cfRule type="cellIs" dxfId="20354" priority="5720" stopIfTrue="1" operator="equal">
      <formula>"Napkin Hs"</formula>
    </cfRule>
  </conditionalFormatting>
  <conditionalFormatting sqref="C93">
    <cfRule type="cellIs" dxfId="20353" priority="5717" stopIfTrue="1" operator="equal">
      <formula>"Towel"</formula>
    </cfRule>
    <cfRule type="cellIs" dxfId="20352" priority="5718" stopIfTrue="1" operator="equal">
      <formula>"Napkin Hs"</formula>
    </cfRule>
  </conditionalFormatting>
  <conditionalFormatting sqref="B93:C93">
    <cfRule type="cellIs" dxfId="20351" priority="5715" stopIfTrue="1" operator="equal">
      <formula>"Towel"</formula>
    </cfRule>
    <cfRule type="cellIs" dxfId="20350" priority="5716" stopIfTrue="1" operator="equal">
      <formula>"Napkin Hs"</formula>
    </cfRule>
  </conditionalFormatting>
  <conditionalFormatting sqref="C93">
    <cfRule type="cellIs" dxfId="20349" priority="5713" stopIfTrue="1" operator="equal">
      <formula>"Towel"</formula>
    </cfRule>
    <cfRule type="cellIs" dxfId="20348" priority="5714" stopIfTrue="1" operator="equal">
      <formula>"Napkin Hs"</formula>
    </cfRule>
  </conditionalFormatting>
  <conditionalFormatting sqref="C93">
    <cfRule type="cellIs" dxfId="20347" priority="5711" stopIfTrue="1" operator="equal">
      <formula>"Towel"</formula>
    </cfRule>
    <cfRule type="cellIs" dxfId="20346" priority="5712" stopIfTrue="1" operator="equal">
      <formula>"Napkin Hs"</formula>
    </cfRule>
  </conditionalFormatting>
  <conditionalFormatting sqref="B93:C93">
    <cfRule type="cellIs" dxfId="20345" priority="5709" stopIfTrue="1" operator="equal">
      <formula>"Towel"</formula>
    </cfRule>
    <cfRule type="cellIs" dxfId="20344" priority="5710" stopIfTrue="1" operator="equal">
      <formula>"Napkin Hs"</formula>
    </cfRule>
  </conditionalFormatting>
  <conditionalFormatting sqref="C93">
    <cfRule type="cellIs" dxfId="20343" priority="5707" stopIfTrue="1" operator="equal">
      <formula>"Towel"</formula>
    </cfRule>
    <cfRule type="cellIs" dxfId="20342" priority="5708" stopIfTrue="1" operator="equal">
      <formula>"Napkin Hs"</formula>
    </cfRule>
  </conditionalFormatting>
  <conditionalFormatting sqref="C93">
    <cfRule type="cellIs" dxfId="20341" priority="5705" stopIfTrue="1" operator="equal">
      <formula>"Towel"</formula>
    </cfRule>
    <cfRule type="cellIs" dxfId="20340" priority="5706" stopIfTrue="1" operator="equal">
      <formula>"Napkin Hs"</formula>
    </cfRule>
  </conditionalFormatting>
  <conditionalFormatting sqref="B93:C93">
    <cfRule type="cellIs" dxfId="20339" priority="5703" stopIfTrue="1" operator="equal">
      <formula>"Towel"</formula>
    </cfRule>
    <cfRule type="cellIs" dxfId="20338" priority="5704" stopIfTrue="1" operator="equal">
      <formula>"Napkin Hs"</formula>
    </cfRule>
  </conditionalFormatting>
  <conditionalFormatting sqref="C93">
    <cfRule type="cellIs" dxfId="20337" priority="5701" stopIfTrue="1" operator="equal">
      <formula>"Towel"</formula>
    </cfRule>
    <cfRule type="cellIs" dxfId="20336" priority="5702" stopIfTrue="1" operator="equal">
      <formula>"Napkin Hs"</formula>
    </cfRule>
  </conditionalFormatting>
  <conditionalFormatting sqref="C93">
    <cfRule type="cellIs" dxfId="20335" priority="5699" stopIfTrue="1" operator="equal">
      <formula>"Towel"</formula>
    </cfRule>
    <cfRule type="cellIs" dxfId="20334" priority="5700" stopIfTrue="1" operator="equal">
      <formula>"Napkin Hs"</formula>
    </cfRule>
  </conditionalFormatting>
  <conditionalFormatting sqref="B93:C93">
    <cfRule type="cellIs" dxfId="20333" priority="5698" stopIfTrue="1" operator="equal">
      <formula>"Napkin Hs"</formula>
    </cfRule>
  </conditionalFormatting>
  <conditionalFormatting sqref="B93:C93">
    <cfRule type="cellIs" dxfId="20332" priority="5697" stopIfTrue="1" operator="equal">
      <formula>"Towel"</formula>
    </cfRule>
  </conditionalFormatting>
  <conditionalFormatting sqref="C93">
    <cfRule type="cellIs" dxfId="20331" priority="5696" stopIfTrue="1" operator="equal">
      <formula>"Napkin Hs"</formula>
    </cfRule>
  </conditionalFormatting>
  <conditionalFormatting sqref="C93">
    <cfRule type="cellIs" dxfId="20330" priority="5693" stopIfTrue="1" operator="equal">
      <formula>"Towel"</formula>
    </cfRule>
    <cfRule type="cellIs" dxfId="20329" priority="5694" stopIfTrue="1" operator="equal">
      <formula>"Napkin Hs"</formula>
    </cfRule>
  </conditionalFormatting>
  <conditionalFormatting sqref="C93">
    <cfRule type="cellIs" dxfId="20328" priority="5695" stopIfTrue="1" operator="equal">
      <formula>"Towel"</formula>
    </cfRule>
  </conditionalFormatting>
  <conditionalFormatting sqref="C93">
    <cfRule type="cellIs" dxfId="20327" priority="5615" stopIfTrue="1" operator="equal">
      <formula>"Towel"</formula>
    </cfRule>
    <cfRule type="cellIs" dxfId="20326" priority="5616" stopIfTrue="1" operator="equal">
      <formula>"Napkin Hs"</formula>
    </cfRule>
  </conditionalFormatting>
  <conditionalFormatting sqref="B93:C93">
    <cfRule type="cellIs" dxfId="20325" priority="5613" stopIfTrue="1" operator="equal">
      <formula>"Towel"</formula>
    </cfRule>
    <cfRule type="cellIs" dxfId="20324" priority="5614" stopIfTrue="1" operator="equal">
      <formula>"Napkin Hs"</formula>
    </cfRule>
  </conditionalFormatting>
  <conditionalFormatting sqref="C93">
    <cfRule type="cellIs" dxfId="20323" priority="5611" stopIfTrue="1" operator="equal">
      <formula>"Towel"</formula>
    </cfRule>
    <cfRule type="cellIs" dxfId="20322" priority="5612" stopIfTrue="1" operator="equal">
      <formula>"Napkin Hs"</formula>
    </cfRule>
  </conditionalFormatting>
  <conditionalFormatting sqref="C93">
    <cfRule type="cellIs" dxfId="20321" priority="5603" stopIfTrue="1" operator="equal">
      <formula>"Towel"</formula>
    </cfRule>
    <cfRule type="cellIs" dxfId="20320" priority="5604" stopIfTrue="1" operator="equal">
      <formula>"Napkin Hs"</formula>
    </cfRule>
  </conditionalFormatting>
  <conditionalFormatting sqref="B95:C95">
    <cfRule type="cellIs" dxfId="20319" priority="5685" stopIfTrue="1" operator="equal">
      <formula>"Towel"</formula>
    </cfRule>
    <cfRule type="cellIs" dxfId="20318" priority="5686" stopIfTrue="1" operator="equal">
      <formula>"Napkin Hs"</formula>
    </cfRule>
  </conditionalFormatting>
  <conditionalFormatting sqref="C95">
    <cfRule type="cellIs" dxfId="20317" priority="5681" stopIfTrue="1" operator="equal">
      <formula>"Towel"</formula>
    </cfRule>
    <cfRule type="cellIs" dxfId="20316" priority="5682" stopIfTrue="1" operator="equal">
      <formula>"Napkin Hs"</formula>
    </cfRule>
  </conditionalFormatting>
  <conditionalFormatting sqref="C95">
    <cfRule type="cellIs" dxfId="20315" priority="5683" stopIfTrue="1" operator="equal">
      <formula>"Towel"</formula>
    </cfRule>
    <cfRule type="cellIs" dxfId="20314" priority="5684" stopIfTrue="1" operator="equal">
      <formula>"Napkin Hs"</formula>
    </cfRule>
  </conditionalFormatting>
  <conditionalFormatting sqref="B95:C95">
    <cfRule type="cellIs" dxfId="20313" priority="5679" stopIfTrue="1" operator="equal">
      <formula>"Towel"</formula>
    </cfRule>
    <cfRule type="cellIs" dxfId="20312" priority="5680" stopIfTrue="1" operator="equal">
      <formula>"Napkin Hs"</formula>
    </cfRule>
  </conditionalFormatting>
  <conditionalFormatting sqref="C95">
    <cfRule type="cellIs" dxfId="20311" priority="5675" stopIfTrue="1" operator="equal">
      <formula>"Towel"</formula>
    </cfRule>
    <cfRule type="cellIs" dxfId="20310" priority="5676" stopIfTrue="1" operator="equal">
      <formula>"Napkin Hs"</formula>
    </cfRule>
  </conditionalFormatting>
  <conditionalFormatting sqref="C95">
    <cfRule type="cellIs" dxfId="20309" priority="5677" stopIfTrue="1" operator="equal">
      <formula>"Towel"</formula>
    </cfRule>
    <cfRule type="cellIs" dxfId="20308" priority="5678" stopIfTrue="1" operator="equal">
      <formula>"Napkin Hs"</formula>
    </cfRule>
  </conditionalFormatting>
  <conditionalFormatting sqref="B95:C95">
    <cfRule type="cellIs" dxfId="20307" priority="5673" stopIfTrue="1" operator="equal">
      <formula>"Towel"</formula>
    </cfRule>
    <cfRule type="cellIs" dxfId="20306" priority="5674" stopIfTrue="1" operator="equal">
      <formula>"Napkin Hs"</formula>
    </cfRule>
  </conditionalFormatting>
  <conditionalFormatting sqref="C95">
    <cfRule type="cellIs" dxfId="20305" priority="5671" stopIfTrue="1" operator="equal">
      <formula>"Towel"</formula>
    </cfRule>
    <cfRule type="cellIs" dxfId="20304" priority="5672" stopIfTrue="1" operator="equal">
      <formula>"Napkin Hs"</formula>
    </cfRule>
  </conditionalFormatting>
  <conditionalFormatting sqref="C95">
    <cfRule type="cellIs" dxfId="20303" priority="5669" stopIfTrue="1" operator="equal">
      <formula>"Towel"</formula>
    </cfRule>
    <cfRule type="cellIs" dxfId="20302" priority="5670" stopIfTrue="1" operator="equal">
      <formula>"Napkin Hs"</formula>
    </cfRule>
  </conditionalFormatting>
  <conditionalFormatting sqref="B95:C95">
    <cfRule type="cellIs" dxfId="20301" priority="5667" stopIfTrue="1" operator="equal">
      <formula>"Towel"</formula>
    </cfRule>
    <cfRule type="cellIs" dxfId="20300" priority="5668" stopIfTrue="1" operator="equal">
      <formula>"Napkin Hs"</formula>
    </cfRule>
  </conditionalFormatting>
  <conditionalFormatting sqref="C95">
    <cfRule type="cellIs" dxfId="20299" priority="5665" stopIfTrue="1" operator="equal">
      <formula>"Towel"</formula>
    </cfRule>
    <cfRule type="cellIs" dxfId="20298" priority="5666" stopIfTrue="1" operator="equal">
      <formula>"Napkin Hs"</formula>
    </cfRule>
  </conditionalFormatting>
  <conditionalFormatting sqref="C95">
    <cfRule type="cellIs" dxfId="20297" priority="5663" stopIfTrue="1" operator="equal">
      <formula>"Towel"</formula>
    </cfRule>
    <cfRule type="cellIs" dxfId="20296" priority="5664" stopIfTrue="1" operator="equal">
      <formula>"Napkin Hs"</formula>
    </cfRule>
  </conditionalFormatting>
  <conditionalFormatting sqref="B95:C95">
    <cfRule type="cellIs" dxfId="20295" priority="5661" stopIfTrue="1" operator="equal">
      <formula>"Towel"</formula>
    </cfRule>
    <cfRule type="cellIs" dxfId="20294" priority="5662" stopIfTrue="1" operator="equal">
      <formula>"Napkin Hs"</formula>
    </cfRule>
  </conditionalFormatting>
  <conditionalFormatting sqref="C95">
    <cfRule type="cellIs" dxfId="20293" priority="5659" stopIfTrue="1" operator="equal">
      <formula>"Towel"</formula>
    </cfRule>
    <cfRule type="cellIs" dxfId="20292" priority="5660" stopIfTrue="1" operator="equal">
      <formula>"Napkin Hs"</formula>
    </cfRule>
  </conditionalFormatting>
  <conditionalFormatting sqref="C95">
    <cfRule type="cellIs" dxfId="20291" priority="5657" stopIfTrue="1" operator="equal">
      <formula>"Towel"</formula>
    </cfRule>
    <cfRule type="cellIs" dxfId="20290" priority="5658" stopIfTrue="1" operator="equal">
      <formula>"Napkin Hs"</formula>
    </cfRule>
  </conditionalFormatting>
  <conditionalFormatting sqref="B95:C95">
    <cfRule type="cellIs" dxfId="20289" priority="5656" stopIfTrue="1" operator="equal">
      <formula>"Napkin Hs"</formula>
    </cfRule>
  </conditionalFormatting>
  <conditionalFormatting sqref="B95:C95">
    <cfRule type="cellIs" dxfId="20288" priority="5655" stopIfTrue="1" operator="equal">
      <formula>"Towel"</formula>
    </cfRule>
  </conditionalFormatting>
  <conditionalFormatting sqref="C95">
    <cfRule type="cellIs" dxfId="20287" priority="5654" stopIfTrue="1" operator="equal">
      <formula>"Napkin Hs"</formula>
    </cfRule>
  </conditionalFormatting>
  <conditionalFormatting sqref="C95">
    <cfRule type="cellIs" dxfId="20286" priority="5651" stopIfTrue="1" operator="equal">
      <formula>"Towel"</formula>
    </cfRule>
    <cfRule type="cellIs" dxfId="20285" priority="5652" stopIfTrue="1" operator="equal">
      <formula>"Napkin Hs"</formula>
    </cfRule>
  </conditionalFormatting>
  <conditionalFormatting sqref="C95">
    <cfRule type="cellIs" dxfId="20284" priority="5653" stopIfTrue="1" operator="equal">
      <formula>"Towel"</formula>
    </cfRule>
  </conditionalFormatting>
  <conditionalFormatting sqref="B93:C93">
    <cfRule type="cellIs" dxfId="20283" priority="5644" stopIfTrue="1" operator="equal">
      <formula>"Napkin Hs"</formula>
    </cfRule>
  </conditionalFormatting>
  <conditionalFormatting sqref="B93:C93">
    <cfRule type="cellIs" dxfId="20282" priority="5643" stopIfTrue="1" operator="equal">
      <formula>"Towel"</formula>
    </cfRule>
  </conditionalFormatting>
  <conditionalFormatting sqref="C93">
    <cfRule type="cellIs" dxfId="20281" priority="5642" stopIfTrue="1" operator="equal">
      <formula>"Napkin Hs"</formula>
    </cfRule>
  </conditionalFormatting>
  <conditionalFormatting sqref="C93">
    <cfRule type="cellIs" dxfId="20280" priority="5641" stopIfTrue="1" operator="equal">
      <formula>"Towel"</formula>
    </cfRule>
  </conditionalFormatting>
  <conditionalFormatting sqref="C93">
    <cfRule type="cellIs" dxfId="20279" priority="5639" stopIfTrue="1" operator="equal">
      <formula>"Towel"</formula>
    </cfRule>
    <cfRule type="cellIs" dxfId="20278" priority="5640" stopIfTrue="1" operator="equal">
      <formula>"Napkin Hs"</formula>
    </cfRule>
  </conditionalFormatting>
  <conditionalFormatting sqref="B93:C93">
    <cfRule type="cellIs" dxfId="20277" priority="5637" stopIfTrue="1" operator="equal">
      <formula>"Towel"</formula>
    </cfRule>
    <cfRule type="cellIs" dxfId="20276" priority="5638" stopIfTrue="1" operator="equal">
      <formula>"Napkin Hs"</formula>
    </cfRule>
  </conditionalFormatting>
  <conditionalFormatting sqref="C93">
    <cfRule type="cellIs" dxfId="20275" priority="5635" stopIfTrue="1" operator="equal">
      <formula>"Towel"</formula>
    </cfRule>
    <cfRule type="cellIs" dxfId="20274" priority="5636" stopIfTrue="1" operator="equal">
      <formula>"Napkin Hs"</formula>
    </cfRule>
  </conditionalFormatting>
  <conditionalFormatting sqref="C93">
    <cfRule type="cellIs" dxfId="20273" priority="5633" stopIfTrue="1" operator="equal">
      <formula>"Towel"</formula>
    </cfRule>
    <cfRule type="cellIs" dxfId="20272" priority="5634" stopIfTrue="1" operator="equal">
      <formula>"Napkin Hs"</formula>
    </cfRule>
  </conditionalFormatting>
  <conditionalFormatting sqref="B93:C93">
    <cfRule type="cellIs" dxfId="20271" priority="5631" stopIfTrue="1" operator="equal">
      <formula>"Towel"</formula>
    </cfRule>
    <cfRule type="cellIs" dxfId="20270" priority="5632" stopIfTrue="1" operator="equal">
      <formula>"Napkin Hs"</formula>
    </cfRule>
  </conditionalFormatting>
  <conditionalFormatting sqref="C93">
    <cfRule type="cellIs" dxfId="20269" priority="5629" stopIfTrue="1" operator="equal">
      <formula>"Towel"</formula>
    </cfRule>
    <cfRule type="cellIs" dxfId="20268" priority="5630" stopIfTrue="1" operator="equal">
      <formula>"Napkin Hs"</formula>
    </cfRule>
  </conditionalFormatting>
  <conditionalFormatting sqref="C93">
    <cfRule type="cellIs" dxfId="20267" priority="5627" stopIfTrue="1" operator="equal">
      <formula>"Towel"</formula>
    </cfRule>
    <cfRule type="cellIs" dxfId="20266" priority="5628" stopIfTrue="1" operator="equal">
      <formula>"Napkin Hs"</formula>
    </cfRule>
  </conditionalFormatting>
  <conditionalFormatting sqref="B93:C93">
    <cfRule type="cellIs" dxfId="20265" priority="5625" stopIfTrue="1" operator="equal">
      <formula>"Towel"</formula>
    </cfRule>
    <cfRule type="cellIs" dxfId="20264" priority="5626" stopIfTrue="1" operator="equal">
      <formula>"Napkin Hs"</formula>
    </cfRule>
  </conditionalFormatting>
  <conditionalFormatting sqref="C93">
    <cfRule type="cellIs" dxfId="20263" priority="5623" stopIfTrue="1" operator="equal">
      <formula>"Towel"</formula>
    </cfRule>
    <cfRule type="cellIs" dxfId="20262" priority="5624" stopIfTrue="1" operator="equal">
      <formula>"Napkin Hs"</formula>
    </cfRule>
  </conditionalFormatting>
  <conditionalFormatting sqref="C93">
    <cfRule type="cellIs" dxfId="20261" priority="5621" stopIfTrue="1" operator="equal">
      <formula>"Towel"</formula>
    </cfRule>
    <cfRule type="cellIs" dxfId="20260" priority="5622" stopIfTrue="1" operator="equal">
      <formula>"Napkin Hs"</formula>
    </cfRule>
  </conditionalFormatting>
  <conditionalFormatting sqref="B93:C93">
    <cfRule type="cellIs" dxfId="20259" priority="5619" stopIfTrue="1" operator="equal">
      <formula>"Towel"</formula>
    </cfRule>
    <cfRule type="cellIs" dxfId="20258" priority="5620" stopIfTrue="1" operator="equal">
      <formula>"Napkin Hs"</formula>
    </cfRule>
  </conditionalFormatting>
  <conditionalFormatting sqref="C93">
    <cfRule type="cellIs" dxfId="20257" priority="5617" stopIfTrue="1" operator="equal">
      <formula>"Towel"</formula>
    </cfRule>
    <cfRule type="cellIs" dxfId="20256" priority="5618" stopIfTrue="1" operator="equal">
      <formula>"Napkin Hs"</formula>
    </cfRule>
  </conditionalFormatting>
  <conditionalFormatting sqref="C93">
    <cfRule type="cellIs" dxfId="20255" priority="5609" stopIfTrue="1" operator="equal">
      <formula>"Towel"</formula>
    </cfRule>
    <cfRule type="cellIs" dxfId="20254" priority="5610" stopIfTrue="1" operator="equal">
      <formula>"Napkin Hs"</formula>
    </cfRule>
  </conditionalFormatting>
  <conditionalFormatting sqref="B93:C93">
    <cfRule type="cellIs" dxfId="20253" priority="5608" stopIfTrue="1" operator="equal">
      <formula>"Napkin Hs"</formula>
    </cfRule>
  </conditionalFormatting>
  <conditionalFormatting sqref="B93:C93">
    <cfRule type="cellIs" dxfId="20252" priority="5607" stopIfTrue="1" operator="equal">
      <formula>"Towel"</formula>
    </cfRule>
  </conditionalFormatting>
  <conditionalFormatting sqref="C93">
    <cfRule type="cellIs" dxfId="20251" priority="5606" stopIfTrue="1" operator="equal">
      <formula>"Napkin Hs"</formula>
    </cfRule>
  </conditionalFormatting>
  <conditionalFormatting sqref="C93">
    <cfRule type="cellIs" dxfId="20250" priority="5605" stopIfTrue="1" operator="equal">
      <formula>"Towel"</formula>
    </cfRule>
  </conditionalFormatting>
  <conditionalFormatting sqref="B93:C93">
    <cfRule type="cellIs" dxfId="20249" priority="5649" stopIfTrue="1" operator="equal">
      <formula>"Towel"</formula>
    </cfRule>
    <cfRule type="cellIs" dxfId="20248" priority="5650" stopIfTrue="1" operator="equal">
      <formula>"Napkin Hs"</formula>
    </cfRule>
  </conditionalFormatting>
  <conditionalFormatting sqref="C93">
    <cfRule type="cellIs" dxfId="20247" priority="5645" stopIfTrue="1" operator="equal">
      <formula>"Towel"</formula>
    </cfRule>
    <cfRule type="cellIs" dxfId="20246" priority="5646" stopIfTrue="1" operator="equal">
      <formula>"Napkin Hs"</formula>
    </cfRule>
  </conditionalFormatting>
  <conditionalFormatting sqref="C93">
    <cfRule type="cellIs" dxfId="20245" priority="5647" stopIfTrue="1" operator="equal">
      <formula>"Towel"</formula>
    </cfRule>
    <cfRule type="cellIs" dxfId="20244" priority="5648" stopIfTrue="1" operator="equal">
      <formula>"Napkin Hs"</formula>
    </cfRule>
  </conditionalFormatting>
  <conditionalFormatting sqref="B94:C94">
    <cfRule type="cellIs" dxfId="20243" priority="5601" stopIfTrue="1" operator="equal">
      <formula>"Towel"</formula>
    </cfRule>
    <cfRule type="cellIs" dxfId="20242" priority="5602" stopIfTrue="1" operator="equal">
      <formula>"Napkin Hs"</formula>
    </cfRule>
  </conditionalFormatting>
  <conditionalFormatting sqref="C94">
    <cfRule type="cellIs" dxfId="20241" priority="5597" stopIfTrue="1" operator="equal">
      <formula>"Towel"</formula>
    </cfRule>
    <cfRule type="cellIs" dxfId="20240" priority="5598" stopIfTrue="1" operator="equal">
      <formula>"Napkin Hs"</formula>
    </cfRule>
  </conditionalFormatting>
  <conditionalFormatting sqref="C94">
    <cfRule type="cellIs" dxfId="20239" priority="5599" stopIfTrue="1" operator="equal">
      <formula>"Towel"</formula>
    </cfRule>
    <cfRule type="cellIs" dxfId="20238" priority="5600" stopIfTrue="1" operator="equal">
      <formula>"Napkin Hs"</formula>
    </cfRule>
  </conditionalFormatting>
  <conditionalFormatting sqref="B94:C94">
    <cfRule type="cellIs" dxfId="20237" priority="5596" stopIfTrue="1" operator="equal">
      <formula>"Napkin Hs"</formula>
    </cfRule>
  </conditionalFormatting>
  <conditionalFormatting sqref="B94:C94">
    <cfRule type="cellIs" dxfId="20236" priority="5595" stopIfTrue="1" operator="equal">
      <formula>"Towel"</formula>
    </cfRule>
  </conditionalFormatting>
  <conditionalFormatting sqref="C94">
    <cfRule type="cellIs" dxfId="20235" priority="5594" stopIfTrue="1" operator="equal">
      <formula>"Napkin Hs"</formula>
    </cfRule>
  </conditionalFormatting>
  <conditionalFormatting sqref="C94">
    <cfRule type="cellIs" dxfId="20234" priority="5593" stopIfTrue="1" operator="equal">
      <formula>"Towel"</formula>
    </cfRule>
  </conditionalFormatting>
  <conditionalFormatting sqref="C94">
    <cfRule type="cellIs" dxfId="20233" priority="5591" stopIfTrue="1" operator="equal">
      <formula>"Towel"</formula>
    </cfRule>
    <cfRule type="cellIs" dxfId="20232" priority="5592" stopIfTrue="1" operator="equal">
      <formula>"Napkin Hs"</formula>
    </cfRule>
  </conditionalFormatting>
  <conditionalFormatting sqref="B94:C94">
    <cfRule type="cellIs" dxfId="20231" priority="5589" stopIfTrue="1" operator="equal">
      <formula>"Towel"</formula>
    </cfRule>
    <cfRule type="cellIs" dxfId="20230" priority="5590" stopIfTrue="1" operator="equal">
      <formula>"Napkin Hs"</formula>
    </cfRule>
  </conditionalFormatting>
  <conditionalFormatting sqref="C94">
    <cfRule type="cellIs" dxfId="20229" priority="5587" stopIfTrue="1" operator="equal">
      <formula>"Towel"</formula>
    </cfRule>
    <cfRule type="cellIs" dxfId="20228" priority="5588" stopIfTrue="1" operator="equal">
      <formula>"Napkin Hs"</formula>
    </cfRule>
  </conditionalFormatting>
  <conditionalFormatting sqref="C94">
    <cfRule type="cellIs" dxfId="20227" priority="5585" stopIfTrue="1" operator="equal">
      <formula>"Towel"</formula>
    </cfRule>
    <cfRule type="cellIs" dxfId="20226" priority="5586" stopIfTrue="1" operator="equal">
      <formula>"Napkin Hs"</formula>
    </cfRule>
  </conditionalFormatting>
  <conditionalFormatting sqref="B94:C94">
    <cfRule type="cellIs" dxfId="20225" priority="5583" stopIfTrue="1" operator="equal">
      <formula>"Towel"</formula>
    </cfRule>
    <cfRule type="cellIs" dxfId="20224" priority="5584" stopIfTrue="1" operator="equal">
      <formula>"Napkin Hs"</formula>
    </cfRule>
  </conditionalFormatting>
  <conditionalFormatting sqref="C94">
    <cfRule type="cellIs" dxfId="20223" priority="5581" stopIfTrue="1" operator="equal">
      <formula>"Towel"</formula>
    </cfRule>
    <cfRule type="cellIs" dxfId="20222" priority="5582" stopIfTrue="1" operator="equal">
      <formula>"Napkin Hs"</formula>
    </cfRule>
  </conditionalFormatting>
  <conditionalFormatting sqref="C94">
    <cfRule type="cellIs" dxfId="20221" priority="5579" stopIfTrue="1" operator="equal">
      <formula>"Towel"</formula>
    </cfRule>
    <cfRule type="cellIs" dxfId="20220" priority="5580" stopIfTrue="1" operator="equal">
      <formula>"Napkin Hs"</formula>
    </cfRule>
  </conditionalFormatting>
  <conditionalFormatting sqref="B94:C94">
    <cfRule type="cellIs" dxfId="20219" priority="5577" stopIfTrue="1" operator="equal">
      <formula>"Towel"</formula>
    </cfRule>
    <cfRule type="cellIs" dxfId="20218" priority="5578" stopIfTrue="1" operator="equal">
      <formula>"Napkin Hs"</formula>
    </cfRule>
  </conditionalFormatting>
  <conditionalFormatting sqref="C94">
    <cfRule type="cellIs" dxfId="20217" priority="5575" stopIfTrue="1" operator="equal">
      <formula>"Towel"</formula>
    </cfRule>
    <cfRule type="cellIs" dxfId="20216" priority="5576" stopIfTrue="1" operator="equal">
      <formula>"Napkin Hs"</formula>
    </cfRule>
  </conditionalFormatting>
  <conditionalFormatting sqref="C94">
    <cfRule type="cellIs" dxfId="20215" priority="5573" stopIfTrue="1" operator="equal">
      <formula>"Towel"</formula>
    </cfRule>
    <cfRule type="cellIs" dxfId="20214" priority="5574" stopIfTrue="1" operator="equal">
      <formula>"Napkin Hs"</formula>
    </cfRule>
  </conditionalFormatting>
  <conditionalFormatting sqref="B94:C94">
    <cfRule type="cellIs" dxfId="20213" priority="5571" stopIfTrue="1" operator="equal">
      <formula>"Towel"</formula>
    </cfRule>
    <cfRule type="cellIs" dxfId="20212" priority="5572" stopIfTrue="1" operator="equal">
      <formula>"Napkin Hs"</formula>
    </cfRule>
  </conditionalFormatting>
  <conditionalFormatting sqref="C94">
    <cfRule type="cellIs" dxfId="20211" priority="5569" stopIfTrue="1" operator="equal">
      <formula>"Towel"</formula>
    </cfRule>
    <cfRule type="cellIs" dxfId="20210" priority="5570" stopIfTrue="1" operator="equal">
      <formula>"Napkin Hs"</formula>
    </cfRule>
  </conditionalFormatting>
  <conditionalFormatting sqref="C94">
    <cfRule type="cellIs" dxfId="20209" priority="5567" stopIfTrue="1" operator="equal">
      <formula>"Towel"</formula>
    </cfRule>
    <cfRule type="cellIs" dxfId="20208" priority="5568" stopIfTrue="1" operator="equal">
      <formula>"Napkin Hs"</formula>
    </cfRule>
  </conditionalFormatting>
  <conditionalFormatting sqref="B94:C94">
    <cfRule type="cellIs" dxfId="20207" priority="5565" stopIfTrue="1" operator="equal">
      <formula>"Towel"</formula>
    </cfRule>
    <cfRule type="cellIs" dxfId="20206" priority="5566" stopIfTrue="1" operator="equal">
      <formula>"Napkin Hs"</formula>
    </cfRule>
  </conditionalFormatting>
  <conditionalFormatting sqref="C94">
    <cfRule type="cellIs" dxfId="20205" priority="5563" stopIfTrue="1" operator="equal">
      <formula>"Towel"</formula>
    </cfRule>
    <cfRule type="cellIs" dxfId="20204" priority="5564" stopIfTrue="1" operator="equal">
      <formula>"Napkin Hs"</formula>
    </cfRule>
  </conditionalFormatting>
  <conditionalFormatting sqref="C94">
    <cfRule type="cellIs" dxfId="20203" priority="5561" stopIfTrue="1" operator="equal">
      <formula>"Towel"</formula>
    </cfRule>
    <cfRule type="cellIs" dxfId="20202" priority="5562" stopIfTrue="1" operator="equal">
      <formula>"Napkin Hs"</formula>
    </cfRule>
  </conditionalFormatting>
  <conditionalFormatting sqref="B94:C94">
    <cfRule type="cellIs" dxfId="20201" priority="5560" stopIfTrue="1" operator="equal">
      <formula>"Napkin Hs"</formula>
    </cfRule>
  </conditionalFormatting>
  <conditionalFormatting sqref="B94:C94">
    <cfRule type="cellIs" dxfId="20200" priority="5559" stopIfTrue="1" operator="equal">
      <formula>"Towel"</formula>
    </cfRule>
  </conditionalFormatting>
  <conditionalFormatting sqref="C94">
    <cfRule type="cellIs" dxfId="20199" priority="5558" stopIfTrue="1" operator="equal">
      <formula>"Napkin Hs"</formula>
    </cfRule>
  </conditionalFormatting>
  <conditionalFormatting sqref="C94">
    <cfRule type="cellIs" dxfId="20198" priority="5555" stopIfTrue="1" operator="equal">
      <formula>"Towel"</formula>
    </cfRule>
    <cfRule type="cellIs" dxfId="20197" priority="5556" stopIfTrue="1" operator="equal">
      <formula>"Napkin Hs"</formula>
    </cfRule>
  </conditionalFormatting>
  <conditionalFormatting sqref="C94">
    <cfRule type="cellIs" dxfId="20196" priority="5557" stopIfTrue="1" operator="equal">
      <formula>"Towel"</formula>
    </cfRule>
  </conditionalFormatting>
  <conditionalFormatting sqref="C95">
    <cfRule type="cellIs" dxfId="20195" priority="5485" stopIfTrue="1" operator="equal">
      <formula>"Towel"</formula>
    </cfRule>
    <cfRule type="cellIs" dxfId="20194" priority="5486" stopIfTrue="1" operator="equal">
      <formula>"Napkin Hs"</formula>
    </cfRule>
  </conditionalFormatting>
  <conditionalFormatting sqref="B95:C95">
    <cfRule type="cellIs" dxfId="20193" priority="5483" stopIfTrue="1" operator="equal">
      <formula>"Towel"</formula>
    </cfRule>
    <cfRule type="cellIs" dxfId="20192" priority="5484" stopIfTrue="1" operator="equal">
      <formula>"Napkin Hs"</formula>
    </cfRule>
  </conditionalFormatting>
  <conditionalFormatting sqref="C95">
    <cfRule type="cellIs" dxfId="20191" priority="5481" stopIfTrue="1" operator="equal">
      <formula>"Towel"</formula>
    </cfRule>
    <cfRule type="cellIs" dxfId="20190" priority="5482" stopIfTrue="1" operator="equal">
      <formula>"Napkin Hs"</formula>
    </cfRule>
  </conditionalFormatting>
  <conditionalFormatting sqref="C95">
    <cfRule type="cellIs" dxfId="20189" priority="5473" stopIfTrue="1" operator="equal">
      <formula>"Towel"</formula>
    </cfRule>
    <cfRule type="cellIs" dxfId="20188" priority="5474" stopIfTrue="1" operator="equal">
      <formula>"Napkin Hs"</formula>
    </cfRule>
  </conditionalFormatting>
  <conditionalFormatting sqref="B95:C95">
    <cfRule type="cellIs" dxfId="20187" priority="5549" stopIfTrue="1" operator="equal">
      <formula>"Towel"</formula>
    </cfRule>
    <cfRule type="cellIs" dxfId="20186" priority="5550" stopIfTrue="1" operator="equal">
      <formula>"Napkin Hs"</formula>
    </cfRule>
  </conditionalFormatting>
  <conditionalFormatting sqref="C95">
    <cfRule type="cellIs" dxfId="20185" priority="5545" stopIfTrue="1" operator="equal">
      <formula>"Towel"</formula>
    </cfRule>
    <cfRule type="cellIs" dxfId="20184" priority="5546" stopIfTrue="1" operator="equal">
      <formula>"Napkin Hs"</formula>
    </cfRule>
  </conditionalFormatting>
  <conditionalFormatting sqref="C95">
    <cfRule type="cellIs" dxfId="20183" priority="5547" stopIfTrue="1" operator="equal">
      <formula>"Towel"</formula>
    </cfRule>
    <cfRule type="cellIs" dxfId="20182" priority="5548" stopIfTrue="1" operator="equal">
      <formula>"Napkin Hs"</formula>
    </cfRule>
  </conditionalFormatting>
  <conditionalFormatting sqref="B95:C95">
    <cfRule type="cellIs" dxfId="20181" priority="5514" stopIfTrue="1" operator="equal">
      <formula>"Napkin Hs"</formula>
    </cfRule>
  </conditionalFormatting>
  <conditionalFormatting sqref="B95:C95">
    <cfRule type="cellIs" dxfId="20180" priority="5513" stopIfTrue="1" operator="equal">
      <formula>"Towel"</formula>
    </cfRule>
  </conditionalFormatting>
  <conditionalFormatting sqref="C95">
    <cfRule type="cellIs" dxfId="20179" priority="5512" stopIfTrue="1" operator="equal">
      <formula>"Napkin Hs"</formula>
    </cfRule>
  </conditionalFormatting>
  <conditionalFormatting sqref="C95">
    <cfRule type="cellIs" dxfId="20178" priority="5511" stopIfTrue="1" operator="equal">
      <formula>"Towel"</formula>
    </cfRule>
  </conditionalFormatting>
  <conditionalFormatting sqref="C95">
    <cfRule type="cellIs" dxfId="20177" priority="5509" stopIfTrue="1" operator="equal">
      <formula>"Towel"</formula>
    </cfRule>
    <cfRule type="cellIs" dxfId="20176" priority="5510" stopIfTrue="1" operator="equal">
      <formula>"Napkin Hs"</formula>
    </cfRule>
  </conditionalFormatting>
  <conditionalFormatting sqref="B95:C95">
    <cfRule type="cellIs" dxfId="20175" priority="5507" stopIfTrue="1" operator="equal">
      <formula>"Towel"</formula>
    </cfRule>
    <cfRule type="cellIs" dxfId="20174" priority="5508" stopIfTrue="1" operator="equal">
      <formula>"Napkin Hs"</formula>
    </cfRule>
  </conditionalFormatting>
  <conditionalFormatting sqref="C95">
    <cfRule type="cellIs" dxfId="20173" priority="5505" stopIfTrue="1" operator="equal">
      <formula>"Towel"</formula>
    </cfRule>
    <cfRule type="cellIs" dxfId="20172" priority="5506" stopIfTrue="1" operator="equal">
      <formula>"Napkin Hs"</formula>
    </cfRule>
  </conditionalFormatting>
  <conditionalFormatting sqref="C95">
    <cfRule type="cellIs" dxfId="20171" priority="5503" stopIfTrue="1" operator="equal">
      <formula>"Towel"</formula>
    </cfRule>
    <cfRule type="cellIs" dxfId="20170" priority="5504" stopIfTrue="1" operator="equal">
      <formula>"Napkin Hs"</formula>
    </cfRule>
  </conditionalFormatting>
  <conditionalFormatting sqref="B95:C95">
    <cfRule type="cellIs" dxfId="20169" priority="5501" stopIfTrue="1" operator="equal">
      <formula>"Towel"</formula>
    </cfRule>
    <cfRule type="cellIs" dxfId="20168" priority="5502" stopIfTrue="1" operator="equal">
      <formula>"Napkin Hs"</formula>
    </cfRule>
  </conditionalFormatting>
  <conditionalFormatting sqref="C95">
    <cfRule type="cellIs" dxfId="20167" priority="5499" stopIfTrue="1" operator="equal">
      <formula>"Towel"</formula>
    </cfRule>
    <cfRule type="cellIs" dxfId="20166" priority="5500" stopIfTrue="1" operator="equal">
      <formula>"Napkin Hs"</formula>
    </cfRule>
  </conditionalFormatting>
  <conditionalFormatting sqref="C95">
    <cfRule type="cellIs" dxfId="20165" priority="5497" stopIfTrue="1" operator="equal">
      <formula>"Towel"</formula>
    </cfRule>
    <cfRule type="cellIs" dxfId="20164" priority="5498" stopIfTrue="1" operator="equal">
      <formula>"Napkin Hs"</formula>
    </cfRule>
  </conditionalFormatting>
  <conditionalFormatting sqref="B95:C95">
    <cfRule type="cellIs" dxfId="20163" priority="5495" stopIfTrue="1" operator="equal">
      <formula>"Towel"</formula>
    </cfRule>
    <cfRule type="cellIs" dxfId="20162" priority="5496" stopIfTrue="1" operator="equal">
      <formula>"Napkin Hs"</formula>
    </cfRule>
  </conditionalFormatting>
  <conditionalFormatting sqref="C95">
    <cfRule type="cellIs" dxfId="20161" priority="5493" stopIfTrue="1" operator="equal">
      <formula>"Towel"</formula>
    </cfRule>
    <cfRule type="cellIs" dxfId="20160" priority="5494" stopIfTrue="1" operator="equal">
      <formula>"Napkin Hs"</formula>
    </cfRule>
  </conditionalFormatting>
  <conditionalFormatting sqref="C95">
    <cfRule type="cellIs" dxfId="20159" priority="5491" stopIfTrue="1" operator="equal">
      <formula>"Towel"</formula>
    </cfRule>
    <cfRule type="cellIs" dxfId="20158" priority="5492" stopIfTrue="1" operator="equal">
      <formula>"Napkin Hs"</formula>
    </cfRule>
  </conditionalFormatting>
  <conditionalFormatting sqref="B95:C95">
    <cfRule type="cellIs" dxfId="20157" priority="5489" stopIfTrue="1" operator="equal">
      <formula>"Towel"</formula>
    </cfRule>
    <cfRule type="cellIs" dxfId="20156" priority="5490" stopIfTrue="1" operator="equal">
      <formula>"Napkin Hs"</formula>
    </cfRule>
  </conditionalFormatting>
  <conditionalFormatting sqref="C95">
    <cfRule type="cellIs" dxfId="20155" priority="5487" stopIfTrue="1" operator="equal">
      <formula>"Towel"</formula>
    </cfRule>
    <cfRule type="cellIs" dxfId="20154" priority="5488" stopIfTrue="1" operator="equal">
      <formula>"Napkin Hs"</formula>
    </cfRule>
  </conditionalFormatting>
  <conditionalFormatting sqref="C95">
    <cfRule type="cellIs" dxfId="20153" priority="5479" stopIfTrue="1" operator="equal">
      <formula>"Towel"</formula>
    </cfRule>
    <cfRule type="cellIs" dxfId="20152" priority="5480" stopIfTrue="1" operator="equal">
      <formula>"Napkin Hs"</formula>
    </cfRule>
  </conditionalFormatting>
  <conditionalFormatting sqref="B95:C95">
    <cfRule type="cellIs" dxfId="20151" priority="5478" stopIfTrue="1" operator="equal">
      <formula>"Napkin Hs"</formula>
    </cfRule>
  </conditionalFormatting>
  <conditionalFormatting sqref="B95:C95">
    <cfRule type="cellIs" dxfId="20150" priority="5477" stopIfTrue="1" operator="equal">
      <formula>"Towel"</formula>
    </cfRule>
  </conditionalFormatting>
  <conditionalFormatting sqref="C95">
    <cfRule type="cellIs" dxfId="20149" priority="5476" stopIfTrue="1" operator="equal">
      <formula>"Napkin Hs"</formula>
    </cfRule>
  </conditionalFormatting>
  <conditionalFormatting sqref="C95">
    <cfRule type="cellIs" dxfId="20148" priority="5475" stopIfTrue="1" operator="equal">
      <formula>"Towel"</formula>
    </cfRule>
  </conditionalFormatting>
  <conditionalFormatting sqref="C94">
    <cfRule type="cellIs" dxfId="20147" priority="5437" stopIfTrue="1" operator="equal">
      <formula>"Towel"</formula>
    </cfRule>
    <cfRule type="cellIs" dxfId="20146" priority="5438" stopIfTrue="1" operator="equal">
      <formula>"Napkin Hs"</formula>
    </cfRule>
  </conditionalFormatting>
  <conditionalFormatting sqref="B94:C94">
    <cfRule type="cellIs" dxfId="20145" priority="5435" stopIfTrue="1" operator="equal">
      <formula>"Towel"</formula>
    </cfRule>
    <cfRule type="cellIs" dxfId="20144" priority="5436" stopIfTrue="1" operator="equal">
      <formula>"Napkin Hs"</formula>
    </cfRule>
  </conditionalFormatting>
  <conditionalFormatting sqref="C94">
    <cfRule type="cellIs" dxfId="20143" priority="5433" stopIfTrue="1" operator="equal">
      <formula>"Towel"</formula>
    </cfRule>
    <cfRule type="cellIs" dxfId="20142" priority="5434" stopIfTrue="1" operator="equal">
      <formula>"Napkin Hs"</formula>
    </cfRule>
  </conditionalFormatting>
  <conditionalFormatting sqref="C94">
    <cfRule type="cellIs" dxfId="20141" priority="5425" stopIfTrue="1" operator="equal">
      <formula>"Towel"</formula>
    </cfRule>
    <cfRule type="cellIs" dxfId="20140" priority="5426" stopIfTrue="1" operator="equal">
      <formula>"Napkin Hs"</formula>
    </cfRule>
  </conditionalFormatting>
  <conditionalFormatting sqref="B94:C94">
    <cfRule type="cellIs" dxfId="20139" priority="5471" stopIfTrue="1" operator="equal">
      <formula>"Towel"</formula>
    </cfRule>
    <cfRule type="cellIs" dxfId="20138" priority="5472" stopIfTrue="1" operator="equal">
      <formula>"Napkin Hs"</formula>
    </cfRule>
  </conditionalFormatting>
  <conditionalFormatting sqref="C94">
    <cfRule type="cellIs" dxfId="20137" priority="5467" stopIfTrue="1" operator="equal">
      <formula>"Towel"</formula>
    </cfRule>
    <cfRule type="cellIs" dxfId="20136" priority="5468" stopIfTrue="1" operator="equal">
      <formula>"Napkin Hs"</formula>
    </cfRule>
  </conditionalFormatting>
  <conditionalFormatting sqref="C94">
    <cfRule type="cellIs" dxfId="20135" priority="5469" stopIfTrue="1" operator="equal">
      <formula>"Towel"</formula>
    </cfRule>
    <cfRule type="cellIs" dxfId="20134" priority="5470" stopIfTrue="1" operator="equal">
      <formula>"Napkin Hs"</formula>
    </cfRule>
  </conditionalFormatting>
  <conditionalFormatting sqref="B94:C94">
    <cfRule type="cellIs" dxfId="20133" priority="5466" stopIfTrue="1" operator="equal">
      <formula>"Napkin Hs"</formula>
    </cfRule>
  </conditionalFormatting>
  <conditionalFormatting sqref="B94:C94">
    <cfRule type="cellIs" dxfId="20132" priority="5465" stopIfTrue="1" operator="equal">
      <formula>"Towel"</formula>
    </cfRule>
  </conditionalFormatting>
  <conditionalFormatting sqref="C94">
    <cfRule type="cellIs" dxfId="20131" priority="5464" stopIfTrue="1" operator="equal">
      <formula>"Napkin Hs"</formula>
    </cfRule>
  </conditionalFormatting>
  <conditionalFormatting sqref="C94">
    <cfRule type="cellIs" dxfId="20130" priority="5463" stopIfTrue="1" operator="equal">
      <formula>"Towel"</formula>
    </cfRule>
  </conditionalFormatting>
  <conditionalFormatting sqref="C94">
    <cfRule type="cellIs" dxfId="20129" priority="5461" stopIfTrue="1" operator="equal">
      <formula>"Towel"</formula>
    </cfRule>
    <cfRule type="cellIs" dxfId="20128" priority="5462" stopIfTrue="1" operator="equal">
      <formula>"Napkin Hs"</formula>
    </cfRule>
  </conditionalFormatting>
  <conditionalFormatting sqref="B94:C94">
    <cfRule type="cellIs" dxfId="20127" priority="5459" stopIfTrue="1" operator="equal">
      <formula>"Towel"</formula>
    </cfRule>
    <cfRule type="cellIs" dxfId="20126" priority="5460" stopIfTrue="1" operator="equal">
      <formula>"Napkin Hs"</formula>
    </cfRule>
  </conditionalFormatting>
  <conditionalFormatting sqref="C94">
    <cfRule type="cellIs" dxfId="20125" priority="5457" stopIfTrue="1" operator="equal">
      <formula>"Towel"</formula>
    </cfRule>
    <cfRule type="cellIs" dxfId="20124" priority="5458" stopIfTrue="1" operator="equal">
      <formula>"Napkin Hs"</formula>
    </cfRule>
  </conditionalFormatting>
  <conditionalFormatting sqref="C94">
    <cfRule type="cellIs" dxfId="20123" priority="5455" stopIfTrue="1" operator="equal">
      <formula>"Towel"</formula>
    </cfRule>
    <cfRule type="cellIs" dxfId="20122" priority="5456" stopIfTrue="1" operator="equal">
      <formula>"Napkin Hs"</formula>
    </cfRule>
  </conditionalFormatting>
  <conditionalFormatting sqref="B94:C94">
    <cfRule type="cellIs" dxfId="20121" priority="5453" stopIfTrue="1" operator="equal">
      <formula>"Towel"</formula>
    </cfRule>
    <cfRule type="cellIs" dxfId="20120" priority="5454" stopIfTrue="1" operator="equal">
      <formula>"Napkin Hs"</formula>
    </cfRule>
  </conditionalFormatting>
  <conditionalFormatting sqref="C94">
    <cfRule type="cellIs" dxfId="20119" priority="5451" stopIfTrue="1" operator="equal">
      <formula>"Towel"</formula>
    </cfRule>
    <cfRule type="cellIs" dxfId="20118" priority="5452" stopIfTrue="1" operator="equal">
      <formula>"Napkin Hs"</formula>
    </cfRule>
  </conditionalFormatting>
  <conditionalFormatting sqref="C94">
    <cfRule type="cellIs" dxfId="20117" priority="5449" stopIfTrue="1" operator="equal">
      <formula>"Towel"</formula>
    </cfRule>
    <cfRule type="cellIs" dxfId="20116" priority="5450" stopIfTrue="1" operator="equal">
      <formula>"Napkin Hs"</formula>
    </cfRule>
  </conditionalFormatting>
  <conditionalFormatting sqref="B94:C94">
    <cfRule type="cellIs" dxfId="20115" priority="5447" stopIfTrue="1" operator="equal">
      <formula>"Towel"</formula>
    </cfRule>
    <cfRule type="cellIs" dxfId="20114" priority="5448" stopIfTrue="1" operator="equal">
      <formula>"Napkin Hs"</formula>
    </cfRule>
  </conditionalFormatting>
  <conditionalFormatting sqref="C94">
    <cfRule type="cellIs" dxfId="20113" priority="5445" stopIfTrue="1" operator="equal">
      <formula>"Towel"</formula>
    </cfRule>
    <cfRule type="cellIs" dxfId="20112" priority="5446" stopIfTrue="1" operator="equal">
      <formula>"Napkin Hs"</formula>
    </cfRule>
  </conditionalFormatting>
  <conditionalFormatting sqref="C94">
    <cfRule type="cellIs" dxfId="20111" priority="5443" stopIfTrue="1" operator="equal">
      <formula>"Towel"</formula>
    </cfRule>
    <cfRule type="cellIs" dxfId="20110" priority="5444" stopIfTrue="1" operator="equal">
      <formula>"Napkin Hs"</formula>
    </cfRule>
  </conditionalFormatting>
  <conditionalFormatting sqref="B94:C94">
    <cfRule type="cellIs" dxfId="20109" priority="5441" stopIfTrue="1" operator="equal">
      <formula>"Towel"</formula>
    </cfRule>
    <cfRule type="cellIs" dxfId="20108" priority="5442" stopIfTrue="1" operator="equal">
      <formula>"Napkin Hs"</formula>
    </cfRule>
  </conditionalFormatting>
  <conditionalFormatting sqref="C94">
    <cfRule type="cellIs" dxfId="20107" priority="5439" stopIfTrue="1" operator="equal">
      <formula>"Towel"</formula>
    </cfRule>
    <cfRule type="cellIs" dxfId="20106" priority="5440" stopIfTrue="1" operator="equal">
      <formula>"Napkin Hs"</formula>
    </cfRule>
  </conditionalFormatting>
  <conditionalFormatting sqref="C94">
    <cfRule type="cellIs" dxfId="20105" priority="5431" stopIfTrue="1" operator="equal">
      <formula>"Towel"</formula>
    </cfRule>
    <cfRule type="cellIs" dxfId="20104" priority="5432" stopIfTrue="1" operator="equal">
      <formula>"Napkin Hs"</formula>
    </cfRule>
  </conditionalFormatting>
  <conditionalFormatting sqref="B94:C94">
    <cfRule type="cellIs" dxfId="20103" priority="5430" stopIfTrue="1" operator="equal">
      <formula>"Napkin Hs"</formula>
    </cfRule>
  </conditionalFormatting>
  <conditionalFormatting sqref="B94:C94">
    <cfRule type="cellIs" dxfId="20102" priority="5429" stopIfTrue="1" operator="equal">
      <formula>"Towel"</formula>
    </cfRule>
  </conditionalFormatting>
  <conditionalFormatting sqref="C94">
    <cfRule type="cellIs" dxfId="20101" priority="5428" stopIfTrue="1" operator="equal">
      <formula>"Napkin Hs"</formula>
    </cfRule>
  </conditionalFormatting>
  <conditionalFormatting sqref="C94">
    <cfRule type="cellIs" dxfId="20100" priority="5427" stopIfTrue="1" operator="equal">
      <formula>"Towel"</formula>
    </cfRule>
  </conditionalFormatting>
  <conditionalFormatting sqref="B93:C93">
    <cfRule type="cellIs" dxfId="20099" priority="5423" stopIfTrue="1" operator="equal">
      <formula>"Towel"</formula>
    </cfRule>
    <cfRule type="cellIs" dxfId="20098" priority="5424" stopIfTrue="1" operator="equal">
      <formula>"Napkin Hs"</formula>
    </cfRule>
  </conditionalFormatting>
  <conditionalFormatting sqref="C93">
    <cfRule type="cellIs" dxfId="20097" priority="5419" stopIfTrue="1" operator="equal">
      <formula>"Towel"</formula>
    </cfRule>
    <cfRule type="cellIs" dxfId="20096" priority="5420" stopIfTrue="1" operator="equal">
      <formula>"Napkin Hs"</formula>
    </cfRule>
  </conditionalFormatting>
  <conditionalFormatting sqref="C93">
    <cfRule type="cellIs" dxfId="20095" priority="5421" stopIfTrue="1" operator="equal">
      <formula>"Towel"</formula>
    </cfRule>
    <cfRule type="cellIs" dxfId="20094" priority="5422" stopIfTrue="1" operator="equal">
      <formula>"Napkin Hs"</formula>
    </cfRule>
  </conditionalFormatting>
  <conditionalFormatting sqref="B93:C93">
    <cfRule type="cellIs" dxfId="20093" priority="5418" stopIfTrue="1" operator="equal">
      <formula>"Napkin Hs"</formula>
    </cfRule>
  </conditionalFormatting>
  <conditionalFormatting sqref="B93:C93">
    <cfRule type="cellIs" dxfId="20092" priority="5417" stopIfTrue="1" operator="equal">
      <formula>"Towel"</formula>
    </cfRule>
  </conditionalFormatting>
  <conditionalFormatting sqref="C93">
    <cfRule type="cellIs" dxfId="20091" priority="5416" stopIfTrue="1" operator="equal">
      <formula>"Napkin Hs"</formula>
    </cfRule>
  </conditionalFormatting>
  <conditionalFormatting sqref="C93">
    <cfRule type="cellIs" dxfId="20090" priority="5415" stopIfTrue="1" operator="equal">
      <formula>"Towel"</formula>
    </cfRule>
  </conditionalFormatting>
  <conditionalFormatting sqref="C93">
    <cfRule type="cellIs" dxfId="20089" priority="5413" stopIfTrue="1" operator="equal">
      <formula>"Towel"</formula>
    </cfRule>
    <cfRule type="cellIs" dxfId="20088" priority="5414" stopIfTrue="1" operator="equal">
      <formula>"Napkin Hs"</formula>
    </cfRule>
  </conditionalFormatting>
  <conditionalFormatting sqref="B93:C93">
    <cfRule type="cellIs" dxfId="20087" priority="5411" stopIfTrue="1" operator="equal">
      <formula>"Towel"</formula>
    </cfRule>
    <cfRule type="cellIs" dxfId="20086" priority="5412" stopIfTrue="1" operator="equal">
      <formula>"Napkin Hs"</formula>
    </cfRule>
  </conditionalFormatting>
  <conditionalFormatting sqref="C93">
    <cfRule type="cellIs" dxfId="20085" priority="5409" stopIfTrue="1" operator="equal">
      <formula>"Towel"</formula>
    </cfRule>
    <cfRule type="cellIs" dxfId="20084" priority="5410" stopIfTrue="1" operator="equal">
      <formula>"Napkin Hs"</formula>
    </cfRule>
  </conditionalFormatting>
  <conditionalFormatting sqref="C93">
    <cfRule type="cellIs" dxfId="20083" priority="5407" stopIfTrue="1" operator="equal">
      <formula>"Towel"</formula>
    </cfRule>
    <cfRule type="cellIs" dxfId="20082" priority="5408" stopIfTrue="1" operator="equal">
      <formula>"Napkin Hs"</formula>
    </cfRule>
  </conditionalFormatting>
  <conditionalFormatting sqref="B93:C93">
    <cfRule type="cellIs" dxfId="20081" priority="5405" stopIfTrue="1" operator="equal">
      <formula>"Towel"</formula>
    </cfRule>
    <cfRule type="cellIs" dxfId="20080" priority="5406" stopIfTrue="1" operator="equal">
      <formula>"Napkin Hs"</formula>
    </cfRule>
  </conditionalFormatting>
  <conditionalFormatting sqref="C93">
    <cfRule type="cellIs" dxfId="20079" priority="5403" stopIfTrue="1" operator="equal">
      <formula>"Towel"</formula>
    </cfRule>
    <cfRule type="cellIs" dxfId="20078" priority="5404" stopIfTrue="1" operator="equal">
      <formula>"Napkin Hs"</formula>
    </cfRule>
  </conditionalFormatting>
  <conditionalFormatting sqref="C93">
    <cfRule type="cellIs" dxfId="20077" priority="5401" stopIfTrue="1" operator="equal">
      <formula>"Towel"</formula>
    </cfRule>
    <cfRule type="cellIs" dxfId="20076" priority="5402" stopIfTrue="1" operator="equal">
      <formula>"Napkin Hs"</formula>
    </cfRule>
  </conditionalFormatting>
  <conditionalFormatting sqref="B93:C93">
    <cfRule type="cellIs" dxfId="20075" priority="5399" stopIfTrue="1" operator="equal">
      <formula>"Towel"</formula>
    </cfRule>
    <cfRule type="cellIs" dxfId="20074" priority="5400" stopIfTrue="1" operator="equal">
      <formula>"Napkin Hs"</formula>
    </cfRule>
  </conditionalFormatting>
  <conditionalFormatting sqref="C93">
    <cfRule type="cellIs" dxfId="20073" priority="5397" stopIfTrue="1" operator="equal">
      <formula>"Towel"</formula>
    </cfRule>
    <cfRule type="cellIs" dxfId="20072" priority="5398" stopIfTrue="1" operator="equal">
      <formula>"Napkin Hs"</formula>
    </cfRule>
  </conditionalFormatting>
  <conditionalFormatting sqref="C93">
    <cfRule type="cellIs" dxfId="20071" priority="5395" stopIfTrue="1" operator="equal">
      <formula>"Towel"</formula>
    </cfRule>
    <cfRule type="cellIs" dxfId="20070" priority="5396" stopIfTrue="1" operator="equal">
      <formula>"Napkin Hs"</formula>
    </cfRule>
  </conditionalFormatting>
  <conditionalFormatting sqref="B93:C93">
    <cfRule type="cellIs" dxfId="20069" priority="5393" stopIfTrue="1" operator="equal">
      <formula>"Towel"</formula>
    </cfRule>
    <cfRule type="cellIs" dxfId="20068" priority="5394" stopIfTrue="1" operator="equal">
      <formula>"Napkin Hs"</formula>
    </cfRule>
  </conditionalFormatting>
  <conditionalFormatting sqref="C93">
    <cfRule type="cellIs" dxfId="20067" priority="5391" stopIfTrue="1" operator="equal">
      <formula>"Towel"</formula>
    </cfRule>
    <cfRule type="cellIs" dxfId="20066" priority="5392" stopIfTrue="1" operator="equal">
      <formula>"Napkin Hs"</formula>
    </cfRule>
  </conditionalFormatting>
  <conditionalFormatting sqref="C93">
    <cfRule type="cellIs" dxfId="20065" priority="5389" stopIfTrue="1" operator="equal">
      <formula>"Towel"</formula>
    </cfRule>
    <cfRule type="cellIs" dxfId="20064" priority="5390" stopIfTrue="1" operator="equal">
      <formula>"Napkin Hs"</formula>
    </cfRule>
  </conditionalFormatting>
  <conditionalFormatting sqref="B93:C93">
    <cfRule type="cellIs" dxfId="20063" priority="5387" stopIfTrue="1" operator="equal">
      <formula>"Towel"</formula>
    </cfRule>
    <cfRule type="cellIs" dxfId="20062" priority="5388" stopIfTrue="1" operator="equal">
      <formula>"Napkin Hs"</formula>
    </cfRule>
  </conditionalFormatting>
  <conditionalFormatting sqref="C93">
    <cfRule type="cellIs" dxfId="20061" priority="5385" stopIfTrue="1" operator="equal">
      <formula>"Towel"</formula>
    </cfRule>
    <cfRule type="cellIs" dxfId="20060" priority="5386" stopIfTrue="1" operator="equal">
      <formula>"Napkin Hs"</formula>
    </cfRule>
  </conditionalFormatting>
  <conditionalFormatting sqref="C93">
    <cfRule type="cellIs" dxfId="20059" priority="5383" stopIfTrue="1" operator="equal">
      <formula>"Towel"</formula>
    </cfRule>
    <cfRule type="cellIs" dxfId="20058" priority="5384" stopIfTrue="1" operator="equal">
      <formula>"Napkin Hs"</formula>
    </cfRule>
  </conditionalFormatting>
  <conditionalFormatting sqref="B93:C93">
    <cfRule type="cellIs" dxfId="20057" priority="5382" stopIfTrue="1" operator="equal">
      <formula>"Napkin Hs"</formula>
    </cfRule>
  </conditionalFormatting>
  <conditionalFormatting sqref="B93:C93">
    <cfRule type="cellIs" dxfId="20056" priority="5381" stopIfTrue="1" operator="equal">
      <formula>"Towel"</formula>
    </cfRule>
  </conditionalFormatting>
  <conditionalFormatting sqref="C93">
    <cfRule type="cellIs" dxfId="20055" priority="5380" stopIfTrue="1" operator="equal">
      <formula>"Napkin Hs"</formula>
    </cfRule>
  </conditionalFormatting>
  <conditionalFormatting sqref="C93">
    <cfRule type="cellIs" dxfId="20054" priority="5377" stopIfTrue="1" operator="equal">
      <formula>"Towel"</formula>
    </cfRule>
    <cfRule type="cellIs" dxfId="20053" priority="5378" stopIfTrue="1" operator="equal">
      <formula>"Napkin Hs"</formula>
    </cfRule>
  </conditionalFormatting>
  <conditionalFormatting sqref="C93">
    <cfRule type="cellIs" dxfId="20052" priority="5379" stopIfTrue="1" operator="equal">
      <formula>"Towel"</formula>
    </cfRule>
  </conditionalFormatting>
  <conditionalFormatting sqref="C93">
    <cfRule type="cellIs" dxfId="20051" priority="5375" stopIfTrue="1" operator="equal">
      <formula>"Towel"</formula>
    </cfRule>
    <cfRule type="cellIs" dxfId="20050" priority="5376" stopIfTrue="1" operator="equal">
      <formula>"Napkin Hs"</formula>
    </cfRule>
  </conditionalFormatting>
  <conditionalFormatting sqref="C94">
    <cfRule type="cellIs" dxfId="20049" priority="5339" stopIfTrue="1" operator="equal">
      <formula>"Towel"</formula>
    </cfRule>
    <cfRule type="cellIs" dxfId="20048" priority="5340" stopIfTrue="1" operator="equal">
      <formula>"Napkin Hs"</formula>
    </cfRule>
  </conditionalFormatting>
  <conditionalFormatting sqref="B94:C94">
    <cfRule type="cellIs" dxfId="20047" priority="5337" stopIfTrue="1" operator="equal">
      <formula>"Towel"</formula>
    </cfRule>
    <cfRule type="cellIs" dxfId="20046" priority="5338" stopIfTrue="1" operator="equal">
      <formula>"Napkin Hs"</formula>
    </cfRule>
  </conditionalFormatting>
  <conditionalFormatting sqref="C94">
    <cfRule type="cellIs" dxfId="20045" priority="5335" stopIfTrue="1" operator="equal">
      <formula>"Towel"</formula>
    </cfRule>
    <cfRule type="cellIs" dxfId="20044" priority="5336" stopIfTrue="1" operator="equal">
      <formula>"Napkin Hs"</formula>
    </cfRule>
  </conditionalFormatting>
  <conditionalFormatting sqref="C94">
    <cfRule type="cellIs" dxfId="20043" priority="5327" stopIfTrue="1" operator="equal">
      <formula>"Towel"</formula>
    </cfRule>
    <cfRule type="cellIs" dxfId="20042" priority="5328" stopIfTrue="1" operator="equal">
      <formula>"Napkin Hs"</formula>
    </cfRule>
  </conditionalFormatting>
  <conditionalFormatting sqref="B94:C94">
    <cfRule type="cellIs" dxfId="20041" priority="5373" stopIfTrue="1" operator="equal">
      <formula>"Towel"</formula>
    </cfRule>
    <cfRule type="cellIs" dxfId="20040" priority="5374" stopIfTrue="1" operator="equal">
      <formula>"Napkin Hs"</formula>
    </cfRule>
  </conditionalFormatting>
  <conditionalFormatting sqref="C94">
    <cfRule type="cellIs" dxfId="20039" priority="5369" stopIfTrue="1" operator="equal">
      <formula>"Towel"</formula>
    </cfRule>
    <cfRule type="cellIs" dxfId="20038" priority="5370" stopIfTrue="1" operator="equal">
      <formula>"Napkin Hs"</formula>
    </cfRule>
  </conditionalFormatting>
  <conditionalFormatting sqref="C94">
    <cfRule type="cellIs" dxfId="20037" priority="5371" stopIfTrue="1" operator="equal">
      <formula>"Towel"</formula>
    </cfRule>
    <cfRule type="cellIs" dxfId="20036" priority="5372" stopIfTrue="1" operator="equal">
      <formula>"Napkin Hs"</formula>
    </cfRule>
  </conditionalFormatting>
  <conditionalFormatting sqref="B94:C94">
    <cfRule type="cellIs" dxfId="20035" priority="5368" stopIfTrue="1" operator="equal">
      <formula>"Napkin Hs"</formula>
    </cfRule>
  </conditionalFormatting>
  <conditionalFormatting sqref="B94:C94">
    <cfRule type="cellIs" dxfId="20034" priority="5367" stopIfTrue="1" operator="equal">
      <formula>"Towel"</formula>
    </cfRule>
  </conditionalFormatting>
  <conditionalFormatting sqref="C94">
    <cfRule type="cellIs" dxfId="20033" priority="5366" stopIfTrue="1" operator="equal">
      <formula>"Napkin Hs"</formula>
    </cfRule>
  </conditionalFormatting>
  <conditionalFormatting sqref="C94">
    <cfRule type="cellIs" dxfId="20032" priority="5365" stopIfTrue="1" operator="equal">
      <formula>"Towel"</formula>
    </cfRule>
  </conditionalFormatting>
  <conditionalFormatting sqref="C94">
    <cfRule type="cellIs" dxfId="20031" priority="5363" stopIfTrue="1" operator="equal">
      <formula>"Towel"</formula>
    </cfRule>
    <cfRule type="cellIs" dxfId="20030" priority="5364" stopIfTrue="1" operator="equal">
      <formula>"Napkin Hs"</formula>
    </cfRule>
  </conditionalFormatting>
  <conditionalFormatting sqref="B94:C94">
    <cfRule type="cellIs" dxfId="20029" priority="5361" stopIfTrue="1" operator="equal">
      <formula>"Towel"</formula>
    </cfRule>
    <cfRule type="cellIs" dxfId="20028" priority="5362" stopIfTrue="1" operator="equal">
      <formula>"Napkin Hs"</formula>
    </cfRule>
  </conditionalFormatting>
  <conditionalFormatting sqref="C94">
    <cfRule type="cellIs" dxfId="20027" priority="5359" stopIfTrue="1" operator="equal">
      <formula>"Towel"</formula>
    </cfRule>
    <cfRule type="cellIs" dxfId="20026" priority="5360" stopIfTrue="1" operator="equal">
      <formula>"Napkin Hs"</formula>
    </cfRule>
  </conditionalFormatting>
  <conditionalFormatting sqref="C94">
    <cfRule type="cellIs" dxfId="20025" priority="5357" stopIfTrue="1" operator="equal">
      <formula>"Towel"</formula>
    </cfRule>
    <cfRule type="cellIs" dxfId="20024" priority="5358" stopIfTrue="1" operator="equal">
      <formula>"Napkin Hs"</formula>
    </cfRule>
  </conditionalFormatting>
  <conditionalFormatting sqref="B94:C94">
    <cfRule type="cellIs" dxfId="20023" priority="5355" stopIfTrue="1" operator="equal">
      <formula>"Towel"</formula>
    </cfRule>
    <cfRule type="cellIs" dxfId="20022" priority="5356" stopIfTrue="1" operator="equal">
      <formula>"Napkin Hs"</formula>
    </cfRule>
  </conditionalFormatting>
  <conditionalFormatting sqref="C94">
    <cfRule type="cellIs" dxfId="20021" priority="5353" stopIfTrue="1" operator="equal">
      <formula>"Towel"</formula>
    </cfRule>
    <cfRule type="cellIs" dxfId="20020" priority="5354" stopIfTrue="1" operator="equal">
      <formula>"Napkin Hs"</formula>
    </cfRule>
  </conditionalFormatting>
  <conditionalFormatting sqref="C94">
    <cfRule type="cellIs" dxfId="20019" priority="5351" stopIfTrue="1" operator="equal">
      <formula>"Towel"</formula>
    </cfRule>
    <cfRule type="cellIs" dxfId="20018" priority="5352" stopIfTrue="1" operator="equal">
      <formula>"Napkin Hs"</formula>
    </cfRule>
  </conditionalFormatting>
  <conditionalFormatting sqref="B94:C94">
    <cfRule type="cellIs" dxfId="20017" priority="5349" stopIfTrue="1" operator="equal">
      <formula>"Towel"</formula>
    </cfRule>
    <cfRule type="cellIs" dxfId="20016" priority="5350" stopIfTrue="1" operator="equal">
      <formula>"Napkin Hs"</formula>
    </cfRule>
  </conditionalFormatting>
  <conditionalFormatting sqref="C94">
    <cfRule type="cellIs" dxfId="20015" priority="5347" stopIfTrue="1" operator="equal">
      <formula>"Towel"</formula>
    </cfRule>
    <cfRule type="cellIs" dxfId="20014" priority="5348" stopIfTrue="1" operator="equal">
      <formula>"Napkin Hs"</formula>
    </cfRule>
  </conditionalFormatting>
  <conditionalFormatting sqref="C94">
    <cfRule type="cellIs" dxfId="20013" priority="5345" stopIfTrue="1" operator="equal">
      <formula>"Towel"</formula>
    </cfRule>
    <cfRule type="cellIs" dxfId="20012" priority="5346" stopIfTrue="1" operator="equal">
      <formula>"Napkin Hs"</formula>
    </cfRule>
  </conditionalFormatting>
  <conditionalFormatting sqref="B94:C94">
    <cfRule type="cellIs" dxfId="20011" priority="5343" stopIfTrue="1" operator="equal">
      <formula>"Towel"</formula>
    </cfRule>
    <cfRule type="cellIs" dxfId="20010" priority="5344" stopIfTrue="1" operator="equal">
      <formula>"Napkin Hs"</formula>
    </cfRule>
  </conditionalFormatting>
  <conditionalFormatting sqref="C94">
    <cfRule type="cellIs" dxfId="20009" priority="5341" stopIfTrue="1" operator="equal">
      <formula>"Towel"</formula>
    </cfRule>
    <cfRule type="cellIs" dxfId="20008" priority="5342" stopIfTrue="1" operator="equal">
      <formula>"Napkin Hs"</formula>
    </cfRule>
  </conditionalFormatting>
  <conditionalFormatting sqref="C94">
    <cfRule type="cellIs" dxfId="20007" priority="5333" stopIfTrue="1" operator="equal">
      <formula>"Towel"</formula>
    </cfRule>
    <cfRule type="cellIs" dxfId="20006" priority="5334" stopIfTrue="1" operator="equal">
      <formula>"Napkin Hs"</formula>
    </cfRule>
  </conditionalFormatting>
  <conditionalFormatting sqref="B94:C94">
    <cfRule type="cellIs" dxfId="20005" priority="5332" stopIfTrue="1" operator="equal">
      <formula>"Napkin Hs"</formula>
    </cfRule>
  </conditionalFormatting>
  <conditionalFormatting sqref="B94:C94">
    <cfRule type="cellIs" dxfId="20004" priority="5331" stopIfTrue="1" operator="equal">
      <formula>"Towel"</formula>
    </cfRule>
  </conditionalFormatting>
  <conditionalFormatting sqref="C94">
    <cfRule type="cellIs" dxfId="20003" priority="5330" stopIfTrue="1" operator="equal">
      <formula>"Napkin Hs"</formula>
    </cfRule>
  </conditionalFormatting>
  <conditionalFormatting sqref="C94">
    <cfRule type="cellIs" dxfId="20002" priority="5329" stopIfTrue="1" operator="equal">
      <formula>"Towel"</formula>
    </cfRule>
  </conditionalFormatting>
  <conditionalFormatting sqref="B93:C93">
    <cfRule type="cellIs" dxfId="20001" priority="5325" stopIfTrue="1" operator="equal">
      <formula>"Towel"</formula>
    </cfRule>
    <cfRule type="cellIs" dxfId="20000" priority="5326" stopIfTrue="1" operator="equal">
      <formula>"Napkin Hs"</formula>
    </cfRule>
  </conditionalFormatting>
  <conditionalFormatting sqref="C93">
    <cfRule type="cellIs" dxfId="19999" priority="5321" stopIfTrue="1" operator="equal">
      <formula>"Towel"</formula>
    </cfRule>
    <cfRule type="cellIs" dxfId="19998" priority="5322" stopIfTrue="1" operator="equal">
      <formula>"Napkin Hs"</formula>
    </cfRule>
  </conditionalFormatting>
  <conditionalFormatting sqref="C93">
    <cfRule type="cellIs" dxfId="19997" priority="5323" stopIfTrue="1" operator="equal">
      <formula>"Towel"</formula>
    </cfRule>
    <cfRule type="cellIs" dxfId="19996" priority="5324" stopIfTrue="1" operator="equal">
      <formula>"Napkin Hs"</formula>
    </cfRule>
  </conditionalFormatting>
  <conditionalFormatting sqref="B93:C93">
    <cfRule type="cellIs" dxfId="19995" priority="5320" stopIfTrue="1" operator="equal">
      <formula>"Napkin Hs"</formula>
    </cfRule>
  </conditionalFormatting>
  <conditionalFormatting sqref="B93:C93">
    <cfRule type="cellIs" dxfId="19994" priority="5319" stopIfTrue="1" operator="equal">
      <formula>"Towel"</formula>
    </cfRule>
  </conditionalFormatting>
  <conditionalFormatting sqref="C93">
    <cfRule type="cellIs" dxfId="19993" priority="5318" stopIfTrue="1" operator="equal">
      <formula>"Napkin Hs"</formula>
    </cfRule>
  </conditionalFormatting>
  <conditionalFormatting sqref="C93">
    <cfRule type="cellIs" dxfId="19992" priority="5317" stopIfTrue="1" operator="equal">
      <formula>"Towel"</formula>
    </cfRule>
  </conditionalFormatting>
  <conditionalFormatting sqref="C93">
    <cfRule type="cellIs" dxfId="19991" priority="5315" stopIfTrue="1" operator="equal">
      <formula>"Towel"</formula>
    </cfRule>
    <cfRule type="cellIs" dxfId="19990" priority="5316" stopIfTrue="1" operator="equal">
      <formula>"Napkin Hs"</formula>
    </cfRule>
  </conditionalFormatting>
  <conditionalFormatting sqref="B93:C93">
    <cfRule type="cellIs" dxfId="19989" priority="5313" stopIfTrue="1" operator="equal">
      <formula>"Towel"</formula>
    </cfRule>
    <cfRule type="cellIs" dxfId="19988" priority="5314" stopIfTrue="1" operator="equal">
      <formula>"Napkin Hs"</formula>
    </cfRule>
  </conditionalFormatting>
  <conditionalFormatting sqref="C93">
    <cfRule type="cellIs" dxfId="19987" priority="5311" stopIfTrue="1" operator="equal">
      <formula>"Towel"</formula>
    </cfRule>
    <cfRule type="cellIs" dxfId="19986" priority="5312" stopIfTrue="1" operator="equal">
      <formula>"Napkin Hs"</formula>
    </cfRule>
  </conditionalFormatting>
  <conditionalFormatting sqref="C93">
    <cfRule type="cellIs" dxfId="19985" priority="5309" stopIfTrue="1" operator="equal">
      <formula>"Towel"</formula>
    </cfRule>
    <cfRule type="cellIs" dxfId="19984" priority="5310" stopIfTrue="1" operator="equal">
      <formula>"Napkin Hs"</formula>
    </cfRule>
  </conditionalFormatting>
  <conditionalFormatting sqref="B93:C93">
    <cfRule type="cellIs" dxfId="19983" priority="5307" stopIfTrue="1" operator="equal">
      <formula>"Towel"</formula>
    </cfRule>
    <cfRule type="cellIs" dxfId="19982" priority="5308" stopIfTrue="1" operator="equal">
      <formula>"Napkin Hs"</formula>
    </cfRule>
  </conditionalFormatting>
  <conditionalFormatting sqref="C93">
    <cfRule type="cellIs" dxfId="19981" priority="5305" stopIfTrue="1" operator="equal">
      <formula>"Towel"</formula>
    </cfRule>
    <cfRule type="cellIs" dxfId="19980" priority="5306" stopIfTrue="1" operator="equal">
      <formula>"Napkin Hs"</formula>
    </cfRule>
  </conditionalFormatting>
  <conditionalFormatting sqref="C93">
    <cfRule type="cellIs" dxfId="19979" priority="5303" stopIfTrue="1" operator="equal">
      <formula>"Towel"</formula>
    </cfRule>
    <cfRule type="cellIs" dxfId="19978" priority="5304" stopIfTrue="1" operator="equal">
      <formula>"Napkin Hs"</formula>
    </cfRule>
  </conditionalFormatting>
  <conditionalFormatting sqref="B93:C93">
    <cfRule type="cellIs" dxfId="19977" priority="5301" stopIfTrue="1" operator="equal">
      <formula>"Towel"</formula>
    </cfRule>
    <cfRule type="cellIs" dxfId="19976" priority="5302" stopIfTrue="1" operator="equal">
      <formula>"Napkin Hs"</formula>
    </cfRule>
  </conditionalFormatting>
  <conditionalFormatting sqref="C93">
    <cfRule type="cellIs" dxfId="19975" priority="5299" stopIfTrue="1" operator="equal">
      <formula>"Towel"</formula>
    </cfRule>
    <cfRule type="cellIs" dxfId="19974" priority="5300" stopIfTrue="1" operator="equal">
      <formula>"Napkin Hs"</formula>
    </cfRule>
  </conditionalFormatting>
  <conditionalFormatting sqref="C93">
    <cfRule type="cellIs" dxfId="19973" priority="5297" stopIfTrue="1" operator="equal">
      <formula>"Towel"</formula>
    </cfRule>
    <cfRule type="cellIs" dxfId="19972" priority="5298" stopIfTrue="1" operator="equal">
      <formula>"Napkin Hs"</formula>
    </cfRule>
  </conditionalFormatting>
  <conditionalFormatting sqref="B93:C93">
    <cfRule type="cellIs" dxfId="19971" priority="5295" stopIfTrue="1" operator="equal">
      <formula>"Towel"</formula>
    </cfRule>
    <cfRule type="cellIs" dxfId="19970" priority="5296" stopIfTrue="1" operator="equal">
      <formula>"Napkin Hs"</formula>
    </cfRule>
  </conditionalFormatting>
  <conditionalFormatting sqref="C93">
    <cfRule type="cellIs" dxfId="19969" priority="5293" stopIfTrue="1" operator="equal">
      <formula>"Towel"</formula>
    </cfRule>
    <cfRule type="cellIs" dxfId="19968" priority="5294" stopIfTrue="1" operator="equal">
      <formula>"Napkin Hs"</formula>
    </cfRule>
  </conditionalFormatting>
  <conditionalFormatting sqref="C93">
    <cfRule type="cellIs" dxfId="19967" priority="5291" stopIfTrue="1" operator="equal">
      <formula>"Towel"</formula>
    </cfRule>
    <cfRule type="cellIs" dxfId="19966" priority="5292" stopIfTrue="1" operator="equal">
      <formula>"Napkin Hs"</formula>
    </cfRule>
  </conditionalFormatting>
  <conditionalFormatting sqref="B93:C93">
    <cfRule type="cellIs" dxfId="19965" priority="5289" stopIfTrue="1" operator="equal">
      <formula>"Towel"</formula>
    </cfRule>
    <cfRule type="cellIs" dxfId="19964" priority="5290" stopIfTrue="1" operator="equal">
      <formula>"Napkin Hs"</formula>
    </cfRule>
  </conditionalFormatting>
  <conditionalFormatting sqref="C93">
    <cfRule type="cellIs" dxfId="19963" priority="5287" stopIfTrue="1" operator="equal">
      <formula>"Towel"</formula>
    </cfRule>
    <cfRule type="cellIs" dxfId="19962" priority="5288" stopIfTrue="1" operator="equal">
      <formula>"Napkin Hs"</formula>
    </cfRule>
  </conditionalFormatting>
  <conditionalFormatting sqref="C93">
    <cfRule type="cellIs" dxfId="19961" priority="5285" stopIfTrue="1" operator="equal">
      <formula>"Towel"</formula>
    </cfRule>
    <cfRule type="cellIs" dxfId="19960" priority="5286" stopIfTrue="1" operator="equal">
      <formula>"Napkin Hs"</formula>
    </cfRule>
  </conditionalFormatting>
  <conditionalFormatting sqref="B93:C93">
    <cfRule type="cellIs" dxfId="19959" priority="5284" stopIfTrue="1" operator="equal">
      <formula>"Napkin Hs"</formula>
    </cfRule>
  </conditionalFormatting>
  <conditionalFormatting sqref="B93:C93">
    <cfRule type="cellIs" dxfId="19958" priority="5283" stopIfTrue="1" operator="equal">
      <formula>"Towel"</formula>
    </cfRule>
  </conditionalFormatting>
  <conditionalFormatting sqref="C93">
    <cfRule type="cellIs" dxfId="19957" priority="5282" stopIfTrue="1" operator="equal">
      <formula>"Napkin Hs"</formula>
    </cfRule>
  </conditionalFormatting>
  <conditionalFormatting sqref="C93">
    <cfRule type="cellIs" dxfId="19956" priority="5279" stopIfTrue="1" operator="equal">
      <formula>"Towel"</formula>
    </cfRule>
    <cfRule type="cellIs" dxfId="19955" priority="5280" stopIfTrue="1" operator="equal">
      <formula>"Napkin Hs"</formula>
    </cfRule>
  </conditionalFormatting>
  <conditionalFormatting sqref="C93">
    <cfRule type="cellIs" dxfId="19954" priority="5281" stopIfTrue="1" operator="equal">
      <formula>"Towel"</formula>
    </cfRule>
  </conditionalFormatting>
  <conditionalFormatting sqref="B94:C94">
    <cfRule type="cellIs" dxfId="19953" priority="5277" stopIfTrue="1" operator="equal">
      <formula>"Towel"</formula>
    </cfRule>
    <cfRule type="cellIs" dxfId="19952" priority="5278" stopIfTrue="1" operator="equal">
      <formula>"Napkin Hs"</formula>
    </cfRule>
  </conditionalFormatting>
  <conditionalFormatting sqref="C94">
    <cfRule type="cellIs" dxfId="19951" priority="5273" stopIfTrue="1" operator="equal">
      <formula>"Towel"</formula>
    </cfRule>
    <cfRule type="cellIs" dxfId="19950" priority="5274" stopIfTrue="1" operator="equal">
      <formula>"Napkin Hs"</formula>
    </cfRule>
  </conditionalFormatting>
  <conditionalFormatting sqref="C94">
    <cfRule type="cellIs" dxfId="19949" priority="5275" stopIfTrue="1" operator="equal">
      <formula>"Towel"</formula>
    </cfRule>
    <cfRule type="cellIs" dxfId="19948" priority="5276" stopIfTrue="1" operator="equal">
      <formula>"Napkin Hs"</formula>
    </cfRule>
  </conditionalFormatting>
  <conditionalFormatting sqref="B93:C93">
    <cfRule type="cellIs" dxfId="19947" priority="5271" stopIfTrue="1" operator="equal">
      <formula>"Towel"</formula>
    </cfRule>
    <cfRule type="cellIs" dxfId="19946" priority="5272" stopIfTrue="1" operator="equal">
      <formula>"Napkin Hs"</formula>
    </cfRule>
  </conditionalFormatting>
  <conditionalFormatting sqref="C93">
    <cfRule type="cellIs" dxfId="19945" priority="5267" stopIfTrue="1" operator="equal">
      <formula>"Towel"</formula>
    </cfRule>
    <cfRule type="cellIs" dxfId="19944" priority="5268" stopIfTrue="1" operator="equal">
      <formula>"Napkin Hs"</formula>
    </cfRule>
  </conditionalFormatting>
  <conditionalFormatting sqref="C93">
    <cfRule type="cellIs" dxfId="19943" priority="5269" stopIfTrue="1" operator="equal">
      <formula>"Towel"</formula>
    </cfRule>
    <cfRule type="cellIs" dxfId="19942" priority="5270" stopIfTrue="1" operator="equal">
      <formula>"Napkin Hs"</formula>
    </cfRule>
  </conditionalFormatting>
  <conditionalFormatting sqref="B93:C93">
    <cfRule type="cellIs" dxfId="19941" priority="5265" stopIfTrue="1" operator="equal">
      <formula>"Towel"</formula>
    </cfRule>
    <cfRule type="cellIs" dxfId="19940" priority="5266" stopIfTrue="1" operator="equal">
      <formula>"Napkin Hs"</formula>
    </cfRule>
  </conditionalFormatting>
  <conditionalFormatting sqref="C93">
    <cfRule type="cellIs" dxfId="19939" priority="5261" stopIfTrue="1" operator="equal">
      <formula>"Towel"</formula>
    </cfRule>
    <cfRule type="cellIs" dxfId="19938" priority="5262" stopIfTrue="1" operator="equal">
      <formula>"Napkin Hs"</formula>
    </cfRule>
  </conditionalFormatting>
  <conditionalFormatting sqref="C93">
    <cfRule type="cellIs" dxfId="19937" priority="5263" stopIfTrue="1" operator="equal">
      <formula>"Towel"</formula>
    </cfRule>
    <cfRule type="cellIs" dxfId="19936" priority="5264" stopIfTrue="1" operator="equal">
      <formula>"Napkin Hs"</formula>
    </cfRule>
  </conditionalFormatting>
  <conditionalFormatting sqref="B93:C93">
    <cfRule type="cellIs" dxfId="19935" priority="5259" stopIfTrue="1" operator="equal">
      <formula>"Towel"</formula>
    </cfRule>
    <cfRule type="cellIs" dxfId="19934" priority="5260" stopIfTrue="1" operator="equal">
      <formula>"Napkin Hs"</formula>
    </cfRule>
  </conditionalFormatting>
  <conditionalFormatting sqref="C93">
    <cfRule type="cellIs" dxfId="19933" priority="5257" stopIfTrue="1" operator="equal">
      <formula>"Towel"</formula>
    </cfRule>
    <cfRule type="cellIs" dxfId="19932" priority="5258" stopIfTrue="1" operator="equal">
      <formula>"Napkin Hs"</formula>
    </cfRule>
  </conditionalFormatting>
  <conditionalFormatting sqref="C93">
    <cfRule type="cellIs" dxfId="19931" priority="5255" stopIfTrue="1" operator="equal">
      <formula>"Towel"</formula>
    </cfRule>
    <cfRule type="cellIs" dxfId="19930" priority="5256" stopIfTrue="1" operator="equal">
      <formula>"Napkin Hs"</formula>
    </cfRule>
  </conditionalFormatting>
  <conditionalFormatting sqref="B93:C93">
    <cfRule type="cellIs" dxfId="19929" priority="5254" stopIfTrue="1" operator="equal">
      <formula>"Napkin Hs"</formula>
    </cfRule>
  </conditionalFormatting>
  <conditionalFormatting sqref="B93:C93">
    <cfRule type="cellIs" dxfId="19928" priority="5253" stopIfTrue="1" operator="equal">
      <formula>"Towel"</formula>
    </cfRule>
  </conditionalFormatting>
  <conditionalFormatting sqref="C93">
    <cfRule type="cellIs" dxfId="19927" priority="5252" stopIfTrue="1" operator="equal">
      <formula>"Napkin Hs"</formula>
    </cfRule>
  </conditionalFormatting>
  <conditionalFormatting sqref="C93">
    <cfRule type="cellIs" dxfId="19926" priority="5251" stopIfTrue="1" operator="equal">
      <formula>"Towel"</formula>
    </cfRule>
  </conditionalFormatting>
  <conditionalFormatting sqref="C93">
    <cfRule type="cellIs" dxfId="19925" priority="5249" stopIfTrue="1" operator="equal">
      <formula>"Towel"</formula>
    </cfRule>
    <cfRule type="cellIs" dxfId="19924" priority="5250" stopIfTrue="1" operator="equal">
      <formula>"Napkin Hs"</formula>
    </cfRule>
  </conditionalFormatting>
  <conditionalFormatting sqref="C93">
    <cfRule type="cellIs" dxfId="19923" priority="5247" stopIfTrue="1" operator="equal">
      <formula>"Towel"</formula>
    </cfRule>
    <cfRule type="cellIs" dxfId="19922" priority="5248" stopIfTrue="1" operator="equal">
      <formula>"Napkin Hs"</formula>
    </cfRule>
  </conditionalFormatting>
  <conditionalFormatting sqref="C93">
    <cfRule type="cellIs" dxfId="19921" priority="5163" stopIfTrue="1" operator="equal">
      <formula>"Towel"</formula>
    </cfRule>
    <cfRule type="cellIs" dxfId="19920" priority="5164" stopIfTrue="1" operator="equal">
      <formula>"Napkin Hs"</formula>
    </cfRule>
  </conditionalFormatting>
  <conditionalFormatting sqref="C93">
    <cfRule type="cellIs" dxfId="19919" priority="5157" stopIfTrue="1" operator="equal">
      <formula>"Towel"</formula>
    </cfRule>
    <cfRule type="cellIs" dxfId="19918" priority="5158" stopIfTrue="1" operator="equal">
      <formula>"Napkin Hs"</formula>
    </cfRule>
  </conditionalFormatting>
  <conditionalFormatting sqref="C93">
    <cfRule type="cellIs" dxfId="19917" priority="5138" stopIfTrue="1" operator="equal">
      <formula>"Napkin Hs"</formula>
    </cfRule>
  </conditionalFormatting>
  <conditionalFormatting sqref="C93">
    <cfRule type="cellIs" dxfId="19916" priority="5137" stopIfTrue="1" operator="equal">
      <formula>"Towel"</formula>
    </cfRule>
  </conditionalFormatting>
  <conditionalFormatting sqref="C93">
    <cfRule type="cellIs" dxfId="19915" priority="5136" stopIfTrue="1" operator="equal">
      <formula>"Napkin Hs"</formula>
    </cfRule>
  </conditionalFormatting>
  <conditionalFormatting sqref="C93">
    <cfRule type="cellIs" dxfId="19914" priority="5133" stopIfTrue="1" operator="equal">
      <formula>"Towel"</formula>
    </cfRule>
    <cfRule type="cellIs" dxfId="19913" priority="5134" stopIfTrue="1" operator="equal">
      <formula>"Napkin Hs"</formula>
    </cfRule>
  </conditionalFormatting>
  <conditionalFormatting sqref="C93">
    <cfRule type="cellIs" dxfId="19912" priority="5135" stopIfTrue="1" operator="equal">
      <formula>"Towel"</formula>
    </cfRule>
  </conditionalFormatting>
  <conditionalFormatting sqref="C93">
    <cfRule type="cellIs" dxfId="19911" priority="5132" stopIfTrue="1" operator="equal">
      <formula>"Napkin Hs"</formula>
    </cfRule>
  </conditionalFormatting>
  <conditionalFormatting sqref="C93">
    <cfRule type="cellIs" dxfId="19910" priority="5131" stopIfTrue="1" operator="equal">
      <formula>"Towel"</formula>
    </cfRule>
  </conditionalFormatting>
  <conditionalFormatting sqref="C93">
    <cfRule type="cellIs" dxfId="19909" priority="5130" stopIfTrue="1" operator="equal">
      <formula>"Napkin Hs"</formula>
    </cfRule>
  </conditionalFormatting>
  <conditionalFormatting sqref="C93">
    <cfRule type="cellIs" dxfId="19908" priority="5127" stopIfTrue="1" operator="equal">
      <formula>"Towel"</formula>
    </cfRule>
    <cfRule type="cellIs" dxfId="19907" priority="5128" stopIfTrue="1" operator="equal">
      <formula>"Napkin Hs"</formula>
    </cfRule>
  </conditionalFormatting>
  <conditionalFormatting sqref="C93">
    <cfRule type="cellIs" dxfId="19906" priority="5129" stopIfTrue="1" operator="equal">
      <formula>"Towel"</formula>
    </cfRule>
  </conditionalFormatting>
  <conditionalFormatting sqref="C93">
    <cfRule type="cellIs" dxfId="19905" priority="5233" stopIfTrue="1" operator="equal">
      <formula>"Towel"</formula>
    </cfRule>
    <cfRule type="cellIs" dxfId="19904" priority="5234" stopIfTrue="1" operator="equal">
      <formula>"Napkin Hs"</formula>
    </cfRule>
  </conditionalFormatting>
  <conditionalFormatting sqref="C93">
    <cfRule type="cellIs" dxfId="19903" priority="5231" stopIfTrue="1" operator="equal">
      <formula>"Towel"</formula>
    </cfRule>
    <cfRule type="cellIs" dxfId="19902" priority="5232" stopIfTrue="1" operator="equal">
      <formula>"Napkin Hs"</formula>
    </cfRule>
  </conditionalFormatting>
  <conditionalFormatting sqref="C93">
    <cfRule type="cellIs" dxfId="19901" priority="5229" stopIfTrue="1" operator="equal">
      <formula>"Towel"</formula>
    </cfRule>
    <cfRule type="cellIs" dxfId="19900" priority="5230" stopIfTrue="1" operator="equal">
      <formula>"Napkin Hs"</formula>
    </cfRule>
  </conditionalFormatting>
  <conditionalFormatting sqref="C93">
    <cfRule type="cellIs" dxfId="19899" priority="5228" stopIfTrue="1" operator="equal">
      <formula>"Napkin Hs"</formula>
    </cfRule>
  </conditionalFormatting>
  <conditionalFormatting sqref="C93">
    <cfRule type="cellIs" dxfId="19898" priority="5227" stopIfTrue="1" operator="equal">
      <formula>"Towel"</formula>
    </cfRule>
  </conditionalFormatting>
  <conditionalFormatting sqref="C93">
    <cfRule type="cellIs" dxfId="19897" priority="5226" stopIfTrue="1" operator="equal">
      <formula>"Napkin Hs"</formula>
    </cfRule>
  </conditionalFormatting>
  <conditionalFormatting sqref="C93">
    <cfRule type="cellIs" dxfId="19896" priority="5225" stopIfTrue="1" operator="equal">
      <formula>"Towel"</formula>
    </cfRule>
  </conditionalFormatting>
  <conditionalFormatting sqref="C93">
    <cfRule type="cellIs" dxfId="19895" priority="5223" stopIfTrue="1" operator="equal">
      <formula>"Towel"</formula>
    </cfRule>
    <cfRule type="cellIs" dxfId="19894" priority="5224" stopIfTrue="1" operator="equal">
      <formula>"Napkin Hs"</formula>
    </cfRule>
  </conditionalFormatting>
  <conditionalFormatting sqref="C93">
    <cfRule type="cellIs" dxfId="19893" priority="5221" stopIfTrue="1" operator="equal">
      <formula>"Towel"</formula>
    </cfRule>
    <cfRule type="cellIs" dxfId="19892" priority="5222" stopIfTrue="1" operator="equal">
      <formula>"Napkin Hs"</formula>
    </cfRule>
  </conditionalFormatting>
  <conditionalFormatting sqref="C93">
    <cfRule type="cellIs" dxfId="19891" priority="5217" stopIfTrue="1" operator="equal">
      <formula>"Towel"</formula>
    </cfRule>
    <cfRule type="cellIs" dxfId="19890" priority="5218" stopIfTrue="1" operator="equal">
      <formula>"Napkin Hs"</formula>
    </cfRule>
  </conditionalFormatting>
  <conditionalFormatting sqref="C93">
    <cfRule type="cellIs" dxfId="19889" priority="5219" stopIfTrue="1" operator="equal">
      <formula>"Towel"</formula>
    </cfRule>
    <cfRule type="cellIs" dxfId="19888" priority="5220" stopIfTrue="1" operator="equal">
      <formula>"Napkin Hs"</formula>
    </cfRule>
  </conditionalFormatting>
  <conditionalFormatting sqref="C93">
    <cfRule type="cellIs" dxfId="19887" priority="5211" stopIfTrue="1" operator="equal">
      <formula>"Towel"</formula>
    </cfRule>
    <cfRule type="cellIs" dxfId="19886" priority="5212" stopIfTrue="1" operator="equal">
      <formula>"Napkin Hs"</formula>
    </cfRule>
  </conditionalFormatting>
  <conditionalFormatting sqref="C93">
    <cfRule type="cellIs" dxfId="19885" priority="5209" stopIfTrue="1" operator="equal">
      <formula>"Towel"</formula>
    </cfRule>
    <cfRule type="cellIs" dxfId="19884" priority="5210" stopIfTrue="1" operator="equal">
      <formula>"Napkin Hs"</formula>
    </cfRule>
  </conditionalFormatting>
  <conditionalFormatting sqref="C93">
    <cfRule type="cellIs" dxfId="19883" priority="5207" stopIfTrue="1" operator="equal">
      <formula>"Towel"</formula>
    </cfRule>
    <cfRule type="cellIs" dxfId="19882" priority="5208" stopIfTrue="1" operator="equal">
      <formula>"Napkin Hs"</formula>
    </cfRule>
  </conditionalFormatting>
  <conditionalFormatting sqref="C93">
    <cfRule type="cellIs" dxfId="19881" priority="5205" stopIfTrue="1" operator="equal">
      <formula>"Towel"</formula>
    </cfRule>
    <cfRule type="cellIs" dxfId="19880" priority="5206" stopIfTrue="1" operator="equal">
      <formula>"Napkin Hs"</formula>
    </cfRule>
  </conditionalFormatting>
  <conditionalFormatting sqref="C93">
    <cfRule type="cellIs" dxfId="19879" priority="5203" stopIfTrue="1" operator="equal">
      <formula>"Towel"</formula>
    </cfRule>
    <cfRule type="cellIs" dxfId="19878" priority="5204" stopIfTrue="1" operator="equal">
      <formula>"Napkin Hs"</formula>
    </cfRule>
  </conditionalFormatting>
  <conditionalFormatting sqref="C93">
    <cfRule type="cellIs" dxfId="19877" priority="5201" stopIfTrue="1" operator="equal">
      <formula>"Towel"</formula>
    </cfRule>
    <cfRule type="cellIs" dxfId="19876" priority="5202" stopIfTrue="1" operator="equal">
      <formula>"Napkin Hs"</formula>
    </cfRule>
  </conditionalFormatting>
  <conditionalFormatting sqref="C93">
    <cfRule type="cellIs" dxfId="19875" priority="5199" stopIfTrue="1" operator="equal">
      <formula>"Towel"</formula>
    </cfRule>
    <cfRule type="cellIs" dxfId="19874" priority="5200" stopIfTrue="1" operator="equal">
      <formula>"Napkin Hs"</formula>
    </cfRule>
  </conditionalFormatting>
  <conditionalFormatting sqref="C93">
    <cfRule type="cellIs" dxfId="19873" priority="5197" stopIfTrue="1" operator="equal">
      <formula>"Towel"</formula>
    </cfRule>
    <cfRule type="cellIs" dxfId="19872" priority="5198" stopIfTrue="1" operator="equal">
      <formula>"Napkin Hs"</formula>
    </cfRule>
  </conditionalFormatting>
  <conditionalFormatting sqref="C93">
    <cfRule type="cellIs" dxfId="19871" priority="5195" stopIfTrue="1" operator="equal">
      <formula>"Towel"</formula>
    </cfRule>
    <cfRule type="cellIs" dxfId="19870" priority="5196" stopIfTrue="1" operator="equal">
      <formula>"Napkin Hs"</formula>
    </cfRule>
  </conditionalFormatting>
  <conditionalFormatting sqref="C93">
    <cfRule type="cellIs" dxfId="19869" priority="5193" stopIfTrue="1" operator="equal">
      <formula>"Towel"</formula>
    </cfRule>
    <cfRule type="cellIs" dxfId="19868" priority="5194" stopIfTrue="1" operator="equal">
      <formula>"Napkin Hs"</formula>
    </cfRule>
  </conditionalFormatting>
  <conditionalFormatting sqref="C93">
    <cfRule type="cellIs" dxfId="19867" priority="5187" stopIfTrue="1" operator="equal">
      <formula>"Towel"</formula>
    </cfRule>
    <cfRule type="cellIs" dxfId="19866" priority="5188" stopIfTrue="1" operator="equal">
      <formula>"Napkin Hs"</formula>
    </cfRule>
  </conditionalFormatting>
  <conditionalFormatting sqref="C93">
    <cfRule type="cellIs" dxfId="19865" priority="5181" stopIfTrue="1" operator="equal">
      <formula>"Towel"</formula>
    </cfRule>
    <cfRule type="cellIs" dxfId="19864" priority="5182" stopIfTrue="1" operator="equal">
      <formula>"Napkin Hs"</formula>
    </cfRule>
  </conditionalFormatting>
  <conditionalFormatting sqref="C93">
    <cfRule type="cellIs" dxfId="19863" priority="5175" stopIfTrue="1" operator="equal">
      <formula>"Towel"</formula>
    </cfRule>
    <cfRule type="cellIs" dxfId="19862" priority="5176" stopIfTrue="1" operator="equal">
      <formula>"Napkin Hs"</formula>
    </cfRule>
  </conditionalFormatting>
  <conditionalFormatting sqref="C93">
    <cfRule type="cellIs" dxfId="19861" priority="5174" stopIfTrue="1" operator="equal">
      <formula>"Napkin Hs"</formula>
    </cfRule>
  </conditionalFormatting>
  <conditionalFormatting sqref="C93">
    <cfRule type="cellIs" dxfId="19860" priority="5173" stopIfTrue="1" operator="equal">
      <formula>"Towel"</formula>
    </cfRule>
  </conditionalFormatting>
  <conditionalFormatting sqref="C93">
    <cfRule type="cellIs" dxfId="19859" priority="5172" stopIfTrue="1" operator="equal">
      <formula>"Napkin Hs"</formula>
    </cfRule>
  </conditionalFormatting>
  <conditionalFormatting sqref="C93">
    <cfRule type="cellIs" dxfId="19858" priority="5171" stopIfTrue="1" operator="equal">
      <formula>"Towel"</formula>
    </cfRule>
  </conditionalFormatting>
  <conditionalFormatting sqref="C93">
    <cfRule type="cellIs" dxfId="19857" priority="5169" stopIfTrue="1" operator="equal">
      <formula>"Towel"</formula>
    </cfRule>
    <cfRule type="cellIs" dxfId="19856" priority="5170" stopIfTrue="1" operator="equal">
      <formula>"Napkin Hs"</formula>
    </cfRule>
  </conditionalFormatting>
  <conditionalFormatting sqref="C93">
    <cfRule type="cellIs" dxfId="19855" priority="5167" stopIfTrue="1" operator="equal">
      <formula>"Towel"</formula>
    </cfRule>
    <cfRule type="cellIs" dxfId="19854" priority="5168" stopIfTrue="1" operator="equal">
      <formula>"Napkin Hs"</formula>
    </cfRule>
  </conditionalFormatting>
  <conditionalFormatting sqref="C93">
    <cfRule type="cellIs" dxfId="19853" priority="5165" stopIfTrue="1" operator="equal">
      <formula>"Towel"</formula>
    </cfRule>
    <cfRule type="cellIs" dxfId="19852" priority="5166" stopIfTrue="1" operator="equal">
      <formula>"Napkin Hs"</formula>
    </cfRule>
  </conditionalFormatting>
  <conditionalFormatting sqref="C93">
    <cfRule type="cellIs" dxfId="19851" priority="5155" stopIfTrue="1" operator="equal">
      <formula>"Towel"</formula>
    </cfRule>
    <cfRule type="cellIs" dxfId="19850" priority="5156" stopIfTrue="1" operator="equal">
      <formula>"Napkin Hs"</formula>
    </cfRule>
  </conditionalFormatting>
  <conditionalFormatting sqref="C93">
    <cfRule type="cellIs" dxfId="19849" priority="5153" stopIfTrue="1" operator="equal">
      <formula>"Towel"</formula>
    </cfRule>
    <cfRule type="cellIs" dxfId="19848" priority="5154" stopIfTrue="1" operator="equal">
      <formula>"Napkin Hs"</formula>
    </cfRule>
  </conditionalFormatting>
  <conditionalFormatting sqref="C93">
    <cfRule type="cellIs" dxfId="19847" priority="5151" stopIfTrue="1" operator="equal">
      <formula>"Towel"</formula>
    </cfRule>
    <cfRule type="cellIs" dxfId="19846" priority="5152" stopIfTrue="1" operator="equal">
      <formula>"Napkin Hs"</formula>
    </cfRule>
  </conditionalFormatting>
  <conditionalFormatting sqref="C93">
    <cfRule type="cellIs" dxfId="19845" priority="5149" stopIfTrue="1" operator="equal">
      <formula>"Towel"</formula>
    </cfRule>
    <cfRule type="cellIs" dxfId="19844" priority="5150" stopIfTrue="1" operator="equal">
      <formula>"Napkin Hs"</formula>
    </cfRule>
  </conditionalFormatting>
  <conditionalFormatting sqref="C93">
    <cfRule type="cellIs" dxfId="19843" priority="5147" stopIfTrue="1" operator="equal">
      <formula>"Towel"</formula>
    </cfRule>
    <cfRule type="cellIs" dxfId="19842" priority="5148" stopIfTrue="1" operator="equal">
      <formula>"Napkin Hs"</formula>
    </cfRule>
  </conditionalFormatting>
  <conditionalFormatting sqref="C93">
    <cfRule type="cellIs" dxfId="19841" priority="5145" stopIfTrue="1" operator="equal">
      <formula>"Towel"</formula>
    </cfRule>
    <cfRule type="cellIs" dxfId="19840" priority="5146" stopIfTrue="1" operator="equal">
      <formula>"Napkin Hs"</formula>
    </cfRule>
  </conditionalFormatting>
  <conditionalFormatting sqref="C93">
    <cfRule type="cellIs" dxfId="19839" priority="5143" stopIfTrue="1" operator="equal">
      <formula>"Towel"</formula>
    </cfRule>
    <cfRule type="cellIs" dxfId="19838" priority="5144" stopIfTrue="1" operator="equal">
      <formula>"Napkin Hs"</formula>
    </cfRule>
  </conditionalFormatting>
  <conditionalFormatting sqref="C93">
    <cfRule type="cellIs" dxfId="19837" priority="5141" stopIfTrue="1" operator="equal">
      <formula>"Towel"</formula>
    </cfRule>
    <cfRule type="cellIs" dxfId="19836" priority="5142" stopIfTrue="1" operator="equal">
      <formula>"Napkin Hs"</formula>
    </cfRule>
  </conditionalFormatting>
  <conditionalFormatting sqref="C93">
    <cfRule type="cellIs" dxfId="19835" priority="5139" stopIfTrue="1" operator="equal">
      <formula>"Towel"</formula>
    </cfRule>
    <cfRule type="cellIs" dxfId="19834" priority="5140" stopIfTrue="1" operator="equal">
      <formula>"Napkin Hs"</formula>
    </cfRule>
  </conditionalFormatting>
  <conditionalFormatting sqref="C93">
    <cfRule type="cellIs" dxfId="19833" priority="5126" stopIfTrue="1" operator="equal">
      <formula>"Napkin Hs"</formula>
    </cfRule>
  </conditionalFormatting>
  <conditionalFormatting sqref="C93">
    <cfRule type="cellIs" dxfId="19832" priority="5125" stopIfTrue="1" operator="equal">
      <formula>"Towel"</formula>
    </cfRule>
  </conditionalFormatting>
  <conditionalFormatting sqref="C93">
    <cfRule type="cellIs" dxfId="19831" priority="5124" stopIfTrue="1" operator="equal">
      <formula>"Napkin Hs"</formula>
    </cfRule>
  </conditionalFormatting>
  <conditionalFormatting sqref="C93">
    <cfRule type="cellIs" dxfId="19830" priority="5121" stopIfTrue="1" operator="equal">
      <formula>"Towel"</formula>
    </cfRule>
    <cfRule type="cellIs" dxfId="19829" priority="5122" stopIfTrue="1" operator="equal">
      <formula>"Napkin Hs"</formula>
    </cfRule>
  </conditionalFormatting>
  <conditionalFormatting sqref="C93">
    <cfRule type="cellIs" dxfId="19828" priority="5123" stopIfTrue="1" operator="equal">
      <formula>"Towel"</formula>
    </cfRule>
  </conditionalFormatting>
  <conditionalFormatting sqref="C93">
    <cfRule type="cellIs" dxfId="19827" priority="5241" stopIfTrue="1" operator="equal">
      <formula>"Towel"</formula>
    </cfRule>
    <cfRule type="cellIs" dxfId="19826" priority="5242" stopIfTrue="1" operator="equal">
      <formula>"Napkin Hs"</formula>
    </cfRule>
  </conditionalFormatting>
  <conditionalFormatting sqref="C93">
    <cfRule type="cellIs" dxfId="19825" priority="5240" stopIfTrue="1" operator="equal">
      <formula>"Napkin Hs"</formula>
    </cfRule>
  </conditionalFormatting>
  <conditionalFormatting sqref="C93">
    <cfRule type="cellIs" dxfId="19824" priority="5239" stopIfTrue="1" operator="equal">
      <formula>"Towel"</formula>
    </cfRule>
  </conditionalFormatting>
  <conditionalFormatting sqref="C93">
    <cfRule type="cellIs" dxfId="19823" priority="5238" stopIfTrue="1" operator="equal">
      <formula>"Napkin Hs"</formula>
    </cfRule>
  </conditionalFormatting>
  <conditionalFormatting sqref="C93">
    <cfRule type="cellIs" dxfId="19822" priority="5235" stopIfTrue="1" operator="equal">
      <formula>"Towel"</formula>
    </cfRule>
    <cfRule type="cellIs" dxfId="19821" priority="5236" stopIfTrue="1" operator="equal">
      <formula>"Napkin Hs"</formula>
    </cfRule>
  </conditionalFormatting>
  <conditionalFormatting sqref="C93">
    <cfRule type="cellIs" dxfId="19820" priority="5237" stopIfTrue="1" operator="equal">
      <formula>"Towel"</formula>
    </cfRule>
  </conditionalFormatting>
  <conditionalFormatting sqref="C93">
    <cfRule type="cellIs" dxfId="19819" priority="5245" stopIfTrue="1" operator="equal">
      <formula>"Towel"</formula>
    </cfRule>
    <cfRule type="cellIs" dxfId="19818" priority="5246" stopIfTrue="1" operator="equal">
      <formula>"Napkin Hs"</formula>
    </cfRule>
  </conditionalFormatting>
  <conditionalFormatting sqref="C93">
    <cfRule type="cellIs" dxfId="19817" priority="5243" stopIfTrue="1" operator="equal">
      <formula>"Towel"</formula>
    </cfRule>
    <cfRule type="cellIs" dxfId="19816" priority="5244" stopIfTrue="1" operator="equal">
      <formula>"Napkin Hs"</formula>
    </cfRule>
  </conditionalFormatting>
  <conditionalFormatting sqref="C93">
    <cfRule type="cellIs" dxfId="19815" priority="5215" stopIfTrue="1" operator="equal">
      <formula>"Towel"</formula>
    </cfRule>
    <cfRule type="cellIs" dxfId="19814" priority="5216" stopIfTrue="1" operator="equal">
      <formula>"Napkin Hs"</formula>
    </cfRule>
  </conditionalFormatting>
  <conditionalFormatting sqref="C93">
    <cfRule type="cellIs" dxfId="19813" priority="5213" stopIfTrue="1" operator="equal">
      <formula>"Towel"</formula>
    </cfRule>
    <cfRule type="cellIs" dxfId="19812" priority="5214" stopIfTrue="1" operator="equal">
      <formula>"Napkin Hs"</formula>
    </cfRule>
  </conditionalFormatting>
  <conditionalFormatting sqref="C93">
    <cfRule type="cellIs" dxfId="19811" priority="5192" stopIfTrue="1" operator="equal">
      <formula>"Napkin Hs"</formula>
    </cfRule>
  </conditionalFormatting>
  <conditionalFormatting sqref="C93">
    <cfRule type="cellIs" dxfId="19810" priority="5191" stopIfTrue="1" operator="equal">
      <formula>"Towel"</formula>
    </cfRule>
  </conditionalFormatting>
  <conditionalFormatting sqref="C93">
    <cfRule type="cellIs" dxfId="19809" priority="5190" stopIfTrue="1" operator="equal">
      <formula>"Napkin Hs"</formula>
    </cfRule>
  </conditionalFormatting>
  <conditionalFormatting sqref="C93">
    <cfRule type="cellIs" dxfId="19808" priority="5189" stopIfTrue="1" operator="equal">
      <formula>"Towel"</formula>
    </cfRule>
  </conditionalFormatting>
  <conditionalFormatting sqref="C93">
    <cfRule type="cellIs" dxfId="19807" priority="5186" stopIfTrue="1" operator="equal">
      <formula>"Napkin Hs"</formula>
    </cfRule>
  </conditionalFormatting>
  <conditionalFormatting sqref="C93">
    <cfRule type="cellIs" dxfId="19806" priority="5185" stopIfTrue="1" operator="equal">
      <formula>"Towel"</formula>
    </cfRule>
  </conditionalFormatting>
  <conditionalFormatting sqref="C93">
    <cfRule type="cellIs" dxfId="19805" priority="5184" stopIfTrue="1" operator="equal">
      <formula>"Napkin Hs"</formula>
    </cfRule>
  </conditionalFormatting>
  <conditionalFormatting sqref="C93">
    <cfRule type="cellIs" dxfId="19804" priority="5183" stopIfTrue="1" operator="equal">
      <formula>"Towel"</formula>
    </cfRule>
  </conditionalFormatting>
  <conditionalFormatting sqref="C93">
    <cfRule type="cellIs" dxfId="19803" priority="5179" stopIfTrue="1" operator="equal">
      <formula>"Towel"</formula>
    </cfRule>
    <cfRule type="cellIs" dxfId="19802" priority="5180" stopIfTrue="1" operator="equal">
      <formula>"Napkin Hs"</formula>
    </cfRule>
  </conditionalFormatting>
  <conditionalFormatting sqref="C93">
    <cfRule type="cellIs" dxfId="19801" priority="5177" stopIfTrue="1" operator="equal">
      <formula>"Towel"</formula>
    </cfRule>
    <cfRule type="cellIs" dxfId="19800" priority="5178" stopIfTrue="1" operator="equal">
      <formula>"Napkin Hs"</formula>
    </cfRule>
  </conditionalFormatting>
  <conditionalFormatting sqref="C93">
    <cfRule type="cellIs" dxfId="19799" priority="5161" stopIfTrue="1" operator="equal">
      <formula>"Towel"</formula>
    </cfRule>
    <cfRule type="cellIs" dxfId="19798" priority="5162" stopIfTrue="1" operator="equal">
      <formula>"Napkin Hs"</formula>
    </cfRule>
  </conditionalFormatting>
  <conditionalFormatting sqref="C93">
    <cfRule type="cellIs" dxfId="19797" priority="5159" stopIfTrue="1" operator="equal">
      <formula>"Towel"</formula>
    </cfRule>
    <cfRule type="cellIs" dxfId="19796" priority="5160" stopIfTrue="1" operator="equal">
      <formula>"Napkin Hs"</formula>
    </cfRule>
  </conditionalFormatting>
  <conditionalFormatting sqref="B93:C93">
    <cfRule type="cellIs" dxfId="19795" priority="5120" stopIfTrue="1" operator="equal">
      <formula>"Napkin Hs"</formula>
    </cfRule>
  </conditionalFormatting>
  <conditionalFormatting sqref="B93:C93">
    <cfRule type="cellIs" dxfId="19794" priority="5119" stopIfTrue="1" operator="equal">
      <formula>"Towel"</formula>
    </cfRule>
  </conditionalFormatting>
  <conditionalFormatting sqref="C93">
    <cfRule type="cellIs" dxfId="19793" priority="5118" stopIfTrue="1" operator="equal">
      <formula>"Napkin Hs"</formula>
    </cfRule>
  </conditionalFormatting>
  <conditionalFormatting sqref="C93">
    <cfRule type="cellIs" dxfId="19792" priority="5115" stopIfTrue="1" operator="equal">
      <formula>"Towel"</formula>
    </cfRule>
    <cfRule type="cellIs" dxfId="19791" priority="5116" stopIfTrue="1" operator="equal">
      <formula>"Napkin Hs"</formula>
    </cfRule>
  </conditionalFormatting>
  <conditionalFormatting sqref="C93">
    <cfRule type="cellIs" dxfId="19790" priority="5117" stopIfTrue="1" operator="equal">
      <formula>"Towel"</formula>
    </cfRule>
  </conditionalFormatting>
  <conditionalFormatting sqref="C93">
    <cfRule type="cellIs" dxfId="19789" priority="5031" stopIfTrue="1" operator="equal">
      <formula>"Towel"</formula>
    </cfRule>
    <cfRule type="cellIs" dxfId="19788" priority="5032" stopIfTrue="1" operator="equal">
      <formula>"Napkin Hs"</formula>
    </cfRule>
  </conditionalFormatting>
  <conditionalFormatting sqref="C93">
    <cfRule type="cellIs" dxfId="19787" priority="5025" stopIfTrue="1" operator="equal">
      <formula>"Towel"</formula>
    </cfRule>
    <cfRule type="cellIs" dxfId="19786" priority="5026" stopIfTrue="1" operator="equal">
      <formula>"Napkin Hs"</formula>
    </cfRule>
  </conditionalFormatting>
  <conditionalFormatting sqref="C93">
    <cfRule type="cellIs" dxfId="19785" priority="5006" stopIfTrue="1" operator="equal">
      <formula>"Napkin Hs"</formula>
    </cfRule>
  </conditionalFormatting>
  <conditionalFormatting sqref="C93">
    <cfRule type="cellIs" dxfId="19784" priority="5005" stopIfTrue="1" operator="equal">
      <formula>"Towel"</formula>
    </cfRule>
  </conditionalFormatting>
  <conditionalFormatting sqref="C93">
    <cfRule type="cellIs" dxfId="19783" priority="5004" stopIfTrue="1" operator="equal">
      <formula>"Napkin Hs"</formula>
    </cfRule>
  </conditionalFormatting>
  <conditionalFormatting sqref="C93">
    <cfRule type="cellIs" dxfId="19782" priority="5001" stopIfTrue="1" operator="equal">
      <formula>"Towel"</formula>
    </cfRule>
    <cfRule type="cellIs" dxfId="19781" priority="5002" stopIfTrue="1" operator="equal">
      <formula>"Napkin Hs"</formula>
    </cfRule>
  </conditionalFormatting>
  <conditionalFormatting sqref="C93">
    <cfRule type="cellIs" dxfId="19780" priority="5003" stopIfTrue="1" operator="equal">
      <formula>"Towel"</formula>
    </cfRule>
  </conditionalFormatting>
  <conditionalFormatting sqref="C93">
    <cfRule type="cellIs" dxfId="19779" priority="5000" stopIfTrue="1" operator="equal">
      <formula>"Napkin Hs"</formula>
    </cfRule>
  </conditionalFormatting>
  <conditionalFormatting sqref="C93">
    <cfRule type="cellIs" dxfId="19778" priority="4999" stopIfTrue="1" operator="equal">
      <formula>"Towel"</formula>
    </cfRule>
  </conditionalFormatting>
  <conditionalFormatting sqref="C93">
    <cfRule type="cellIs" dxfId="19777" priority="4998" stopIfTrue="1" operator="equal">
      <formula>"Napkin Hs"</formula>
    </cfRule>
  </conditionalFormatting>
  <conditionalFormatting sqref="C93">
    <cfRule type="cellIs" dxfId="19776" priority="4995" stopIfTrue="1" operator="equal">
      <formula>"Towel"</formula>
    </cfRule>
    <cfRule type="cellIs" dxfId="19775" priority="4996" stopIfTrue="1" operator="equal">
      <formula>"Napkin Hs"</formula>
    </cfRule>
  </conditionalFormatting>
  <conditionalFormatting sqref="C93">
    <cfRule type="cellIs" dxfId="19774" priority="4997" stopIfTrue="1" operator="equal">
      <formula>"Towel"</formula>
    </cfRule>
  </conditionalFormatting>
  <conditionalFormatting sqref="C93">
    <cfRule type="cellIs" dxfId="19773" priority="5101" stopIfTrue="1" operator="equal">
      <formula>"Towel"</formula>
    </cfRule>
    <cfRule type="cellIs" dxfId="19772" priority="5102" stopIfTrue="1" operator="equal">
      <formula>"Napkin Hs"</formula>
    </cfRule>
  </conditionalFormatting>
  <conditionalFormatting sqref="C93">
    <cfRule type="cellIs" dxfId="19771" priority="5099" stopIfTrue="1" operator="equal">
      <formula>"Towel"</formula>
    </cfRule>
    <cfRule type="cellIs" dxfId="19770" priority="5100" stopIfTrue="1" operator="equal">
      <formula>"Napkin Hs"</formula>
    </cfRule>
  </conditionalFormatting>
  <conditionalFormatting sqref="C93">
    <cfRule type="cellIs" dxfId="19769" priority="5097" stopIfTrue="1" operator="equal">
      <formula>"Towel"</formula>
    </cfRule>
    <cfRule type="cellIs" dxfId="19768" priority="5098" stopIfTrue="1" operator="equal">
      <formula>"Napkin Hs"</formula>
    </cfRule>
  </conditionalFormatting>
  <conditionalFormatting sqref="C93">
    <cfRule type="cellIs" dxfId="19767" priority="5096" stopIfTrue="1" operator="equal">
      <formula>"Napkin Hs"</formula>
    </cfRule>
  </conditionalFormatting>
  <conditionalFormatting sqref="C93">
    <cfRule type="cellIs" dxfId="19766" priority="5095" stopIfTrue="1" operator="equal">
      <formula>"Towel"</formula>
    </cfRule>
  </conditionalFormatting>
  <conditionalFormatting sqref="C93">
    <cfRule type="cellIs" dxfId="19765" priority="5094" stopIfTrue="1" operator="equal">
      <formula>"Napkin Hs"</formula>
    </cfRule>
  </conditionalFormatting>
  <conditionalFormatting sqref="C93">
    <cfRule type="cellIs" dxfId="19764" priority="5093" stopIfTrue="1" operator="equal">
      <formula>"Towel"</formula>
    </cfRule>
  </conditionalFormatting>
  <conditionalFormatting sqref="C93">
    <cfRule type="cellIs" dxfId="19763" priority="5091" stopIfTrue="1" operator="equal">
      <formula>"Towel"</formula>
    </cfRule>
    <cfRule type="cellIs" dxfId="19762" priority="5092" stopIfTrue="1" operator="equal">
      <formula>"Napkin Hs"</formula>
    </cfRule>
  </conditionalFormatting>
  <conditionalFormatting sqref="C93">
    <cfRule type="cellIs" dxfId="19761" priority="5089" stopIfTrue="1" operator="equal">
      <formula>"Towel"</formula>
    </cfRule>
    <cfRule type="cellIs" dxfId="19760" priority="5090" stopIfTrue="1" operator="equal">
      <formula>"Napkin Hs"</formula>
    </cfRule>
  </conditionalFormatting>
  <conditionalFormatting sqref="C93">
    <cfRule type="cellIs" dxfId="19759" priority="5085" stopIfTrue="1" operator="equal">
      <formula>"Towel"</formula>
    </cfRule>
    <cfRule type="cellIs" dxfId="19758" priority="5086" stopIfTrue="1" operator="equal">
      <formula>"Napkin Hs"</formula>
    </cfRule>
  </conditionalFormatting>
  <conditionalFormatting sqref="C93">
    <cfRule type="cellIs" dxfId="19757" priority="5087" stopIfTrue="1" operator="equal">
      <formula>"Towel"</formula>
    </cfRule>
    <cfRule type="cellIs" dxfId="19756" priority="5088" stopIfTrue="1" operator="equal">
      <formula>"Napkin Hs"</formula>
    </cfRule>
  </conditionalFormatting>
  <conditionalFormatting sqref="C93">
    <cfRule type="cellIs" dxfId="19755" priority="5079" stopIfTrue="1" operator="equal">
      <formula>"Towel"</formula>
    </cfRule>
    <cfRule type="cellIs" dxfId="19754" priority="5080" stopIfTrue="1" operator="equal">
      <formula>"Napkin Hs"</formula>
    </cfRule>
  </conditionalFormatting>
  <conditionalFormatting sqref="C93">
    <cfRule type="cellIs" dxfId="19753" priority="5077" stopIfTrue="1" operator="equal">
      <formula>"Towel"</formula>
    </cfRule>
    <cfRule type="cellIs" dxfId="19752" priority="5078" stopIfTrue="1" operator="equal">
      <formula>"Napkin Hs"</formula>
    </cfRule>
  </conditionalFormatting>
  <conditionalFormatting sqref="C93">
    <cfRule type="cellIs" dxfId="19751" priority="5075" stopIfTrue="1" operator="equal">
      <formula>"Towel"</formula>
    </cfRule>
    <cfRule type="cellIs" dxfId="19750" priority="5076" stopIfTrue="1" operator="equal">
      <formula>"Napkin Hs"</formula>
    </cfRule>
  </conditionalFormatting>
  <conditionalFormatting sqref="C93">
    <cfRule type="cellIs" dxfId="19749" priority="5073" stopIfTrue="1" operator="equal">
      <formula>"Towel"</formula>
    </cfRule>
    <cfRule type="cellIs" dxfId="19748" priority="5074" stopIfTrue="1" operator="equal">
      <formula>"Napkin Hs"</formula>
    </cfRule>
  </conditionalFormatting>
  <conditionalFormatting sqref="C93">
    <cfRule type="cellIs" dxfId="19747" priority="5071" stopIfTrue="1" operator="equal">
      <formula>"Towel"</formula>
    </cfRule>
    <cfRule type="cellIs" dxfId="19746" priority="5072" stopIfTrue="1" operator="equal">
      <formula>"Napkin Hs"</formula>
    </cfRule>
  </conditionalFormatting>
  <conditionalFormatting sqref="C93">
    <cfRule type="cellIs" dxfId="19745" priority="5069" stopIfTrue="1" operator="equal">
      <formula>"Towel"</formula>
    </cfRule>
    <cfRule type="cellIs" dxfId="19744" priority="5070" stopIfTrue="1" operator="equal">
      <formula>"Napkin Hs"</formula>
    </cfRule>
  </conditionalFormatting>
  <conditionalFormatting sqref="C93">
    <cfRule type="cellIs" dxfId="19743" priority="5067" stopIfTrue="1" operator="equal">
      <formula>"Towel"</formula>
    </cfRule>
    <cfRule type="cellIs" dxfId="19742" priority="5068" stopIfTrue="1" operator="equal">
      <formula>"Napkin Hs"</formula>
    </cfRule>
  </conditionalFormatting>
  <conditionalFormatting sqref="C93">
    <cfRule type="cellIs" dxfId="19741" priority="5065" stopIfTrue="1" operator="equal">
      <formula>"Towel"</formula>
    </cfRule>
    <cfRule type="cellIs" dxfId="19740" priority="5066" stopIfTrue="1" operator="equal">
      <formula>"Napkin Hs"</formula>
    </cfRule>
  </conditionalFormatting>
  <conditionalFormatting sqref="C93">
    <cfRule type="cellIs" dxfId="19739" priority="5063" stopIfTrue="1" operator="equal">
      <formula>"Towel"</formula>
    </cfRule>
    <cfRule type="cellIs" dxfId="19738" priority="5064" stopIfTrue="1" operator="equal">
      <formula>"Napkin Hs"</formula>
    </cfRule>
  </conditionalFormatting>
  <conditionalFormatting sqref="C93">
    <cfRule type="cellIs" dxfId="19737" priority="5061" stopIfTrue="1" operator="equal">
      <formula>"Towel"</formula>
    </cfRule>
    <cfRule type="cellIs" dxfId="19736" priority="5062" stopIfTrue="1" operator="equal">
      <formula>"Napkin Hs"</formula>
    </cfRule>
  </conditionalFormatting>
  <conditionalFormatting sqref="C93">
    <cfRule type="cellIs" dxfId="19735" priority="5055" stopIfTrue="1" operator="equal">
      <formula>"Towel"</formula>
    </cfRule>
    <cfRule type="cellIs" dxfId="19734" priority="5056" stopIfTrue="1" operator="equal">
      <formula>"Napkin Hs"</formula>
    </cfRule>
  </conditionalFormatting>
  <conditionalFormatting sqref="C93">
    <cfRule type="cellIs" dxfId="19733" priority="5049" stopIfTrue="1" operator="equal">
      <formula>"Towel"</formula>
    </cfRule>
    <cfRule type="cellIs" dxfId="19732" priority="5050" stopIfTrue="1" operator="equal">
      <formula>"Napkin Hs"</formula>
    </cfRule>
  </conditionalFormatting>
  <conditionalFormatting sqref="C93">
    <cfRule type="cellIs" dxfId="19731" priority="5043" stopIfTrue="1" operator="equal">
      <formula>"Towel"</formula>
    </cfRule>
    <cfRule type="cellIs" dxfId="19730" priority="5044" stopIfTrue="1" operator="equal">
      <formula>"Napkin Hs"</formula>
    </cfRule>
  </conditionalFormatting>
  <conditionalFormatting sqref="C93">
    <cfRule type="cellIs" dxfId="19729" priority="5042" stopIfTrue="1" operator="equal">
      <formula>"Napkin Hs"</formula>
    </cfRule>
  </conditionalFormatting>
  <conditionalFormatting sqref="C93">
    <cfRule type="cellIs" dxfId="19728" priority="5041" stopIfTrue="1" operator="equal">
      <formula>"Towel"</formula>
    </cfRule>
  </conditionalFormatting>
  <conditionalFormatting sqref="C93">
    <cfRule type="cellIs" dxfId="19727" priority="5040" stopIfTrue="1" operator="equal">
      <formula>"Napkin Hs"</formula>
    </cfRule>
  </conditionalFormatting>
  <conditionalFormatting sqref="C93">
    <cfRule type="cellIs" dxfId="19726" priority="5039" stopIfTrue="1" operator="equal">
      <formula>"Towel"</formula>
    </cfRule>
  </conditionalFormatting>
  <conditionalFormatting sqref="C93">
    <cfRule type="cellIs" dxfId="19725" priority="5037" stopIfTrue="1" operator="equal">
      <formula>"Towel"</formula>
    </cfRule>
    <cfRule type="cellIs" dxfId="19724" priority="5038" stopIfTrue="1" operator="equal">
      <formula>"Napkin Hs"</formula>
    </cfRule>
  </conditionalFormatting>
  <conditionalFormatting sqref="C93">
    <cfRule type="cellIs" dxfId="19723" priority="5035" stopIfTrue="1" operator="equal">
      <formula>"Towel"</formula>
    </cfRule>
    <cfRule type="cellIs" dxfId="19722" priority="5036" stopIfTrue="1" operator="equal">
      <formula>"Napkin Hs"</formula>
    </cfRule>
  </conditionalFormatting>
  <conditionalFormatting sqref="C93">
    <cfRule type="cellIs" dxfId="19721" priority="5033" stopIfTrue="1" operator="equal">
      <formula>"Towel"</formula>
    </cfRule>
    <cfRule type="cellIs" dxfId="19720" priority="5034" stopIfTrue="1" operator="equal">
      <formula>"Napkin Hs"</formula>
    </cfRule>
  </conditionalFormatting>
  <conditionalFormatting sqref="C93">
    <cfRule type="cellIs" dxfId="19719" priority="5023" stopIfTrue="1" operator="equal">
      <formula>"Towel"</formula>
    </cfRule>
    <cfRule type="cellIs" dxfId="19718" priority="5024" stopIfTrue="1" operator="equal">
      <formula>"Napkin Hs"</formula>
    </cfRule>
  </conditionalFormatting>
  <conditionalFormatting sqref="C93">
    <cfRule type="cellIs" dxfId="19717" priority="5021" stopIfTrue="1" operator="equal">
      <formula>"Towel"</formula>
    </cfRule>
    <cfRule type="cellIs" dxfId="19716" priority="5022" stopIfTrue="1" operator="equal">
      <formula>"Napkin Hs"</formula>
    </cfRule>
  </conditionalFormatting>
  <conditionalFormatting sqref="C93">
    <cfRule type="cellIs" dxfId="19715" priority="5019" stopIfTrue="1" operator="equal">
      <formula>"Towel"</formula>
    </cfRule>
    <cfRule type="cellIs" dxfId="19714" priority="5020" stopIfTrue="1" operator="equal">
      <formula>"Napkin Hs"</formula>
    </cfRule>
  </conditionalFormatting>
  <conditionalFormatting sqref="C93">
    <cfRule type="cellIs" dxfId="19713" priority="5017" stopIfTrue="1" operator="equal">
      <formula>"Towel"</formula>
    </cfRule>
    <cfRule type="cellIs" dxfId="19712" priority="5018" stopIfTrue="1" operator="equal">
      <formula>"Napkin Hs"</formula>
    </cfRule>
  </conditionalFormatting>
  <conditionalFormatting sqref="C93">
    <cfRule type="cellIs" dxfId="19711" priority="5015" stopIfTrue="1" operator="equal">
      <formula>"Towel"</formula>
    </cfRule>
    <cfRule type="cellIs" dxfId="19710" priority="5016" stopIfTrue="1" operator="equal">
      <formula>"Napkin Hs"</formula>
    </cfRule>
  </conditionalFormatting>
  <conditionalFormatting sqref="C93">
    <cfRule type="cellIs" dxfId="19709" priority="5013" stopIfTrue="1" operator="equal">
      <formula>"Towel"</formula>
    </cfRule>
    <cfRule type="cellIs" dxfId="19708" priority="5014" stopIfTrue="1" operator="equal">
      <formula>"Napkin Hs"</formula>
    </cfRule>
  </conditionalFormatting>
  <conditionalFormatting sqref="C93">
    <cfRule type="cellIs" dxfId="19707" priority="5011" stopIfTrue="1" operator="equal">
      <formula>"Towel"</formula>
    </cfRule>
    <cfRule type="cellIs" dxfId="19706" priority="5012" stopIfTrue="1" operator="equal">
      <formula>"Napkin Hs"</formula>
    </cfRule>
  </conditionalFormatting>
  <conditionalFormatting sqref="C93">
    <cfRule type="cellIs" dxfId="19705" priority="5009" stopIfTrue="1" operator="equal">
      <formula>"Towel"</formula>
    </cfRule>
    <cfRule type="cellIs" dxfId="19704" priority="5010" stopIfTrue="1" operator="equal">
      <formula>"Napkin Hs"</formula>
    </cfRule>
  </conditionalFormatting>
  <conditionalFormatting sqref="C93">
    <cfRule type="cellIs" dxfId="19703" priority="5007" stopIfTrue="1" operator="equal">
      <formula>"Towel"</formula>
    </cfRule>
    <cfRule type="cellIs" dxfId="19702" priority="5008" stopIfTrue="1" operator="equal">
      <formula>"Napkin Hs"</formula>
    </cfRule>
  </conditionalFormatting>
  <conditionalFormatting sqref="C93">
    <cfRule type="cellIs" dxfId="19701" priority="4994" stopIfTrue="1" operator="equal">
      <formula>"Napkin Hs"</formula>
    </cfRule>
  </conditionalFormatting>
  <conditionalFormatting sqref="C93">
    <cfRule type="cellIs" dxfId="19700" priority="4993" stopIfTrue="1" operator="equal">
      <formula>"Towel"</formula>
    </cfRule>
  </conditionalFormatting>
  <conditionalFormatting sqref="C93">
    <cfRule type="cellIs" dxfId="19699" priority="4992" stopIfTrue="1" operator="equal">
      <formula>"Napkin Hs"</formula>
    </cfRule>
  </conditionalFormatting>
  <conditionalFormatting sqref="C93">
    <cfRule type="cellIs" dxfId="19698" priority="4989" stopIfTrue="1" operator="equal">
      <formula>"Towel"</formula>
    </cfRule>
    <cfRule type="cellIs" dxfId="19697" priority="4990" stopIfTrue="1" operator="equal">
      <formula>"Napkin Hs"</formula>
    </cfRule>
  </conditionalFormatting>
  <conditionalFormatting sqref="C93">
    <cfRule type="cellIs" dxfId="19696" priority="4991" stopIfTrue="1" operator="equal">
      <formula>"Towel"</formula>
    </cfRule>
  </conditionalFormatting>
  <conditionalFormatting sqref="C93">
    <cfRule type="cellIs" dxfId="19695" priority="5109" stopIfTrue="1" operator="equal">
      <formula>"Towel"</formula>
    </cfRule>
    <cfRule type="cellIs" dxfId="19694" priority="5110" stopIfTrue="1" operator="equal">
      <formula>"Napkin Hs"</formula>
    </cfRule>
  </conditionalFormatting>
  <conditionalFormatting sqref="C93">
    <cfRule type="cellIs" dxfId="19693" priority="5108" stopIfTrue="1" operator="equal">
      <formula>"Napkin Hs"</formula>
    </cfRule>
  </conditionalFormatting>
  <conditionalFormatting sqref="C93">
    <cfRule type="cellIs" dxfId="19692" priority="5107" stopIfTrue="1" operator="equal">
      <formula>"Towel"</formula>
    </cfRule>
  </conditionalFormatting>
  <conditionalFormatting sqref="C93">
    <cfRule type="cellIs" dxfId="19691" priority="5106" stopIfTrue="1" operator="equal">
      <formula>"Napkin Hs"</formula>
    </cfRule>
  </conditionalFormatting>
  <conditionalFormatting sqref="C93">
    <cfRule type="cellIs" dxfId="19690" priority="5103" stopIfTrue="1" operator="equal">
      <formula>"Towel"</formula>
    </cfRule>
    <cfRule type="cellIs" dxfId="19689" priority="5104" stopIfTrue="1" operator="equal">
      <formula>"Napkin Hs"</formula>
    </cfRule>
  </conditionalFormatting>
  <conditionalFormatting sqref="C93">
    <cfRule type="cellIs" dxfId="19688" priority="5105" stopIfTrue="1" operator="equal">
      <formula>"Towel"</formula>
    </cfRule>
  </conditionalFormatting>
  <conditionalFormatting sqref="C93">
    <cfRule type="cellIs" dxfId="19687" priority="5113" stopIfTrue="1" operator="equal">
      <formula>"Towel"</formula>
    </cfRule>
    <cfRule type="cellIs" dxfId="19686" priority="5114" stopIfTrue="1" operator="equal">
      <formula>"Napkin Hs"</formula>
    </cfRule>
  </conditionalFormatting>
  <conditionalFormatting sqref="C93">
    <cfRule type="cellIs" dxfId="19685" priority="5111" stopIfTrue="1" operator="equal">
      <formula>"Towel"</formula>
    </cfRule>
    <cfRule type="cellIs" dxfId="19684" priority="5112" stopIfTrue="1" operator="equal">
      <formula>"Napkin Hs"</formula>
    </cfRule>
  </conditionalFormatting>
  <conditionalFormatting sqref="C93">
    <cfRule type="cellIs" dxfId="19683" priority="5083" stopIfTrue="1" operator="equal">
      <formula>"Towel"</formula>
    </cfRule>
    <cfRule type="cellIs" dxfId="19682" priority="5084" stopIfTrue="1" operator="equal">
      <formula>"Napkin Hs"</formula>
    </cfRule>
  </conditionalFormatting>
  <conditionalFormatting sqref="C93">
    <cfRule type="cellIs" dxfId="19681" priority="5081" stopIfTrue="1" operator="equal">
      <formula>"Towel"</formula>
    </cfRule>
    <cfRule type="cellIs" dxfId="19680" priority="5082" stopIfTrue="1" operator="equal">
      <formula>"Napkin Hs"</formula>
    </cfRule>
  </conditionalFormatting>
  <conditionalFormatting sqref="C93">
    <cfRule type="cellIs" dxfId="19679" priority="5060" stopIfTrue="1" operator="equal">
      <formula>"Napkin Hs"</formula>
    </cfRule>
  </conditionalFormatting>
  <conditionalFormatting sqref="C93">
    <cfRule type="cellIs" dxfId="19678" priority="5059" stopIfTrue="1" operator="equal">
      <formula>"Towel"</formula>
    </cfRule>
  </conditionalFormatting>
  <conditionalFormatting sqref="C93">
    <cfRule type="cellIs" dxfId="19677" priority="5058" stopIfTrue="1" operator="equal">
      <formula>"Napkin Hs"</formula>
    </cfRule>
  </conditionalFormatting>
  <conditionalFormatting sqref="C93">
    <cfRule type="cellIs" dxfId="19676" priority="5057" stopIfTrue="1" operator="equal">
      <formula>"Towel"</formula>
    </cfRule>
  </conditionalFormatting>
  <conditionalFormatting sqref="C93">
    <cfRule type="cellIs" dxfId="19675" priority="5054" stopIfTrue="1" operator="equal">
      <formula>"Napkin Hs"</formula>
    </cfRule>
  </conditionalFormatting>
  <conditionalFormatting sqref="C93">
    <cfRule type="cellIs" dxfId="19674" priority="5053" stopIfTrue="1" operator="equal">
      <formula>"Towel"</formula>
    </cfRule>
  </conditionalFormatting>
  <conditionalFormatting sqref="C93">
    <cfRule type="cellIs" dxfId="19673" priority="5052" stopIfTrue="1" operator="equal">
      <formula>"Napkin Hs"</formula>
    </cfRule>
  </conditionalFormatting>
  <conditionalFormatting sqref="C93">
    <cfRule type="cellIs" dxfId="19672" priority="5051" stopIfTrue="1" operator="equal">
      <formula>"Towel"</formula>
    </cfRule>
  </conditionalFormatting>
  <conditionalFormatting sqref="C93">
    <cfRule type="cellIs" dxfId="19671" priority="5047" stopIfTrue="1" operator="equal">
      <formula>"Towel"</formula>
    </cfRule>
    <cfRule type="cellIs" dxfId="19670" priority="5048" stopIfTrue="1" operator="equal">
      <formula>"Napkin Hs"</formula>
    </cfRule>
  </conditionalFormatting>
  <conditionalFormatting sqref="C93">
    <cfRule type="cellIs" dxfId="19669" priority="5045" stopIfTrue="1" operator="equal">
      <formula>"Towel"</formula>
    </cfRule>
    <cfRule type="cellIs" dxfId="19668" priority="5046" stopIfTrue="1" operator="equal">
      <formula>"Napkin Hs"</formula>
    </cfRule>
  </conditionalFormatting>
  <conditionalFormatting sqref="C93">
    <cfRule type="cellIs" dxfId="19667" priority="5029" stopIfTrue="1" operator="equal">
      <formula>"Towel"</formula>
    </cfRule>
    <cfRule type="cellIs" dxfId="19666" priority="5030" stopIfTrue="1" operator="equal">
      <formula>"Napkin Hs"</formula>
    </cfRule>
  </conditionalFormatting>
  <conditionalFormatting sqref="C93">
    <cfRule type="cellIs" dxfId="19665" priority="5027" stopIfTrue="1" operator="equal">
      <formula>"Towel"</formula>
    </cfRule>
    <cfRule type="cellIs" dxfId="19664" priority="5028" stopIfTrue="1" operator="equal">
      <formula>"Napkin Hs"</formula>
    </cfRule>
  </conditionalFormatting>
  <conditionalFormatting sqref="B93:C93">
    <cfRule type="cellIs" dxfId="19663" priority="4988" stopIfTrue="1" operator="equal">
      <formula>"Napkin Hs"</formula>
    </cfRule>
  </conditionalFormatting>
  <conditionalFormatting sqref="B93:C93">
    <cfRule type="cellIs" dxfId="19662" priority="4987" stopIfTrue="1" operator="equal">
      <formula>"Towel"</formula>
    </cfRule>
  </conditionalFormatting>
  <conditionalFormatting sqref="C93">
    <cfRule type="cellIs" dxfId="19661" priority="4986" stopIfTrue="1" operator="equal">
      <formula>"Napkin Hs"</formula>
    </cfRule>
  </conditionalFormatting>
  <conditionalFormatting sqref="C93">
    <cfRule type="cellIs" dxfId="19660" priority="4983" stopIfTrue="1" operator="equal">
      <formula>"Towel"</formula>
    </cfRule>
    <cfRule type="cellIs" dxfId="19659" priority="4984" stopIfTrue="1" operator="equal">
      <formula>"Napkin Hs"</formula>
    </cfRule>
  </conditionalFormatting>
  <conditionalFormatting sqref="C93">
    <cfRule type="cellIs" dxfId="19658" priority="4985" stopIfTrue="1" operator="equal">
      <formula>"Towel"</formula>
    </cfRule>
  </conditionalFormatting>
  <conditionalFormatting sqref="B93:C93">
    <cfRule type="cellIs" dxfId="19657" priority="4982" stopIfTrue="1" operator="equal">
      <formula>"Napkin Hs"</formula>
    </cfRule>
  </conditionalFormatting>
  <conditionalFormatting sqref="B93:C93">
    <cfRule type="cellIs" dxfId="19656" priority="4981" stopIfTrue="1" operator="equal">
      <formula>"Towel"</formula>
    </cfRule>
  </conditionalFormatting>
  <conditionalFormatting sqref="C93">
    <cfRule type="cellIs" dxfId="19655" priority="4980" stopIfTrue="1" operator="equal">
      <formula>"Napkin Hs"</formula>
    </cfRule>
  </conditionalFormatting>
  <conditionalFormatting sqref="C93">
    <cfRule type="cellIs" dxfId="19654" priority="4979" stopIfTrue="1" operator="equal">
      <formula>"Towel"</formula>
    </cfRule>
  </conditionalFormatting>
  <conditionalFormatting sqref="B94:C94">
    <cfRule type="cellIs" dxfId="19653" priority="4977" stopIfTrue="1" operator="equal">
      <formula>"Towel"</formula>
    </cfRule>
    <cfRule type="cellIs" dxfId="19652" priority="4978" stopIfTrue="1" operator="equal">
      <formula>"Napkin Hs"</formula>
    </cfRule>
  </conditionalFormatting>
  <conditionalFormatting sqref="C94">
    <cfRule type="cellIs" dxfId="19651" priority="4973" stopIfTrue="1" operator="equal">
      <formula>"Towel"</formula>
    </cfRule>
    <cfRule type="cellIs" dxfId="19650" priority="4974" stopIfTrue="1" operator="equal">
      <formula>"Napkin Hs"</formula>
    </cfRule>
  </conditionalFormatting>
  <conditionalFormatting sqref="C94">
    <cfRule type="cellIs" dxfId="19649" priority="4975" stopIfTrue="1" operator="equal">
      <formula>"Towel"</formula>
    </cfRule>
    <cfRule type="cellIs" dxfId="19648" priority="4976" stopIfTrue="1" operator="equal">
      <formula>"Napkin Hs"</formula>
    </cfRule>
  </conditionalFormatting>
  <conditionalFormatting sqref="B94:C94">
    <cfRule type="cellIs" dxfId="19647" priority="4972" stopIfTrue="1" operator="equal">
      <formula>"Napkin Hs"</formula>
    </cfRule>
  </conditionalFormatting>
  <conditionalFormatting sqref="B94:C94">
    <cfRule type="cellIs" dxfId="19646" priority="4971" stopIfTrue="1" operator="equal">
      <formula>"Towel"</formula>
    </cfRule>
  </conditionalFormatting>
  <conditionalFormatting sqref="C94">
    <cfRule type="cellIs" dxfId="19645" priority="4970" stopIfTrue="1" operator="equal">
      <formula>"Napkin Hs"</formula>
    </cfRule>
  </conditionalFormatting>
  <conditionalFormatting sqref="C94">
    <cfRule type="cellIs" dxfId="19644" priority="4969" stopIfTrue="1" operator="equal">
      <formula>"Towel"</formula>
    </cfRule>
  </conditionalFormatting>
  <conditionalFormatting sqref="C94">
    <cfRule type="cellIs" dxfId="19643" priority="4967" stopIfTrue="1" operator="equal">
      <formula>"Towel"</formula>
    </cfRule>
    <cfRule type="cellIs" dxfId="19642" priority="4968" stopIfTrue="1" operator="equal">
      <formula>"Napkin Hs"</formula>
    </cfRule>
  </conditionalFormatting>
  <conditionalFormatting sqref="B94:C94">
    <cfRule type="cellIs" dxfId="19641" priority="4965" stopIfTrue="1" operator="equal">
      <formula>"Towel"</formula>
    </cfRule>
    <cfRule type="cellIs" dxfId="19640" priority="4966" stopIfTrue="1" operator="equal">
      <formula>"Napkin Hs"</formula>
    </cfRule>
  </conditionalFormatting>
  <conditionalFormatting sqref="C94">
    <cfRule type="cellIs" dxfId="19639" priority="4963" stopIfTrue="1" operator="equal">
      <formula>"Towel"</formula>
    </cfRule>
    <cfRule type="cellIs" dxfId="19638" priority="4964" stopIfTrue="1" operator="equal">
      <formula>"Napkin Hs"</formula>
    </cfRule>
  </conditionalFormatting>
  <conditionalFormatting sqref="C94">
    <cfRule type="cellIs" dxfId="19637" priority="4961" stopIfTrue="1" operator="equal">
      <formula>"Towel"</formula>
    </cfRule>
    <cfRule type="cellIs" dxfId="19636" priority="4962" stopIfTrue="1" operator="equal">
      <formula>"Napkin Hs"</formula>
    </cfRule>
  </conditionalFormatting>
  <conditionalFormatting sqref="B94:C94">
    <cfRule type="cellIs" dxfId="19635" priority="4959" stopIfTrue="1" operator="equal">
      <formula>"Towel"</formula>
    </cfRule>
    <cfRule type="cellIs" dxfId="19634" priority="4960" stopIfTrue="1" operator="equal">
      <formula>"Napkin Hs"</formula>
    </cfRule>
  </conditionalFormatting>
  <conditionalFormatting sqref="C94">
    <cfRule type="cellIs" dxfId="19633" priority="4957" stopIfTrue="1" operator="equal">
      <formula>"Towel"</formula>
    </cfRule>
    <cfRule type="cellIs" dxfId="19632" priority="4958" stopIfTrue="1" operator="equal">
      <formula>"Napkin Hs"</formula>
    </cfRule>
  </conditionalFormatting>
  <conditionalFormatting sqref="C94">
    <cfRule type="cellIs" dxfId="19631" priority="4955" stopIfTrue="1" operator="equal">
      <formula>"Towel"</formula>
    </cfRule>
    <cfRule type="cellIs" dxfId="19630" priority="4956" stopIfTrue="1" operator="equal">
      <formula>"Napkin Hs"</formula>
    </cfRule>
  </conditionalFormatting>
  <conditionalFormatting sqref="B94:C94">
    <cfRule type="cellIs" dxfId="19629" priority="4953" stopIfTrue="1" operator="equal">
      <formula>"Towel"</formula>
    </cfRule>
    <cfRule type="cellIs" dxfId="19628" priority="4954" stopIfTrue="1" operator="equal">
      <formula>"Napkin Hs"</formula>
    </cfRule>
  </conditionalFormatting>
  <conditionalFormatting sqref="C94">
    <cfRule type="cellIs" dxfId="19627" priority="4951" stopIfTrue="1" operator="equal">
      <formula>"Towel"</formula>
    </cfRule>
    <cfRule type="cellIs" dxfId="19626" priority="4952" stopIfTrue="1" operator="equal">
      <formula>"Napkin Hs"</formula>
    </cfRule>
  </conditionalFormatting>
  <conditionalFormatting sqref="C94">
    <cfRule type="cellIs" dxfId="19625" priority="4949" stopIfTrue="1" operator="equal">
      <formula>"Towel"</formula>
    </cfRule>
    <cfRule type="cellIs" dxfId="19624" priority="4950" stopIfTrue="1" operator="equal">
      <formula>"Napkin Hs"</formula>
    </cfRule>
  </conditionalFormatting>
  <conditionalFormatting sqref="B94:C94">
    <cfRule type="cellIs" dxfId="19623" priority="4947" stopIfTrue="1" operator="equal">
      <formula>"Towel"</formula>
    </cfRule>
    <cfRule type="cellIs" dxfId="19622" priority="4948" stopIfTrue="1" operator="equal">
      <formula>"Napkin Hs"</formula>
    </cfRule>
  </conditionalFormatting>
  <conditionalFormatting sqref="C94">
    <cfRule type="cellIs" dxfId="19621" priority="4945" stopIfTrue="1" operator="equal">
      <formula>"Towel"</formula>
    </cfRule>
    <cfRule type="cellIs" dxfId="19620" priority="4946" stopIfTrue="1" operator="equal">
      <formula>"Napkin Hs"</formula>
    </cfRule>
  </conditionalFormatting>
  <conditionalFormatting sqref="C94">
    <cfRule type="cellIs" dxfId="19619" priority="4943" stopIfTrue="1" operator="equal">
      <formula>"Towel"</formula>
    </cfRule>
    <cfRule type="cellIs" dxfId="19618" priority="4944" stopIfTrue="1" operator="equal">
      <formula>"Napkin Hs"</formula>
    </cfRule>
  </conditionalFormatting>
  <conditionalFormatting sqref="B94:C94">
    <cfRule type="cellIs" dxfId="19617" priority="4941" stopIfTrue="1" operator="equal">
      <formula>"Towel"</formula>
    </cfRule>
    <cfRule type="cellIs" dxfId="19616" priority="4942" stopIfTrue="1" operator="equal">
      <formula>"Napkin Hs"</formula>
    </cfRule>
  </conditionalFormatting>
  <conditionalFormatting sqref="C94">
    <cfRule type="cellIs" dxfId="19615" priority="4939" stopIfTrue="1" operator="equal">
      <formula>"Towel"</formula>
    </cfRule>
    <cfRule type="cellIs" dxfId="19614" priority="4940" stopIfTrue="1" operator="equal">
      <formula>"Napkin Hs"</formula>
    </cfRule>
  </conditionalFormatting>
  <conditionalFormatting sqref="C94">
    <cfRule type="cellIs" dxfId="19613" priority="4937" stopIfTrue="1" operator="equal">
      <formula>"Towel"</formula>
    </cfRule>
    <cfRule type="cellIs" dxfId="19612" priority="4938" stopIfTrue="1" operator="equal">
      <formula>"Napkin Hs"</formula>
    </cfRule>
  </conditionalFormatting>
  <conditionalFormatting sqref="B94:C94">
    <cfRule type="cellIs" dxfId="19611" priority="4936" stopIfTrue="1" operator="equal">
      <formula>"Napkin Hs"</formula>
    </cfRule>
  </conditionalFormatting>
  <conditionalFormatting sqref="B94:C94">
    <cfRule type="cellIs" dxfId="19610" priority="4935" stopIfTrue="1" operator="equal">
      <formula>"Towel"</formula>
    </cfRule>
  </conditionalFormatting>
  <conditionalFormatting sqref="C94">
    <cfRule type="cellIs" dxfId="19609" priority="4934" stopIfTrue="1" operator="equal">
      <formula>"Napkin Hs"</formula>
    </cfRule>
  </conditionalFormatting>
  <conditionalFormatting sqref="C94">
    <cfRule type="cellIs" dxfId="19608" priority="4931" stopIfTrue="1" operator="equal">
      <formula>"Towel"</formula>
    </cfRule>
    <cfRule type="cellIs" dxfId="19607" priority="4932" stopIfTrue="1" operator="equal">
      <formula>"Napkin Hs"</formula>
    </cfRule>
  </conditionalFormatting>
  <conditionalFormatting sqref="C94">
    <cfRule type="cellIs" dxfId="19606" priority="4933" stopIfTrue="1" operator="equal">
      <formula>"Towel"</formula>
    </cfRule>
  </conditionalFormatting>
  <conditionalFormatting sqref="B94:C94">
    <cfRule type="cellIs" dxfId="19605" priority="4929" stopIfTrue="1" operator="equal">
      <formula>"Towel"</formula>
    </cfRule>
    <cfRule type="cellIs" dxfId="19604" priority="4930" stopIfTrue="1" operator="equal">
      <formula>"Napkin Hs"</formula>
    </cfRule>
  </conditionalFormatting>
  <conditionalFormatting sqref="C94">
    <cfRule type="cellIs" dxfId="19603" priority="4925" stopIfTrue="1" operator="equal">
      <formula>"Towel"</formula>
    </cfRule>
    <cfRule type="cellIs" dxfId="19602" priority="4926" stopIfTrue="1" operator="equal">
      <formula>"Napkin Hs"</formula>
    </cfRule>
  </conditionalFormatting>
  <conditionalFormatting sqref="C94">
    <cfRule type="cellIs" dxfId="19601" priority="4927" stopIfTrue="1" operator="equal">
      <formula>"Towel"</formula>
    </cfRule>
    <cfRule type="cellIs" dxfId="19600" priority="4928" stopIfTrue="1" operator="equal">
      <formula>"Napkin Hs"</formula>
    </cfRule>
  </conditionalFormatting>
  <conditionalFormatting sqref="B94:C94">
    <cfRule type="cellIs" dxfId="19599" priority="4923" stopIfTrue="1" operator="equal">
      <formula>"Towel"</formula>
    </cfRule>
    <cfRule type="cellIs" dxfId="19598" priority="4924" stopIfTrue="1" operator="equal">
      <formula>"Napkin Hs"</formula>
    </cfRule>
  </conditionalFormatting>
  <conditionalFormatting sqref="C94">
    <cfRule type="cellIs" dxfId="19597" priority="4919" stopIfTrue="1" operator="equal">
      <formula>"Towel"</formula>
    </cfRule>
    <cfRule type="cellIs" dxfId="19596" priority="4920" stopIfTrue="1" operator="equal">
      <formula>"Napkin Hs"</formula>
    </cfRule>
  </conditionalFormatting>
  <conditionalFormatting sqref="C94">
    <cfRule type="cellIs" dxfId="19595" priority="4921" stopIfTrue="1" operator="equal">
      <formula>"Towel"</formula>
    </cfRule>
    <cfRule type="cellIs" dxfId="19594" priority="4922" stopIfTrue="1" operator="equal">
      <formula>"Napkin Hs"</formula>
    </cfRule>
  </conditionalFormatting>
  <conditionalFormatting sqref="B94:C94">
    <cfRule type="cellIs" dxfId="19593" priority="4917" stopIfTrue="1" operator="equal">
      <formula>"Towel"</formula>
    </cfRule>
    <cfRule type="cellIs" dxfId="19592" priority="4918" stopIfTrue="1" operator="equal">
      <formula>"Napkin Hs"</formula>
    </cfRule>
  </conditionalFormatting>
  <conditionalFormatting sqref="C94">
    <cfRule type="cellIs" dxfId="19591" priority="4915" stopIfTrue="1" operator="equal">
      <formula>"Towel"</formula>
    </cfRule>
    <cfRule type="cellIs" dxfId="19590" priority="4916" stopIfTrue="1" operator="equal">
      <formula>"Napkin Hs"</formula>
    </cfRule>
  </conditionalFormatting>
  <conditionalFormatting sqref="C94">
    <cfRule type="cellIs" dxfId="19589" priority="4913" stopIfTrue="1" operator="equal">
      <formula>"Towel"</formula>
    </cfRule>
    <cfRule type="cellIs" dxfId="19588" priority="4914" stopIfTrue="1" operator="equal">
      <formula>"Napkin Hs"</formula>
    </cfRule>
  </conditionalFormatting>
  <conditionalFormatting sqref="B94:C94">
    <cfRule type="cellIs" dxfId="19587" priority="4912" stopIfTrue="1" operator="equal">
      <formula>"Napkin Hs"</formula>
    </cfRule>
  </conditionalFormatting>
  <conditionalFormatting sqref="B94:C94">
    <cfRule type="cellIs" dxfId="19586" priority="4911" stopIfTrue="1" operator="equal">
      <formula>"Towel"</formula>
    </cfRule>
  </conditionalFormatting>
  <conditionalFormatting sqref="C94">
    <cfRule type="cellIs" dxfId="19585" priority="4910" stopIfTrue="1" operator="equal">
      <formula>"Napkin Hs"</formula>
    </cfRule>
  </conditionalFormatting>
  <conditionalFormatting sqref="C94">
    <cfRule type="cellIs" dxfId="19584" priority="4909" stopIfTrue="1" operator="equal">
      <formula>"Towel"</formula>
    </cfRule>
  </conditionalFormatting>
  <conditionalFormatting sqref="C94">
    <cfRule type="cellIs" dxfId="19583" priority="4907" stopIfTrue="1" operator="equal">
      <formula>"Towel"</formula>
    </cfRule>
    <cfRule type="cellIs" dxfId="19582" priority="4908" stopIfTrue="1" operator="equal">
      <formula>"Napkin Hs"</formula>
    </cfRule>
  </conditionalFormatting>
  <conditionalFormatting sqref="C94">
    <cfRule type="cellIs" dxfId="19581" priority="4905" stopIfTrue="1" operator="equal">
      <formula>"Towel"</formula>
    </cfRule>
    <cfRule type="cellIs" dxfId="19580" priority="4906" stopIfTrue="1" operator="equal">
      <formula>"Napkin Hs"</formula>
    </cfRule>
  </conditionalFormatting>
  <conditionalFormatting sqref="C94">
    <cfRule type="cellIs" dxfId="19579" priority="4821" stopIfTrue="1" operator="equal">
      <formula>"Towel"</formula>
    </cfRule>
    <cfRule type="cellIs" dxfId="19578" priority="4822" stopIfTrue="1" operator="equal">
      <formula>"Napkin Hs"</formula>
    </cfRule>
  </conditionalFormatting>
  <conditionalFormatting sqref="C94">
    <cfRule type="cellIs" dxfId="19577" priority="4815" stopIfTrue="1" operator="equal">
      <formula>"Towel"</formula>
    </cfRule>
    <cfRule type="cellIs" dxfId="19576" priority="4816" stopIfTrue="1" operator="equal">
      <formula>"Napkin Hs"</formula>
    </cfRule>
  </conditionalFormatting>
  <conditionalFormatting sqref="C94">
    <cfRule type="cellIs" dxfId="19575" priority="4796" stopIfTrue="1" operator="equal">
      <formula>"Napkin Hs"</formula>
    </cfRule>
  </conditionalFormatting>
  <conditionalFormatting sqref="C94">
    <cfRule type="cellIs" dxfId="19574" priority="4795" stopIfTrue="1" operator="equal">
      <formula>"Towel"</formula>
    </cfRule>
  </conditionalFormatting>
  <conditionalFormatting sqref="C94">
    <cfRule type="cellIs" dxfId="19573" priority="4794" stopIfTrue="1" operator="equal">
      <formula>"Napkin Hs"</formula>
    </cfRule>
  </conditionalFormatting>
  <conditionalFormatting sqref="C94">
    <cfRule type="cellIs" dxfId="19572" priority="4791" stopIfTrue="1" operator="equal">
      <formula>"Towel"</formula>
    </cfRule>
    <cfRule type="cellIs" dxfId="19571" priority="4792" stopIfTrue="1" operator="equal">
      <formula>"Napkin Hs"</formula>
    </cfRule>
  </conditionalFormatting>
  <conditionalFormatting sqref="C94">
    <cfRule type="cellIs" dxfId="19570" priority="4793" stopIfTrue="1" operator="equal">
      <formula>"Towel"</formula>
    </cfRule>
  </conditionalFormatting>
  <conditionalFormatting sqref="C94">
    <cfRule type="cellIs" dxfId="19569" priority="4790" stopIfTrue="1" operator="equal">
      <formula>"Napkin Hs"</formula>
    </cfRule>
  </conditionalFormatting>
  <conditionalFormatting sqref="C94">
    <cfRule type="cellIs" dxfId="19568" priority="4789" stopIfTrue="1" operator="equal">
      <formula>"Towel"</formula>
    </cfRule>
  </conditionalFormatting>
  <conditionalFormatting sqref="C94">
    <cfRule type="cellIs" dxfId="19567" priority="4788" stopIfTrue="1" operator="equal">
      <formula>"Napkin Hs"</formula>
    </cfRule>
  </conditionalFormatting>
  <conditionalFormatting sqref="C94">
    <cfRule type="cellIs" dxfId="19566" priority="4785" stopIfTrue="1" operator="equal">
      <formula>"Towel"</formula>
    </cfRule>
    <cfRule type="cellIs" dxfId="19565" priority="4786" stopIfTrue="1" operator="equal">
      <formula>"Napkin Hs"</formula>
    </cfRule>
  </conditionalFormatting>
  <conditionalFormatting sqref="C94">
    <cfRule type="cellIs" dxfId="19564" priority="4787" stopIfTrue="1" operator="equal">
      <formula>"Towel"</formula>
    </cfRule>
  </conditionalFormatting>
  <conditionalFormatting sqref="C94">
    <cfRule type="cellIs" dxfId="19563" priority="4891" stopIfTrue="1" operator="equal">
      <formula>"Towel"</formula>
    </cfRule>
    <cfRule type="cellIs" dxfId="19562" priority="4892" stopIfTrue="1" operator="equal">
      <formula>"Napkin Hs"</formula>
    </cfRule>
  </conditionalFormatting>
  <conditionalFormatting sqref="C94">
    <cfRule type="cellIs" dxfId="19561" priority="4889" stopIfTrue="1" operator="equal">
      <formula>"Towel"</formula>
    </cfRule>
    <cfRule type="cellIs" dxfId="19560" priority="4890" stopIfTrue="1" operator="equal">
      <formula>"Napkin Hs"</formula>
    </cfRule>
  </conditionalFormatting>
  <conditionalFormatting sqref="C94">
    <cfRule type="cellIs" dxfId="19559" priority="4887" stopIfTrue="1" operator="equal">
      <formula>"Towel"</formula>
    </cfRule>
    <cfRule type="cellIs" dxfId="19558" priority="4888" stopIfTrue="1" operator="equal">
      <formula>"Napkin Hs"</formula>
    </cfRule>
  </conditionalFormatting>
  <conditionalFormatting sqref="C94">
    <cfRule type="cellIs" dxfId="19557" priority="4886" stopIfTrue="1" operator="equal">
      <formula>"Napkin Hs"</formula>
    </cfRule>
  </conditionalFormatting>
  <conditionalFormatting sqref="C94">
    <cfRule type="cellIs" dxfId="19556" priority="4885" stopIfTrue="1" operator="equal">
      <formula>"Towel"</formula>
    </cfRule>
  </conditionalFormatting>
  <conditionalFormatting sqref="C94">
    <cfRule type="cellIs" dxfId="19555" priority="4884" stopIfTrue="1" operator="equal">
      <formula>"Napkin Hs"</formula>
    </cfRule>
  </conditionalFormatting>
  <conditionalFormatting sqref="C94">
    <cfRule type="cellIs" dxfId="19554" priority="4883" stopIfTrue="1" operator="equal">
      <formula>"Towel"</formula>
    </cfRule>
  </conditionalFormatting>
  <conditionalFormatting sqref="C94">
    <cfRule type="cellIs" dxfId="19553" priority="4881" stopIfTrue="1" operator="equal">
      <formula>"Towel"</formula>
    </cfRule>
    <cfRule type="cellIs" dxfId="19552" priority="4882" stopIfTrue="1" operator="equal">
      <formula>"Napkin Hs"</formula>
    </cfRule>
  </conditionalFormatting>
  <conditionalFormatting sqref="C94">
    <cfRule type="cellIs" dxfId="19551" priority="4879" stopIfTrue="1" operator="equal">
      <formula>"Towel"</formula>
    </cfRule>
    <cfRule type="cellIs" dxfId="19550" priority="4880" stopIfTrue="1" operator="equal">
      <formula>"Napkin Hs"</formula>
    </cfRule>
  </conditionalFormatting>
  <conditionalFormatting sqref="C94">
    <cfRule type="cellIs" dxfId="19549" priority="4875" stopIfTrue="1" operator="equal">
      <formula>"Towel"</formula>
    </cfRule>
    <cfRule type="cellIs" dxfId="19548" priority="4876" stopIfTrue="1" operator="equal">
      <formula>"Napkin Hs"</formula>
    </cfRule>
  </conditionalFormatting>
  <conditionalFormatting sqref="C94">
    <cfRule type="cellIs" dxfId="19547" priority="4877" stopIfTrue="1" operator="equal">
      <formula>"Towel"</formula>
    </cfRule>
    <cfRule type="cellIs" dxfId="19546" priority="4878" stopIfTrue="1" operator="equal">
      <formula>"Napkin Hs"</formula>
    </cfRule>
  </conditionalFormatting>
  <conditionalFormatting sqref="C94">
    <cfRule type="cellIs" dxfId="19545" priority="4869" stopIfTrue="1" operator="equal">
      <formula>"Towel"</formula>
    </cfRule>
    <cfRule type="cellIs" dxfId="19544" priority="4870" stopIfTrue="1" operator="equal">
      <formula>"Napkin Hs"</formula>
    </cfRule>
  </conditionalFormatting>
  <conditionalFormatting sqref="C94">
    <cfRule type="cellIs" dxfId="19543" priority="4867" stopIfTrue="1" operator="equal">
      <formula>"Towel"</formula>
    </cfRule>
    <cfRule type="cellIs" dxfId="19542" priority="4868" stopIfTrue="1" operator="equal">
      <formula>"Napkin Hs"</formula>
    </cfRule>
  </conditionalFormatting>
  <conditionalFormatting sqref="C94">
    <cfRule type="cellIs" dxfId="19541" priority="4865" stopIfTrue="1" operator="equal">
      <formula>"Towel"</formula>
    </cfRule>
    <cfRule type="cellIs" dxfId="19540" priority="4866" stopIfTrue="1" operator="equal">
      <formula>"Napkin Hs"</formula>
    </cfRule>
  </conditionalFormatting>
  <conditionalFormatting sqref="C94">
    <cfRule type="cellIs" dxfId="19539" priority="4863" stopIfTrue="1" operator="equal">
      <formula>"Towel"</formula>
    </cfRule>
    <cfRule type="cellIs" dxfId="19538" priority="4864" stopIfTrue="1" operator="equal">
      <formula>"Napkin Hs"</formula>
    </cfRule>
  </conditionalFormatting>
  <conditionalFormatting sqref="C94">
    <cfRule type="cellIs" dxfId="19537" priority="4861" stopIfTrue="1" operator="equal">
      <formula>"Towel"</formula>
    </cfRule>
    <cfRule type="cellIs" dxfId="19536" priority="4862" stopIfTrue="1" operator="equal">
      <formula>"Napkin Hs"</formula>
    </cfRule>
  </conditionalFormatting>
  <conditionalFormatting sqref="C94">
    <cfRule type="cellIs" dxfId="19535" priority="4859" stopIfTrue="1" operator="equal">
      <formula>"Towel"</formula>
    </cfRule>
    <cfRule type="cellIs" dxfId="19534" priority="4860" stopIfTrue="1" operator="equal">
      <formula>"Napkin Hs"</formula>
    </cfRule>
  </conditionalFormatting>
  <conditionalFormatting sqref="C94">
    <cfRule type="cellIs" dxfId="19533" priority="4857" stopIfTrue="1" operator="equal">
      <formula>"Towel"</formula>
    </cfRule>
    <cfRule type="cellIs" dxfId="19532" priority="4858" stopIfTrue="1" operator="equal">
      <formula>"Napkin Hs"</formula>
    </cfRule>
  </conditionalFormatting>
  <conditionalFormatting sqref="C94">
    <cfRule type="cellIs" dxfId="19531" priority="4855" stopIfTrue="1" operator="equal">
      <formula>"Towel"</formula>
    </cfRule>
    <cfRule type="cellIs" dxfId="19530" priority="4856" stopIfTrue="1" operator="equal">
      <formula>"Napkin Hs"</formula>
    </cfRule>
  </conditionalFormatting>
  <conditionalFormatting sqref="C94">
    <cfRule type="cellIs" dxfId="19529" priority="4853" stopIfTrue="1" operator="equal">
      <formula>"Towel"</formula>
    </cfRule>
    <cfRule type="cellIs" dxfId="19528" priority="4854" stopIfTrue="1" operator="equal">
      <formula>"Napkin Hs"</formula>
    </cfRule>
  </conditionalFormatting>
  <conditionalFormatting sqref="C94">
    <cfRule type="cellIs" dxfId="19527" priority="4851" stopIfTrue="1" operator="equal">
      <formula>"Towel"</formula>
    </cfRule>
    <cfRule type="cellIs" dxfId="19526" priority="4852" stopIfTrue="1" operator="equal">
      <formula>"Napkin Hs"</formula>
    </cfRule>
  </conditionalFormatting>
  <conditionalFormatting sqref="C94">
    <cfRule type="cellIs" dxfId="19525" priority="4845" stopIfTrue="1" operator="equal">
      <formula>"Towel"</formula>
    </cfRule>
    <cfRule type="cellIs" dxfId="19524" priority="4846" stopIfTrue="1" operator="equal">
      <formula>"Napkin Hs"</formula>
    </cfRule>
  </conditionalFormatting>
  <conditionalFormatting sqref="C94">
    <cfRule type="cellIs" dxfId="19523" priority="4839" stopIfTrue="1" operator="equal">
      <formula>"Towel"</formula>
    </cfRule>
    <cfRule type="cellIs" dxfId="19522" priority="4840" stopIfTrue="1" operator="equal">
      <formula>"Napkin Hs"</formula>
    </cfRule>
  </conditionalFormatting>
  <conditionalFormatting sqref="C94">
    <cfRule type="cellIs" dxfId="19521" priority="4833" stopIfTrue="1" operator="equal">
      <formula>"Towel"</formula>
    </cfRule>
    <cfRule type="cellIs" dxfId="19520" priority="4834" stopIfTrue="1" operator="equal">
      <formula>"Napkin Hs"</formula>
    </cfRule>
  </conditionalFormatting>
  <conditionalFormatting sqref="C94">
    <cfRule type="cellIs" dxfId="19519" priority="4832" stopIfTrue="1" operator="equal">
      <formula>"Napkin Hs"</formula>
    </cfRule>
  </conditionalFormatting>
  <conditionalFormatting sqref="C94">
    <cfRule type="cellIs" dxfId="19518" priority="4831" stopIfTrue="1" operator="equal">
      <formula>"Towel"</formula>
    </cfRule>
  </conditionalFormatting>
  <conditionalFormatting sqref="C94">
    <cfRule type="cellIs" dxfId="19517" priority="4830" stopIfTrue="1" operator="equal">
      <formula>"Napkin Hs"</formula>
    </cfRule>
  </conditionalFormatting>
  <conditionalFormatting sqref="C94">
    <cfRule type="cellIs" dxfId="19516" priority="4829" stopIfTrue="1" operator="equal">
      <formula>"Towel"</formula>
    </cfRule>
  </conditionalFormatting>
  <conditionalFormatting sqref="C94">
    <cfRule type="cellIs" dxfId="19515" priority="4827" stopIfTrue="1" operator="equal">
      <formula>"Towel"</formula>
    </cfRule>
    <cfRule type="cellIs" dxfId="19514" priority="4828" stopIfTrue="1" operator="equal">
      <formula>"Napkin Hs"</formula>
    </cfRule>
  </conditionalFormatting>
  <conditionalFormatting sqref="C94">
    <cfRule type="cellIs" dxfId="19513" priority="4825" stopIfTrue="1" operator="equal">
      <formula>"Towel"</formula>
    </cfRule>
    <cfRule type="cellIs" dxfId="19512" priority="4826" stopIfTrue="1" operator="equal">
      <formula>"Napkin Hs"</formula>
    </cfRule>
  </conditionalFormatting>
  <conditionalFormatting sqref="C94">
    <cfRule type="cellIs" dxfId="19511" priority="4823" stopIfTrue="1" operator="equal">
      <formula>"Towel"</formula>
    </cfRule>
    <cfRule type="cellIs" dxfId="19510" priority="4824" stopIfTrue="1" operator="equal">
      <formula>"Napkin Hs"</formula>
    </cfRule>
  </conditionalFormatting>
  <conditionalFormatting sqref="C94">
    <cfRule type="cellIs" dxfId="19509" priority="4813" stopIfTrue="1" operator="equal">
      <formula>"Towel"</formula>
    </cfRule>
    <cfRule type="cellIs" dxfId="19508" priority="4814" stopIfTrue="1" operator="equal">
      <formula>"Napkin Hs"</formula>
    </cfRule>
  </conditionalFormatting>
  <conditionalFormatting sqref="C94">
    <cfRule type="cellIs" dxfId="19507" priority="4811" stopIfTrue="1" operator="equal">
      <formula>"Towel"</formula>
    </cfRule>
    <cfRule type="cellIs" dxfId="19506" priority="4812" stopIfTrue="1" operator="equal">
      <formula>"Napkin Hs"</formula>
    </cfRule>
  </conditionalFormatting>
  <conditionalFormatting sqref="C94">
    <cfRule type="cellIs" dxfId="19505" priority="4809" stopIfTrue="1" operator="equal">
      <formula>"Towel"</formula>
    </cfRule>
    <cfRule type="cellIs" dxfId="19504" priority="4810" stopIfTrue="1" operator="equal">
      <formula>"Napkin Hs"</formula>
    </cfRule>
  </conditionalFormatting>
  <conditionalFormatting sqref="C94">
    <cfRule type="cellIs" dxfId="19503" priority="4807" stopIfTrue="1" operator="equal">
      <formula>"Towel"</formula>
    </cfRule>
    <cfRule type="cellIs" dxfId="19502" priority="4808" stopIfTrue="1" operator="equal">
      <formula>"Napkin Hs"</formula>
    </cfRule>
  </conditionalFormatting>
  <conditionalFormatting sqref="C94">
    <cfRule type="cellIs" dxfId="19501" priority="4805" stopIfTrue="1" operator="equal">
      <formula>"Towel"</formula>
    </cfRule>
    <cfRule type="cellIs" dxfId="19500" priority="4806" stopIfTrue="1" operator="equal">
      <formula>"Napkin Hs"</formula>
    </cfRule>
  </conditionalFormatting>
  <conditionalFormatting sqref="C94">
    <cfRule type="cellIs" dxfId="19499" priority="4803" stopIfTrue="1" operator="equal">
      <formula>"Towel"</formula>
    </cfRule>
    <cfRule type="cellIs" dxfId="19498" priority="4804" stopIfTrue="1" operator="equal">
      <formula>"Napkin Hs"</formula>
    </cfRule>
  </conditionalFormatting>
  <conditionalFormatting sqref="C94">
    <cfRule type="cellIs" dxfId="19497" priority="4801" stopIfTrue="1" operator="equal">
      <formula>"Towel"</formula>
    </cfRule>
    <cfRule type="cellIs" dxfId="19496" priority="4802" stopIfTrue="1" operator="equal">
      <formula>"Napkin Hs"</formula>
    </cfRule>
  </conditionalFormatting>
  <conditionalFormatting sqref="C94">
    <cfRule type="cellIs" dxfId="19495" priority="4799" stopIfTrue="1" operator="equal">
      <formula>"Towel"</formula>
    </cfRule>
    <cfRule type="cellIs" dxfId="19494" priority="4800" stopIfTrue="1" operator="equal">
      <formula>"Napkin Hs"</formula>
    </cfRule>
  </conditionalFormatting>
  <conditionalFormatting sqref="C94">
    <cfRule type="cellIs" dxfId="19493" priority="4797" stopIfTrue="1" operator="equal">
      <formula>"Towel"</formula>
    </cfRule>
    <cfRule type="cellIs" dxfId="19492" priority="4798" stopIfTrue="1" operator="equal">
      <formula>"Napkin Hs"</formula>
    </cfRule>
  </conditionalFormatting>
  <conditionalFormatting sqref="C94">
    <cfRule type="cellIs" dxfId="19491" priority="4784" stopIfTrue="1" operator="equal">
      <formula>"Napkin Hs"</formula>
    </cfRule>
  </conditionalFormatting>
  <conditionalFormatting sqref="C94">
    <cfRule type="cellIs" dxfId="19490" priority="4783" stopIfTrue="1" operator="equal">
      <formula>"Towel"</formula>
    </cfRule>
  </conditionalFormatting>
  <conditionalFormatting sqref="C94">
    <cfRule type="cellIs" dxfId="19489" priority="4782" stopIfTrue="1" operator="equal">
      <formula>"Napkin Hs"</formula>
    </cfRule>
  </conditionalFormatting>
  <conditionalFormatting sqref="C94">
    <cfRule type="cellIs" dxfId="19488" priority="4779" stopIfTrue="1" operator="equal">
      <formula>"Towel"</formula>
    </cfRule>
    <cfRule type="cellIs" dxfId="19487" priority="4780" stopIfTrue="1" operator="equal">
      <formula>"Napkin Hs"</formula>
    </cfRule>
  </conditionalFormatting>
  <conditionalFormatting sqref="C94">
    <cfRule type="cellIs" dxfId="19486" priority="4781" stopIfTrue="1" operator="equal">
      <formula>"Towel"</formula>
    </cfRule>
  </conditionalFormatting>
  <conditionalFormatting sqref="C94">
    <cfRule type="cellIs" dxfId="19485" priority="4899" stopIfTrue="1" operator="equal">
      <formula>"Towel"</formula>
    </cfRule>
    <cfRule type="cellIs" dxfId="19484" priority="4900" stopIfTrue="1" operator="equal">
      <formula>"Napkin Hs"</formula>
    </cfRule>
  </conditionalFormatting>
  <conditionalFormatting sqref="C94">
    <cfRule type="cellIs" dxfId="19483" priority="4898" stopIfTrue="1" operator="equal">
      <formula>"Napkin Hs"</formula>
    </cfRule>
  </conditionalFormatting>
  <conditionalFormatting sqref="C94">
    <cfRule type="cellIs" dxfId="19482" priority="4897" stopIfTrue="1" operator="equal">
      <formula>"Towel"</formula>
    </cfRule>
  </conditionalFormatting>
  <conditionalFormatting sqref="C94">
    <cfRule type="cellIs" dxfId="19481" priority="4896" stopIfTrue="1" operator="equal">
      <formula>"Napkin Hs"</formula>
    </cfRule>
  </conditionalFormatting>
  <conditionalFormatting sqref="C94">
    <cfRule type="cellIs" dxfId="19480" priority="4893" stopIfTrue="1" operator="equal">
      <formula>"Towel"</formula>
    </cfRule>
    <cfRule type="cellIs" dxfId="19479" priority="4894" stopIfTrue="1" operator="equal">
      <formula>"Napkin Hs"</formula>
    </cfRule>
  </conditionalFormatting>
  <conditionalFormatting sqref="C94">
    <cfRule type="cellIs" dxfId="19478" priority="4895" stopIfTrue="1" operator="equal">
      <formula>"Towel"</formula>
    </cfRule>
  </conditionalFormatting>
  <conditionalFormatting sqref="C94">
    <cfRule type="cellIs" dxfId="19477" priority="4903" stopIfTrue="1" operator="equal">
      <formula>"Towel"</formula>
    </cfRule>
    <cfRule type="cellIs" dxfId="19476" priority="4904" stopIfTrue="1" operator="equal">
      <formula>"Napkin Hs"</formula>
    </cfRule>
  </conditionalFormatting>
  <conditionalFormatting sqref="C94">
    <cfRule type="cellIs" dxfId="19475" priority="4901" stopIfTrue="1" operator="equal">
      <formula>"Towel"</formula>
    </cfRule>
    <cfRule type="cellIs" dxfId="19474" priority="4902" stopIfTrue="1" operator="equal">
      <formula>"Napkin Hs"</formula>
    </cfRule>
  </conditionalFormatting>
  <conditionalFormatting sqref="C94">
    <cfRule type="cellIs" dxfId="19473" priority="4873" stopIfTrue="1" operator="equal">
      <formula>"Towel"</formula>
    </cfRule>
    <cfRule type="cellIs" dxfId="19472" priority="4874" stopIfTrue="1" operator="equal">
      <formula>"Napkin Hs"</formula>
    </cfRule>
  </conditionalFormatting>
  <conditionalFormatting sqref="C94">
    <cfRule type="cellIs" dxfId="19471" priority="4871" stopIfTrue="1" operator="equal">
      <formula>"Towel"</formula>
    </cfRule>
    <cfRule type="cellIs" dxfId="19470" priority="4872" stopIfTrue="1" operator="equal">
      <formula>"Napkin Hs"</formula>
    </cfRule>
  </conditionalFormatting>
  <conditionalFormatting sqref="C94">
    <cfRule type="cellIs" dxfId="19469" priority="4850" stopIfTrue="1" operator="equal">
      <formula>"Napkin Hs"</formula>
    </cfRule>
  </conditionalFormatting>
  <conditionalFormatting sqref="C94">
    <cfRule type="cellIs" dxfId="19468" priority="4849" stopIfTrue="1" operator="equal">
      <formula>"Towel"</formula>
    </cfRule>
  </conditionalFormatting>
  <conditionalFormatting sqref="C94">
    <cfRule type="cellIs" dxfId="19467" priority="4848" stopIfTrue="1" operator="equal">
      <formula>"Napkin Hs"</formula>
    </cfRule>
  </conditionalFormatting>
  <conditionalFormatting sqref="C94">
    <cfRule type="cellIs" dxfId="19466" priority="4847" stopIfTrue="1" operator="equal">
      <formula>"Towel"</formula>
    </cfRule>
  </conditionalFormatting>
  <conditionalFormatting sqref="C94">
    <cfRule type="cellIs" dxfId="19465" priority="4844" stopIfTrue="1" operator="equal">
      <formula>"Napkin Hs"</formula>
    </cfRule>
  </conditionalFormatting>
  <conditionalFormatting sqref="C94">
    <cfRule type="cellIs" dxfId="19464" priority="4843" stopIfTrue="1" operator="equal">
      <formula>"Towel"</formula>
    </cfRule>
  </conditionalFormatting>
  <conditionalFormatting sqref="C94">
    <cfRule type="cellIs" dxfId="19463" priority="4842" stopIfTrue="1" operator="equal">
      <formula>"Napkin Hs"</formula>
    </cfRule>
  </conditionalFormatting>
  <conditionalFormatting sqref="C94">
    <cfRule type="cellIs" dxfId="19462" priority="4841" stopIfTrue="1" operator="equal">
      <formula>"Towel"</formula>
    </cfRule>
  </conditionalFormatting>
  <conditionalFormatting sqref="C94">
    <cfRule type="cellIs" dxfId="19461" priority="4837" stopIfTrue="1" operator="equal">
      <formula>"Towel"</formula>
    </cfRule>
    <cfRule type="cellIs" dxfId="19460" priority="4838" stopIfTrue="1" operator="equal">
      <formula>"Napkin Hs"</formula>
    </cfRule>
  </conditionalFormatting>
  <conditionalFormatting sqref="C94">
    <cfRule type="cellIs" dxfId="19459" priority="4835" stopIfTrue="1" operator="equal">
      <formula>"Towel"</formula>
    </cfRule>
    <cfRule type="cellIs" dxfId="19458" priority="4836" stopIfTrue="1" operator="equal">
      <formula>"Napkin Hs"</formula>
    </cfRule>
  </conditionalFormatting>
  <conditionalFormatting sqref="C94">
    <cfRule type="cellIs" dxfId="19457" priority="4819" stopIfTrue="1" operator="equal">
      <formula>"Towel"</formula>
    </cfRule>
    <cfRule type="cellIs" dxfId="19456" priority="4820" stopIfTrue="1" operator="equal">
      <formula>"Napkin Hs"</formula>
    </cfRule>
  </conditionalFormatting>
  <conditionalFormatting sqref="C94">
    <cfRule type="cellIs" dxfId="19455" priority="4817" stopIfTrue="1" operator="equal">
      <formula>"Towel"</formula>
    </cfRule>
    <cfRule type="cellIs" dxfId="19454" priority="4818" stopIfTrue="1" operator="equal">
      <formula>"Napkin Hs"</formula>
    </cfRule>
  </conditionalFormatting>
  <conditionalFormatting sqref="B94:C94">
    <cfRule type="cellIs" dxfId="19453" priority="4778" stopIfTrue="1" operator="equal">
      <formula>"Napkin Hs"</formula>
    </cfRule>
  </conditionalFormatting>
  <conditionalFormatting sqref="B94:C94">
    <cfRule type="cellIs" dxfId="19452" priority="4777" stopIfTrue="1" operator="equal">
      <formula>"Towel"</formula>
    </cfRule>
  </conditionalFormatting>
  <conditionalFormatting sqref="C94">
    <cfRule type="cellIs" dxfId="19451" priority="4776" stopIfTrue="1" operator="equal">
      <formula>"Napkin Hs"</formula>
    </cfRule>
  </conditionalFormatting>
  <conditionalFormatting sqref="C94">
    <cfRule type="cellIs" dxfId="19450" priority="4773" stopIfTrue="1" operator="equal">
      <formula>"Towel"</formula>
    </cfRule>
    <cfRule type="cellIs" dxfId="19449" priority="4774" stopIfTrue="1" operator="equal">
      <formula>"Napkin Hs"</formula>
    </cfRule>
  </conditionalFormatting>
  <conditionalFormatting sqref="C94">
    <cfRule type="cellIs" dxfId="19448" priority="4775" stopIfTrue="1" operator="equal">
      <formula>"Towel"</formula>
    </cfRule>
  </conditionalFormatting>
  <conditionalFormatting sqref="B92:C92">
    <cfRule type="cellIs" dxfId="19447" priority="4771" stopIfTrue="1" operator="equal">
      <formula>"Towel"</formula>
    </cfRule>
    <cfRule type="cellIs" dxfId="19446" priority="4772" stopIfTrue="1" operator="equal">
      <formula>"Napkin Hs"</formula>
    </cfRule>
  </conditionalFormatting>
  <conditionalFormatting sqref="C92">
    <cfRule type="cellIs" dxfId="19445" priority="4767" stopIfTrue="1" operator="equal">
      <formula>"Towel"</formula>
    </cfRule>
    <cfRule type="cellIs" dxfId="19444" priority="4768" stopIfTrue="1" operator="equal">
      <formula>"Napkin Hs"</formula>
    </cfRule>
  </conditionalFormatting>
  <conditionalFormatting sqref="C92">
    <cfRule type="cellIs" dxfId="19443" priority="4769" stopIfTrue="1" operator="equal">
      <formula>"Towel"</formula>
    </cfRule>
    <cfRule type="cellIs" dxfId="19442" priority="4770" stopIfTrue="1" operator="equal">
      <formula>"Napkin Hs"</formula>
    </cfRule>
  </conditionalFormatting>
  <conditionalFormatting sqref="B92:C92">
    <cfRule type="cellIs" dxfId="19441" priority="4765" stopIfTrue="1" operator="equal">
      <formula>"Towel"</formula>
    </cfRule>
    <cfRule type="cellIs" dxfId="19440" priority="4766" stopIfTrue="1" operator="equal">
      <formula>"Napkin Hs"</formula>
    </cfRule>
  </conditionalFormatting>
  <conditionalFormatting sqref="C92">
    <cfRule type="cellIs" dxfId="19439" priority="4761" stopIfTrue="1" operator="equal">
      <formula>"Towel"</formula>
    </cfRule>
    <cfRule type="cellIs" dxfId="19438" priority="4762" stopIfTrue="1" operator="equal">
      <formula>"Napkin Hs"</formula>
    </cfRule>
  </conditionalFormatting>
  <conditionalFormatting sqref="C92">
    <cfRule type="cellIs" dxfId="19437" priority="4763" stopIfTrue="1" operator="equal">
      <formula>"Towel"</formula>
    </cfRule>
    <cfRule type="cellIs" dxfId="19436" priority="4764" stopIfTrue="1" operator="equal">
      <formula>"Napkin Hs"</formula>
    </cfRule>
  </conditionalFormatting>
  <conditionalFormatting sqref="B92:C92">
    <cfRule type="cellIs" dxfId="19435" priority="4759" stopIfTrue="1" operator="equal">
      <formula>"Towel"</formula>
    </cfRule>
    <cfRule type="cellIs" dxfId="19434" priority="4760" stopIfTrue="1" operator="equal">
      <formula>"Napkin Hs"</formula>
    </cfRule>
  </conditionalFormatting>
  <conditionalFormatting sqref="C92">
    <cfRule type="cellIs" dxfId="19433" priority="4757" stopIfTrue="1" operator="equal">
      <formula>"Towel"</formula>
    </cfRule>
    <cfRule type="cellIs" dxfId="19432" priority="4758" stopIfTrue="1" operator="equal">
      <formula>"Napkin Hs"</formula>
    </cfRule>
  </conditionalFormatting>
  <conditionalFormatting sqref="C92">
    <cfRule type="cellIs" dxfId="19431" priority="4755" stopIfTrue="1" operator="equal">
      <formula>"Towel"</formula>
    </cfRule>
    <cfRule type="cellIs" dxfId="19430" priority="4756" stopIfTrue="1" operator="equal">
      <formula>"Napkin Hs"</formula>
    </cfRule>
  </conditionalFormatting>
  <conditionalFormatting sqref="B92:C92">
    <cfRule type="cellIs" dxfId="19429" priority="4753" stopIfTrue="1" operator="equal">
      <formula>"Towel"</formula>
    </cfRule>
    <cfRule type="cellIs" dxfId="19428" priority="4754" stopIfTrue="1" operator="equal">
      <formula>"Napkin Hs"</formula>
    </cfRule>
  </conditionalFormatting>
  <conditionalFormatting sqref="C92">
    <cfRule type="cellIs" dxfId="19427" priority="4751" stopIfTrue="1" operator="equal">
      <formula>"Towel"</formula>
    </cfRule>
    <cfRule type="cellIs" dxfId="19426" priority="4752" stopIfTrue="1" operator="equal">
      <formula>"Napkin Hs"</formula>
    </cfRule>
  </conditionalFormatting>
  <conditionalFormatting sqref="C92">
    <cfRule type="cellIs" dxfId="19425" priority="4749" stopIfTrue="1" operator="equal">
      <formula>"Towel"</formula>
    </cfRule>
    <cfRule type="cellIs" dxfId="19424" priority="4750" stopIfTrue="1" operator="equal">
      <formula>"Napkin Hs"</formula>
    </cfRule>
  </conditionalFormatting>
  <conditionalFormatting sqref="B92:C92">
    <cfRule type="cellIs" dxfId="19423" priority="4747" stopIfTrue="1" operator="equal">
      <formula>"Towel"</formula>
    </cfRule>
    <cfRule type="cellIs" dxfId="19422" priority="4748" stopIfTrue="1" operator="equal">
      <formula>"Napkin Hs"</formula>
    </cfRule>
  </conditionalFormatting>
  <conditionalFormatting sqref="C92">
    <cfRule type="cellIs" dxfId="19421" priority="4745" stopIfTrue="1" operator="equal">
      <formula>"Towel"</formula>
    </cfRule>
    <cfRule type="cellIs" dxfId="19420" priority="4746" stopIfTrue="1" operator="equal">
      <formula>"Napkin Hs"</formula>
    </cfRule>
  </conditionalFormatting>
  <conditionalFormatting sqref="C92">
    <cfRule type="cellIs" dxfId="19419" priority="4743" stopIfTrue="1" operator="equal">
      <formula>"Towel"</formula>
    </cfRule>
    <cfRule type="cellIs" dxfId="19418" priority="4744" stopIfTrue="1" operator="equal">
      <formula>"Napkin Hs"</formula>
    </cfRule>
  </conditionalFormatting>
  <conditionalFormatting sqref="B92:C92">
    <cfRule type="cellIs" dxfId="19417" priority="4742" stopIfTrue="1" operator="equal">
      <formula>"Napkin Hs"</formula>
    </cfRule>
  </conditionalFormatting>
  <conditionalFormatting sqref="B92:C92">
    <cfRule type="cellIs" dxfId="19416" priority="4741" stopIfTrue="1" operator="equal">
      <formula>"Towel"</formula>
    </cfRule>
  </conditionalFormatting>
  <conditionalFormatting sqref="C92">
    <cfRule type="cellIs" dxfId="19415" priority="4740" stopIfTrue="1" operator="equal">
      <formula>"Napkin Hs"</formula>
    </cfRule>
  </conditionalFormatting>
  <conditionalFormatting sqref="C92">
    <cfRule type="cellIs" dxfId="19414" priority="4737" stopIfTrue="1" operator="equal">
      <formula>"Towel"</formula>
    </cfRule>
    <cfRule type="cellIs" dxfId="19413" priority="4738" stopIfTrue="1" operator="equal">
      <formula>"Napkin Hs"</formula>
    </cfRule>
  </conditionalFormatting>
  <conditionalFormatting sqref="C92">
    <cfRule type="cellIs" dxfId="19412" priority="4739" stopIfTrue="1" operator="equal">
      <formula>"Towel"</formula>
    </cfRule>
  </conditionalFormatting>
  <conditionalFormatting sqref="C92">
    <cfRule type="cellIs" dxfId="19411" priority="4701" stopIfTrue="1" operator="equal">
      <formula>"Towel"</formula>
    </cfRule>
    <cfRule type="cellIs" dxfId="19410" priority="4702" stopIfTrue="1" operator="equal">
      <formula>"Napkin Hs"</formula>
    </cfRule>
  </conditionalFormatting>
  <conditionalFormatting sqref="B92:C92">
    <cfRule type="cellIs" dxfId="19409" priority="4699" stopIfTrue="1" operator="equal">
      <formula>"Towel"</formula>
    </cfRule>
    <cfRule type="cellIs" dxfId="19408" priority="4700" stopIfTrue="1" operator="equal">
      <formula>"Napkin Hs"</formula>
    </cfRule>
  </conditionalFormatting>
  <conditionalFormatting sqref="C92">
    <cfRule type="cellIs" dxfId="19407" priority="4697" stopIfTrue="1" operator="equal">
      <formula>"Towel"</formula>
    </cfRule>
    <cfRule type="cellIs" dxfId="19406" priority="4698" stopIfTrue="1" operator="equal">
      <formula>"Napkin Hs"</formula>
    </cfRule>
  </conditionalFormatting>
  <conditionalFormatting sqref="C92">
    <cfRule type="cellIs" dxfId="19405" priority="4689" stopIfTrue="1" operator="equal">
      <formula>"Towel"</formula>
    </cfRule>
    <cfRule type="cellIs" dxfId="19404" priority="4690" stopIfTrue="1" operator="equal">
      <formula>"Napkin Hs"</formula>
    </cfRule>
  </conditionalFormatting>
  <conditionalFormatting sqref="B92:C92">
    <cfRule type="cellIs" dxfId="19403" priority="4735" stopIfTrue="1" operator="equal">
      <formula>"Towel"</formula>
    </cfRule>
    <cfRule type="cellIs" dxfId="19402" priority="4736" stopIfTrue="1" operator="equal">
      <formula>"Napkin Hs"</formula>
    </cfRule>
  </conditionalFormatting>
  <conditionalFormatting sqref="C92">
    <cfRule type="cellIs" dxfId="19401" priority="4731" stopIfTrue="1" operator="equal">
      <formula>"Towel"</formula>
    </cfRule>
    <cfRule type="cellIs" dxfId="19400" priority="4732" stopIfTrue="1" operator="equal">
      <formula>"Napkin Hs"</formula>
    </cfRule>
  </conditionalFormatting>
  <conditionalFormatting sqref="C92">
    <cfRule type="cellIs" dxfId="19399" priority="4733" stopIfTrue="1" operator="equal">
      <formula>"Towel"</formula>
    </cfRule>
    <cfRule type="cellIs" dxfId="19398" priority="4734" stopIfTrue="1" operator="equal">
      <formula>"Napkin Hs"</formula>
    </cfRule>
  </conditionalFormatting>
  <conditionalFormatting sqref="B92:C92">
    <cfRule type="cellIs" dxfId="19397" priority="4730" stopIfTrue="1" operator="equal">
      <formula>"Napkin Hs"</formula>
    </cfRule>
  </conditionalFormatting>
  <conditionalFormatting sqref="B92:C92">
    <cfRule type="cellIs" dxfId="19396" priority="4729" stopIfTrue="1" operator="equal">
      <formula>"Towel"</formula>
    </cfRule>
  </conditionalFormatting>
  <conditionalFormatting sqref="C92">
    <cfRule type="cellIs" dxfId="19395" priority="4728" stopIfTrue="1" operator="equal">
      <formula>"Napkin Hs"</formula>
    </cfRule>
  </conditionalFormatting>
  <conditionalFormatting sqref="C92">
    <cfRule type="cellIs" dxfId="19394" priority="4727" stopIfTrue="1" operator="equal">
      <formula>"Towel"</formula>
    </cfRule>
  </conditionalFormatting>
  <conditionalFormatting sqref="C92">
    <cfRule type="cellIs" dxfId="19393" priority="4725" stopIfTrue="1" operator="equal">
      <formula>"Towel"</formula>
    </cfRule>
    <cfRule type="cellIs" dxfId="19392" priority="4726" stopIfTrue="1" operator="equal">
      <formula>"Napkin Hs"</formula>
    </cfRule>
  </conditionalFormatting>
  <conditionalFormatting sqref="B92:C92">
    <cfRule type="cellIs" dxfId="19391" priority="4723" stopIfTrue="1" operator="equal">
      <formula>"Towel"</formula>
    </cfRule>
    <cfRule type="cellIs" dxfId="19390" priority="4724" stopIfTrue="1" operator="equal">
      <formula>"Napkin Hs"</formula>
    </cfRule>
  </conditionalFormatting>
  <conditionalFormatting sqref="C92">
    <cfRule type="cellIs" dxfId="19389" priority="4721" stopIfTrue="1" operator="equal">
      <formula>"Towel"</formula>
    </cfRule>
    <cfRule type="cellIs" dxfId="19388" priority="4722" stopIfTrue="1" operator="equal">
      <formula>"Napkin Hs"</formula>
    </cfRule>
  </conditionalFormatting>
  <conditionalFormatting sqref="C92">
    <cfRule type="cellIs" dxfId="19387" priority="4719" stopIfTrue="1" operator="equal">
      <formula>"Towel"</formula>
    </cfRule>
    <cfRule type="cellIs" dxfId="19386" priority="4720" stopIfTrue="1" operator="equal">
      <formula>"Napkin Hs"</formula>
    </cfRule>
  </conditionalFormatting>
  <conditionalFormatting sqref="B92:C92">
    <cfRule type="cellIs" dxfId="19385" priority="4717" stopIfTrue="1" operator="equal">
      <formula>"Towel"</formula>
    </cfRule>
    <cfRule type="cellIs" dxfId="19384" priority="4718" stopIfTrue="1" operator="equal">
      <formula>"Napkin Hs"</formula>
    </cfRule>
  </conditionalFormatting>
  <conditionalFormatting sqref="C92">
    <cfRule type="cellIs" dxfId="19383" priority="4715" stopIfTrue="1" operator="equal">
      <formula>"Towel"</formula>
    </cfRule>
    <cfRule type="cellIs" dxfId="19382" priority="4716" stopIfTrue="1" operator="equal">
      <formula>"Napkin Hs"</formula>
    </cfRule>
  </conditionalFormatting>
  <conditionalFormatting sqref="C92">
    <cfRule type="cellIs" dxfId="19381" priority="4713" stopIfTrue="1" operator="equal">
      <formula>"Towel"</formula>
    </cfRule>
    <cfRule type="cellIs" dxfId="19380" priority="4714" stopIfTrue="1" operator="equal">
      <formula>"Napkin Hs"</formula>
    </cfRule>
  </conditionalFormatting>
  <conditionalFormatting sqref="B92:C92">
    <cfRule type="cellIs" dxfId="19379" priority="4711" stopIfTrue="1" operator="equal">
      <formula>"Towel"</formula>
    </cfRule>
    <cfRule type="cellIs" dxfId="19378" priority="4712" stopIfTrue="1" operator="equal">
      <formula>"Napkin Hs"</formula>
    </cfRule>
  </conditionalFormatting>
  <conditionalFormatting sqref="C92">
    <cfRule type="cellIs" dxfId="19377" priority="4709" stopIfTrue="1" operator="equal">
      <formula>"Towel"</formula>
    </cfRule>
    <cfRule type="cellIs" dxfId="19376" priority="4710" stopIfTrue="1" operator="equal">
      <formula>"Napkin Hs"</formula>
    </cfRule>
  </conditionalFormatting>
  <conditionalFormatting sqref="C92">
    <cfRule type="cellIs" dxfId="19375" priority="4707" stopIfTrue="1" operator="equal">
      <formula>"Towel"</formula>
    </cfRule>
    <cfRule type="cellIs" dxfId="19374" priority="4708" stopIfTrue="1" operator="equal">
      <formula>"Napkin Hs"</formula>
    </cfRule>
  </conditionalFormatting>
  <conditionalFormatting sqref="B92:C92">
    <cfRule type="cellIs" dxfId="19373" priority="4705" stopIfTrue="1" operator="equal">
      <formula>"Towel"</formula>
    </cfRule>
    <cfRule type="cellIs" dxfId="19372" priority="4706" stopIfTrue="1" operator="equal">
      <formula>"Napkin Hs"</formula>
    </cfRule>
  </conditionalFormatting>
  <conditionalFormatting sqref="C92">
    <cfRule type="cellIs" dxfId="19371" priority="4703" stopIfTrue="1" operator="equal">
      <formula>"Towel"</formula>
    </cfRule>
    <cfRule type="cellIs" dxfId="19370" priority="4704" stopIfTrue="1" operator="equal">
      <formula>"Napkin Hs"</formula>
    </cfRule>
  </conditionalFormatting>
  <conditionalFormatting sqref="C92">
    <cfRule type="cellIs" dxfId="19369" priority="4695" stopIfTrue="1" operator="equal">
      <formula>"Towel"</formula>
    </cfRule>
    <cfRule type="cellIs" dxfId="19368" priority="4696" stopIfTrue="1" operator="equal">
      <formula>"Napkin Hs"</formula>
    </cfRule>
  </conditionalFormatting>
  <conditionalFormatting sqref="B92:C92">
    <cfRule type="cellIs" dxfId="19367" priority="4694" stopIfTrue="1" operator="equal">
      <formula>"Napkin Hs"</formula>
    </cfRule>
  </conditionalFormatting>
  <conditionalFormatting sqref="B92:C92">
    <cfRule type="cellIs" dxfId="19366" priority="4693" stopIfTrue="1" operator="equal">
      <formula>"Towel"</formula>
    </cfRule>
  </conditionalFormatting>
  <conditionalFormatting sqref="C92">
    <cfRule type="cellIs" dxfId="19365" priority="4692" stopIfTrue="1" operator="equal">
      <formula>"Napkin Hs"</formula>
    </cfRule>
  </conditionalFormatting>
  <conditionalFormatting sqref="C92">
    <cfRule type="cellIs" dxfId="19364" priority="4691" stopIfTrue="1" operator="equal">
      <formula>"Towel"</formula>
    </cfRule>
  </conditionalFormatting>
  <conditionalFormatting sqref="B92:C92">
    <cfRule type="cellIs" dxfId="19363" priority="4687" stopIfTrue="1" operator="equal">
      <formula>"Towel"</formula>
    </cfRule>
    <cfRule type="cellIs" dxfId="19362" priority="4688" stopIfTrue="1" operator="equal">
      <formula>"Napkin Hs"</formula>
    </cfRule>
  </conditionalFormatting>
  <conditionalFormatting sqref="C92">
    <cfRule type="cellIs" dxfId="19361" priority="4683" stopIfTrue="1" operator="equal">
      <formula>"Towel"</formula>
    </cfRule>
    <cfRule type="cellIs" dxfId="19360" priority="4684" stopIfTrue="1" operator="equal">
      <formula>"Napkin Hs"</formula>
    </cfRule>
  </conditionalFormatting>
  <conditionalFormatting sqref="C92">
    <cfRule type="cellIs" dxfId="19359" priority="4685" stopIfTrue="1" operator="equal">
      <formula>"Towel"</formula>
    </cfRule>
    <cfRule type="cellIs" dxfId="19358" priority="4686" stopIfTrue="1" operator="equal">
      <formula>"Napkin Hs"</formula>
    </cfRule>
  </conditionalFormatting>
  <conditionalFormatting sqref="B92:C92">
    <cfRule type="cellIs" dxfId="19357" priority="4681" stopIfTrue="1" operator="equal">
      <formula>"Towel"</formula>
    </cfRule>
    <cfRule type="cellIs" dxfId="19356" priority="4682" stopIfTrue="1" operator="equal">
      <formula>"Napkin Hs"</formula>
    </cfRule>
  </conditionalFormatting>
  <conditionalFormatting sqref="C92">
    <cfRule type="cellIs" dxfId="19355" priority="4677" stopIfTrue="1" operator="equal">
      <formula>"Towel"</formula>
    </cfRule>
    <cfRule type="cellIs" dxfId="19354" priority="4678" stopIfTrue="1" operator="equal">
      <formula>"Napkin Hs"</formula>
    </cfRule>
  </conditionalFormatting>
  <conditionalFormatting sqref="C92">
    <cfRule type="cellIs" dxfId="19353" priority="4679" stopIfTrue="1" operator="equal">
      <formula>"Towel"</formula>
    </cfRule>
    <cfRule type="cellIs" dxfId="19352" priority="4680" stopIfTrue="1" operator="equal">
      <formula>"Napkin Hs"</formula>
    </cfRule>
  </conditionalFormatting>
  <conditionalFormatting sqref="B92:C92">
    <cfRule type="cellIs" dxfId="19351" priority="4675" stopIfTrue="1" operator="equal">
      <formula>"Towel"</formula>
    </cfRule>
    <cfRule type="cellIs" dxfId="19350" priority="4676" stopIfTrue="1" operator="equal">
      <formula>"Napkin Hs"</formula>
    </cfRule>
  </conditionalFormatting>
  <conditionalFormatting sqref="C92">
    <cfRule type="cellIs" dxfId="19349" priority="4673" stopIfTrue="1" operator="equal">
      <formula>"Towel"</formula>
    </cfRule>
    <cfRule type="cellIs" dxfId="19348" priority="4674" stopIfTrue="1" operator="equal">
      <formula>"Napkin Hs"</formula>
    </cfRule>
  </conditionalFormatting>
  <conditionalFormatting sqref="C92">
    <cfRule type="cellIs" dxfId="19347" priority="4671" stopIfTrue="1" operator="equal">
      <formula>"Towel"</formula>
    </cfRule>
    <cfRule type="cellIs" dxfId="19346" priority="4672" stopIfTrue="1" operator="equal">
      <formula>"Napkin Hs"</formula>
    </cfRule>
  </conditionalFormatting>
  <conditionalFormatting sqref="B92:C92">
    <cfRule type="cellIs" dxfId="19345" priority="4669" stopIfTrue="1" operator="equal">
      <formula>"Towel"</formula>
    </cfRule>
    <cfRule type="cellIs" dxfId="19344" priority="4670" stopIfTrue="1" operator="equal">
      <formula>"Napkin Hs"</formula>
    </cfRule>
  </conditionalFormatting>
  <conditionalFormatting sqref="C92">
    <cfRule type="cellIs" dxfId="19343" priority="4667" stopIfTrue="1" operator="equal">
      <formula>"Towel"</formula>
    </cfRule>
    <cfRule type="cellIs" dxfId="19342" priority="4668" stopIfTrue="1" operator="equal">
      <formula>"Napkin Hs"</formula>
    </cfRule>
  </conditionalFormatting>
  <conditionalFormatting sqref="C92">
    <cfRule type="cellIs" dxfId="19341" priority="4665" stopIfTrue="1" operator="equal">
      <formula>"Towel"</formula>
    </cfRule>
    <cfRule type="cellIs" dxfId="19340" priority="4666" stopIfTrue="1" operator="equal">
      <formula>"Napkin Hs"</formula>
    </cfRule>
  </conditionalFormatting>
  <conditionalFormatting sqref="B92:C92">
    <cfRule type="cellIs" dxfId="19339" priority="4663" stopIfTrue="1" operator="equal">
      <formula>"Towel"</formula>
    </cfRule>
    <cfRule type="cellIs" dxfId="19338" priority="4664" stopIfTrue="1" operator="equal">
      <formula>"Napkin Hs"</formula>
    </cfRule>
  </conditionalFormatting>
  <conditionalFormatting sqref="C92">
    <cfRule type="cellIs" dxfId="19337" priority="4661" stopIfTrue="1" operator="equal">
      <formula>"Towel"</formula>
    </cfRule>
    <cfRule type="cellIs" dxfId="19336" priority="4662" stopIfTrue="1" operator="equal">
      <formula>"Napkin Hs"</formula>
    </cfRule>
  </conditionalFormatting>
  <conditionalFormatting sqref="C92">
    <cfRule type="cellIs" dxfId="19335" priority="4659" stopIfTrue="1" operator="equal">
      <formula>"Towel"</formula>
    </cfRule>
    <cfRule type="cellIs" dxfId="19334" priority="4660" stopIfTrue="1" operator="equal">
      <formula>"Napkin Hs"</formula>
    </cfRule>
  </conditionalFormatting>
  <conditionalFormatting sqref="B92:C92">
    <cfRule type="cellIs" dxfId="19333" priority="4658" stopIfTrue="1" operator="equal">
      <formula>"Napkin Hs"</formula>
    </cfRule>
  </conditionalFormatting>
  <conditionalFormatting sqref="B92:C92">
    <cfRule type="cellIs" dxfId="19332" priority="4657" stopIfTrue="1" operator="equal">
      <formula>"Towel"</formula>
    </cfRule>
  </conditionalFormatting>
  <conditionalFormatting sqref="C92">
    <cfRule type="cellIs" dxfId="19331" priority="4656" stopIfTrue="1" operator="equal">
      <formula>"Napkin Hs"</formula>
    </cfRule>
  </conditionalFormatting>
  <conditionalFormatting sqref="C92">
    <cfRule type="cellIs" dxfId="19330" priority="4653" stopIfTrue="1" operator="equal">
      <formula>"Towel"</formula>
    </cfRule>
    <cfRule type="cellIs" dxfId="19329" priority="4654" stopIfTrue="1" operator="equal">
      <formula>"Napkin Hs"</formula>
    </cfRule>
  </conditionalFormatting>
  <conditionalFormatting sqref="C92">
    <cfRule type="cellIs" dxfId="19328" priority="4655" stopIfTrue="1" operator="equal">
      <formula>"Towel"</formula>
    </cfRule>
  </conditionalFormatting>
  <conditionalFormatting sqref="B92:C92">
    <cfRule type="cellIs" dxfId="19327" priority="4651" stopIfTrue="1" operator="equal">
      <formula>"Towel"</formula>
    </cfRule>
    <cfRule type="cellIs" dxfId="19326" priority="4652" stopIfTrue="1" operator="equal">
      <formula>"Napkin Hs"</formula>
    </cfRule>
  </conditionalFormatting>
  <conditionalFormatting sqref="C92">
    <cfRule type="cellIs" dxfId="19325" priority="4647" stopIfTrue="1" operator="equal">
      <formula>"Towel"</formula>
    </cfRule>
    <cfRule type="cellIs" dxfId="19324" priority="4648" stopIfTrue="1" operator="equal">
      <formula>"Napkin Hs"</formula>
    </cfRule>
  </conditionalFormatting>
  <conditionalFormatting sqref="C92">
    <cfRule type="cellIs" dxfId="19323" priority="4649" stopIfTrue="1" operator="equal">
      <formula>"Towel"</formula>
    </cfRule>
    <cfRule type="cellIs" dxfId="19322" priority="4650" stopIfTrue="1" operator="equal">
      <formula>"Napkin Hs"</formula>
    </cfRule>
  </conditionalFormatting>
  <conditionalFormatting sqref="B92:C92">
    <cfRule type="cellIs" dxfId="19321" priority="4645" stopIfTrue="1" operator="equal">
      <formula>"Towel"</formula>
    </cfRule>
    <cfRule type="cellIs" dxfId="19320" priority="4646" stopIfTrue="1" operator="equal">
      <formula>"Napkin Hs"</formula>
    </cfRule>
  </conditionalFormatting>
  <conditionalFormatting sqref="C92">
    <cfRule type="cellIs" dxfId="19319" priority="4641" stopIfTrue="1" operator="equal">
      <formula>"Towel"</formula>
    </cfRule>
    <cfRule type="cellIs" dxfId="19318" priority="4642" stopIfTrue="1" operator="equal">
      <formula>"Napkin Hs"</formula>
    </cfRule>
  </conditionalFormatting>
  <conditionalFormatting sqref="C92">
    <cfRule type="cellIs" dxfId="19317" priority="4643" stopIfTrue="1" operator="equal">
      <formula>"Towel"</formula>
    </cfRule>
    <cfRule type="cellIs" dxfId="19316" priority="4644" stopIfTrue="1" operator="equal">
      <formula>"Napkin Hs"</formula>
    </cfRule>
  </conditionalFormatting>
  <conditionalFormatting sqref="B92:C92">
    <cfRule type="cellIs" dxfId="19315" priority="4639" stopIfTrue="1" operator="equal">
      <formula>"Towel"</formula>
    </cfRule>
    <cfRule type="cellIs" dxfId="19314" priority="4640" stopIfTrue="1" operator="equal">
      <formula>"Napkin Hs"</formula>
    </cfRule>
  </conditionalFormatting>
  <conditionalFormatting sqref="C92">
    <cfRule type="cellIs" dxfId="19313" priority="4637" stopIfTrue="1" operator="equal">
      <formula>"Towel"</formula>
    </cfRule>
    <cfRule type="cellIs" dxfId="19312" priority="4638" stopIfTrue="1" operator="equal">
      <formula>"Napkin Hs"</formula>
    </cfRule>
  </conditionalFormatting>
  <conditionalFormatting sqref="C92">
    <cfRule type="cellIs" dxfId="19311" priority="4635" stopIfTrue="1" operator="equal">
      <formula>"Towel"</formula>
    </cfRule>
    <cfRule type="cellIs" dxfId="19310" priority="4636" stopIfTrue="1" operator="equal">
      <formula>"Napkin Hs"</formula>
    </cfRule>
  </conditionalFormatting>
  <conditionalFormatting sqref="B92:C92">
    <cfRule type="cellIs" dxfId="19309" priority="4633" stopIfTrue="1" operator="equal">
      <formula>"Towel"</formula>
    </cfRule>
    <cfRule type="cellIs" dxfId="19308" priority="4634" stopIfTrue="1" operator="equal">
      <formula>"Napkin Hs"</formula>
    </cfRule>
  </conditionalFormatting>
  <conditionalFormatting sqref="C92">
    <cfRule type="cellIs" dxfId="19307" priority="4631" stopIfTrue="1" operator="equal">
      <formula>"Towel"</formula>
    </cfRule>
    <cfRule type="cellIs" dxfId="19306" priority="4632" stopIfTrue="1" operator="equal">
      <formula>"Napkin Hs"</formula>
    </cfRule>
  </conditionalFormatting>
  <conditionalFormatting sqref="C92">
    <cfRule type="cellIs" dxfId="19305" priority="4629" stopIfTrue="1" operator="equal">
      <formula>"Towel"</formula>
    </cfRule>
    <cfRule type="cellIs" dxfId="19304" priority="4630" stopIfTrue="1" operator="equal">
      <formula>"Napkin Hs"</formula>
    </cfRule>
  </conditionalFormatting>
  <conditionalFormatting sqref="B92:C92">
    <cfRule type="cellIs" dxfId="19303" priority="4627" stopIfTrue="1" operator="equal">
      <formula>"Towel"</formula>
    </cfRule>
    <cfRule type="cellIs" dxfId="19302" priority="4628" stopIfTrue="1" operator="equal">
      <formula>"Napkin Hs"</formula>
    </cfRule>
  </conditionalFormatting>
  <conditionalFormatting sqref="C92">
    <cfRule type="cellIs" dxfId="19301" priority="4625" stopIfTrue="1" operator="equal">
      <formula>"Towel"</formula>
    </cfRule>
    <cfRule type="cellIs" dxfId="19300" priority="4626" stopIfTrue="1" operator="equal">
      <formula>"Napkin Hs"</formula>
    </cfRule>
  </conditionalFormatting>
  <conditionalFormatting sqref="C92">
    <cfRule type="cellIs" dxfId="19299" priority="4623" stopIfTrue="1" operator="equal">
      <formula>"Towel"</formula>
    </cfRule>
    <cfRule type="cellIs" dxfId="19298" priority="4624" stopIfTrue="1" operator="equal">
      <formula>"Napkin Hs"</formula>
    </cfRule>
  </conditionalFormatting>
  <conditionalFormatting sqref="B92:C92">
    <cfRule type="cellIs" dxfId="19297" priority="4622" stopIfTrue="1" operator="equal">
      <formula>"Napkin Hs"</formula>
    </cfRule>
  </conditionalFormatting>
  <conditionalFormatting sqref="B92:C92">
    <cfRule type="cellIs" dxfId="19296" priority="4621" stopIfTrue="1" operator="equal">
      <formula>"Towel"</formula>
    </cfRule>
  </conditionalFormatting>
  <conditionalFormatting sqref="C92">
    <cfRule type="cellIs" dxfId="19295" priority="4620" stopIfTrue="1" operator="equal">
      <formula>"Napkin Hs"</formula>
    </cfRule>
  </conditionalFormatting>
  <conditionalFormatting sqref="C92">
    <cfRule type="cellIs" dxfId="19294" priority="4617" stopIfTrue="1" operator="equal">
      <formula>"Towel"</formula>
    </cfRule>
    <cfRule type="cellIs" dxfId="19293" priority="4618" stopIfTrue="1" operator="equal">
      <formula>"Napkin Hs"</formula>
    </cfRule>
  </conditionalFormatting>
  <conditionalFormatting sqref="C92">
    <cfRule type="cellIs" dxfId="19292" priority="4619" stopIfTrue="1" operator="equal">
      <formula>"Towel"</formula>
    </cfRule>
  </conditionalFormatting>
  <conditionalFormatting sqref="B92:C92">
    <cfRule type="cellIs" dxfId="19291" priority="4615" stopIfTrue="1" operator="equal">
      <formula>"Towel"</formula>
    </cfRule>
    <cfRule type="cellIs" dxfId="19290" priority="4616" stopIfTrue="1" operator="equal">
      <formula>"Napkin Hs"</formula>
    </cfRule>
  </conditionalFormatting>
  <conditionalFormatting sqref="C92">
    <cfRule type="cellIs" dxfId="19289" priority="4611" stopIfTrue="1" operator="equal">
      <formula>"Towel"</formula>
    </cfRule>
    <cfRule type="cellIs" dxfId="19288" priority="4612" stopIfTrue="1" operator="equal">
      <formula>"Napkin Hs"</formula>
    </cfRule>
  </conditionalFormatting>
  <conditionalFormatting sqref="C92">
    <cfRule type="cellIs" dxfId="19287" priority="4613" stopIfTrue="1" operator="equal">
      <formula>"Towel"</formula>
    </cfRule>
    <cfRule type="cellIs" dxfId="19286" priority="4614" stopIfTrue="1" operator="equal">
      <formula>"Napkin Hs"</formula>
    </cfRule>
  </conditionalFormatting>
  <conditionalFormatting sqref="C92">
    <cfRule type="cellIs" dxfId="19285" priority="4527" stopIfTrue="1" operator="equal">
      <formula>"Towel"</formula>
    </cfRule>
    <cfRule type="cellIs" dxfId="19284" priority="4528" stopIfTrue="1" operator="equal">
      <formula>"Napkin Hs"</formula>
    </cfRule>
  </conditionalFormatting>
  <conditionalFormatting sqref="C92">
    <cfRule type="cellIs" dxfId="19283" priority="4521" stopIfTrue="1" operator="equal">
      <formula>"Towel"</formula>
    </cfRule>
    <cfRule type="cellIs" dxfId="19282" priority="4522" stopIfTrue="1" operator="equal">
      <formula>"Napkin Hs"</formula>
    </cfRule>
  </conditionalFormatting>
  <conditionalFormatting sqref="C92">
    <cfRule type="cellIs" dxfId="19281" priority="4502" stopIfTrue="1" operator="equal">
      <formula>"Napkin Hs"</formula>
    </cfRule>
  </conditionalFormatting>
  <conditionalFormatting sqref="C92">
    <cfRule type="cellIs" dxfId="19280" priority="4501" stopIfTrue="1" operator="equal">
      <formula>"Towel"</formula>
    </cfRule>
  </conditionalFormatting>
  <conditionalFormatting sqref="C92">
    <cfRule type="cellIs" dxfId="19279" priority="4500" stopIfTrue="1" operator="equal">
      <formula>"Napkin Hs"</formula>
    </cfRule>
  </conditionalFormatting>
  <conditionalFormatting sqref="C92">
    <cfRule type="cellIs" dxfId="19278" priority="4497" stopIfTrue="1" operator="equal">
      <formula>"Towel"</formula>
    </cfRule>
    <cfRule type="cellIs" dxfId="19277" priority="4498" stopIfTrue="1" operator="equal">
      <formula>"Napkin Hs"</formula>
    </cfRule>
  </conditionalFormatting>
  <conditionalFormatting sqref="C92">
    <cfRule type="cellIs" dxfId="19276" priority="4499" stopIfTrue="1" operator="equal">
      <formula>"Towel"</formula>
    </cfRule>
  </conditionalFormatting>
  <conditionalFormatting sqref="C92">
    <cfRule type="cellIs" dxfId="19275" priority="4496" stopIfTrue="1" operator="equal">
      <formula>"Napkin Hs"</formula>
    </cfRule>
  </conditionalFormatting>
  <conditionalFormatting sqref="C92">
    <cfRule type="cellIs" dxfId="19274" priority="4495" stopIfTrue="1" operator="equal">
      <formula>"Towel"</formula>
    </cfRule>
  </conditionalFormatting>
  <conditionalFormatting sqref="C92">
    <cfRule type="cellIs" dxfId="19273" priority="4494" stopIfTrue="1" operator="equal">
      <formula>"Napkin Hs"</formula>
    </cfRule>
  </conditionalFormatting>
  <conditionalFormatting sqref="C92">
    <cfRule type="cellIs" dxfId="19272" priority="4491" stopIfTrue="1" operator="equal">
      <formula>"Towel"</formula>
    </cfRule>
    <cfRule type="cellIs" dxfId="19271" priority="4492" stopIfTrue="1" operator="equal">
      <formula>"Napkin Hs"</formula>
    </cfRule>
  </conditionalFormatting>
  <conditionalFormatting sqref="C92">
    <cfRule type="cellIs" dxfId="19270" priority="4493" stopIfTrue="1" operator="equal">
      <formula>"Towel"</formula>
    </cfRule>
  </conditionalFormatting>
  <conditionalFormatting sqref="C92">
    <cfRule type="cellIs" dxfId="19269" priority="4597" stopIfTrue="1" operator="equal">
      <formula>"Towel"</formula>
    </cfRule>
    <cfRule type="cellIs" dxfId="19268" priority="4598" stopIfTrue="1" operator="equal">
      <formula>"Napkin Hs"</formula>
    </cfRule>
  </conditionalFormatting>
  <conditionalFormatting sqref="C92">
    <cfRule type="cellIs" dxfId="19267" priority="4595" stopIfTrue="1" operator="equal">
      <formula>"Towel"</formula>
    </cfRule>
    <cfRule type="cellIs" dxfId="19266" priority="4596" stopIfTrue="1" operator="equal">
      <formula>"Napkin Hs"</formula>
    </cfRule>
  </conditionalFormatting>
  <conditionalFormatting sqref="C92">
    <cfRule type="cellIs" dxfId="19265" priority="4593" stopIfTrue="1" operator="equal">
      <formula>"Towel"</formula>
    </cfRule>
    <cfRule type="cellIs" dxfId="19264" priority="4594" stopIfTrue="1" operator="equal">
      <formula>"Napkin Hs"</formula>
    </cfRule>
  </conditionalFormatting>
  <conditionalFormatting sqref="C92">
    <cfRule type="cellIs" dxfId="19263" priority="4592" stopIfTrue="1" operator="equal">
      <formula>"Napkin Hs"</formula>
    </cfRule>
  </conditionalFormatting>
  <conditionalFormatting sqref="C92">
    <cfRule type="cellIs" dxfId="19262" priority="4591" stopIfTrue="1" operator="equal">
      <formula>"Towel"</formula>
    </cfRule>
  </conditionalFormatting>
  <conditionalFormatting sqref="C92">
    <cfRule type="cellIs" dxfId="19261" priority="4590" stopIfTrue="1" operator="equal">
      <formula>"Napkin Hs"</formula>
    </cfRule>
  </conditionalFormatting>
  <conditionalFormatting sqref="C92">
    <cfRule type="cellIs" dxfId="19260" priority="4589" stopIfTrue="1" operator="equal">
      <formula>"Towel"</formula>
    </cfRule>
  </conditionalFormatting>
  <conditionalFormatting sqref="C92">
    <cfRule type="cellIs" dxfId="19259" priority="4587" stopIfTrue="1" operator="equal">
      <formula>"Towel"</formula>
    </cfRule>
    <cfRule type="cellIs" dxfId="19258" priority="4588" stopIfTrue="1" operator="equal">
      <formula>"Napkin Hs"</formula>
    </cfRule>
  </conditionalFormatting>
  <conditionalFormatting sqref="C92">
    <cfRule type="cellIs" dxfId="19257" priority="4585" stopIfTrue="1" operator="equal">
      <formula>"Towel"</formula>
    </cfRule>
    <cfRule type="cellIs" dxfId="19256" priority="4586" stopIfTrue="1" operator="equal">
      <formula>"Napkin Hs"</formula>
    </cfRule>
  </conditionalFormatting>
  <conditionalFormatting sqref="C92">
    <cfRule type="cellIs" dxfId="19255" priority="4581" stopIfTrue="1" operator="equal">
      <formula>"Towel"</formula>
    </cfRule>
    <cfRule type="cellIs" dxfId="19254" priority="4582" stopIfTrue="1" operator="equal">
      <formula>"Napkin Hs"</formula>
    </cfRule>
  </conditionalFormatting>
  <conditionalFormatting sqref="C92">
    <cfRule type="cellIs" dxfId="19253" priority="4583" stopIfTrue="1" operator="equal">
      <formula>"Towel"</formula>
    </cfRule>
    <cfRule type="cellIs" dxfId="19252" priority="4584" stopIfTrue="1" operator="equal">
      <formula>"Napkin Hs"</formula>
    </cfRule>
  </conditionalFormatting>
  <conditionalFormatting sqref="C92">
    <cfRule type="cellIs" dxfId="19251" priority="4575" stopIfTrue="1" operator="equal">
      <formula>"Towel"</formula>
    </cfRule>
    <cfRule type="cellIs" dxfId="19250" priority="4576" stopIfTrue="1" operator="equal">
      <formula>"Napkin Hs"</formula>
    </cfRule>
  </conditionalFormatting>
  <conditionalFormatting sqref="C92">
    <cfRule type="cellIs" dxfId="19249" priority="4573" stopIfTrue="1" operator="equal">
      <formula>"Towel"</formula>
    </cfRule>
    <cfRule type="cellIs" dxfId="19248" priority="4574" stopIfTrue="1" operator="equal">
      <formula>"Napkin Hs"</formula>
    </cfRule>
  </conditionalFormatting>
  <conditionalFormatting sqref="C92">
    <cfRule type="cellIs" dxfId="19247" priority="4571" stopIfTrue="1" operator="equal">
      <formula>"Towel"</formula>
    </cfRule>
    <cfRule type="cellIs" dxfId="19246" priority="4572" stopIfTrue="1" operator="equal">
      <formula>"Napkin Hs"</formula>
    </cfRule>
  </conditionalFormatting>
  <conditionalFormatting sqref="C92">
    <cfRule type="cellIs" dxfId="19245" priority="4569" stopIfTrue="1" operator="equal">
      <formula>"Towel"</formula>
    </cfRule>
    <cfRule type="cellIs" dxfId="19244" priority="4570" stopIfTrue="1" operator="equal">
      <formula>"Napkin Hs"</formula>
    </cfRule>
  </conditionalFormatting>
  <conditionalFormatting sqref="C92">
    <cfRule type="cellIs" dxfId="19243" priority="4567" stopIfTrue="1" operator="equal">
      <formula>"Towel"</formula>
    </cfRule>
    <cfRule type="cellIs" dxfId="19242" priority="4568" stopIfTrue="1" operator="equal">
      <formula>"Napkin Hs"</formula>
    </cfRule>
  </conditionalFormatting>
  <conditionalFormatting sqref="C92">
    <cfRule type="cellIs" dxfId="19241" priority="4565" stopIfTrue="1" operator="equal">
      <formula>"Towel"</formula>
    </cfRule>
    <cfRule type="cellIs" dxfId="19240" priority="4566" stopIfTrue="1" operator="equal">
      <formula>"Napkin Hs"</formula>
    </cfRule>
  </conditionalFormatting>
  <conditionalFormatting sqref="C92">
    <cfRule type="cellIs" dxfId="19239" priority="4563" stopIfTrue="1" operator="equal">
      <formula>"Towel"</formula>
    </cfRule>
    <cfRule type="cellIs" dxfId="19238" priority="4564" stopIfTrue="1" operator="equal">
      <formula>"Napkin Hs"</formula>
    </cfRule>
  </conditionalFormatting>
  <conditionalFormatting sqref="C92">
    <cfRule type="cellIs" dxfId="19237" priority="4561" stopIfTrue="1" operator="equal">
      <formula>"Towel"</formula>
    </cfRule>
    <cfRule type="cellIs" dxfId="19236" priority="4562" stopIfTrue="1" operator="equal">
      <formula>"Napkin Hs"</formula>
    </cfRule>
  </conditionalFormatting>
  <conditionalFormatting sqref="C92">
    <cfRule type="cellIs" dxfId="19235" priority="4559" stopIfTrue="1" operator="equal">
      <formula>"Towel"</formula>
    </cfRule>
    <cfRule type="cellIs" dxfId="19234" priority="4560" stopIfTrue="1" operator="equal">
      <formula>"Napkin Hs"</formula>
    </cfRule>
  </conditionalFormatting>
  <conditionalFormatting sqref="C92">
    <cfRule type="cellIs" dxfId="19233" priority="4557" stopIfTrue="1" operator="equal">
      <formula>"Towel"</formula>
    </cfRule>
    <cfRule type="cellIs" dxfId="19232" priority="4558" stopIfTrue="1" operator="equal">
      <formula>"Napkin Hs"</formula>
    </cfRule>
  </conditionalFormatting>
  <conditionalFormatting sqref="C92">
    <cfRule type="cellIs" dxfId="19231" priority="4551" stopIfTrue="1" operator="equal">
      <formula>"Towel"</formula>
    </cfRule>
    <cfRule type="cellIs" dxfId="19230" priority="4552" stopIfTrue="1" operator="equal">
      <formula>"Napkin Hs"</formula>
    </cfRule>
  </conditionalFormatting>
  <conditionalFormatting sqref="C92">
    <cfRule type="cellIs" dxfId="19229" priority="4545" stopIfTrue="1" operator="equal">
      <formula>"Towel"</formula>
    </cfRule>
    <cfRule type="cellIs" dxfId="19228" priority="4546" stopIfTrue="1" operator="equal">
      <formula>"Napkin Hs"</formula>
    </cfRule>
  </conditionalFormatting>
  <conditionalFormatting sqref="C92">
    <cfRule type="cellIs" dxfId="19227" priority="4539" stopIfTrue="1" operator="equal">
      <formula>"Towel"</formula>
    </cfRule>
    <cfRule type="cellIs" dxfId="19226" priority="4540" stopIfTrue="1" operator="equal">
      <formula>"Napkin Hs"</formula>
    </cfRule>
  </conditionalFormatting>
  <conditionalFormatting sqref="C92">
    <cfRule type="cellIs" dxfId="19225" priority="4538" stopIfTrue="1" operator="equal">
      <formula>"Napkin Hs"</formula>
    </cfRule>
  </conditionalFormatting>
  <conditionalFormatting sqref="C92">
    <cfRule type="cellIs" dxfId="19224" priority="4537" stopIfTrue="1" operator="equal">
      <formula>"Towel"</formula>
    </cfRule>
  </conditionalFormatting>
  <conditionalFormatting sqref="C92">
    <cfRule type="cellIs" dxfId="19223" priority="4536" stopIfTrue="1" operator="equal">
      <formula>"Napkin Hs"</formula>
    </cfRule>
  </conditionalFormatting>
  <conditionalFormatting sqref="C92">
    <cfRule type="cellIs" dxfId="19222" priority="4535" stopIfTrue="1" operator="equal">
      <formula>"Towel"</formula>
    </cfRule>
  </conditionalFormatting>
  <conditionalFormatting sqref="C92">
    <cfRule type="cellIs" dxfId="19221" priority="4533" stopIfTrue="1" operator="equal">
      <formula>"Towel"</formula>
    </cfRule>
    <cfRule type="cellIs" dxfId="19220" priority="4534" stopIfTrue="1" operator="equal">
      <formula>"Napkin Hs"</formula>
    </cfRule>
  </conditionalFormatting>
  <conditionalFormatting sqref="C92">
    <cfRule type="cellIs" dxfId="19219" priority="4531" stopIfTrue="1" operator="equal">
      <formula>"Towel"</formula>
    </cfRule>
    <cfRule type="cellIs" dxfId="19218" priority="4532" stopIfTrue="1" operator="equal">
      <formula>"Napkin Hs"</formula>
    </cfRule>
  </conditionalFormatting>
  <conditionalFormatting sqref="C92">
    <cfRule type="cellIs" dxfId="19217" priority="4529" stopIfTrue="1" operator="equal">
      <formula>"Towel"</formula>
    </cfRule>
    <cfRule type="cellIs" dxfId="19216" priority="4530" stopIfTrue="1" operator="equal">
      <formula>"Napkin Hs"</formula>
    </cfRule>
  </conditionalFormatting>
  <conditionalFormatting sqref="C92">
    <cfRule type="cellIs" dxfId="19215" priority="4519" stopIfTrue="1" operator="equal">
      <formula>"Towel"</formula>
    </cfRule>
    <cfRule type="cellIs" dxfId="19214" priority="4520" stopIfTrue="1" operator="equal">
      <formula>"Napkin Hs"</formula>
    </cfRule>
  </conditionalFormatting>
  <conditionalFormatting sqref="C92">
    <cfRule type="cellIs" dxfId="19213" priority="4517" stopIfTrue="1" operator="equal">
      <formula>"Towel"</formula>
    </cfRule>
    <cfRule type="cellIs" dxfId="19212" priority="4518" stopIfTrue="1" operator="equal">
      <formula>"Napkin Hs"</formula>
    </cfRule>
  </conditionalFormatting>
  <conditionalFormatting sqref="C92">
    <cfRule type="cellIs" dxfId="19211" priority="4515" stopIfTrue="1" operator="equal">
      <formula>"Towel"</formula>
    </cfRule>
    <cfRule type="cellIs" dxfId="19210" priority="4516" stopIfTrue="1" operator="equal">
      <formula>"Napkin Hs"</formula>
    </cfRule>
  </conditionalFormatting>
  <conditionalFormatting sqref="C92">
    <cfRule type="cellIs" dxfId="19209" priority="4513" stopIfTrue="1" operator="equal">
      <formula>"Towel"</formula>
    </cfRule>
    <cfRule type="cellIs" dxfId="19208" priority="4514" stopIfTrue="1" operator="equal">
      <formula>"Napkin Hs"</formula>
    </cfRule>
  </conditionalFormatting>
  <conditionalFormatting sqref="C92">
    <cfRule type="cellIs" dxfId="19207" priority="4511" stopIfTrue="1" operator="equal">
      <formula>"Towel"</formula>
    </cfRule>
    <cfRule type="cellIs" dxfId="19206" priority="4512" stopIfTrue="1" operator="equal">
      <formula>"Napkin Hs"</formula>
    </cfRule>
  </conditionalFormatting>
  <conditionalFormatting sqref="C92">
    <cfRule type="cellIs" dxfId="19205" priority="4509" stopIfTrue="1" operator="equal">
      <formula>"Towel"</formula>
    </cfRule>
    <cfRule type="cellIs" dxfId="19204" priority="4510" stopIfTrue="1" operator="equal">
      <formula>"Napkin Hs"</formula>
    </cfRule>
  </conditionalFormatting>
  <conditionalFormatting sqref="C92">
    <cfRule type="cellIs" dxfId="19203" priority="4507" stopIfTrue="1" operator="equal">
      <formula>"Towel"</formula>
    </cfRule>
    <cfRule type="cellIs" dxfId="19202" priority="4508" stopIfTrue="1" operator="equal">
      <formula>"Napkin Hs"</formula>
    </cfRule>
  </conditionalFormatting>
  <conditionalFormatting sqref="C92">
    <cfRule type="cellIs" dxfId="19201" priority="4505" stopIfTrue="1" operator="equal">
      <formula>"Towel"</formula>
    </cfRule>
    <cfRule type="cellIs" dxfId="19200" priority="4506" stopIfTrue="1" operator="equal">
      <formula>"Napkin Hs"</formula>
    </cfRule>
  </conditionalFormatting>
  <conditionalFormatting sqref="C92">
    <cfRule type="cellIs" dxfId="19199" priority="4503" stopIfTrue="1" operator="equal">
      <formula>"Towel"</formula>
    </cfRule>
    <cfRule type="cellIs" dxfId="19198" priority="4504" stopIfTrue="1" operator="equal">
      <formula>"Napkin Hs"</formula>
    </cfRule>
  </conditionalFormatting>
  <conditionalFormatting sqref="C92">
    <cfRule type="cellIs" dxfId="19197" priority="4490" stopIfTrue="1" operator="equal">
      <formula>"Napkin Hs"</formula>
    </cfRule>
  </conditionalFormatting>
  <conditionalFormatting sqref="C92">
    <cfRule type="cellIs" dxfId="19196" priority="4489" stopIfTrue="1" operator="equal">
      <formula>"Towel"</formula>
    </cfRule>
  </conditionalFormatting>
  <conditionalFormatting sqref="C92">
    <cfRule type="cellIs" dxfId="19195" priority="4488" stopIfTrue="1" operator="equal">
      <formula>"Napkin Hs"</formula>
    </cfRule>
  </conditionalFormatting>
  <conditionalFormatting sqref="C92">
    <cfRule type="cellIs" dxfId="19194" priority="4485" stopIfTrue="1" operator="equal">
      <formula>"Towel"</formula>
    </cfRule>
    <cfRule type="cellIs" dxfId="19193" priority="4486" stopIfTrue="1" operator="equal">
      <formula>"Napkin Hs"</formula>
    </cfRule>
  </conditionalFormatting>
  <conditionalFormatting sqref="C92">
    <cfRule type="cellIs" dxfId="19192" priority="4487" stopIfTrue="1" operator="equal">
      <formula>"Towel"</formula>
    </cfRule>
  </conditionalFormatting>
  <conditionalFormatting sqref="C92">
    <cfRule type="cellIs" dxfId="19191" priority="4605" stopIfTrue="1" operator="equal">
      <formula>"Towel"</formula>
    </cfRule>
    <cfRule type="cellIs" dxfId="19190" priority="4606" stopIfTrue="1" operator="equal">
      <formula>"Napkin Hs"</formula>
    </cfRule>
  </conditionalFormatting>
  <conditionalFormatting sqref="C92">
    <cfRule type="cellIs" dxfId="19189" priority="4604" stopIfTrue="1" operator="equal">
      <formula>"Napkin Hs"</formula>
    </cfRule>
  </conditionalFormatting>
  <conditionalFormatting sqref="C92">
    <cfRule type="cellIs" dxfId="19188" priority="4603" stopIfTrue="1" operator="equal">
      <formula>"Towel"</formula>
    </cfRule>
  </conditionalFormatting>
  <conditionalFormatting sqref="C92">
    <cfRule type="cellIs" dxfId="19187" priority="4602" stopIfTrue="1" operator="equal">
      <formula>"Napkin Hs"</formula>
    </cfRule>
  </conditionalFormatting>
  <conditionalFormatting sqref="C92">
    <cfRule type="cellIs" dxfId="19186" priority="4599" stopIfTrue="1" operator="equal">
      <formula>"Towel"</formula>
    </cfRule>
    <cfRule type="cellIs" dxfId="19185" priority="4600" stopIfTrue="1" operator="equal">
      <formula>"Napkin Hs"</formula>
    </cfRule>
  </conditionalFormatting>
  <conditionalFormatting sqref="C92">
    <cfRule type="cellIs" dxfId="19184" priority="4601" stopIfTrue="1" operator="equal">
      <formula>"Towel"</formula>
    </cfRule>
  </conditionalFormatting>
  <conditionalFormatting sqref="C92">
    <cfRule type="cellIs" dxfId="19183" priority="4609" stopIfTrue="1" operator="equal">
      <formula>"Towel"</formula>
    </cfRule>
    <cfRule type="cellIs" dxfId="19182" priority="4610" stopIfTrue="1" operator="equal">
      <formula>"Napkin Hs"</formula>
    </cfRule>
  </conditionalFormatting>
  <conditionalFormatting sqref="C92">
    <cfRule type="cellIs" dxfId="19181" priority="4607" stopIfTrue="1" operator="equal">
      <formula>"Towel"</formula>
    </cfRule>
    <cfRule type="cellIs" dxfId="19180" priority="4608" stopIfTrue="1" operator="equal">
      <formula>"Napkin Hs"</formula>
    </cfRule>
  </conditionalFormatting>
  <conditionalFormatting sqref="C92">
    <cfRule type="cellIs" dxfId="19179" priority="4579" stopIfTrue="1" operator="equal">
      <formula>"Towel"</formula>
    </cfRule>
    <cfRule type="cellIs" dxfId="19178" priority="4580" stopIfTrue="1" operator="equal">
      <formula>"Napkin Hs"</formula>
    </cfRule>
  </conditionalFormatting>
  <conditionalFormatting sqref="C92">
    <cfRule type="cellIs" dxfId="19177" priority="4577" stopIfTrue="1" operator="equal">
      <formula>"Towel"</formula>
    </cfRule>
    <cfRule type="cellIs" dxfId="19176" priority="4578" stopIfTrue="1" operator="equal">
      <formula>"Napkin Hs"</formula>
    </cfRule>
  </conditionalFormatting>
  <conditionalFormatting sqref="C92">
    <cfRule type="cellIs" dxfId="19175" priority="4556" stopIfTrue="1" operator="equal">
      <formula>"Napkin Hs"</formula>
    </cfRule>
  </conditionalFormatting>
  <conditionalFormatting sqref="C92">
    <cfRule type="cellIs" dxfId="19174" priority="4555" stopIfTrue="1" operator="equal">
      <formula>"Towel"</formula>
    </cfRule>
  </conditionalFormatting>
  <conditionalFormatting sqref="C92">
    <cfRule type="cellIs" dxfId="19173" priority="4554" stopIfTrue="1" operator="equal">
      <formula>"Napkin Hs"</formula>
    </cfRule>
  </conditionalFormatting>
  <conditionalFormatting sqref="C92">
    <cfRule type="cellIs" dxfId="19172" priority="4553" stopIfTrue="1" operator="equal">
      <formula>"Towel"</formula>
    </cfRule>
  </conditionalFormatting>
  <conditionalFormatting sqref="C92">
    <cfRule type="cellIs" dxfId="19171" priority="4550" stopIfTrue="1" operator="equal">
      <formula>"Napkin Hs"</formula>
    </cfRule>
  </conditionalFormatting>
  <conditionalFormatting sqref="C92">
    <cfRule type="cellIs" dxfId="19170" priority="4549" stopIfTrue="1" operator="equal">
      <formula>"Towel"</formula>
    </cfRule>
  </conditionalFormatting>
  <conditionalFormatting sqref="C92">
    <cfRule type="cellIs" dxfId="19169" priority="4548" stopIfTrue="1" operator="equal">
      <formula>"Napkin Hs"</formula>
    </cfRule>
  </conditionalFormatting>
  <conditionalFormatting sqref="C92">
    <cfRule type="cellIs" dxfId="19168" priority="4547" stopIfTrue="1" operator="equal">
      <formula>"Towel"</formula>
    </cfRule>
  </conditionalFormatting>
  <conditionalFormatting sqref="C92">
    <cfRule type="cellIs" dxfId="19167" priority="4543" stopIfTrue="1" operator="equal">
      <formula>"Towel"</formula>
    </cfRule>
    <cfRule type="cellIs" dxfId="19166" priority="4544" stopIfTrue="1" operator="equal">
      <formula>"Napkin Hs"</formula>
    </cfRule>
  </conditionalFormatting>
  <conditionalFormatting sqref="C92">
    <cfRule type="cellIs" dxfId="19165" priority="4541" stopIfTrue="1" operator="equal">
      <formula>"Towel"</formula>
    </cfRule>
    <cfRule type="cellIs" dxfId="19164" priority="4542" stopIfTrue="1" operator="equal">
      <formula>"Napkin Hs"</formula>
    </cfRule>
  </conditionalFormatting>
  <conditionalFormatting sqref="C92">
    <cfRule type="cellIs" dxfId="19163" priority="4525" stopIfTrue="1" operator="equal">
      <formula>"Towel"</formula>
    </cfRule>
    <cfRule type="cellIs" dxfId="19162" priority="4526" stopIfTrue="1" operator="equal">
      <formula>"Napkin Hs"</formula>
    </cfRule>
  </conditionalFormatting>
  <conditionalFormatting sqref="C92">
    <cfRule type="cellIs" dxfId="19161" priority="4523" stopIfTrue="1" operator="equal">
      <formula>"Towel"</formula>
    </cfRule>
    <cfRule type="cellIs" dxfId="19160" priority="4524" stopIfTrue="1" operator="equal">
      <formula>"Napkin Hs"</formula>
    </cfRule>
  </conditionalFormatting>
  <conditionalFormatting sqref="B92:C92">
    <cfRule type="cellIs" dxfId="19159" priority="4484" stopIfTrue="1" operator="equal">
      <formula>"Napkin Hs"</formula>
    </cfRule>
  </conditionalFormatting>
  <conditionalFormatting sqref="B92:C92">
    <cfRule type="cellIs" dxfId="19158" priority="4483" stopIfTrue="1" operator="equal">
      <formula>"Towel"</formula>
    </cfRule>
  </conditionalFormatting>
  <conditionalFormatting sqref="C92">
    <cfRule type="cellIs" dxfId="19157" priority="4482" stopIfTrue="1" operator="equal">
      <formula>"Napkin Hs"</formula>
    </cfRule>
  </conditionalFormatting>
  <conditionalFormatting sqref="C92">
    <cfRule type="cellIs" dxfId="19156" priority="4479" stopIfTrue="1" operator="equal">
      <formula>"Towel"</formula>
    </cfRule>
    <cfRule type="cellIs" dxfId="19155" priority="4480" stopIfTrue="1" operator="equal">
      <formula>"Napkin Hs"</formula>
    </cfRule>
  </conditionalFormatting>
  <conditionalFormatting sqref="C92">
    <cfRule type="cellIs" dxfId="19154" priority="4481" stopIfTrue="1" operator="equal">
      <formula>"Towel"</formula>
    </cfRule>
  </conditionalFormatting>
  <conditionalFormatting sqref="B92:C92">
    <cfRule type="cellIs" dxfId="19153" priority="4478" stopIfTrue="1" operator="equal">
      <formula>"Napkin Hs"</formula>
    </cfRule>
  </conditionalFormatting>
  <conditionalFormatting sqref="B92:C92">
    <cfRule type="cellIs" dxfId="19152" priority="4477" stopIfTrue="1" operator="equal">
      <formula>"Towel"</formula>
    </cfRule>
  </conditionalFormatting>
  <conditionalFormatting sqref="C92">
    <cfRule type="cellIs" dxfId="19151" priority="4476" stopIfTrue="1" operator="equal">
      <formula>"Napkin Hs"</formula>
    </cfRule>
  </conditionalFormatting>
  <conditionalFormatting sqref="C92">
    <cfRule type="cellIs" dxfId="19150" priority="4475" stopIfTrue="1" operator="equal">
      <formula>"Towel"</formula>
    </cfRule>
  </conditionalFormatting>
  <conditionalFormatting sqref="C92">
    <cfRule type="cellIs" dxfId="19149" priority="4473" stopIfTrue="1" operator="equal">
      <formula>"Towel"</formula>
    </cfRule>
    <cfRule type="cellIs" dxfId="19148" priority="4474" stopIfTrue="1" operator="equal">
      <formula>"Napkin Hs"</formula>
    </cfRule>
  </conditionalFormatting>
  <conditionalFormatting sqref="C92">
    <cfRule type="cellIs" dxfId="19147" priority="4389" stopIfTrue="1" operator="equal">
      <formula>"Towel"</formula>
    </cfRule>
    <cfRule type="cellIs" dxfId="19146" priority="4390" stopIfTrue="1" operator="equal">
      <formula>"Napkin Hs"</formula>
    </cfRule>
  </conditionalFormatting>
  <conditionalFormatting sqref="C92">
    <cfRule type="cellIs" dxfId="19145" priority="4383" stopIfTrue="1" operator="equal">
      <formula>"Towel"</formula>
    </cfRule>
    <cfRule type="cellIs" dxfId="19144" priority="4384" stopIfTrue="1" operator="equal">
      <formula>"Napkin Hs"</formula>
    </cfRule>
  </conditionalFormatting>
  <conditionalFormatting sqref="C92">
    <cfRule type="cellIs" dxfId="19143" priority="4364" stopIfTrue="1" operator="equal">
      <formula>"Napkin Hs"</formula>
    </cfRule>
  </conditionalFormatting>
  <conditionalFormatting sqref="C92">
    <cfRule type="cellIs" dxfId="19142" priority="4363" stopIfTrue="1" operator="equal">
      <formula>"Towel"</formula>
    </cfRule>
  </conditionalFormatting>
  <conditionalFormatting sqref="C92">
    <cfRule type="cellIs" dxfId="19141" priority="4362" stopIfTrue="1" operator="equal">
      <formula>"Napkin Hs"</formula>
    </cfRule>
  </conditionalFormatting>
  <conditionalFormatting sqref="C92">
    <cfRule type="cellIs" dxfId="19140" priority="4359" stopIfTrue="1" operator="equal">
      <formula>"Towel"</formula>
    </cfRule>
    <cfRule type="cellIs" dxfId="19139" priority="4360" stopIfTrue="1" operator="equal">
      <formula>"Napkin Hs"</formula>
    </cfRule>
  </conditionalFormatting>
  <conditionalFormatting sqref="C92">
    <cfRule type="cellIs" dxfId="19138" priority="4361" stopIfTrue="1" operator="equal">
      <formula>"Towel"</formula>
    </cfRule>
  </conditionalFormatting>
  <conditionalFormatting sqref="C92">
    <cfRule type="cellIs" dxfId="19137" priority="4358" stopIfTrue="1" operator="equal">
      <formula>"Napkin Hs"</formula>
    </cfRule>
  </conditionalFormatting>
  <conditionalFormatting sqref="C92">
    <cfRule type="cellIs" dxfId="19136" priority="4357" stopIfTrue="1" operator="equal">
      <formula>"Towel"</formula>
    </cfRule>
  </conditionalFormatting>
  <conditionalFormatting sqref="C92">
    <cfRule type="cellIs" dxfId="19135" priority="4356" stopIfTrue="1" operator="equal">
      <formula>"Napkin Hs"</formula>
    </cfRule>
  </conditionalFormatting>
  <conditionalFormatting sqref="C92">
    <cfRule type="cellIs" dxfId="19134" priority="4353" stopIfTrue="1" operator="equal">
      <formula>"Towel"</formula>
    </cfRule>
    <cfRule type="cellIs" dxfId="19133" priority="4354" stopIfTrue="1" operator="equal">
      <formula>"Napkin Hs"</formula>
    </cfRule>
  </conditionalFormatting>
  <conditionalFormatting sqref="C92">
    <cfRule type="cellIs" dxfId="19132" priority="4355" stopIfTrue="1" operator="equal">
      <formula>"Towel"</formula>
    </cfRule>
  </conditionalFormatting>
  <conditionalFormatting sqref="C92">
    <cfRule type="cellIs" dxfId="19131" priority="4459" stopIfTrue="1" operator="equal">
      <formula>"Towel"</formula>
    </cfRule>
    <cfRule type="cellIs" dxfId="19130" priority="4460" stopIfTrue="1" operator="equal">
      <formula>"Napkin Hs"</formula>
    </cfRule>
  </conditionalFormatting>
  <conditionalFormatting sqref="C92">
    <cfRule type="cellIs" dxfId="19129" priority="4457" stopIfTrue="1" operator="equal">
      <formula>"Towel"</formula>
    </cfRule>
    <cfRule type="cellIs" dxfId="19128" priority="4458" stopIfTrue="1" operator="equal">
      <formula>"Napkin Hs"</formula>
    </cfRule>
  </conditionalFormatting>
  <conditionalFormatting sqref="C92">
    <cfRule type="cellIs" dxfId="19127" priority="4455" stopIfTrue="1" operator="equal">
      <formula>"Towel"</formula>
    </cfRule>
    <cfRule type="cellIs" dxfId="19126" priority="4456" stopIfTrue="1" operator="equal">
      <formula>"Napkin Hs"</formula>
    </cfRule>
  </conditionalFormatting>
  <conditionalFormatting sqref="C92">
    <cfRule type="cellIs" dxfId="19125" priority="4454" stopIfTrue="1" operator="equal">
      <formula>"Napkin Hs"</formula>
    </cfRule>
  </conditionalFormatting>
  <conditionalFormatting sqref="C92">
    <cfRule type="cellIs" dxfId="19124" priority="4453" stopIfTrue="1" operator="equal">
      <formula>"Towel"</formula>
    </cfRule>
  </conditionalFormatting>
  <conditionalFormatting sqref="C92">
    <cfRule type="cellIs" dxfId="19123" priority="4452" stopIfTrue="1" operator="equal">
      <formula>"Napkin Hs"</formula>
    </cfRule>
  </conditionalFormatting>
  <conditionalFormatting sqref="C92">
    <cfRule type="cellIs" dxfId="19122" priority="4451" stopIfTrue="1" operator="equal">
      <formula>"Towel"</formula>
    </cfRule>
  </conditionalFormatting>
  <conditionalFormatting sqref="C92">
    <cfRule type="cellIs" dxfId="19121" priority="4449" stopIfTrue="1" operator="equal">
      <formula>"Towel"</formula>
    </cfRule>
    <cfRule type="cellIs" dxfId="19120" priority="4450" stopIfTrue="1" operator="equal">
      <formula>"Napkin Hs"</formula>
    </cfRule>
  </conditionalFormatting>
  <conditionalFormatting sqref="C92">
    <cfRule type="cellIs" dxfId="19119" priority="4447" stopIfTrue="1" operator="equal">
      <formula>"Towel"</formula>
    </cfRule>
    <cfRule type="cellIs" dxfId="19118" priority="4448" stopIfTrue="1" operator="equal">
      <formula>"Napkin Hs"</formula>
    </cfRule>
  </conditionalFormatting>
  <conditionalFormatting sqref="C92">
    <cfRule type="cellIs" dxfId="19117" priority="4443" stopIfTrue="1" operator="equal">
      <formula>"Towel"</formula>
    </cfRule>
    <cfRule type="cellIs" dxfId="19116" priority="4444" stopIfTrue="1" operator="equal">
      <formula>"Napkin Hs"</formula>
    </cfRule>
  </conditionalFormatting>
  <conditionalFormatting sqref="C92">
    <cfRule type="cellIs" dxfId="19115" priority="4445" stopIfTrue="1" operator="equal">
      <formula>"Towel"</formula>
    </cfRule>
    <cfRule type="cellIs" dxfId="19114" priority="4446" stopIfTrue="1" operator="equal">
      <formula>"Napkin Hs"</formula>
    </cfRule>
  </conditionalFormatting>
  <conditionalFormatting sqref="C92">
    <cfRule type="cellIs" dxfId="19113" priority="4437" stopIfTrue="1" operator="equal">
      <formula>"Towel"</formula>
    </cfRule>
    <cfRule type="cellIs" dxfId="19112" priority="4438" stopIfTrue="1" operator="equal">
      <formula>"Napkin Hs"</formula>
    </cfRule>
  </conditionalFormatting>
  <conditionalFormatting sqref="C92">
    <cfRule type="cellIs" dxfId="19111" priority="4435" stopIfTrue="1" operator="equal">
      <formula>"Towel"</formula>
    </cfRule>
    <cfRule type="cellIs" dxfId="19110" priority="4436" stopIfTrue="1" operator="equal">
      <formula>"Napkin Hs"</formula>
    </cfRule>
  </conditionalFormatting>
  <conditionalFormatting sqref="C92">
    <cfRule type="cellIs" dxfId="19109" priority="4433" stopIfTrue="1" operator="equal">
      <formula>"Towel"</formula>
    </cfRule>
    <cfRule type="cellIs" dxfId="19108" priority="4434" stopIfTrue="1" operator="equal">
      <formula>"Napkin Hs"</formula>
    </cfRule>
  </conditionalFormatting>
  <conditionalFormatting sqref="C92">
    <cfRule type="cellIs" dxfId="19107" priority="4431" stopIfTrue="1" operator="equal">
      <formula>"Towel"</formula>
    </cfRule>
    <cfRule type="cellIs" dxfId="19106" priority="4432" stopIfTrue="1" operator="equal">
      <formula>"Napkin Hs"</formula>
    </cfRule>
  </conditionalFormatting>
  <conditionalFormatting sqref="C92">
    <cfRule type="cellIs" dxfId="19105" priority="4429" stopIfTrue="1" operator="equal">
      <formula>"Towel"</formula>
    </cfRule>
    <cfRule type="cellIs" dxfId="19104" priority="4430" stopIfTrue="1" operator="equal">
      <formula>"Napkin Hs"</formula>
    </cfRule>
  </conditionalFormatting>
  <conditionalFormatting sqref="C92">
    <cfRule type="cellIs" dxfId="19103" priority="4427" stopIfTrue="1" operator="equal">
      <formula>"Towel"</formula>
    </cfRule>
    <cfRule type="cellIs" dxfId="19102" priority="4428" stopIfTrue="1" operator="equal">
      <formula>"Napkin Hs"</formula>
    </cfRule>
  </conditionalFormatting>
  <conditionalFormatting sqref="C92">
    <cfRule type="cellIs" dxfId="19101" priority="4425" stopIfTrue="1" operator="equal">
      <formula>"Towel"</formula>
    </cfRule>
    <cfRule type="cellIs" dxfId="19100" priority="4426" stopIfTrue="1" operator="equal">
      <formula>"Napkin Hs"</formula>
    </cfRule>
  </conditionalFormatting>
  <conditionalFormatting sqref="C92">
    <cfRule type="cellIs" dxfId="19099" priority="4423" stopIfTrue="1" operator="equal">
      <formula>"Towel"</formula>
    </cfRule>
    <cfRule type="cellIs" dxfId="19098" priority="4424" stopIfTrue="1" operator="equal">
      <formula>"Napkin Hs"</formula>
    </cfRule>
  </conditionalFormatting>
  <conditionalFormatting sqref="C92">
    <cfRule type="cellIs" dxfId="19097" priority="4421" stopIfTrue="1" operator="equal">
      <formula>"Towel"</formula>
    </cfRule>
    <cfRule type="cellIs" dxfId="19096" priority="4422" stopIfTrue="1" operator="equal">
      <formula>"Napkin Hs"</formula>
    </cfRule>
  </conditionalFormatting>
  <conditionalFormatting sqref="C92">
    <cfRule type="cellIs" dxfId="19095" priority="4419" stopIfTrue="1" operator="equal">
      <formula>"Towel"</formula>
    </cfRule>
    <cfRule type="cellIs" dxfId="19094" priority="4420" stopIfTrue="1" operator="equal">
      <formula>"Napkin Hs"</formula>
    </cfRule>
  </conditionalFormatting>
  <conditionalFormatting sqref="C92">
    <cfRule type="cellIs" dxfId="19093" priority="4413" stopIfTrue="1" operator="equal">
      <formula>"Towel"</formula>
    </cfRule>
    <cfRule type="cellIs" dxfId="19092" priority="4414" stopIfTrue="1" operator="equal">
      <formula>"Napkin Hs"</formula>
    </cfRule>
  </conditionalFormatting>
  <conditionalFormatting sqref="C92">
    <cfRule type="cellIs" dxfId="19091" priority="4407" stopIfTrue="1" operator="equal">
      <formula>"Towel"</formula>
    </cfRule>
    <cfRule type="cellIs" dxfId="19090" priority="4408" stopIfTrue="1" operator="equal">
      <formula>"Napkin Hs"</formula>
    </cfRule>
  </conditionalFormatting>
  <conditionalFormatting sqref="C92">
    <cfRule type="cellIs" dxfId="19089" priority="4401" stopIfTrue="1" operator="equal">
      <formula>"Towel"</formula>
    </cfRule>
    <cfRule type="cellIs" dxfId="19088" priority="4402" stopIfTrue="1" operator="equal">
      <formula>"Napkin Hs"</formula>
    </cfRule>
  </conditionalFormatting>
  <conditionalFormatting sqref="C92">
    <cfRule type="cellIs" dxfId="19087" priority="4400" stopIfTrue="1" operator="equal">
      <formula>"Napkin Hs"</formula>
    </cfRule>
  </conditionalFormatting>
  <conditionalFormatting sqref="C92">
    <cfRule type="cellIs" dxfId="19086" priority="4399" stopIfTrue="1" operator="equal">
      <formula>"Towel"</formula>
    </cfRule>
  </conditionalFormatting>
  <conditionalFormatting sqref="C92">
    <cfRule type="cellIs" dxfId="19085" priority="4398" stopIfTrue="1" operator="equal">
      <formula>"Napkin Hs"</formula>
    </cfRule>
  </conditionalFormatting>
  <conditionalFormatting sqref="C92">
    <cfRule type="cellIs" dxfId="19084" priority="4397" stopIfTrue="1" operator="equal">
      <formula>"Towel"</formula>
    </cfRule>
  </conditionalFormatting>
  <conditionalFormatting sqref="C92">
    <cfRule type="cellIs" dxfId="19083" priority="4395" stopIfTrue="1" operator="equal">
      <formula>"Towel"</formula>
    </cfRule>
    <cfRule type="cellIs" dxfId="19082" priority="4396" stopIfTrue="1" operator="equal">
      <formula>"Napkin Hs"</formula>
    </cfRule>
  </conditionalFormatting>
  <conditionalFormatting sqref="C92">
    <cfRule type="cellIs" dxfId="19081" priority="4393" stopIfTrue="1" operator="equal">
      <formula>"Towel"</formula>
    </cfRule>
    <cfRule type="cellIs" dxfId="19080" priority="4394" stopIfTrue="1" operator="equal">
      <formula>"Napkin Hs"</formula>
    </cfRule>
  </conditionalFormatting>
  <conditionalFormatting sqref="C92">
    <cfRule type="cellIs" dxfId="19079" priority="4391" stopIfTrue="1" operator="equal">
      <formula>"Towel"</formula>
    </cfRule>
    <cfRule type="cellIs" dxfId="19078" priority="4392" stopIfTrue="1" operator="equal">
      <formula>"Napkin Hs"</formula>
    </cfRule>
  </conditionalFormatting>
  <conditionalFormatting sqref="C92">
    <cfRule type="cellIs" dxfId="19077" priority="4381" stopIfTrue="1" operator="equal">
      <formula>"Towel"</formula>
    </cfRule>
    <cfRule type="cellIs" dxfId="19076" priority="4382" stopIfTrue="1" operator="equal">
      <formula>"Napkin Hs"</formula>
    </cfRule>
  </conditionalFormatting>
  <conditionalFormatting sqref="C92">
    <cfRule type="cellIs" dxfId="19075" priority="4379" stopIfTrue="1" operator="equal">
      <formula>"Towel"</formula>
    </cfRule>
    <cfRule type="cellIs" dxfId="19074" priority="4380" stopIfTrue="1" operator="equal">
      <formula>"Napkin Hs"</formula>
    </cfRule>
  </conditionalFormatting>
  <conditionalFormatting sqref="C92">
    <cfRule type="cellIs" dxfId="19073" priority="4377" stopIfTrue="1" operator="equal">
      <formula>"Towel"</formula>
    </cfRule>
    <cfRule type="cellIs" dxfId="19072" priority="4378" stopIfTrue="1" operator="equal">
      <formula>"Napkin Hs"</formula>
    </cfRule>
  </conditionalFormatting>
  <conditionalFormatting sqref="C92">
    <cfRule type="cellIs" dxfId="19071" priority="4375" stopIfTrue="1" operator="equal">
      <formula>"Towel"</formula>
    </cfRule>
    <cfRule type="cellIs" dxfId="19070" priority="4376" stopIfTrue="1" operator="equal">
      <formula>"Napkin Hs"</formula>
    </cfRule>
  </conditionalFormatting>
  <conditionalFormatting sqref="C92">
    <cfRule type="cellIs" dxfId="19069" priority="4373" stopIfTrue="1" operator="equal">
      <formula>"Towel"</formula>
    </cfRule>
    <cfRule type="cellIs" dxfId="19068" priority="4374" stopIfTrue="1" operator="equal">
      <formula>"Napkin Hs"</formula>
    </cfRule>
  </conditionalFormatting>
  <conditionalFormatting sqref="C92">
    <cfRule type="cellIs" dxfId="19067" priority="4371" stopIfTrue="1" operator="equal">
      <formula>"Towel"</formula>
    </cfRule>
    <cfRule type="cellIs" dxfId="19066" priority="4372" stopIfTrue="1" operator="equal">
      <formula>"Napkin Hs"</formula>
    </cfRule>
  </conditionalFormatting>
  <conditionalFormatting sqref="C92">
    <cfRule type="cellIs" dxfId="19065" priority="4369" stopIfTrue="1" operator="equal">
      <formula>"Towel"</formula>
    </cfRule>
    <cfRule type="cellIs" dxfId="19064" priority="4370" stopIfTrue="1" operator="equal">
      <formula>"Napkin Hs"</formula>
    </cfRule>
  </conditionalFormatting>
  <conditionalFormatting sqref="C92">
    <cfRule type="cellIs" dxfId="19063" priority="4367" stopIfTrue="1" operator="equal">
      <formula>"Towel"</formula>
    </cfRule>
    <cfRule type="cellIs" dxfId="19062" priority="4368" stopIfTrue="1" operator="equal">
      <formula>"Napkin Hs"</formula>
    </cfRule>
  </conditionalFormatting>
  <conditionalFormatting sqref="C92">
    <cfRule type="cellIs" dxfId="19061" priority="4365" stopIfTrue="1" operator="equal">
      <formula>"Towel"</formula>
    </cfRule>
    <cfRule type="cellIs" dxfId="19060" priority="4366" stopIfTrue="1" operator="equal">
      <formula>"Napkin Hs"</formula>
    </cfRule>
  </conditionalFormatting>
  <conditionalFormatting sqref="C92">
    <cfRule type="cellIs" dxfId="19059" priority="4352" stopIfTrue="1" operator="equal">
      <formula>"Napkin Hs"</formula>
    </cfRule>
  </conditionalFormatting>
  <conditionalFormatting sqref="C92">
    <cfRule type="cellIs" dxfId="19058" priority="4351" stopIfTrue="1" operator="equal">
      <formula>"Towel"</formula>
    </cfRule>
  </conditionalFormatting>
  <conditionalFormatting sqref="C92">
    <cfRule type="cellIs" dxfId="19057" priority="4350" stopIfTrue="1" operator="equal">
      <formula>"Napkin Hs"</formula>
    </cfRule>
  </conditionalFormatting>
  <conditionalFormatting sqref="C92">
    <cfRule type="cellIs" dxfId="19056" priority="4347" stopIfTrue="1" operator="equal">
      <formula>"Towel"</formula>
    </cfRule>
    <cfRule type="cellIs" dxfId="19055" priority="4348" stopIfTrue="1" operator="equal">
      <formula>"Napkin Hs"</formula>
    </cfRule>
  </conditionalFormatting>
  <conditionalFormatting sqref="C92">
    <cfRule type="cellIs" dxfId="19054" priority="4349" stopIfTrue="1" operator="equal">
      <formula>"Towel"</formula>
    </cfRule>
  </conditionalFormatting>
  <conditionalFormatting sqref="C92">
    <cfRule type="cellIs" dxfId="19053" priority="4467" stopIfTrue="1" operator="equal">
      <formula>"Towel"</formula>
    </cfRule>
    <cfRule type="cellIs" dxfId="19052" priority="4468" stopIfTrue="1" operator="equal">
      <formula>"Napkin Hs"</formula>
    </cfRule>
  </conditionalFormatting>
  <conditionalFormatting sqref="C92">
    <cfRule type="cellIs" dxfId="19051" priority="4466" stopIfTrue="1" operator="equal">
      <formula>"Napkin Hs"</formula>
    </cfRule>
  </conditionalFormatting>
  <conditionalFormatting sqref="C92">
    <cfRule type="cellIs" dxfId="19050" priority="4465" stopIfTrue="1" operator="equal">
      <formula>"Towel"</formula>
    </cfRule>
  </conditionalFormatting>
  <conditionalFormatting sqref="C92">
    <cfRule type="cellIs" dxfId="19049" priority="4464" stopIfTrue="1" operator="equal">
      <formula>"Napkin Hs"</formula>
    </cfRule>
  </conditionalFormatting>
  <conditionalFormatting sqref="C92">
    <cfRule type="cellIs" dxfId="19048" priority="4461" stopIfTrue="1" operator="equal">
      <formula>"Towel"</formula>
    </cfRule>
    <cfRule type="cellIs" dxfId="19047" priority="4462" stopIfTrue="1" operator="equal">
      <formula>"Napkin Hs"</formula>
    </cfRule>
  </conditionalFormatting>
  <conditionalFormatting sqref="C92">
    <cfRule type="cellIs" dxfId="19046" priority="4463" stopIfTrue="1" operator="equal">
      <formula>"Towel"</formula>
    </cfRule>
  </conditionalFormatting>
  <conditionalFormatting sqref="C92">
    <cfRule type="cellIs" dxfId="19045" priority="4471" stopIfTrue="1" operator="equal">
      <formula>"Towel"</formula>
    </cfRule>
    <cfRule type="cellIs" dxfId="19044" priority="4472" stopIfTrue="1" operator="equal">
      <formula>"Napkin Hs"</formula>
    </cfRule>
  </conditionalFormatting>
  <conditionalFormatting sqref="C92">
    <cfRule type="cellIs" dxfId="19043" priority="4469" stopIfTrue="1" operator="equal">
      <formula>"Towel"</formula>
    </cfRule>
    <cfRule type="cellIs" dxfId="19042" priority="4470" stopIfTrue="1" operator="equal">
      <formula>"Napkin Hs"</formula>
    </cfRule>
  </conditionalFormatting>
  <conditionalFormatting sqref="C92">
    <cfRule type="cellIs" dxfId="19041" priority="4441" stopIfTrue="1" operator="equal">
      <formula>"Towel"</formula>
    </cfRule>
    <cfRule type="cellIs" dxfId="19040" priority="4442" stopIfTrue="1" operator="equal">
      <formula>"Napkin Hs"</formula>
    </cfRule>
  </conditionalFormatting>
  <conditionalFormatting sqref="C92">
    <cfRule type="cellIs" dxfId="19039" priority="4439" stopIfTrue="1" operator="equal">
      <formula>"Towel"</formula>
    </cfRule>
    <cfRule type="cellIs" dxfId="19038" priority="4440" stopIfTrue="1" operator="equal">
      <formula>"Napkin Hs"</formula>
    </cfRule>
  </conditionalFormatting>
  <conditionalFormatting sqref="C92">
    <cfRule type="cellIs" dxfId="19037" priority="4418" stopIfTrue="1" operator="equal">
      <formula>"Napkin Hs"</formula>
    </cfRule>
  </conditionalFormatting>
  <conditionalFormatting sqref="C92">
    <cfRule type="cellIs" dxfId="19036" priority="4417" stopIfTrue="1" operator="equal">
      <formula>"Towel"</formula>
    </cfRule>
  </conditionalFormatting>
  <conditionalFormatting sqref="C92">
    <cfRule type="cellIs" dxfId="19035" priority="4416" stopIfTrue="1" operator="equal">
      <formula>"Napkin Hs"</formula>
    </cfRule>
  </conditionalFormatting>
  <conditionalFormatting sqref="C92">
    <cfRule type="cellIs" dxfId="19034" priority="4415" stopIfTrue="1" operator="equal">
      <formula>"Towel"</formula>
    </cfRule>
  </conditionalFormatting>
  <conditionalFormatting sqref="C92">
    <cfRule type="cellIs" dxfId="19033" priority="4412" stopIfTrue="1" operator="equal">
      <formula>"Napkin Hs"</formula>
    </cfRule>
  </conditionalFormatting>
  <conditionalFormatting sqref="C92">
    <cfRule type="cellIs" dxfId="19032" priority="4411" stopIfTrue="1" operator="equal">
      <formula>"Towel"</formula>
    </cfRule>
  </conditionalFormatting>
  <conditionalFormatting sqref="C92">
    <cfRule type="cellIs" dxfId="19031" priority="4410" stopIfTrue="1" operator="equal">
      <formula>"Napkin Hs"</formula>
    </cfRule>
  </conditionalFormatting>
  <conditionalFormatting sqref="C92">
    <cfRule type="cellIs" dxfId="19030" priority="4409" stopIfTrue="1" operator="equal">
      <formula>"Towel"</formula>
    </cfRule>
  </conditionalFormatting>
  <conditionalFormatting sqref="C92">
    <cfRule type="cellIs" dxfId="19029" priority="4405" stopIfTrue="1" operator="equal">
      <formula>"Towel"</formula>
    </cfRule>
    <cfRule type="cellIs" dxfId="19028" priority="4406" stopIfTrue="1" operator="equal">
      <formula>"Napkin Hs"</formula>
    </cfRule>
  </conditionalFormatting>
  <conditionalFormatting sqref="C92">
    <cfRule type="cellIs" dxfId="19027" priority="4403" stopIfTrue="1" operator="equal">
      <formula>"Towel"</formula>
    </cfRule>
    <cfRule type="cellIs" dxfId="19026" priority="4404" stopIfTrue="1" operator="equal">
      <formula>"Napkin Hs"</formula>
    </cfRule>
  </conditionalFormatting>
  <conditionalFormatting sqref="C92">
    <cfRule type="cellIs" dxfId="19025" priority="4387" stopIfTrue="1" operator="equal">
      <formula>"Towel"</formula>
    </cfRule>
    <cfRule type="cellIs" dxfId="19024" priority="4388" stopIfTrue="1" operator="equal">
      <formula>"Napkin Hs"</formula>
    </cfRule>
  </conditionalFormatting>
  <conditionalFormatting sqref="C92">
    <cfRule type="cellIs" dxfId="19023" priority="4385" stopIfTrue="1" operator="equal">
      <formula>"Towel"</formula>
    </cfRule>
    <cfRule type="cellIs" dxfId="19022" priority="4386" stopIfTrue="1" operator="equal">
      <formula>"Napkin Hs"</formula>
    </cfRule>
  </conditionalFormatting>
  <conditionalFormatting sqref="B92:C92">
    <cfRule type="cellIs" dxfId="19021" priority="4346" stopIfTrue="1" operator="equal">
      <formula>"Napkin Hs"</formula>
    </cfRule>
  </conditionalFormatting>
  <conditionalFormatting sqref="B92:C92">
    <cfRule type="cellIs" dxfId="19020" priority="4345" stopIfTrue="1" operator="equal">
      <formula>"Towel"</formula>
    </cfRule>
  </conditionalFormatting>
  <conditionalFormatting sqref="C92">
    <cfRule type="cellIs" dxfId="19019" priority="4344" stopIfTrue="1" operator="equal">
      <formula>"Napkin Hs"</formula>
    </cfRule>
  </conditionalFormatting>
  <conditionalFormatting sqref="C92">
    <cfRule type="cellIs" dxfId="19018" priority="4341" stopIfTrue="1" operator="equal">
      <formula>"Towel"</formula>
    </cfRule>
    <cfRule type="cellIs" dxfId="19017" priority="4342" stopIfTrue="1" operator="equal">
      <formula>"Napkin Hs"</formula>
    </cfRule>
  </conditionalFormatting>
  <conditionalFormatting sqref="C92">
    <cfRule type="cellIs" dxfId="19016" priority="4343" stopIfTrue="1" operator="equal">
      <formula>"Towel"</formula>
    </cfRule>
  </conditionalFormatting>
  <conditionalFormatting sqref="B91:C91">
    <cfRule type="cellIs" dxfId="19015" priority="3907" stopIfTrue="1" operator="equal">
      <formula>"Towel"</formula>
    </cfRule>
    <cfRule type="cellIs" dxfId="19014" priority="3908" stopIfTrue="1" operator="equal">
      <formula>"Napkin Hs"</formula>
    </cfRule>
  </conditionalFormatting>
  <conditionalFormatting sqref="C91">
    <cfRule type="cellIs" dxfId="19013" priority="3905" stopIfTrue="1" operator="equal">
      <formula>"Towel"</formula>
    </cfRule>
    <cfRule type="cellIs" dxfId="19012" priority="3906" stopIfTrue="1" operator="equal">
      <formula>"Napkin Hs"</formula>
    </cfRule>
  </conditionalFormatting>
  <conditionalFormatting sqref="C91">
    <cfRule type="cellIs" dxfId="19011" priority="3903" stopIfTrue="1" operator="equal">
      <formula>"Towel"</formula>
    </cfRule>
    <cfRule type="cellIs" dxfId="19010" priority="3904" stopIfTrue="1" operator="equal">
      <formula>"Napkin Hs"</formula>
    </cfRule>
  </conditionalFormatting>
  <conditionalFormatting sqref="B91:C91">
    <cfRule type="cellIs" dxfId="19009" priority="3901" stopIfTrue="1" operator="equal">
      <formula>"Towel"</formula>
    </cfRule>
    <cfRule type="cellIs" dxfId="19008" priority="3902" stopIfTrue="1" operator="equal">
      <formula>"Napkin Hs"</formula>
    </cfRule>
  </conditionalFormatting>
  <conditionalFormatting sqref="C91">
    <cfRule type="cellIs" dxfId="19007" priority="3897" stopIfTrue="1" operator="equal">
      <formula>"Towel"</formula>
    </cfRule>
    <cfRule type="cellIs" dxfId="19006" priority="3898" stopIfTrue="1" operator="equal">
      <formula>"Napkin Hs"</formula>
    </cfRule>
  </conditionalFormatting>
  <conditionalFormatting sqref="C91">
    <cfRule type="cellIs" dxfId="19005" priority="3899" stopIfTrue="1" operator="equal">
      <formula>"Towel"</formula>
    </cfRule>
    <cfRule type="cellIs" dxfId="19004" priority="3900" stopIfTrue="1" operator="equal">
      <formula>"Napkin Hs"</formula>
    </cfRule>
  </conditionalFormatting>
  <conditionalFormatting sqref="B91:C91">
    <cfRule type="cellIs" dxfId="19003" priority="3895" stopIfTrue="1" operator="equal">
      <formula>"Towel"</formula>
    </cfRule>
    <cfRule type="cellIs" dxfId="19002" priority="3896" stopIfTrue="1" operator="equal">
      <formula>"Napkin Hs"</formula>
    </cfRule>
  </conditionalFormatting>
  <conditionalFormatting sqref="C91">
    <cfRule type="cellIs" dxfId="19001" priority="3891" stopIfTrue="1" operator="equal">
      <formula>"Towel"</formula>
    </cfRule>
    <cfRule type="cellIs" dxfId="19000" priority="3892" stopIfTrue="1" operator="equal">
      <formula>"Napkin Hs"</formula>
    </cfRule>
  </conditionalFormatting>
  <conditionalFormatting sqref="C91">
    <cfRule type="cellIs" dxfId="18999" priority="3893" stopIfTrue="1" operator="equal">
      <formula>"Towel"</formula>
    </cfRule>
    <cfRule type="cellIs" dxfId="18998" priority="3894" stopIfTrue="1" operator="equal">
      <formula>"Napkin Hs"</formula>
    </cfRule>
  </conditionalFormatting>
  <conditionalFormatting sqref="B91:C91">
    <cfRule type="cellIs" dxfId="18997" priority="3889" stopIfTrue="1" operator="equal">
      <formula>"Towel"</formula>
    </cfRule>
    <cfRule type="cellIs" dxfId="18996" priority="3890" stopIfTrue="1" operator="equal">
      <formula>"Napkin Hs"</formula>
    </cfRule>
  </conditionalFormatting>
  <conditionalFormatting sqref="C91">
    <cfRule type="cellIs" dxfId="18995" priority="3887" stopIfTrue="1" operator="equal">
      <formula>"Towel"</formula>
    </cfRule>
    <cfRule type="cellIs" dxfId="18994" priority="3888" stopIfTrue="1" operator="equal">
      <formula>"Napkin Hs"</formula>
    </cfRule>
  </conditionalFormatting>
  <conditionalFormatting sqref="C91">
    <cfRule type="cellIs" dxfId="18993" priority="3885" stopIfTrue="1" operator="equal">
      <formula>"Towel"</formula>
    </cfRule>
    <cfRule type="cellIs" dxfId="18992" priority="3886" stopIfTrue="1" operator="equal">
      <formula>"Napkin Hs"</formula>
    </cfRule>
  </conditionalFormatting>
  <conditionalFormatting sqref="B91:C91">
    <cfRule type="cellIs" dxfId="18991" priority="3883" stopIfTrue="1" operator="equal">
      <formula>"Towel"</formula>
    </cfRule>
    <cfRule type="cellIs" dxfId="18990" priority="3884" stopIfTrue="1" operator="equal">
      <formula>"Napkin Hs"</formula>
    </cfRule>
  </conditionalFormatting>
  <conditionalFormatting sqref="C91">
    <cfRule type="cellIs" dxfId="18989" priority="3881" stopIfTrue="1" operator="equal">
      <formula>"Towel"</formula>
    </cfRule>
    <cfRule type="cellIs" dxfId="18988" priority="3882" stopIfTrue="1" operator="equal">
      <formula>"Napkin Hs"</formula>
    </cfRule>
  </conditionalFormatting>
  <conditionalFormatting sqref="C91">
    <cfRule type="cellIs" dxfId="18987" priority="3879" stopIfTrue="1" operator="equal">
      <formula>"Towel"</formula>
    </cfRule>
    <cfRule type="cellIs" dxfId="18986" priority="3880" stopIfTrue="1" operator="equal">
      <formula>"Napkin Hs"</formula>
    </cfRule>
  </conditionalFormatting>
  <conditionalFormatting sqref="B91:C91">
    <cfRule type="cellIs" dxfId="18985" priority="3877" stopIfTrue="1" operator="equal">
      <formula>"Towel"</formula>
    </cfRule>
    <cfRule type="cellIs" dxfId="18984" priority="3878" stopIfTrue="1" operator="equal">
      <formula>"Napkin Hs"</formula>
    </cfRule>
  </conditionalFormatting>
  <conditionalFormatting sqref="C91">
    <cfRule type="cellIs" dxfId="18983" priority="3875" stopIfTrue="1" operator="equal">
      <formula>"Towel"</formula>
    </cfRule>
    <cfRule type="cellIs" dxfId="18982" priority="3876" stopIfTrue="1" operator="equal">
      <formula>"Napkin Hs"</formula>
    </cfRule>
  </conditionalFormatting>
  <conditionalFormatting sqref="C91">
    <cfRule type="cellIs" dxfId="18981" priority="3873" stopIfTrue="1" operator="equal">
      <formula>"Towel"</formula>
    </cfRule>
    <cfRule type="cellIs" dxfId="18980" priority="3874" stopIfTrue="1" operator="equal">
      <formula>"Napkin Hs"</formula>
    </cfRule>
  </conditionalFormatting>
  <conditionalFormatting sqref="B91:C91">
    <cfRule type="cellIs" dxfId="18979" priority="3872" stopIfTrue="1" operator="equal">
      <formula>"Napkin Hs"</formula>
    </cfRule>
  </conditionalFormatting>
  <conditionalFormatting sqref="B91:C91">
    <cfRule type="cellIs" dxfId="18978" priority="3871" stopIfTrue="1" operator="equal">
      <formula>"Towel"</formula>
    </cfRule>
  </conditionalFormatting>
  <conditionalFormatting sqref="C91">
    <cfRule type="cellIs" dxfId="18977" priority="3870" stopIfTrue="1" operator="equal">
      <formula>"Napkin Hs"</formula>
    </cfRule>
  </conditionalFormatting>
  <conditionalFormatting sqref="C91">
    <cfRule type="cellIs" dxfId="18976" priority="3867" stopIfTrue="1" operator="equal">
      <formula>"Towel"</formula>
    </cfRule>
    <cfRule type="cellIs" dxfId="18975" priority="3868" stopIfTrue="1" operator="equal">
      <formula>"Napkin Hs"</formula>
    </cfRule>
  </conditionalFormatting>
  <conditionalFormatting sqref="C91">
    <cfRule type="cellIs" dxfId="18974" priority="3869" stopIfTrue="1" operator="equal">
      <formula>"Towel"</formula>
    </cfRule>
  </conditionalFormatting>
  <conditionalFormatting sqref="C91">
    <cfRule type="cellIs" dxfId="18973" priority="3831" stopIfTrue="1" operator="equal">
      <formula>"Towel"</formula>
    </cfRule>
    <cfRule type="cellIs" dxfId="18972" priority="3832" stopIfTrue="1" operator="equal">
      <formula>"Napkin Hs"</formula>
    </cfRule>
  </conditionalFormatting>
  <conditionalFormatting sqref="B91:C91">
    <cfRule type="cellIs" dxfId="18971" priority="3829" stopIfTrue="1" operator="equal">
      <formula>"Towel"</formula>
    </cfRule>
    <cfRule type="cellIs" dxfId="18970" priority="3830" stopIfTrue="1" operator="equal">
      <formula>"Napkin Hs"</formula>
    </cfRule>
  </conditionalFormatting>
  <conditionalFormatting sqref="C91">
    <cfRule type="cellIs" dxfId="18969" priority="3827" stopIfTrue="1" operator="equal">
      <formula>"Towel"</formula>
    </cfRule>
    <cfRule type="cellIs" dxfId="18968" priority="3828" stopIfTrue="1" operator="equal">
      <formula>"Napkin Hs"</formula>
    </cfRule>
  </conditionalFormatting>
  <conditionalFormatting sqref="C91">
    <cfRule type="cellIs" dxfId="18967" priority="3819" stopIfTrue="1" operator="equal">
      <formula>"Towel"</formula>
    </cfRule>
    <cfRule type="cellIs" dxfId="18966" priority="3820" stopIfTrue="1" operator="equal">
      <formula>"Napkin Hs"</formula>
    </cfRule>
  </conditionalFormatting>
  <conditionalFormatting sqref="B91:C91">
    <cfRule type="cellIs" dxfId="18965" priority="3865" stopIfTrue="1" operator="equal">
      <formula>"Towel"</formula>
    </cfRule>
    <cfRule type="cellIs" dxfId="18964" priority="3866" stopIfTrue="1" operator="equal">
      <formula>"Napkin Hs"</formula>
    </cfRule>
  </conditionalFormatting>
  <conditionalFormatting sqref="C91">
    <cfRule type="cellIs" dxfId="18963" priority="3861" stopIfTrue="1" operator="equal">
      <formula>"Towel"</formula>
    </cfRule>
    <cfRule type="cellIs" dxfId="18962" priority="3862" stopIfTrue="1" operator="equal">
      <formula>"Napkin Hs"</formula>
    </cfRule>
  </conditionalFormatting>
  <conditionalFormatting sqref="C91">
    <cfRule type="cellIs" dxfId="18961" priority="3863" stopIfTrue="1" operator="equal">
      <formula>"Towel"</formula>
    </cfRule>
    <cfRule type="cellIs" dxfId="18960" priority="3864" stopIfTrue="1" operator="equal">
      <formula>"Napkin Hs"</formula>
    </cfRule>
  </conditionalFormatting>
  <conditionalFormatting sqref="B91:C91">
    <cfRule type="cellIs" dxfId="18959" priority="3860" stopIfTrue="1" operator="equal">
      <formula>"Napkin Hs"</formula>
    </cfRule>
  </conditionalFormatting>
  <conditionalFormatting sqref="B91:C91">
    <cfRule type="cellIs" dxfId="18958" priority="3859" stopIfTrue="1" operator="equal">
      <formula>"Towel"</formula>
    </cfRule>
  </conditionalFormatting>
  <conditionalFormatting sqref="C91">
    <cfRule type="cellIs" dxfId="18957" priority="3858" stopIfTrue="1" operator="equal">
      <formula>"Napkin Hs"</formula>
    </cfRule>
  </conditionalFormatting>
  <conditionalFormatting sqref="C91">
    <cfRule type="cellIs" dxfId="18956" priority="3857" stopIfTrue="1" operator="equal">
      <formula>"Towel"</formula>
    </cfRule>
  </conditionalFormatting>
  <conditionalFormatting sqref="C91">
    <cfRule type="cellIs" dxfId="18955" priority="3855" stopIfTrue="1" operator="equal">
      <formula>"Towel"</formula>
    </cfRule>
    <cfRule type="cellIs" dxfId="18954" priority="3856" stopIfTrue="1" operator="equal">
      <formula>"Napkin Hs"</formula>
    </cfRule>
  </conditionalFormatting>
  <conditionalFormatting sqref="B91:C91">
    <cfRule type="cellIs" dxfId="18953" priority="3853" stopIfTrue="1" operator="equal">
      <formula>"Towel"</formula>
    </cfRule>
    <cfRule type="cellIs" dxfId="18952" priority="3854" stopIfTrue="1" operator="equal">
      <formula>"Napkin Hs"</formula>
    </cfRule>
  </conditionalFormatting>
  <conditionalFormatting sqref="C91">
    <cfRule type="cellIs" dxfId="18951" priority="3851" stopIfTrue="1" operator="equal">
      <formula>"Towel"</formula>
    </cfRule>
    <cfRule type="cellIs" dxfId="18950" priority="3852" stopIfTrue="1" operator="equal">
      <formula>"Napkin Hs"</formula>
    </cfRule>
  </conditionalFormatting>
  <conditionalFormatting sqref="C91">
    <cfRule type="cellIs" dxfId="18949" priority="3849" stopIfTrue="1" operator="equal">
      <formula>"Towel"</formula>
    </cfRule>
    <cfRule type="cellIs" dxfId="18948" priority="3850" stopIfTrue="1" operator="equal">
      <formula>"Napkin Hs"</formula>
    </cfRule>
  </conditionalFormatting>
  <conditionalFormatting sqref="B91:C91">
    <cfRule type="cellIs" dxfId="18947" priority="3847" stopIfTrue="1" operator="equal">
      <formula>"Towel"</formula>
    </cfRule>
    <cfRule type="cellIs" dxfId="18946" priority="3848" stopIfTrue="1" operator="equal">
      <formula>"Napkin Hs"</formula>
    </cfRule>
  </conditionalFormatting>
  <conditionalFormatting sqref="C91">
    <cfRule type="cellIs" dxfId="18945" priority="3845" stopIfTrue="1" operator="equal">
      <formula>"Towel"</formula>
    </cfRule>
    <cfRule type="cellIs" dxfId="18944" priority="3846" stopIfTrue="1" operator="equal">
      <formula>"Napkin Hs"</formula>
    </cfRule>
  </conditionalFormatting>
  <conditionalFormatting sqref="C91">
    <cfRule type="cellIs" dxfId="18943" priority="3843" stopIfTrue="1" operator="equal">
      <formula>"Towel"</formula>
    </cfRule>
    <cfRule type="cellIs" dxfId="18942" priority="3844" stopIfTrue="1" operator="equal">
      <formula>"Napkin Hs"</formula>
    </cfRule>
  </conditionalFormatting>
  <conditionalFormatting sqref="B91:C91">
    <cfRule type="cellIs" dxfId="18941" priority="3841" stopIfTrue="1" operator="equal">
      <formula>"Towel"</formula>
    </cfRule>
    <cfRule type="cellIs" dxfId="18940" priority="3842" stopIfTrue="1" operator="equal">
      <formula>"Napkin Hs"</formula>
    </cfRule>
  </conditionalFormatting>
  <conditionalFormatting sqref="C91">
    <cfRule type="cellIs" dxfId="18939" priority="3839" stopIfTrue="1" operator="equal">
      <formula>"Towel"</formula>
    </cfRule>
    <cfRule type="cellIs" dxfId="18938" priority="3840" stopIfTrue="1" operator="equal">
      <formula>"Napkin Hs"</formula>
    </cfRule>
  </conditionalFormatting>
  <conditionalFormatting sqref="C91">
    <cfRule type="cellIs" dxfId="18937" priority="3837" stopIfTrue="1" operator="equal">
      <formula>"Towel"</formula>
    </cfRule>
    <cfRule type="cellIs" dxfId="18936" priority="3838" stopIfTrue="1" operator="equal">
      <formula>"Napkin Hs"</formula>
    </cfRule>
  </conditionalFormatting>
  <conditionalFormatting sqref="B91:C91">
    <cfRule type="cellIs" dxfId="18935" priority="3835" stopIfTrue="1" operator="equal">
      <formula>"Towel"</formula>
    </cfRule>
    <cfRule type="cellIs" dxfId="18934" priority="3836" stopIfTrue="1" operator="equal">
      <formula>"Napkin Hs"</formula>
    </cfRule>
  </conditionalFormatting>
  <conditionalFormatting sqref="C91">
    <cfRule type="cellIs" dxfId="18933" priority="3833" stopIfTrue="1" operator="equal">
      <formula>"Towel"</formula>
    </cfRule>
    <cfRule type="cellIs" dxfId="18932" priority="3834" stopIfTrue="1" operator="equal">
      <formula>"Napkin Hs"</formula>
    </cfRule>
  </conditionalFormatting>
  <conditionalFormatting sqref="C91">
    <cfRule type="cellIs" dxfId="18931" priority="3825" stopIfTrue="1" operator="equal">
      <formula>"Towel"</formula>
    </cfRule>
    <cfRule type="cellIs" dxfId="18930" priority="3826" stopIfTrue="1" operator="equal">
      <formula>"Napkin Hs"</formula>
    </cfRule>
  </conditionalFormatting>
  <conditionalFormatting sqref="B91:C91">
    <cfRule type="cellIs" dxfId="18929" priority="3824" stopIfTrue="1" operator="equal">
      <formula>"Napkin Hs"</formula>
    </cfRule>
  </conditionalFormatting>
  <conditionalFormatting sqref="B91:C91">
    <cfRule type="cellIs" dxfId="18928" priority="3823" stopIfTrue="1" operator="equal">
      <formula>"Towel"</formula>
    </cfRule>
  </conditionalFormatting>
  <conditionalFormatting sqref="C91">
    <cfRule type="cellIs" dxfId="18927" priority="3822" stopIfTrue="1" operator="equal">
      <formula>"Napkin Hs"</formula>
    </cfRule>
  </conditionalFormatting>
  <conditionalFormatting sqref="C91">
    <cfRule type="cellIs" dxfId="18926" priority="3821" stopIfTrue="1" operator="equal">
      <formula>"Towel"</formula>
    </cfRule>
  </conditionalFormatting>
  <conditionalFormatting sqref="B91:C91">
    <cfRule type="cellIs" dxfId="18925" priority="3817" stopIfTrue="1" operator="equal">
      <formula>"Towel"</formula>
    </cfRule>
    <cfRule type="cellIs" dxfId="18924" priority="3818" stopIfTrue="1" operator="equal">
      <formula>"Napkin Hs"</formula>
    </cfRule>
  </conditionalFormatting>
  <conditionalFormatting sqref="C91">
    <cfRule type="cellIs" dxfId="18923" priority="3813" stopIfTrue="1" operator="equal">
      <formula>"Towel"</formula>
    </cfRule>
    <cfRule type="cellIs" dxfId="18922" priority="3814" stopIfTrue="1" operator="equal">
      <formula>"Napkin Hs"</formula>
    </cfRule>
  </conditionalFormatting>
  <conditionalFormatting sqref="C91">
    <cfRule type="cellIs" dxfId="18921" priority="3815" stopIfTrue="1" operator="equal">
      <formula>"Towel"</formula>
    </cfRule>
    <cfRule type="cellIs" dxfId="18920" priority="3816" stopIfTrue="1" operator="equal">
      <formula>"Napkin Hs"</formula>
    </cfRule>
  </conditionalFormatting>
  <conditionalFormatting sqref="B91:C91">
    <cfRule type="cellIs" dxfId="18919" priority="3811" stopIfTrue="1" operator="equal">
      <formula>"Towel"</formula>
    </cfRule>
    <cfRule type="cellIs" dxfId="18918" priority="3812" stopIfTrue="1" operator="equal">
      <formula>"Napkin Hs"</formula>
    </cfRule>
  </conditionalFormatting>
  <conditionalFormatting sqref="C91">
    <cfRule type="cellIs" dxfId="18917" priority="3807" stopIfTrue="1" operator="equal">
      <formula>"Towel"</formula>
    </cfRule>
    <cfRule type="cellIs" dxfId="18916" priority="3808" stopIfTrue="1" operator="equal">
      <formula>"Napkin Hs"</formula>
    </cfRule>
  </conditionalFormatting>
  <conditionalFormatting sqref="C91">
    <cfRule type="cellIs" dxfId="18915" priority="3809" stopIfTrue="1" operator="equal">
      <formula>"Towel"</formula>
    </cfRule>
    <cfRule type="cellIs" dxfId="18914" priority="3810" stopIfTrue="1" operator="equal">
      <formula>"Napkin Hs"</formula>
    </cfRule>
  </conditionalFormatting>
  <conditionalFormatting sqref="B91:C91">
    <cfRule type="cellIs" dxfId="18913" priority="3805" stopIfTrue="1" operator="equal">
      <formula>"Towel"</formula>
    </cfRule>
    <cfRule type="cellIs" dxfId="18912" priority="3806" stopIfTrue="1" operator="equal">
      <formula>"Napkin Hs"</formula>
    </cfRule>
  </conditionalFormatting>
  <conditionalFormatting sqref="C91">
    <cfRule type="cellIs" dxfId="18911" priority="3803" stopIfTrue="1" operator="equal">
      <formula>"Towel"</formula>
    </cfRule>
    <cfRule type="cellIs" dxfId="18910" priority="3804" stopIfTrue="1" operator="equal">
      <formula>"Napkin Hs"</formula>
    </cfRule>
  </conditionalFormatting>
  <conditionalFormatting sqref="C91">
    <cfRule type="cellIs" dxfId="18909" priority="3801" stopIfTrue="1" operator="equal">
      <formula>"Towel"</formula>
    </cfRule>
    <cfRule type="cellIs" dxfId="18908" priority="3802" stopIfTrue="1" operator="equal">
      <formula>"Napkin Hs"</formula>
    </cfRule>
  </conditionalFormatting>
  <conditionalFormatting sqref="B91:C91">
    <cfRule type="cellIs" dxfId="18907" priority="3799" stopIfTrue="1" operator="equal">
      <formula>"Towel"</formula>
    </cfRule>
    <cfRule type="cellIs" dxfId="18906" priority="3800" stopIfTrue="1" operator="equal">
      <formula>"Napkin Hs"</formula>
    </cfRule>
  </conditionalFormatting>
  <conditionalFormatting sqref="C91">
    <cfRule type="cellIs" dxfId="18905" priority="3797" stopIfTrue="1" operator="equal">
      <formula>"Towel"</formula>
    </cfRule>
    <cfRule type="cellIs" dxfId="18904" priority="3798" stopIfTrue="1" operator="equal">
      <formula>"Napkin Hs"</formula>
    </cfRule>
  </conditionalFormatting>
  <conditionalFormatting sqref="C91">
    <cfRule type="cellIs" dxfId="18903" priority="3795" stopIfTrue="1" operator="equal">
      <formula>"Towel"</formula>
    </cfRule>
    <cfRule type="cellIs" dxfId="18902" priority="3796" stopIfTrue="1" operator="equal">
      <formula>"Napkin Hs"</formula>
    </cfRule>
  </conditionalFormatting>
  <conditionalFormatting sqref="B91:C91">
    <cfRule type="cellIs" dxfId="18901" priority="3793" stopIfTrue="1" operator="equal">
      <formula>"Towel"</formula>
    </cfRule>
    <cfRule type="cellIs" dxfId="18900" priority="3794" stopIfTrue="1" operator="equal">
      <formula>"Napkin Hs"</formula>
    </cfRule>
  </conditionalFormatting>
  <conditionalFormatting sqref="C91">
    <cfRule type="cellIs" dxfId="18899" priority="3791" stopIfTrue="1" operator="equal">
      <formula>"Towel"</formula>
    </cfRule>
    <cfRule type="cellIs" dxfId="18898" priority="3792" stopIfTrue="1" operator="equal">
      <formula>"Napkin Hs"</formula>
    </cfRule>
  </conditionalFormatting>
  <conditionalFormatting sqref="C91">
    <cfRule type="cellIs" dxfId="18897" priority="3789" stopIfTrue="1" operator="equal">
      <formula>"Towel"</formula>
    </cfRule>
    <cfRule type="cellIs" dxfId="18896" priority="3790" stopIfTrue="1" operator="equal">
      <formula>"Napkin Hs"</formula>
    </cfRule>
  </conditionalFormatting>
  <conditionalFormatting sqref="B91:C91">
    <cfRule type="cellIs" dxfId="18895" priority="3788" stopIfTrue="1" operator="equal">
      <formula>"Napkin Hs"</formula>
    </cfRule>
  </conditionalFormatting>
  <conditionalFormatting sqref="B91:C91">
    <cfRule type="cellIs" dxfId="18894" priority="3787" stopIfTrue="1" operator="equal">
      <formula>"Towel"</formula>
    </cfRule>
  </conditionalFormatting>
  <conditionalFormatting sqref="C91">
    <cfRule type="cellIs" dxfId="18893" priority="3786" stopIfTrue="1" operator="equal">
      <formula>"Napkin Hs"</formula>
    </cfRule>
  </conditionalFormatting>
  <conditionalFormatting sqref="C91">
    <cfRule type="cellIs" dxfId="18892" priority="3783" stopIfTrue="1" operator="equal">
      <formula>"Towel"</formula>
    </cfRule>
    <cfRule type="cellIs" dxfId="18891" priority="3784" stopIfTrue="1" operator="equal">
      <formula>"Napkin Hs"</formula>
    </cfRule>
  </conditionalFormatting>
  <conditionalFormatting sqref="C91">
    <cfRule type="cellIs" dxfId="18890" priority="3785" stopIfTrue="1" operator="equal">
      <formula>"Towel"</formula>
    </cfRule>
  </conditionalFormatting>
  <conditionalFormatting sqref="B91:C91">
    <cfRule type="cellIs" dxfId="18889" priority="3781" stopIfTrue="1" operator="equal">
      <formula>"Towel"</formula>
    </cfRule>
    <cfRule type="cellIs" dxfId="18888" priority="3782" stopIfTrue="1" operator="equal">
      <formula>"Napkin Hs"</formula>
    </cfRule>
  </conditionalFormatting>
  <conditionalFormatting sqref="C91">
    <cfRule type="cellIs" dxfId="18887" priority="3777" stopIfTrue="1" operator="equal">
      <formula>"Towel"</formula>
    </cfRule>
    <cfRule type="cellIs" dxfId="18886" priority="3778" stopIfTrue="1" operator="equal">
      <formula>"Napkin Hs"</formula>
    </cfRule>
  </conditionalFormatting>
  <conditionalFormatting sqref="C91">
    <cfRule type="cellIs" dxfId="18885" priority="3779" stopIfTrue="1" operator="equal">
      <formula>"Towel"</formula>
    </cfRule>
    <cfRule type="cellIs" dxfId="18884" priority="3780" stopIfTrue="1" operator="equal">
      <formula>"Napkin Hs"</formula>
    </cfRule>
  </conditionalFormatting>
  <conditionalFormatting sqref="B91:C91">
    <cfRule type="cellIs" dxfId="18883" priority="3775" stopIfTrue="1" operator="equal">
      <formula>"Towel"</formula>
    </cfRule>
    <cfRule type="cellIs" dxfId="18882" priority="3776" stopIfTrue="1" operator="equal">
      <formula>"Napkin Hs"</formula>
    </cfRule>
  </conditionalFormatting>
  <conditionalFormatting sqref="C91">
    <cfRule type="cellIs" dxfId="18881" priority="3771" stopIfTrue="1" operator="equal">
      <formula>"Towel"</formula>
    </cfRule>
    <cfRule type="cellIs" dxfId="18880" priority="3772" stopIfTrue="1" operator="equal">
      <formula>"Napkin Hs"</formula>
    </cfRule>
  </conditionalFormatting>
  <conditionalFormatting sqref="C91">
    <cfRule type="cellIs" dxfId="18879" priority="3773" stopIfTrue="1" operator="equal">
      <formula>"Towel"</formula>
    </cfRule>
    <cfRule type="cellIs" dxfId="18878" priority="3774" stopIfTrue="1" operator="equal">
      <formula>"Napkin Hs"</formula>
    </cfRule>
  </conditionalFormatting>
  <conditionalFormatting sqref="B91:C91">
    <cfRule type="cellIs" dxfId="18877" priority="3769" stopIfTrue="1" operator="equal">
      <formula>"Towel"</formula>
    </cfRule>
    <cfRule type="cellIs" dxfId="18876" priority="3770" stopIfTrue="1" operator="equal">
      <formula>"Napkin Hs"</formula>
    </cfRule>
  </conditionalFormatting>
  <conditionalFormatting sqref="C91">
    <cfRule type="cellIs" dxfId="18875" priority="3767" stopIfTrue="1" operator="equal">
      <formula>"Towel"</formula>
    </cfRule>
    <cfRule type="cellIs" dxfId="18874" priority="3768" stopIfTrue="1" operator="equal">
      <formula>"Napkin Hs"</formula>
    </cfRule>
  </conditionalFormatting>
  <conditionalFormatting sqref="C91">
    <cfRule type="cellIs" dxfId="18873" priority="3765" stopIfTrue="1" operator="equal">
      <formula>"Towel"</formula>
    </cfRule>
    <cfRule type="cellIs" dxfId="18872" priority="3766" stopIfTrue="1" operator="equal">
      <formula>"Napkin Hs"</formula>
    </cfRule>
  </conditionalFormatting>
  <conditionalFormatting sqref="B91:C91">
    <cfRule type="cellIs" dxfId="18871" priority="3763" stopIfTrue="1" operator="equal">
      <formula>"Towel"</formula>
    </cfRule>
    <cfRule type="cellIs" dxfId="18870" priority="3764" stopIfTrue="1" operator="equal">
      <formula>"Napkin Hs"</formula>
    </cfRule>
  </conditionalFormatting>
  <conditionalFormatting sqref="C91">
    <cfRule type="cellIs" dxfId="18869" priority="3761" stopIfTrue="1" operator="equal">
      <formula>"Towel"</formula>
    </cfRule>
    <cfRule type="cellIs" dxfId="18868" priority="3762" stopIfTrue="1" operator="equal">
      <formula>"Napkin Hs"</formula>
    </cfRule>
  </conditionalFormatting>
  <conditionalFormatting sqref="C91">
    <cfRule type="cellIs" dxfId="18867" priority="3759" stopIfTrue="1" operator="equal">
      <formula>"Towel"</formula>
    </cfRule>
    <cfRule type="cellIs" dxfId="18866" priority="3760" stopIfTrue="1" operator="equal">
      <formula>"Napkin Hs"</formula>
    </cfRule>
  </conditionalFormatting>
  <conditionalFormatting sqref="B91:C91">
    <cfRule type="cellIs" dxfId="18865" priority="3757" stopIfTrue="1" operator="equal">
      <formula>"Towel"</formula>
    </cfRule>
    <cfRule type="cellIs" dxfId="18864" priority="3758" stopIfTrue="1" operator="equal">
      <formula>"Napkin Hs"</formula>
    </cfRule>
  </conditionalFormatting>
  <conditionalFormatting sqref="C91">
    <cfRule type="cellIs" dxfId="18863" priority="3755" stopIfTrue="1" operator="equal">
      <formula>"Towel"</formula>
    </cfRule>
    <cfRule type="cellIs" dxfId="18862" priority="3756" stopIfTrue="1" operator="equal">
      <formula>"Napkin Hs"</formula>
    </cfRule>
  </conditionalFormatting>
  <conditionalFormatting sqref="C91">
    <cfRule type="cellIs" dxfId="18861" priority="3753" stopIfTrue="1" operator="equal">
      <formula>"Towel"</formula>
    </cfRule>
    <cfRule type="cellIs" dxfId="18860" priority="3754" stopIfTrue="1" operator="equal">
      <formula>"Napkin Hs"</formula>
    </cfRule>
  </conditionalFormatting>
  <conditionalFormatting sqref="B91:C91">
    <cfRule type="cellIs" dxfId="18859" priority="3752" stopIfTrue="1" operator="equal">
      <formula>"Napkin Hs"</formula>
    </cfRule>
  </conditionalFormatting>
  <conditionalFormatting sqref="B91:C91">
    <cfRule type="cellIs" dxfId="18858" priority="3751" stopIfTrue="1" operator="equal">
      <formula>"Towel"</formula>
    </cfRule>
  </conditionalFormatting>
  <conditionalFormatting sqref="C91">
    <cfRule type="cellIs" dxfId="18857" priority="3750" stopIfTrue="1" operator="equal">
      <formula>"Napkin Hs"</formula>
    </cfRule>
  </conditionalFormatting>
  <conditionalFormatting sqref="C91">
    <cfRule type="cellIs" dxfId="18856" priority="3747" stopIfTrue="1" operator="equal">
      <formula>"Towel"</formula>
    </cfRule>
    <cfRule type="cellIs" dxfId="18855" priority="3748" stopIfTrue="1" operator="equal">
      <formula>"Napkin Hs"</formula>
    </cfRule>
  </conditionalFormatting>
  <conditionalFormatting sqref="C91">
    <cfRule type="cellIs" dxfId="18854" priority="3749" stopIfTrue="1" operator="equal">
      <formula>"Towel"</formula>
    </cfRule>
  </conditionalFormatting>
  <conditionalFormatting sqref="B91:C91">
    <cfRule type="cellIs" dxfId="18853" priority="3745" stopIfTrue="1" operator="equal">
      <formula>"Towel"</formula>
    </cfRule>
    <cfRule type="cellIs" dxfId="18852" priority="3746" stopIfTrue="1" operator="equal">
      <formula>"Napkin Hs"</formula>
    </cfRule>
  </conditionalFormatting>
  <conditionalFormatting sqref="C91">
    <cfRule type="cellIs" dxfId="18851" priority="3741" stopIfTrue="1" operator="equal">
      <formula>"Towel"</formula>
    </cfRule>
    <cfRule type="cellIs" dxfId="18850" priority="3742" stopIfTrue="1" operator="equal">
      <formula>"Napkin Hs"</formula>
    </cfRule>
  </conditionalFormatting>
  <conditionalFormatting sqref="C91">
    <cfRule type="cellIs" dxfId="18849" priority="3743" stopIfTrue="1" operator="equal">
      <formula>"Towel"</formula>
    </cfRule>
    <cfRule type="cellIs" dxfId="18848" priority="3744" stopIfTrue="1" operator="equal">
      <formula>"Napkin Hs"</formula>
    </cfRule>
  </conditionalFormatting>
  <conditionalFormatting sqref="C91">
    <cfRule type="cellIs" dxfId="18847" priority="3657" stopIfTrue="1" operator="equal">
      <formula>"Towel"</formula>
    </cfRule>
    <cfRule type="cellIs" dxfId="18846" priority="3658" stopIfTrue="1" operator="equal">
      <formula>"Napkin Hs"</formula>
    </cfRule>
  </conditionalFormatting>
  <conditionalFormatting sqref="C91">
    <cfRule type="cellIs" dxfId="18845" priority="3651" stopIfTrue="1" operator="equal">
      <formula>"Towel"</formula>
    </cfRule>
    <cfRule type="cellIs" dxfId="18844" priority="3652" stopIfTrue="1" operator="equal">
      <formula>"Napkin Hs"</formula>
    </cfRule>
  </conditionalFormatting>
  <conditionalFormatting sqref="C91">
    <cfRule type="cellIs" dxfId="18843" priority="3632" stopIfTrue="1" operator="equal">
      <formula>"Napkin Hs"</formula>
    </cfRule>
  </conditionalFormatting>
  <conditionalFormatting sqref="C91">
    <cfRule type="cellIs" dxfId="18842" priority="3631" stopIfTrue="1" operator="equal">
      <formula>"Towel"</formula>
    </cfRule>
  </conditionalFormatting>
  <conditionalFormatting sqref="C91">
    <cfRule type="cellIs" dxfId="18841" priority="3630" stopIfTrue="1" operator="equal">
      <formula>"Napkin Hs"</formula>
    </cfRule>
  </conditionalFormatting>
  <conditionalFormatting sqref="C91">
    <cfRule type="cellIs" dxfId="18840" priority="3627" stopIfTrue="1" operator="equal">
      <formula>"Towel"</formula>
    </cfRule>
    <cfRule type="cellIs" dxfId="18839" priority="3628" stopIfTrue="1" operator="equal">
      <formula>"Napkin Hs"</formula>
    </cfRule>
  </conditionalFormatting>
  <conditionalFormatting sqref="C91">
    <cfRule type="cellIs" dxfId="18838" priority="3629" stopIfTrue="1" operator="equal">
      <formula>"Towel"</formula>
    </cfRule>
  </conditionalFormatting>
  <conditionalFormatting sqref="C91">
    <cfRule type="cellIs" dxfId="18837" priority="3626" stopIfTrue="1" operator="equal">
      <formula>"Napkin Hs"</formula>
    </cfRule>
  </conditionalFormatting>
  <conditionalFormatting sqref="C91">
    <cfRule type="cellIs" dxfId="18836" priority="3625" stopIfTrue="1" operator="equal">
      <formula>"Towel"</formula>
    </cfRule>
  </conditionalFormatting>
  <conditionalFormatting sqref="C91">
    <cfRule type="cellIs" dxfId="18835" priority="3624" stopIfTrue="1" operator="equal">
      <formula>"Napkin Hs"</formula>
    </cfRule>
  </conditionalFormatting>
  <conditionalFormatting sqref="C91">
    <cfRule type="cellIs" dxfId="18834" priority="3621" stopIfTrue="1" operator="equal">
      <formula>"Towel"</formula>
    </cfRule>
    <cfRule type="cellIs" dxfId="18833" priority="3622" stopIfTrue="1" operator="equal">
      <formula>"Napkin Hs"</formula>
    </cfRule>
  </conditionalFormatting>
  <conditionalFormatting sqref="C91">
    <cfRule type="cellIs" dxfId="18832" priority="3623" stopIfTrue="1" operator="equal">
      <formula>"Towel"</formula>
    </cfRule>
  </conditionalFormatting>
  <conditionalFormatting sqref="C91">
    <cfRule type="cellIs" dxfId="18831" priority="3727" stopIfTrue="1" operator="equal">
      <formula>"Towel"</formula>
    </cfRule>
    <cfRule type="cellIs" dxfId="18830" priority="3728" stopIfTrue="1" operator="equal">
      <formula>"Napkin Hs"</formula>
    </cfRule>
  </conditionalFormatting>
  <conditionalFormatting sqref="C91">
    <cfRule type="cellIs" dxfId="18829" priority="3725" stopIfTrue="1" operator="equal">
      <formula>"Towel"</formula>
    </cfRule>
    <cfRule type="cellIs" dxfId="18828" priority="3726" stopIfTrue="1" operator="equal">
      <formula>"Napkin Hs"</formula>
    </cfRule>
  </conditionalFormatting>
  <conditionalFormatting sqref="C91">
    <cfRule type="cellIs" dxfId="18827" priority="3723" stopIfTrue="1" operator="equal">
      <formula>"Towel"</formula>
    </cfRule>
    <cfRule type="cellIs" dxfId="18826" priority="3724" stopIfTrue="1" operator="equal">
      <formula>"Napkin Hs"</formula>
    </cfRule>
  </conditionalFormatting>
  <conditionalFormatting sqref="C91">
    <cfRule type="cellIs" dxfId="18825" priority="3722" stopIfTrue="1" operator="equal">
      <formula>"Napkin Hs"</formula>
    </cfRule>
  </conditionalFormatting>
  <conditionalFormatting sqref="C91">
    <cfRule type="cellIs" dxfId="18824" priority="3721" stopIfTrue="1" operator="equal">
      <formula>"Towel"</formula>
    </cfRule>
  </conditionalFormatting>
  <conditionalFormatting sqref="C91">
    <cfRule type="cellIs" dxfId="18823" priority="3720" stopIfTrue="1" operator="equal">
      <formula>"Napkin Hs"</formula>
    </cfRule>
  </conditionalFormatting>
  <conditionalFormatting sqref="C91">
    <cfRule type="cellIs" dxfId="18822" priority="3719" stopIfTrue="1" operator="equal">
      <formula>"Towel"</formula>
    </cfRule>
  </conditionalFormatting>
  <conditionalFormatting sqref="C91">
    <cfRule type="cellIs" dxfId="18821" priority="3717" stopIfTrue="1" operator="equal">
      <formula>"Towel"</formula>
    </cfRule>
    <cfRule type="cellIs" dxfId="18820" priority="3718" stopIfTrue="1" operator="equal">
      <formula>"Napkin Hs"</formula>
    </cfRule>
  </conditionalFormatting>
  <conditionalFormatting sqref="C91">
    <cfRule type="cellIs" dxfId="18819" priority="3715" stopIfTrue="1" operator="equal">
      <formula>"Towel"</formula>
    </cfRule>
    <cfRule type="cellIs" dxfId="18818" priority="3716" stopIfTrue="1" operator="equal">
      <formula>"Napkin Hs"</formula>
    </cfRule>
  </conditionalFormatting>
  <conditionalFormatting sqref="C91">
    <cfRule type="cellIs" dxfId="18817" priority="3711" stopIfTrue="1" operator="equal">
      <formula>"Towel"</formula>
    </cfRule>
    <cfRule type="cellIs" dxfId="18816" priority="3712" stopIfTrue="1" operator="equal">
      <formula>"Napkin Hs"</formula>
    </cfRule>
  </conditionalFormatting>
  <conditionalFormatting sqref="C91">
    <cfRule type="cellIs" dxfId="18815" priority="3713" stopIfTrue="1" operator="equal">
      <formula>"Towel"</formula>
    </cfRule>
    <cfRule type="cellIs" dxfId="18814" priority="3714" stopIfTrue="1" operator="equal">
      <formula>"Napkin Hs"</formula>
    </cfRule>
  </conditionalFormatting>
  <conditionalFormatting sqref="C91">
    <cfRule type="cellIs" dxfId="18813" priority="3705" stopIfTrue="1" operator="equal">
      <formula>"Towel"</formula>
    </cfRule>
    <cfRule type="cellIs" dxfId="18812" priority="3706" stopIfTrue="1" operator="equal">
      <formula>"Napkin Hs"</formula>
    </cfRule>
  </conditionalFormatting>
  <conditionalFormatting sqref="C91">
    <cfRule type="cellIs" dxfId="18811" priority="3703" stopIfTrue="1" operator="equal">
      <formula>"Towel"</formula>
    </cfRule>
    <cfRule type="cellIs" dxfId="18810" priority="3704" stopIfTrue="1" operator="equal">
      <formula>"Napkin Hs"</formula>
    </cfRule>
  </conditionalFormatting>
  <conditionalFormatting sqref="C91">
    <cfRule type="cellIs" dxfId="18809" priority="3701" stopIfTrue="1" operator="equal">
      <formula>"Towel"</formula>
    </cfRule>
    <cfRule type="cellIs" dxfId="18808" priority="3702" stopIfTrue="1" operator="equal">
      <formula>"Napkin Hs"</formula>
    </cfRule>
  </conditionalFormatting>
  <conditionalFormatting sqref="C91">
    <cfRule type="cellIs" dxfId="18807" priority="3699" stopIfTrue="1" operator="equal">
      <formula>"Towel"</formula>
    </cfRule>
    <cfRule type="cellIs" dxfId="18806" priority="3700" stopIfTrue="1" operator="equal">
      <formula>"Napkin Hs"</formula>
    </cfRule>
  </conditionalFormatting>
  <conditionalFormatting sqref="C91">
    <cfRule type="cellIs" dxfId="18805" priority="3697" stopIfTrue="1" operator="equal">
      <formula>"Towel"</formula>
    </cfRule>
    <cfRule type="cellIs" dxfId="18804" priority="3698" stopIfTrue="1" operator="equal">
      <formula>"Napkin Hs"</formula>
    </cfRule>
  </conditionalFormatting>
  <conditionalFormatting sqref="C91">
    <cfRule type="cellIs" dxfId="18803" priority="3695" stopIfTrue="1" operator="equal">
      <formula>"Towel"</formula>
    </cfRule>
    <cfRule type="cellIs" dxfId="18802" priority="3696" stopIfTrue="1" operator="equal">
      <formula>"Napkin Hs"</formula>
    </cfRule>
  </conditionalFormatting>
  <conditionalFormatting sqref="C91">
    <cfRule type="cellIs" dxfId="18801" priority="3693" stopIfTrue="1" operator="equal">
      <formula>"Towel"</formula>
    </cfRule>
    <cfRule type="cellIs" dxfId="18800" priority="3694" stopIfTrue="1" operator="equal">
      <formula>"Napkin Hs"</formula>
    </cfRule>
  </conditionalFormatting>
  <conditionalFormatting sqref="C91">
    <cfRule type="cellIs" dxfId="18799" priority="3691" stopIfTrue="1" operator="equal">
      <formula>"Towel"</formula>
    </cfRule>
    <cfRule type="cellIs" dxfId="18798" priority="3692" stopIfTrue="1" operator="equal">
      <formula>"Napkin Hs"</formula>
    </cfRule>
  </conditionalFormatting>
  <conditionalFormatting sqref="C91">
    <cfRule type="cellIs" dxfId="18797" priority="3689" stopIfTrue="1" operator="equal">
      <formula>"Towel"</formula>
    </cfRule>
    <cfRule type="cellIs" dxfId="18796" priority="3690" stopIfTrue="1" operator="equal">
      <formula>"Napkin Hs"</formula>
    </cfRule>
  </conditionalFormatting>
  <conditionalFormatting sqref="C91">
    <cfRule type="cellIs" dxfId="18795" priority="3687" stopIfTrue="1" operator="equal">
      <formula>"Towel"</formula>
    </cfRule>
    <cfRule type="cellIs" dxfId="18794" priority="3688" stopIfTrue="1" operator="equal">
      <formula>"Napkin Hs"</formula>
    </cfRule>
  </conditionalFormatting>
  <conditionalFormatting sqref="C91">
    <cfRule type="cellIs" dxfId="18793" priority="3681" stopIfTrue="1" operator="equal">
      <formula>"Towel"</formula>
    </cfRule>
    <cfRule type="cellIs" dxfId="18792" priority="3682" stopIfTrue="1" operator="equal">
      <formula>"Napkin Hs"</formula>
    </cfRule>
  </conditionalFormatting>
  <conditionalFormatting sqref="C91">
    <cfRule type="cellIs" dxfId="18791" priority="3675" stopIfTrue="1" operator="equal">
      <formula>"Towel"</formula>
    </cfRule>
    <cfRule type="cellIs" dxfId="18790" priority="3676" stopIfTrue="1" operator="equal">
      <formula>"Napkin Hs"</formula>
    </cfRule>
  </conditionalFormatting>
  <conditionalFormatting sqref="C91">
    <cfRule type="cellIs" dxfId="18789" priority="3669" stopIfTrue="1" operator="equal">
      <formula>"Towel"</formula>
    </cfRule>
    <cfRule type="cellIs" dxfId="18788" priority="3670" stopIfTrue="1" operator="equal">
      <formula>"Napkin Hs"</formula>
    </cfRule>
  </conditionalFormatting>
  <conditionalFormatting sqref="C91">
    <cfRule type="cellIs" dxfId="18787" priority="3668" stopIfTrue="1" operator="equal">
      <formula>"Napkin Hs"</formula>
    </cfRule>
  </conditionalFormatting>
  <conditionalFormatting sqref="C91">
    <cfRule type="cellIs" dxfId="18786" priority="3667" stopIfTrue="1" operator="equal">
      <formula>"Towel"</formula>
    </cfRule>
  </conditionalFormatting>
  <conditionalFormatting sqref="C91">
    <cfRule type="cellIs" dxfId="18785" priority="3666" stopIfTrue="1" operator="equal">
      <formula>"Napkin Hs"</formula>
    </cfRule>
  </conditionalFormatting>
  <conditionalFormatting sqref="C91">
    <cfRule type="cellIs" dxfId="18784" priority="3665" stopIfTrue="1" operator="equal">
      <formula>"Towel"</formula>
    </cfRule>
  </conditionalFormatting>
  <conditionalFormatting sqref="C91">
    <cfRule type="cellIs" dxfId="18783" priority="3663" stopIfTrue="1" operator="equal">
      <formula>"Towel"</formula>
    </cfRule>
    <cfRule type="cellIs" dxfId="18782" priority="3664" stopIfTrue="1" operator="equal">
      <formula>"Napkin Hs"</formula>
    </cfRule>
  </conditionalFormatting>
  <conditionalFormatting sqref="C91">
    <cfRule type="cellIs" dxfId="18781" priority="3661" stopIfTrue="1" operator="equal">
      <formula>"Towel"</formula>
    </cfRule>
    <cfRule type="cellIs" dxfId="18780" priority="3662" stopIfTrue="1" operator="equal">
      <formula>"Napkin Hs"</formula>
    </cfRule>
  </conditionalFormatting>
  <conditionalFormatting sqref="C91">
    <cfRule type="cellIs" dxfId="18779" priority="3659" stopIfTrue="1" operator="equal">
      <formula>"Towel"</formula>
    </cfRule>
    <cfRule type="cellIs" dxfId="18778" priority="3660" stopIfTrue="1" operator="equal">
      <formula>"Napkin Hs"</formula>
    </cfRule>
  </conditionalFormatting>
  <conditionalFormatting sqref="C91">
    <cfRule type="cellIs" dxfId="18777" priority="3649" stopIfTrue="1" operator="equal">
      <formula>"Towel"</formula>
    </cfRule>
    <cfRule type="cellIs" dxfId="18776" priority="3650" stopIfTrue="1" operator="equal">
      <formula>"Napkin Hs"</formula>
    </cfRule>
  </conditionalFormatting>
  <conditionalFormatting sqref="C91">
    <cfRule type="cellIs" dxfId="18775" priority="3647" stopIfTrue="1" operator="equal">
      <formula>"Towel"</formula>
    </cfRule>
    <cfRule type="cellIs" dxfId="18774" priority="3648" stopIfTrue="1" operator="equal">
      <formula>"Napkin Hs"</formula>
    </cfRule>
  </conditionalFormatting>
  <conditionalFormatting sqref="C91">
    <cfRule type="cellIs" dxfId="18773" priority="3645" stopIfTrue="1" operator="equal">
      <formula>"Towel"</formula>
    </cfRule>
    <cfRule type="cellIs" dxfId="18772" priority="3646" stopIfTrue="1" operator="equal">
      <formula>"Napkin Hs"</formula>
    </cfRule>
  </conditionalFormatting>
  <conditionalFormatting sqref="C91">
    <cfRule type="cellIs" dxfId="18771" priority="3643" stopIfTrue="1" operator="equal">
      <formula>"Towel"</formula>
    </cfRule>
    <cfRule type="cellIs" dxfId="18770" priority="3644" stopIfTrue="1" operator="equal">
      <formula>"Napkin Hs"</formula>
    </cfRule>
  </conditionalFormatting>
  <conditionalFormatting sqref="C91">
    <cfRule type="cellIs" dxfId="18769" priority="3641" stopIfTrue="1" operator="equal">
      <formula>"Towel"</formula>
    </cfRule>
    <cfRule type="cellIs" dxfId="18768" priority="3642" stopIfTrue="1" operator="equal">
      <formula>"Napkin Hs"</formula>
    </cfRule>
  </conditionalFormatting>
  <conditionalFormatting sqref="C91">
    <cfRule type="cellIs" dxfId="18767" priority="3639" stopIfTrue="1" operator="equal">
      <formula>"Towel"</formula>
    </cfRule>
    <cfRule type="cellIs" dxfId="18766" priority="3640" stopIfTrue="1" operator="equal">
      <formula>"Napkin Hs"</formula>
    </cfRule>
  </conditionalFormatting>
  <conditionalFormatting sqref="C91">
    <cfRule type="cellIs" dxfId="18765" priority="3637" stopIfTrue="1" operator="equal">
      <formula>"Towel"</formula>
    </cfRule>
    <cfRule type="cellIs" dxfId="18764" priority="3638" stopIfTrue="1" operator="equal">
      <formula>"Napkin Hs"</formula>
    </cfRule>
  </conditionalFormatting>
  <conditionalFormatting sqref="C91">
    <cfRule type="cellIs" dxfId="18763" priority="3635" stopIfTrue="1" operator="equal">
      <formula>"Towel"</formula>
    </cfRule>
    <cfRule type="cellIs" dxfId="18762" priority="3636" stopIfTrue="1" operator="equal">
      <formula>"Napkin Hs"</formula>
    </cfRule>
  </conditionalFormatting>
  <conditionalFormatting sqref="C91">
    <cfRule type="cellIs" dxfId="18761" priority="3633" stopIfTrue="1" operator="equal">
      <formula>"Towel"</formula>
    </cfRule>
    <cfRule type="cellIs" dxfId="18760" priority="3634" stopIfTrue="1" operator="equal">
      <formula>"Napkin Hs"</formula>
    </cfRule>
  </conditionalFormatting>
  <conditionalFormatting sqref="C91">
    <cfRule type="cellIs" dxfId="18759" priority="3620" stopIfTrue="1" operator="equal">
      <formula>"Napkin Hs"</formula>
    </cfRule>
  </conditionalFormatting>
  <conditionalFormatting sqref="C91">
    <cfRule type="cellIs" dxfId="18758" priority="3619" stopIfTrue="1" operator="equal">
      <formula>"Towel"</formula>
    </cfRule>
  </conditionalFormatting>
  <conditionalFormatting sqref="C91">
    <cfRule type="cellIs" dxfId="18757" priority="3618" stopIfTrue="1" operator="equal">
      <formula>"Napkin Hs"</formula>
    </cfRule>
  </conditionalFormatting>
  <conditionalFormatting sqref="C91">
    <cfRule type="cellIs" dxfId="18756" priority="3615" stopIfTrue="1" operator="equal">
      <formula>"Towel"</formula>
    </cfRule>
    <cfRule type="cellIs" dxfId="18755" priority="3616" stopIfTrue="1" operator="equal">
      <formula>"Napkin Hs"</formula>
    </cfRule>
  </conditionalFormatting>
  <conditionalFormatting sqref="C91">
    <cfRule type="cellIs" dxfId="18754" priority="3617" stopIfTrue="1" operator="equal">
      <formula>"Towel"</formula>
    </cfRule>
  </conditionalFormatting>
  <conditionalFormatting sqref="C91">
    <cfRule type="cellIs" dxfId="18753" priority="3735" stopIfTrue="1" operator="equal">
      <formula>"Towel"</formula>
    </cfRule>
    <cfRule type="cellIs" dxfId="18752" priority="3736" stopIfTrue="1" operator="equal">
      <formula>"Napkin Hs"</formula>
    </cfRule>
  </conditionalFormatting>
  <conditionalFormatting sqref="C91">
    <cfRule type="cellIs" dxfId="18751" priority="3734" stopIfTrue="1" operator="equal">
      <formula>"Napkin Hs"</formula>
    </cfRule>
  </conditionalFormatting>
  <conditionalFormatting sqref="C91">
    <cfRule type="cellIs" dxfId="18750" priority="3733" stopIfTrue="1" operator="equal">
      <formula>"Towel"</formula>
    </cfRule>
  </conditionalFormatting>
  <conditionalFormatting sqref="C91">
    <cfRule type="cellIs" dxfId="18749" priority="3732" stopIfTrue="1" operator="equal">
      <formula>"Napkin Hs"</formula>
    </cfRule>
  </conditionalFormatting>
  <conditionalFormatting sqref="C91">
    <cfRule type="cellIs" dxfId="18748" priority="3729" stopIfTrue="1" operator="equal">
      <formula>"Towel"</formula>
    </cfRule>
    <cfRule type="cellIs" dxfId="18747" priority="3730" stopIfTrue="1" operator="equal">
      <formula>"Napkin Hs"</formula>
    </cfRule>
  </conditionalFormatting>
  <conditionalFormatting sqref="C91">
    <cfRule type="cellIs" dxfId="18746" priority="3731" stopIfTrue="1" operator="equal">
      <formula>"Towel"</formula>
    </cfRule>
  </conditionalFormatting>
  <conditionalFormatting sqref="C91">
    <cfRule type="cellIs" dxfId="18745" priority="3739" stopIfTrue="1" operator="equal">
      <formula>"Towel"</formula>
    </cfRule>
    <cfRule type="cellIs" dxfId="18744" priority="3740" stopIfTrue="1" operator="equal">
      <formula>"Napkin Hs"</formula>
    </cfRule>
  </conditionalFormatting>
  <conditionalFormatting sqref="C91">
    <cfRule type="cellIs" dxfId="18743" priority="3737" stopIfTrue="1" operator="equal">
      <formula>"Towel"</formula>
    </cfRule>
    <cfRule type="cellIs" dxfId="18742" priority="3738" stopIfTrue="1" operator="equal">
      <formula>"Napkin Hs"</formula>
    </cfRule>
  </conditionalFormatting>
  <conditionalFormatting sqref="C91">
    <cfRule type="cellIs" dxfId="18741" priority="3709" stopIfTrue="1" operator="equal">
      <formula>"Towel"</formula>
    </cfRule>
    <cfRule type="cellIs" dxfId="18740" priority="3710" stopIfTrue="1" operator="equal">
      <formula>"Napkin Hs"</formula>
    </cfRule>
  </conditionalFormatting>
  <conditionalFormatting sqref="C91">
    <cfRule type="cellIs" dxfId="18739" priority="3707" stopIfTrue="1" operator="equal">
      <formula>"Towel"</formula>
    </cfRule>
    <cfRule type="cellIs" dxfId="18738" priority="3708" stopIfTrue="1" operator="equal">
      <formula>"Napkin Hs"</formula>
    </cfRule>
  </conditionalFormatting>
  <conditionalFormatting sqref="C91">
    <cfRule type="cellIs" dxfId="18737" priority="3686" stopIfTrue="1" operator="equal">
      <formula>"Napkin Hs"</formula>
    </cfRule>
  </conditionalFormatting>
  <conditionalFormatting sqref="C91">
    <cfRule type="cellIs" dxfId="18736" priority="3685" stopIfTrue="1" operator="equal">
      <formula>"Towel"</formula>
    </cfRule>
  </conditionalFormatting>
  <conditionalFormatting sqref="C91">
    <cfRule type="cellIs" dxfId="18735" priority="3684" stopIfTrue="1" operator="equal">
      <formula>"Napkin Hs"</formula>
    </cfRule>
  </conditionalFormatting>
  <conditionalFormatting sqref="C91">
    <cfRule type="cellIs" dxfId="18734" priority="3683" stopIfTrue="1" operator="equal">
      <formula>"Towel"</formula>
    </cfRule>
  </conditionalFormatting>
  <conditionalFormatting sqref="C91">
    <cfRule type="cellIs" dxfId="18733" priority="3680" stopIfTrue="1" operator="equal">
      <formula>"Napkin Hs"</formula>
    </cfRule>
  </conditionalFormatting>
  <conditionalFormatting sqref="C91">
    <cfRule type="cellIs" dxfId="18732" priority="3679" stopIfTrue="1" operator="equal">
      <formula>"Towel"</formula>
    </cfRule>
  </conditionalFormatting>
  <conditionalFormatting sqref="C91">
    <cfRule type="cellIs" dxfId="18731" priority="3678" stopIfTrue="1" operator="equal">
      <formula>"Napkin Hs"</formula>
    </cfRule>
  </conditionalFormatting>
  <conditionalFormatting sqref="C91">
    <cfRule type="cellIs" dxfId="18730" priority="3677" stopIfTrue="1" operator="equal">
      <formula>"Towel"</formula>
    </cfRule>
  </conditionalFormatting>
  <conditionalFormatting sqref="C91">
    <cfRule type="cellIs" dxfId="18729" priority="3673" stopIfTrue="1" operator="equal">
      <formula>"Towel"</formula>
    </cfRule>
    <cfRule type="cellIs" dxfId="18728" priority="3674" stopIfTrue="1" operator="equal">
      <formula>"Napkin Hs"</formula>
    </cfRule>
  </conditionalFormatting>
  <conditionalFormatting sqref="C91">
    <cfRule type="cellIs" dxfId="18727" priority="3671" stopIfTrue="1" operator="equal">
      <formula>"Towel"</formula>
    </cfRule>
    <cfRule type="cellIs" dxfId="18726" priority="3672" stopIfTrue="1" operator="equal">
      <formula>"Napkin Hs"</formula>
    </cfRule>
  </conditionalFormatting>
  <conditionalFormatting sqref="C91">
    <cfRule type="cellIs" dxfId="18725" priority="3655" stopIfTrue="1" operator="equal">
      <formula>"Towel"</formula>
    </cfRule>
    <cfRule type="cellIs" dxfId="18724" priority="3656" stopIfTrue="1" operator="equal">
      <formula>"Napkin Hs"</formula>
    </cfRule>
  </conditionalFormatting>
  <conditionalFormatting sqref="C91">
    <cfRule type="cellIs" dxfId="18723" priority="3653" stopIfTrue="1" operator="equal">
      <formula>"Towel"</formula>
    </cfRule>
    <cfRule type="cellIs" dxfId="18722" priority="3654" stopIfTrue="1" operator="equal">
      <formula>"Napkin Hs"</formula>
    </cfRule>
  </conditionalFormatting>
  <conditionalFormatting sqref="B91:C91">
    <cfRule type="cellIs" dxfId="18721" priority="3614" stopIfTrue="1" operator="equal">
      <formula>"Napkin Hs"</formula>
    </cfRule>
  </conditionalFormatting>
  <conditionalFormatting sqref="B91:C91">
    <cfRule type="cellIs" dxfId="18720" priority="3613" stopIfTrue="1" operator="equal">
      <formula>"Towel"</formula>
    </cfRule>
  </conditionalFormatting>
  <conditionalFormatting sqref="C91">
    <cfRule type="cellIs" dxfId="18719" priority="3612" stopIfTrue="1" operator="equal">
      <formula>"Napkin Hs"</formula>
    </cfRule>
  </conditionalFormatting>
  <conditionalFormatting sqref="C91">
    <cfRule type="cellIs" dxfId="18718" priority="3609" stopIfTrue="1" operator="equal">
      <formula>"Towel"</formula>
    </cfRule>
    <cfRule type="cellIs" dxfId="18717" priority="3610" stopIfTrue="1" operator="equal">
      <formula>"Napkin Hs"</formula>
    </cfRule>
  </conditionalFormatting>
  <conditionalFormatting sqref="C91">
    <cfRule type="cellIs" dxfId="18716" priority="3611" stopIfTrue="1" operator="equal">
      <formula>"Towel"</formula>
    </cfRule>
  </conditionalFormatting>
  <conditionalFormatting sqref="B91:C91">
    <cfRule type="cellIs" dxfId="18715" priority="3608" stopIfTrue="1" operator="equal">
      <formula>"Napkin Hs"</formula>
    </cfRule>
  </conditionalFormatting>
  <conditionalFormatting sqref="B91:C91">
    <cfRule type="cellIs" dxfId="18714" priority="3607" stopIfTrue="1" operator="equal">
      <formula>"Towel"</formula>
    </cfRule>
  </conditionalFormatting>
  <conditionalFormatting sqref="C91">
    <cfRule type="cellIs" dxfId="18713" priority="3606" stopIfTrue="1" operator="equal">
      <formula>"Napkin Hs"</formula>
    </cfRule>
  </conditionalFormatting>
  <conditionalFormatting sqref="C91">
    <cfRule type="cellIs" dxfId="18712" priority="3605" stopIfTrue="1" operator="equal">
      <formula>"Towel"</formula>
    </cfRule>
  </conditionalFormatting>
  <conditionalFormatting sqref="C91">
    <cfRule type="cellIs" dxfId="18711" priority="3603" stopIfTrue="1" operator="equal">
      <formula>"Towel"</formula>
    </cfRule>
    <cfRule type="cellIs" dxfId="18710" priority="3604" stopIfTrue="1" operator="equal">
      <formula>"Napkin Hs"</formula>
    </cfRule>
  </conditionalFormatting>
  <conditionalFormatting sqref="C91">
    <cfRule type="cellIs" dxfId="18709" priority="3519" stopIfTrue="1" operator="equal">
      <formula>"Towel"</formula>
    </cfRule>
    <cfRule type="cellIs" dxfId="18708" priority="3520" stopIfTrue="1" operator="equal">
      <formula>"Napkin Hs"</formula>
    </cfRule>
  </conditionalFormatting>
  <conditionalFormatting sqref="C91">
    <cfRule type="cellIs" dxfId="18707" priority="3513" stopIfTrue="1" operator="equal">
      <formula>"Towel"</formula>
    </cfRule>
    <cfRule type="cellIs" dxfId="18706" priority="3514" stopIfTrue="1" operator="equal">
      <formula>"Napkin Hs"</formula>
    </cfRule>
  </conditionalFormatting>
  <conditionalFormatting sqref="C91">
    <cfRule type="cellIs" dxfId="18705" priority="3494" stopIfTrue="1" operator="equal">
      <formula>"Napkin Hs"</formula>
    </cfRule>
  </conditionalFormatting>
  <conditionalFormatting sqref="C91">
    <cfRule type="cellIs" dxfId="18704" priority="3493" stopIfTrue="1" operator="equal">
      <formula>"Towel"</formula>
    </cfRule>
  </conditionalFormatting>
  <conditionalFormatting sqref="C91">
    <cfRule type="cellIs" dxfId="18703" priority="3492" stopIfTrue="1" operator="equal">
      <formula>"Napkin Hs"</formula>
    </cfRule>
  </conditionalFormatting>
  <conditionalFormatting sqref="C91">
    <cfRule type="cellIs" dxfId="18702" priority="3489" stopIfTrue="1" operator="equal">
      <formula>"Towel"</formula>
    </cfRule>
    <cfRule type="cellIs" dxfId="18701" priority="3490" stopIfTrue="1" operator="equal">
      <formula>"Napkin Hs"</formula>
    </cfRule>
  </conditionalFormatting>
  <conditionalFormatting sqref="C91">
    <cfRule type="cellIs" dxfId="18700" priority="3491" stopIfTrue="1" operator="equal">
      <formula>"Towel"</formula>
    </cfRule>
  </conditionalFormatting>
  <conditionalFormatting sqref="C91">
    <cfRule type="cellIs" dxfId="18699" priority="3488" stopIfTrue="1" operator="equal">
      <formula>"Napkin Hs"</formula>
    </cfRule>
  </conditionalFormatting>
  <conditionalFormatting sqref="C91">
    <cfRule type="cellIs" dxfId="18698" priority="3487" stopIfTrue="1" operator="equal">
      <formula>"Towel"</formula>
    </cfRule>
  </conditionalFormatting>
  <conditionalFormatting sqref="C91">
    <cfRule type="cellIs" dxfId="18697" priority="3486" stopIfTrue="1" operator="equal">
      <formula>"Napkin Hs"</formula>
    </cfRule>
  </conditionalFormatting>
  <conditionalFormatting sqref="C91">
    <cfRule type="cellIs" dxfId="18696" priority="3483" stopIfTrue="1" operator="equal">
      <formula>"Towel"</formula>
    </cfRule>
    <cfRule type="cellIs" dxfId="18695" priority="3484" stopIfTrue="1" operator="equal">
      <formula>"Napkin Hs"</formula>
    </cfRule>
  </conditionalFormatting>
  <conditionalFormatting sqref="C91">
    <cfRule type="cellIs" dxfId="18694" priority="3485" stopIfTrue="1" operator="equal">
      <formula>"Towel"</formula>
    </cfRule>
  </conditionalFormatting>
  <conditionalFormatting sqref="C91">
    <cfRule type="cellIs" dxfId="18693" priority="3589" stopIfTrue="1" operator="equal">
      <formula>"Towel"</formula>
    </cfRule>
    <cfRule type="cellIs" dxfId="18692" priority="3590" stopIfTrue="1" operator="equal">
      <formula>"Napkin Hs"</formula>
    </cfRule>
  </conditionalFormatting>
  <conditionalFormatting sqref="C91">
    <cfRule type="cellIs" dxfId="18691" priority="3587" stopIfTrue="1" operator="equal">
      <formula>"Towel"</formula>
    </cfRule>
    <cfRule type="cellIs" dxfId="18690" priority="3588" stopIfTrue="1" operator="equal">
      <formula>"Napkin Hs"</formula>
    </cfRule>
  </conditionalFormatting>
  <conditionalFormatting sqref="C91">
    <cfRule type="cellIs" dxfId="18689" priority="3585" stopIfTrue="1" operator="equal">
      <formula>"Towel"</formula>
    </cfRule>
    <cfRule type="cellIs" dxfId="18688" priority="3586" stopIfTrue="1" operator="equal">
      <formula>"Napkin Hs"</formula>
    </cfRule>
  </conditionalFormatting>
  <conditionalFormatting sqref="C91">
    <cfRule type="cellIs" dxfId="18687" priority="3584" stopIfTrue="1" operator="equal">
      <formula>"Napkin Hs"</formula>
    </cfRule>
  </conditionalFormatting>
  <conditionalFormatting sqref="C91">
    <cfRule type="cellIs" dxfId="18686" priority="3583" stopIfTrue="1" operator="equal">
      <formula>"Towel"</formula>
    </cfRule>
  </conditionalFormatting>
  <conditionalFormatting sqref="C91">
    <cfRule type="cellIs" dxfId="18685" priority="3582" stopIfTrue="1" operator="equal">
      <formula>"Napkin Hs"</formula>
    </cfRule>
  </conditionalFormatting>
  <conditionalFormatting sqref="C91">
    <cfRule type="cellIs" dxfId="18684" priority="3581" stopIfTrue="1" operator="equal">
      <formula>"Towel"</formula>
    </cfRule>
  </conditionalFormatting>
  <conditionalFormatting sqref="C91">
    <cfRule type="cellIs" dxfId="18683" priority="3579" stopIfTrue="1" operator="equal">
      <formula>"Towel"</formula>
    </cfRule>
    <cfRule type="cellIs" dxfId="18682" priority="3580" stopIfTrue="1" operator="equal">
      <formula>"Napkin Hs"</formula>
    </cfRule>
  </conditionalFormatting>
  <conditionalFormatting sqref="C91">
    <cfRule type="cellIs" dxfId="18681" priority="3577" stopIfTrue="1" operator="equal">
      <formula>"Towel"</formula>
    </cfRule>
    <cfRule type="cellIs" dxfId="18680" priority="3578" stopIfTrue="1" operator="equal">
      <formula>"Napkin Hs"</formula>
    </cfRule>
  </conditionalFormatting>
  <conditionalFormatting sqref="C91">
    <cfRule type="cellIs" dxfId="18679" priority="3573" stopIfTrue="1" operator="equal">
      <formula>"Towel"</formula>
    </cfRule>
    <cfRule type="cellIs" dxfId="18678" priority="3574" stopIfTrue="1" operator="equal">
      <formula>"Napkin Hs"</formula>
    </cfRule>
  </conditionalFormatting>
  <conditionalFormatting sqref="C91">
    <cfRule type="cellIs" dxfId="18677" priority="3575" stopIfTrue="1" operator="equal">
      <formula>"Towel"</formula>
    </cfRule>
    <cfRule type="cellIs" dxfId="18676" priority="3576" stopIfTrue="1" operator="equal">
      <formula>"Napkin Hs"</formula>
    </cfRule>
  </conditionalFormatting>
  <conditionalFormatting sqref="C91">
    <cfRule type="cellIs" dxfId="18675" priority="3567" stopIfTrue="1" operator="equal">
      <formula>"Towel"</formula>
    </cfRule>
    <cfRule type="cellIs" dxfId="18674" priority="3568" stopIfTrue="1" operator="equal">
      <formula>"Napkin Hs"</formula>
    </cfRule>
  </conditionalFormatting>
  <conditionalFormatting sqref="C91">
    <cfRule type="cellIs" dxfId="18673" priority="3565" stopIfTrue="1" operator="equal">
      <formula>"Towel"</formula>
    </cfRule>
    <cfRule type="cellIs" dxfId="18672" priority="3566" stopIfTrue="1" operator="equal">
      <formula>"Napkin Hs"</formula>
    </cfRule>
  </conditionalFormatting>
  <conditionalFormatting sqref="C91">
    <cfRule type="cellIs" dxfId="18671" priority="3563" stopIfTrue="1" operator="equal">
      <formula>"Towel"</formula>
    </cfRule>
    <cfRule type="cellIs" dxfId="18670" priority="3564" stopIfTrue="1" operator="equal">
      <formula>"Napkin Hs"</formula>
    </cfRule>
  </conditionalFormatting>
  <conditionalFormatting sqref="C91">
    <cfRule type="cellIs" dxfId="18669" priority="3561" stopIfTrue="1" operator="equal">
      <formula>"Towel"</formula>
    </cfRule>
    <cfRule type="cellIs" dxfId="18668" priority="3562" stopIfTrue="1" operator="equal">
      <formula>"Napkin Hs"</formula>
    </cfRule>
  </conditionalFormatting>
  <conditionalFormatting sqref="C91">
    <cfRule type="cellIs" dxfId="18667" priority="3559" stopIfTrue="1" operator="equal">
      <formula>"Towel"</formula>
    </cfRule>
    <cfRule type="cellIs" dxfId="18666" priority="3560" stopIfTrue="1" operator="equal">
      <formula>"Napkin Hs"</formula>
    </cfRule>
  </conditionalFormatting>
  <conditionalFormatting sqref="C91">
    <cfRule type="cellIs" dxfId="18665" priority="3557" stopIfTrue="1" operator="equal">
      <formula>"Towel"</formula>
    </cfRule>
    <cfRule type="cellIs" dxfId="18664" priority="3558" stopIfTrue="1" operator="equal">
      <formula>"Napkin Hs"</formula>
    </cfRule>
  </conditionalFormatting>
  <conditionalFormatting sqref="C91">
    <cfRule type="cellIs" dxfId="18663" priority="3555" stopIfTrue="1" operator="equal">
      <formula>"Towel"</formula>
    </cfRule>
    <cfRule type="cellIs" dxfId="18662" priority="3556" stopIfTrue="1" operator="equal">
      <formula>"Napkin Hs"</formula>
    </cfRule>
  </conditionalFormatting>
  <conditionalFormatting sqref="C91">
    <cfRule type="cellIs" dxfId="18661" priority="3553" stopIfTrue="1" operator="equal">
      <formula>"Towel"</formula>
    </cfRule>
    <cfRule type="cellIs" dxfId="18660" priority="3554" stopIfTrue="1" operator="equal">
      <formula>"Napkin Hs"</formula>
    </cfRule>
  </conditionalFormatting>
  <conditionalFormatting sqref="C91">
    <cfRule type="cellIs" dxfId="18659" priority="3551" stopIfTrue="1" operator="equal">
      <formula>"Towel"</formula>
    </cfRule>
    <cfRule type="cellIs" dxfId="18658" priority="3552" stopIfTrue="1" operator="equal">
      <formula>"Napkin Hs"</formula>
    </cfRule>
  </conditionalFormatting>
  <conditionalFormatting sqref="C91">
    <cfRule type="cellIs" dxfId="18657" priority="3549" stopIfTrue="1" operator="equal">
      <formula>"Towel"</formula>
    </cfRule>
    <cfRule type="cellIs" dxfId="18656" priority="3550" stopIfTrue="1" operator="equal">
      <formula>"Napkin Hs"</formula>
    </cfRule>
  </conditionalFormatting>
  <conditionalFormatting sqref="C91">
    <cfRule type="cellIs" dxfId="18655" priority="3543" stopIfTrue="1" operator="equal">
      <formula>"Towel"</formula>
    </cfRule>
    <cfRule type="cellIs" dxfId="18654" priority="3544" stopIfTrue="1" operator="equal">
      <formula>"Napkin Hs"</formula>
    </cfRule>
  </conditionalFormatting>
  <conditionalFormatting sqref="C91">
    <cfRule type="cellIs" dxfId="18653" priority="3537" stopIfTrue="1" operator="equal">
      <formula>"Towel"</formula>
    </cfRule>
    <cfRule type="cellIs" dxfId="18652" priority="3538" stopIfTrue="1" operator="equal">
      <formula>"Napkin Hs"</formula>
    </cfRule>
  </conditionalFormatting>
  <conditionalFormatting sqref="C91">
    <cfRule type="cellIs" dxfId="18651" priority="3531" stopIfTrue="1" operator="equal">
      <formula>"Towel"</formula>
    </cfRule>
    <cfRule type="cellIs" dxfId="18650" priority="3532" stopIfTrue="1" operator="equal">
      <formula>"Napkin Hs"</formula>
    </cfRule>
  </conditionalFormatting>
  <conditionalFormatting sqref="C91">
    <cfRule type="cellIs" dxfId="18649" priority="3530" stopIfTrue="1" operator="equal">
      <formula>"Napkin Hs"</formula>
    </cfRule>
  </conditionalFormatting>
  <conditionalFormatting sqref="C91">
    <cfRule type="cellIs" dxfId="18648" priority="3529" stopIfTrue="1" operator="equal">
      <formula>"Towel"</formula>
    </cfRule>
  </conditionalFormatting>
  <conditionalFormatting sqref="C91">
    <cfRule type="cellIs" dxfId="18647" priority="3528" stopIfTrue="1" operator="equal">
      <formula>"Napkin Hs"</formula>
    </cfRule>
  </conditionalFormatting>
  <conditionalFormatting sqref="C91">
    <cfRule type="cellIs" dxfId="18646" priority="3527" stopIfTrue="1" operator="equal">
      <formula>"Towel"</formula>
    </cfRule>
  </conditionalFormatting>
  <conditionalFormatting sqref="C91">
    <cfRule type="cellIs" dxfId="18645" priority="3525" stopIfTrue="1" operator="equal">
      <formula>"Towel"</formula>
    </cfRule>
    <cfRule type="cellIs" dxfId="18644" priority="3526" stopIfTrue="1" operator="equal">
      <formula>"Napkin Hs"</formula>
    </cfRule>
  </conditionalFormatting>
  <conditionalFormatting sqref="C91">
    <cfRule type="cellIs" dxfId="18643" priority="3523" stopIfTrue="1" operator="equal">
      <formula>"Towel"</formula>
    </cfRule>
    <cfRule type="cellIs" dxfId="18642" priority="3524" stopIfTrue="1" operator="equal">
      <formula>"Napkin Hs"</formula>
    </cfRule>
  </conditionalFormatting>
  <conditionalFormatting sqref="C91">
    <cfRule type="cellIs" dxfId="18641" priority="3521" stopIfTrue="1" operator="equal">
      <formula>"Towel"</formula>
    </cfRule>
    <cfRule type="cellIs" dxfId="18640" priority="3522" stopIfTrue="1" operator="equal">
      <formula>"Napkin Hs"</formula>
    </cfRule>
  </conditionalFormatting>
  <conditionalFormatting sqref="C91">
    <cfRule type="cellIs" dxfId="18639" priority="3511" stopIfTrue="1" operator="equal">
      <formula>"Towel"</formula>
    </cfRule>
    <cfRule type="cellIs" dxfId="18638" priority="3512" stopIfTrue="1" operator="equal">
      <formula>"Napkin Hs"</formula>
    </cfRule>
  </conditionalFormatting>
  <conditionalFormatting sqref="C91">
    <cfRule type="cellIs" dxfId="18637" priority="3509" stopIfTrue="1" operator="equal">
      <formula>"Towel"</formula>
    </cfRule>
    <cfRule type="cellIs" dxfId="18636" priority="3510" stopIfTrue="1" operator="equal">
      <formula>"Napkin Hs"</formula>
    </cfRule>
  </conditionalFormatting>
  <conditionalFormatting sqref="C91">
    <cfRule type="cellIs" dxfId="18635" priority="3507" stopIfTrue="1" operator="equal">
      <formula>"Towel"</formula>
    </cfRule>
    <cfRule type="cellIs" dxfId="18634" priority="3508" stopIfTrue="1" operator="equal">
      <formula>"Napkin Hs"</formula>
    </cfRule>
  </conditionalFormatting>
  <conditionalFormatting sqref="C91">
    <cfRule type="cellIs" dxfId="18633" priority="3505" stopIfTrue="1" operator="equal">
      <formula>"Towel"</formula>
    </cfRule>
    <cfRule type="cellIs" dxfId="18632" priority="3506" stopIfTrue="1" operator="equal">
      <formula>"Napkin Hs"</formula>
    </cfRule>
  </conditionalFormatting>
  <conditionalFormatting sqref="C91">
    <cfRule type="cellIs" dxfId="18631" priority="3503" stopIfTrue="1" operator="equal">
      <formula>"Towel"</formula>
    </cfRule>
    <cfRule type="cellIs" dxfId="18630" priority="3504" stopIfTrue="1" operator="equal">
      <formula>"Napkin Hs"</formula>
    </cfRule>
  </conditionalFormatting>
  <conditionalFormatting sqref="C91">
    <cfRule type="cellIs" dxfId="18629" priority="3501" stopIfTrue="1" operator="equal">
      <formula>"Towel"</formula>
    </cfRule>
    <cfRule type="cellIs" dxfId="18628" priority="3502" stopIfTrue="1" operator="equal">
      <formula>"Napkin Hs"</formula>
    </cfRule>
  </conditionalFormatting>
  <conditionalFormatting sqref="C91">
    <cfRule type="cellIs" dxfId="18627" priority="3499" stopIfTrue="1" operator="equal">
      <formula>"Towel"</formula>
    </cfRule>
    <cfRule type="cellIs" dxfId="18626" priority="3500" stopIfTrue="1" operator="equal">
      <formula>"Napkin Hs"</formula>
    </cfRule>
  </conditionalFormatting>
  <conditionalFormatting sqref="C91">
    <cfRule type="cellIs" dxfId="18625" priority="3497" stopIfTrue="1" operator="equal">
      <formula>"Towel"</formula>
    </cfRule>
    <cfRule type="cellIs" dxfId="18624" priority="3498" stopIfTrue="1" operator="equal">
      <formula>"Napkin Hs"</formula>
    </cfRule>
  </conditionalFormatting>
  <conditionalFormatting sqref="C91">
    <cfRule type="cellIs" dxfId="18623" priority="3495" stopIfTrue="1" operator="equal">
      <formula>"Towel"</formula>
    </cfRule>
    <cfRule type="cellIs" dxfId="18622" priority="3496" stopIfTrue="1" operator="equal">
      <formula>"Napkin Hs"</formula>
    </cfRule>
  </conditionalFormatting>
  <conditionalFormatting sqref="C91">
    <cfRule type="cellIs" dxfId="18621" priority="3482" stopIfTrue="1" operator="equal">
      <formula>"Napkin Hs"</formula>
    </cfRule>
  </conditionalFormatting>
  <conditionalFormatting sqref="C91">
    <cfRule type="cellIs" dxfId="18620" priority="3481" stopIfTrue="1" operator="equal">
      <formula>"Towel"</formula>
    </cfRule>
  </conditionalFormatting>
  <conditionalFormatting sqref="C91">
    <cfRule type="cellIs" dxfId="18619" priority="3480" stopIfTrue="1" operator="equal">
      <formula>"Napkin Hs"</formula>
    </cfRule>
  </conditionalFormatting>
  <conditionalFormatting sqref="C91">
    <cfRule type="cellIs" dxfId="18618" priority="3477" stopIfTrue="1" operator="equal">
      <formula>"Towel"</formula>
    </cfRule>
    <cfRule type="cellIs" dxfId="18617" priority="3478" stopIfTrue="1" operator="equal">
      <formula>"Napkin Hs"</formula>
    </cfRule>
  </conditionalFormatting>
  <conditionalFormatting sqref="C91">
    <cfRule type="cellIs" dxfId="18616" priority="3479" stopIfTrue="1" operator="equal">
      <formula>"Towel"</formula>
    </cfRule>
  </conditionalFormatting>
  <conditionalFormatting sqref="C91">
    <cfRule type="cellIs" dxfId="18615" priority="3597" stopIfTrue="1" operator="equal">
      <formula>"Towel"</formula>
    </cfRule>
    <cfRule type="cellIs" dxfId="18614" priority="3598" stopIfTrue="1" operator="equal">
      <formula>"Napkin Hs"</formula>
    </cfRule>
  </conditionalFormatting>
  <conditionalFormatting sqref="C91">
    <cfRule type="cellIs" dxfId="18613" priority="3596" stopIfTrue="1" operator="equal">
      <formula>"Napkin Hs"</formula>
    </cfRule>
  </conditionalFormatting>
  <conditionalFormatting sqref="C91">
    <cfRule type="cellIs" dxfId="18612" priority="3595" stopIfTrue="1" operator="equal">
      <formula>"Towel"</formula>
    </cfRule>
  </conditionalFormatting>
  <conditionalFormatting sqref="C91">
    <cfRule type="cellIs" dxfId="18611" priority="3594" stopIfTrue="1" operator="equal">
      <formula>"Napkin Hs"</formula>
    </cfRule>
  </conditionalFormatting>
  <conditionalFormatting sqref="C91">
    <cfRule type="cellIs" dxfId="18610" priority="3591" stopIfTrue="1" operator="equal">
      <formula>"Towel"</formula>
    </cfRule>
    <cfRule type="cellIs" dxfId="18609" priority="3592" stopIfTrue="1" operator="equal">
      <formula>"Napkin Hs"</formula>
    </cfRule>
  </conditionalFormatting>
  <conditionalFormatting sqref="C91">
    <cfRule type="cellIs" dxfId="18608" priority="3593" stopIfTrue="1" operator="equal">
      <formula>"Towel"</formula>
    </cfRule>
  </conditionalFormatting>
  <conditionalFormatting sqref="C91">
    <cfRule type="cellIs" dxfId="18607" priority="3601" stopIfTrue="1" operator="equal">
      <formula>"Towel"</formula>
    </cfRule>
    <cfRule type="cellIs" dxfId="18606" priority="3602" stopIfTrue="1" operator="equal">
      <formula>"Napkin Hs"</formula>
    </cfRule>
  </conditionalFormatting>
  <conditionalFormatting sqref="C91">
    <cfRule type="cellIs" dxfId="18605" priority="3599" stopIfTrue="1" operator="equal">
      <formula>"Towel"</formula>
    </cfRule>
    <cfRule type="cellIs" dxfId="18604" priority="3600" stopIfTrue="1" operator="equal">
      <formula>"Napkin Hs"</formula>
    </cfRule>
  </conditionalFormatting>
  <conditionalFormatting sqref="C91">
    <cfRule type="cellIs" dxfId="18603" priority="3571" stopIfTrue="1" operator="equal">
      <formula>"Towel"</formula>
    </cfRule>
    <cfRule type="cellIs" dxfId="18602" priority="3572" stopIfTrue="1" operator="equal">
      <formula>"Napkin Hs"</formula>
    </cfRule>
  </conditionalFormatting>
  <conditionalFormatting sqref="C91">
    <cfRule type="cellIs" dxfId="18601" priority="3569" stopIfTrue="1" operator="equal">
      <formula>"Towel"</formula>
    </cfRule>
    <cfRule type="cellIs" dxfId="18600" priority="3570" stopIfTrue="1" operator="equal">
      <formula>"Napkin Hs"</formula>
    </cfRule>
  </conditionalFormatting>
  <conditionalFormatting sqref="C91">
    <cfRule type="cellIs" dxfId="18599" priority="3548" stopIfTrue="1" operator="equal">
      <formula>"Napkin Hs"</formula>
    </cfRule>
  </conditionalFormatting>
  <conditionalFormatting sqref="C91">
    <cfRule type="cellIs" dxfId="18598" priority="3547" stopIfTrue="1" operator="equal">
      <formula>"Towel"</formula>
    </cfRule>
  </conditionalFormatting>
  <conditionalFormatting sqref="C91">
    <cfRule type="cellIs" dxfId="18597" priority="3546" stopIfTrue="1" operator="equal">
      <formula>"Napkin Hs"</formula>
    </cfRule>
  </conditionalFormatting>
  <conditionalFormatting sqref="C91">
    <cfRule type="cellIs" dxfId="18596" priority="3545" stopIfTrue="1" operator="equal">
      <formula>"Towel"</formula>
    </cfRule>
  </conditionalFormatting>
  <conditionalFormatting sqref="C91">
    <cfRule type="cellIs" dxfId="18595" priority="3542" stopIfTrue="1" operator="equal">
      <formula>"Napkin Hs"</formula>
    </cfRule>
  </conditionalFormatting>
  <conditionalFormatting sqref="C91">
    <cfRule type="cellIs" dxfId="18594" priority="3541" stopIfTrue="1" operator="equal">
      <formula>"Towel"</formula>
    </cfRule>
  </conditionalFormatting>
  <conditionalFormatting sqref="C91">
    <cfRule type="cellIs" dxfId="18593" priority="3540" stopIfTrue="1" operator="equal">
      <formula>"Napkin Hs"</formula>
    </cfRule>
  </conditionalFormatting>
  <conditionalFormatting sqref="C91">
    <cfRule type="cellIs" dxfId="18592" priority="3539" stopIfTrue="1" operator="equal">
      <formula>"Towel"</formula>
    </cfRule>
  </conditionalFormatting>
  <conditionalFormatting sqref="C91">
    <cfRule type="cellIs" dxfId="18591" priority="3535" stopIfTrue="1" operator="equal">
      <formula>"Towel"</formula>
    </cfRule>
    <cfRule type="cellIs" dxfId="18590" priority="3536" stopIfTrue="1" operator="equal">
      <formula>"Napkin Hs"</formula>
    </cfRule>
  </conditionalFormatting>
  <conditionalFormatting sqref="C91">
    <cfRule type="cellIs" dxfId="18589" priority="3533" stopIfTrue="1" operator="equal">
      <formula>"Towel"</formula>
    </cfRule>
    <cfRule type="cellIs" dxfId="18588" priority="3534" stopIfTrue="1" operator="equal">
      <formula>"Napkin Hs"</formula>
    </cfRule>
  </conditionalFormatting>
  <conditionalFormatting sqref="C91">
    <cfRule type="cellIs" dxfId="18587" priority="3517" stopIfTrue="1" operator="equal">
      <formula>"Towel"</formula>
    </cfRule>
    <cfRule type="cellIs" dxfId="18586" priority="3518" stopIfTrue="1" operator="equal">
      <formula>"Napkin Hs"</formula>
    </cfRule>
  </conditionalFormatting>
  <conditionalFormatting sqref="C91">
    <cfRule type="cellIs" dxfId="18585" priority="3515" stopIfTrue="1" operator="equal">
      <formula>"Towel"</formula>
    </cfRule>
    <cfRule type="cellIs" dxfId="18584" priority="3516" stopIfTrue="1" operator="equal">
      <formula>"Napkin Hs"</formula>
    </cfRule>
  </conditionalFormatting>
  <conditionalFormatting sqref="B91:C91">
    <cfRule type="cellIs" dxfId="18583" priority="3476" stopIfTrue="1" operator="equal">
      <formula>"Napkin Hs"</formula>
    </cfRule>
  </conditionalFormatting>
  <conditionalFormatting sqref="B91:C91">
    <cfRule type="cellIs" dxfId="18582" priority="3475" stopIfTrue="1" operator="equal">
      <formula>"Towel"</formula>
    </cfRule>
  </conditionalFormatting>
  <conditionalFormatting sqref="C91">
    <cfRule type="cellIs" dxfId="18581" priority="3474" stopIfTrue="1" operator="equal">
      <formula>"Napkin Hs"</formula>
    </cfRule>
  </conditionalFormatting>
  <conditionalFormatting sqref="C91">
    <cfRule type="cellIs" dxfId="18580" priority="3471" stopIfTrue="1" operator="equal">
      <formula>"Towel"</formula>
    </cfRule>
    <cfRule type="cellIs" dxfId="18579" priority="3472" stopIfTrue="1" operator="equal">
      <formula>"Napkin Hs"</formula>
    </cfRule>
  </conditionalFormatting>
  <conditionalFormatting sqref="C91">
    <cfRule type="cellIs" dxfId="18578" priority="3473" stopIfTrue="1" operator="equal">
      <formula>"Towel"</formula>
    </cfRule>
  </conditionalFormatting>
  <conditionalFormatting sqref="B96:C96">
    <cfRule type="cellIs" dxfId="18577" priority="3467" stopIfTrue="1" operator="equal">
      <formula>"Towel"</formula>
    </cfRule>
    <cfRule type="cellIs" dxfId="18576" priority="3468" stopIfTrue="1" operator="equal">
      <formula>"Napkin Hs"</formula>
    </cfRule>
  </conditionalFormatting>
  <conditionalFormatting sqref="C96">
    <cfRule type="cellIs" dxfId="18575" priority="3469" stopIfTrue="1" operator="equal">
      <formula>"Towel"</formula>
    </cfRule>
    <cfRule type="cellIs" dxfId="18574" priority="3470" stopIfTrue="1" operator="equal">
      <formula>"Napkin Hs"</formula>
    </cfRule>
  </conditionalFormatting>
  <conditionalFormatting sqref="C96">
    <cfRule type="cellIs" dxfId="18573" priority="3465" stopIfTrue="1" operator="equal">
      <formula>"Towel"</formula>
    </cfRule>
    <cfRule type="cellIs" dxfId="18572" priority="3466" stopIfTrue="1" operator="equal">
      <formula>"Napkin Hs"</formula>
    </cfRule>
  </conditionalFormatting>
  <conditionalFormatting sqref="B96:C96">
    <cfRule type="cellIs" dxfId="18571" priority="3463" stopIfTrue="1" operator="equal">
      <formula>"Towel"</formula>
    </cfRule>
    <cfRule type="cellIs" dxfId="18570" priority="3464" stopIfTrue="1" operator="equal">
      <formula>"Napkin Hs"</formula>
    </cfRule>
  </conditionalFormatting>
  <conditionalFormatting sqref="C96">
    <cfRule type="cellIs" dxfId="18569" priority="3459" stopIfTrue="1" operator="equal">
      <formula>"Towel"</formula>
    </cfRule>
    <cfRule type="cellIs" dxfId="18568" priority="3460" stopIfTrue="1" operator="equal">
      <formula>"Napkin Hs"</formula>
    </cfRule>
  </conditionalFormatting>
  <conditionalFormatting sqref="C96">
    <cfRule type="cellIs" dxfId="18567" priority="3461" stopIfTrue="1" operator="equal">
      <formula>"Towel"</formula>
    </cfRule>
    <cfRule type="cellIs" dxfId="18566" priority="3462" stopIfTrue="1" operator="equal">
      <formula>"Napkin Hs"</formula>
    </cfRule>
  </conditionalFormatting>
  <conditionalFormatting sqref="B96:C96">
    <cfRule type="cellIs" dxfId="18565" priority="3457" stopIfTrue="1" operator="equal">
      <formula>"Towel"</formula>
    </cfRule>
    <cfRule type="cellIs" dxfId="18564" priority="3458" stopIfTrue="1" operator="equal">
      <formula>"Napkin Hs"</formula>
    </cfRule>
  </conditionalFormatting>
  <conditionalFormatting sqref="C96">
    <cfRule type="cellIs" dxfId="18563" priority="3453" stopIfTrue="1" operator="equal">
      <formula>"Towel"</formula>
    </cfRule>
    <cfRule type="cellIs" dxfId="18562" priority="3454" stopIfTrue="1" operator="equal">
      <formula>"Napkin Hs"</formula>
    </cfRule>
  </conditionalFormatting>
  <conditionalFormatting sqref="C96">
    <cfRule type="cellIs" dxfId="18561" priority="3455" stopIfTrue="1" operator="equal">
      <formula>"Towel"</formula>
    </cfRule>
    <cfRule type="cellIs" dxfId="18560" priority="3456" stopIfTrue="1" operator="equal">
      <formula>"Napkin Hs"</formula>
    </cfRule>
  </conditionalFormatting>
  <conditionalFormatting sqref="B96:C96">
    <cfRule type="cellIs" dxfId="18559" priority="3451" stopIfTrue="1" operator="equal">
      <formula>"Towel"</formula>
    </cfRule>
    <cfRule type="cellIs" dxfId="18558" priority="3452" stopIfTrue="1" operator="equal">
      <formula>"Napkin Hs"</formula>
    </cfRule>
  </conditionalFormatting>
  <conditionalFormatting sqref="C96">
    <cfRule type="cellIs" dxfId="18557" priority="3449" stopIfTrue="1" operator="equal">
      <formula>"Towel"</formula>
    </cfRule>
    <cfRule type="cellIs" dxfId="18556" priority="3450" stopIfTrue="1" operator="equal">
      <formula>"Napkin Hs"</formula>
    </cfRule>
  </conditionalFormatting>
  <conditionalFormatting sqref="C96">
    <cfRule type="cellIs" dxfId="18555" priority="3447" stopIfTrue="1" operator="equal">
      <formula>"Towel"</formula>
    </cfRule>
    <cfRule type="cellIs" dxfId="18554" priority="3448" stopIfTrue="1" operator="equal">
      <formula>"Napkin Hs"</formula>
    </cfRule>
  </conditionalFormatting>
  <conditionalFormatting sqref="B96:C96">
    <cfRule type="cellIs" dxfId="18553" priority="3445" stopIfTrue="1" operator="equal">
      <formula>"Towel"</formula>
    </cfRule>
    <cfRule type="cellIs" dxfId="18552" priority="3446" stopIfTrue="1" operator="equal">
      <formula>"Napkin Hs"</formula>
    </cfRule>
  </conditionalFormatting>
  <conditionalFormatting sqref="C96">
    <cfRule type="cellIs" dxfId="18551" priority="3443" stopIfTrue="1" operator="equal">
      <formula>"Towel"</formula>
    </cfRule>
    <cfRule type="cellIs" dxfId="18550" priority="3444" stopIfTrue="1" operator="equal">
      <formula>"Napkin Hs"</formula>
    </cfRule>
  </conditionalFormatting>
  <conditionalFormatting sqref="C96">
    <cfRule type="cellIs" dxfId="18549" priority="3441" stopIfTrue="1" operator="equal">
      <formula>"Towel"</formula>
    </cfRule>
    <cfRule type="cellIs" dxfId="18548" priority="3442" stopIfTrue="1" operator="equal">
      <formula>"Napkin Hs"</formula>
    </cfRule>
  </conditionalFormatting>
  <conditionalFormatting sqref="B96:C96">
    <cfRule type="cellIs" dxfId="18547" priority="3439" stopIfTrue="1" operator="equal">
      <formula>"Towel"</formula>
    </cfRule>
    <cfRule type="cellIs" dxfId="18546" priority="3440" stopIfTrue="1" operator="equal">
      <formula>"Napkin Hs"</formula>
    </cfRule>
  </conditionalFormatting>
  <conditionalFormatting sqref="C96">
    <cfRule type="cellIs" dxfId="18545" priority="3437" stopIfTrue="1" operator="equal">
      <formula>"Towel"</formula>
    </cfRule>
    <cfRule type="cellIs" dxfId="18544" priority="3438" stopIfTrue="1" operator="equal">
      <formula>"Napkin Hs"</formula>
    </cfRule>
  </conditionalFormatting>
  <conditionalFormatting sqref="C96">
    <cfRule type="cellIs" dxfId="18543" priority="3435" stopIfTrue="1" operator="equal">
      <formula>"Towel"</formula>
    </cfRule>
    <cfRule type="cellIs" dxfId="18542" priority="3436" stopIfTrue="1" operator="equal">
      <formula>"Napkin Hs"</formula>
    </cfRule>
  </conditionalFormatting>
  <conditionalFormatting sqref="B96:C96">
    <cfRule type="cellIs" dxfId="18541" priority="3434" stopIfTrue="1" operator="equal">
      <formula>"Napkin Hs"</formula>
    </cfRule>
  </conditionalFormatting>
  <conditionalFormatting sqref="B96:C96">
    <cfRule type="cellIs" dxfId="18540" priority="3433" stopIfTrue="1" operator="equal">
      <formula>"Towel"</formula>
    </cfRule>
  </conditionalFormatting>
  <conditionalFormatting sqref="C96">
    <cfRule type="cellIs" dxfId="18539" priority="3432" stopIfTrue="1" operator="equal">
      <formula>"Napkin Hs"</formula>
    </cfRule>
  </conditionalFormatting>
  <conditionalFormatting sqref="C96">
    <cfRule type="cellIs" dxfId="18538" priority="3429" stopIfTrue="1" operator="equal">
      <formula>"Towel"</formula>
    </cfRule>
    <cfRule type="cellIs" dxfId="18537" priority="3430" stopIfTrue="1" operator="equal">
      <formula>"Napkin Hs"</formula>
    </cfRule>
  </conditionalFormatting>
  <conditionalFormatting sqref="C96">
    <cfRule type="cellIs" dxfId="18536" priority="3431" stopIfTrue="1" operator="equal">
      <formula>"Towel"</formula>
    </cfRule>
  </conditionalFormatting>
  <conditionalFormatting sqref="B102:C102">
    <cfRule type="cellIs" dxfId="18535" priority="3428" stopIfTrue="1" operator="equal">
      <formula>"Napkin Hs"</formula>
    </cfRule>
  </conditionalFormatting>
  <conditionalFormatting sqref="B102:C102">
    <cfRule type="cellIs" dxfId="18534" priority="3427" stopIfTrue="1" operator="equal">
      <formula>"Towel"</formula>
    </cfRule>
  </conditionalFormatting>
  <conditionalFormatting sqref="B101:C101">
    <cfRule type="cellIs" dxfId="18533" priority="3421" stopIfTrue="1" operator="equal">
      <formula>"Towel"</formula>
    </cfRule>
    <cfRule type="cellIs" dxfId="18532" priority="3422" stopIfTrue="1" operator="equal">
      <formula>"Napkin Hs"</formula>
    </cfRule>
  </conditionalFormatting>
  <conditionalFormatting sqref="C102">
    <cfRule type="cellIs" dxfId="18531" priority="3426" stopIfTrue="1" operator="equal">
      <formula>"Napkin Hs"</formula>
    </cfRule>
  </conditionalFormatting>
  <conditionalFormatting sqref="C102">
    <cfRule type="cellIs" dxfId="18530" priority="3425" stopIfTrue="1" operator="equal">
      <formula>"Towel"</formula>
    </cfRule>
  </conditionalFormatting>
  <conditionalFormatting sqref="C101:C102">
    <cfRule type="cellIs" dxfId="18529" priority="3423" stopIfTrue="1" operator="equal">
      <formula>"Towel"</formula>
    </cfRule>
    <cfRule type="cellIs" dxfId="18528" priority="3424" stopIfTrue="1" operator="equal">
      <formula>"Napkin Hs"</formula>
    </cfRule>
  </conditionalFormatting>
  <conditionalFormatting sqref="C101">
    <cfRule type="cellIs" dxfId="18527" priority="3419" stopIfTrue="1" operator="equal">
      <formula>"Towel"</formula>
    </cfRule>
    <cfRule type="cellIs" dxfId="18526" priority="3420" stopIfTrue="1" operator="equal">
      <formula>"Napkin Hs"</formula>
    </cfRule>
  </conditionalFormatting>
  <conditionalFormatting sqref="B102:C102">
    <cfRule type="cellIs" dxfId="18525" priority="3397" stopIfTrue="1" operator="equal">
      <formula>"Towel"</formula>
    </cfRule>
    <cfRule type="cellIs" dxfId="18524" priority="3398" stopIfTrue="1" operator="equal">
      <formula>"Napkin Hs"</formula>
    </cfRule>
  </conditionalFormatting>
  <conditionalFormatting sqref="C102">
    <cfRule type="cellIs" dxfId="18523" priority="3393" stopIfTrue="1" operator="equal">
      <formula>"Towel"</formula>
    </cfRule>
    <cfRule type="cellIs" dxfId="18522" priority="3394" stopIfTrue="1" operator="equal">
      <formula>"Napkin Hs"</formula>
    </cfRule>
  </conditionalFormatting>
  <conditionalFormatting sqref="C102">
    <cfRule type="cellIs" dxfId="18521" priority="3395" stopIfTrue="1" operator="equal">
      <formula>"Towel"</formula>
    </cfRule>
    <cfRule type="cellIs" dxfId="18520" priority="3396" stopIfTrue="1" operator="equal">
      <formula>"Napkin Hs"</formula>
    </cfRule>
  </conditionalFormatting>
  <conditionalFormatting sqref="B102:C102">
    <cfRule type="cellIs" dxfId="18519" priority="3392" stopIfTrue="1" operator="equal">
      <formula>"Napkin Hs"</formula>
    </cfRule>
  </conditionalFormatting>
  <conditionalFormatting sqref="B102:C102">
    <cfRule type="cellIs" dxfId="18518" priority="3391" stopIfTrue="1" operator="equal">
      <formula>"Towel"</formula>
    </cfRule>
  </conditionalFormatting>
  <conditionalFormatting sqref="C102">
    <cfRule type="cellIs" dxfId="18517" priority="3390" stopIfTrue="1" operator="equal">
      <formula>"Napkin Hs"</formula>
    </cfRule>
  </conditionalFormatting>
  <conditionalFormatting sqref="C102">
    <cfRule type="cellIs" dxfId="18516" priority="3389" stopIfTrue="1" operator="equal">
      <formula>"Towel"</formula>
    </cfRule>
  </conditionalFormatting>
  <conditionalFormatting sqref="C102">
    <cfRule type="cellIs" dxfId="18515" priority="3387" stopIfTrue="1" operator="equal">
      <formula>"Towel"</formula>
    </cfRule>
    <cfRule type="cellIs" dxfId="18514" priority="3388" stopIfTrue="1" operator="equal">
      <formula>"Napkin Hs"</formula>
    </cfRule>
  </conditionalFormatting>
  <conditionalFormatting sqref="B102:C102">
    <cfRule type="cellIs" dxfId="18513" priority="3385" stopIfTrue="1" operator="equal">
      <formula>"Towel"</formula>
    </cfRule>
    <cfRule type="cellIs" dxfId="18512" priority="3386" stopIfTrue="1" operator="equal">
      <formula>"Napkin Hs"</formula>
    </cfRule>
  </conditionalFormatting>
  <conditionalFormatting sqref="C102">
    <cfRule type="cellIs" dxfId="18511" priority="3383" stopIfTrue="1" operator="equal">
      <formula>"Towel"</formula>
    </cfRule>
    <cfRule type="cellIs" dxfId="18510" priority="3384" stopIfTrue="1" operator="equal">
      <formula>"Napkin Hs"</formula>
    </cfRule>
  </conditionalFormatting>
  <conditionalFormatting sqref="C102">
    <cfRule type="cellIs" dxfId="18509" priority="3381" stopIfTrue="1" operator="equal">
      <formula>"Towel"</formula>
    </cfRule>
    <cfRule type="cellIs" dxfId="18508" priority="3382" stopIfTrue="1" operator="equal">
      <formula>"Napkin Hs"</formula>
    </cfRule>
  </conditionalFormatting>
  <conditionalFormatting sqref="B102:C102">
    <cfRule type="cellIs" dxfId="18507" priority="3379" stopIfTrue="1" operator="equal">
      <formula>"Towel"</formula>
    </cfRule>
    <cfRule type="cellIs" dxfId="18506" priority="3380" stopIfTrue="1" operator="equal">
      <formula>"Napkin Hs"</formula>
    </cfRule>
  </conditionalFormatting>
  <conditionalFormatting sqref="C102">
    <cfRule type="cellIs" dxfId="18505" priority="3377" stopIfTrue="1" operator="equal">
      <formula>"Towel"</formula>
    </cfRule>
    <cfRule type="cellIs" dxfId="18504" priority="3378" stopIfTrue="1" operator="equal">
      <formula>"Napkin Hs"</formula>
    </cfRule>
  </conditionalFormatting>
  <conditionalFormatting sqref="C102">
    <cfRule type="cellIs" dxfId="18503" priority="3375" stopIfTrue="1" operator="equal">
      <formula>"Towel"</formula>
    </cfRule>
    <cfRule type="cellIs" dxfId="18502" priority="3376" stopIfTrue="1" operator="equal">
      <formula>"Napkin Hs"</formula>
    </cfRule>
  </conditionalFormatting>
  <conditionalFormatting sqref="B102:C102">
    <cfRule type="cellIs" dxfId="18501" priority="3373" stopIfTrue="1" operator="equal">
      <formula>"Towel"</formula>
    </cfRule>
    <cfRule type="cellIs" dxfId="18500" priority="3374" stopIfTrue="1" operator="equal">
      <formula>"Napkin Hs"</formula>
    </cfRule>
  </conditionalFormatting>
  <conditionalFormatting sqref="C102">
    <cfRule type="cellIs" dxfId="18499" priority="3371" stopIfTrue="1" operator="equal">
      <formula>"Towel"</formula>
    </cfRule>
    <cfRule type="cellIs" dxfId="18498" priority="3372" stopIfTrue="1" operator="equal">
      <formula>"Napkin Hs"</formula>
    </cfRule>
  </conditionalFormatting>
  <conditionalFormatting sqref="C102">
    <cfRule type="cellIs" dxfId="18497" priority="3369" stopIfTrue="1" operator="equal">
      <formula>"Towel"</formula>
    </cfRule>
    <cfRule type="cellIs" dxfId="18496" priority="3370" stopIfTrue="1" operator="equal">
      <formula>"Napkin Hs"</formula>
    </cfRule>
  </conditionalFormatting>
  <conditionalFormatting sqref="B102:C102">
    <cfRule type="cellIs" dxfId="18495" priority="3367" stopIfTrue="1" operator="equal">
      <formula>"Towel"</formula>
    </cfRule>
    <cfRule type="cellIs" dxfId="18494" priority="3368" stopIfTrue="1" operator="equal">
      <formula>"Napkin Hs"</formula>
    </cfRule>
  </conditionalFormatting>
  <conditionalFormatting sqref="C102">
    <cfRule type="cellIs" dxfId="18493" priority="3365" stopIfTrue="1" operator="equal">
      <formula>"Towel"</formula>
    </cfRule>
    <cfRule type="cellIs" dxfId="18492" priority="3366" stopIfTrue="1" operator="equal">
      <formula>"Napkin Hs"</formula>
    </cfRule>
  </conditionalFormatting>
  <conditionalFormatting sqref="C102">
    <cfRule type="cellIs" dxfId="18491" priority="3363" stopIfTrue="1" operator="equal">
      <formula>"Towel"</formula>
    </cfRule>
    <cfRule type="cellIs" dxfId="18490" priority="3364" stopIfTrue="1" operator="equal">
      <formula>"Napkin Hs"</formula>
    </cfRule>
  </conditionalFormatting>
  <conditionalFormatting sqref="B102:C102">
    <cfRule type="cellIs" dxfId="18489" priority="3361" stopIfTrue="1" operator="equal">
      <formula>"Towel"</formula>
    </cfRule>
    <cfRule type="cellIs" dxfId="18488" priority="3362" stopIfTrue="1" operator="equal">
      <formula>"Napkin Hs"</formula>
    </cfRule>
  </conditionalFormatting>
  <conditionalFormatting sqref="C102">
    <cfRule type="cellIs" dxfId="18487" priority="3359" stopIfTrue="1" operator="equal">
      <formula>"Towel"</formula>
    </cfRule>
    <cfRule type="cellIs" dxfId="18486" priority="3360" stopIfTrue="1" operator="equal">
      <formula>"Napkin Hs"</formula>
    </cfRule>
  </conditionalFormatting>
  <conditionalFormatting sqref="C102">
    <cfRule type="cellIs" dxfId="18485" priority="3357" stopIfTrue="1" operator="equal">
      <formula>"Towel"</formula>
    </cfRule>
    <cfRule type="cellIs" dxfId="18484" priority="3358" stopIfTrue="1" operator="equal">
      <formula>"Napkin Hs"</formula>
    </cfRule>
  </conditionalFormatting>
  <conditionalFormatting sqref="B102:C102">
    <cfRule type="cellIs" dxfId="18483" priority="3356" stopIfTrue="1" operator="equal">
      <formula>"Napkin Hs"</formula>
    </cfRule>
  </conditionalFormatting>
  <conditionalFormatting sqref="B102:C102">
    <cfRule type="cellIs" dxfId="18482" priority="3355" stopIfTrue="1" operator="equal">
      <formula>"Towel"</formula>
    </cfRule>
  </conditionalFormatting>
  <conditionalFormatting sqref="C102">
    <cfRule type="cellIs" dxfId="18481" priority="3354" stopIfTrue="1" operator="equal">
      <formula>"Napkin Hs"</formula>
    </cfRule>
  </conditionalFormatting>
  <conditionalFormatting sqref="C102">
    <cfRule type="cellIs" dxfId="18480" priority="3351" stopIfTrue="1" operator="equal">
      <formula>"Towel"</formula>
    </cfRule>
    <cfRule type="cellIs" dxfId="18479" priority="3352" stopIfTrue="1" operator="equal">
      <formula>"Napkin Hs"</formula>
    </cfRule>
  </conditionalFormatting>
  <conditionalFormatting sqref="C102">
    <cfRule type="cellIs" dxfId="18478" priority="3353" stopIfTrue="1" operator="equal">
      <formula>"Towel"</formula>
    </cfRule>
  </conditionalFormatting>
  <conditionalFormatting sqref="B103:C103">
    <cfRule type="cellIs" dxfId="18477" priority="3350" stopIfTrue="1" operator="equal">
      <formula>"Napkin Hs"</formula>
    </cfRule>
  </conditionalFormatting>
  <conditionalFormatting sqref="B103:C103">
    <cfRule type="cellIs" dxfId="18476" priority="3349" stopIfTrue="1" operator="equal">
      <formula>"Towel"</formula>
    </cfRule>
  </conditionalFormatting>
  <conditionalFormatting sqref="C103">
    <cfRule type="cellIs" dxfId="18475" priority="3348" stopIfTrue="1" operator="equal">
      <formula>"Napkin Hs"</formula>
    </cfRule>
  </conditionalFormatting>
  <conditionalFormatting sqref="C103">
    <cfRule type="cellIs" dxfId="18474" priority="3347" stopIfTrue="1" operator="equal">
      <formula>"Towel"</formula>
    </cfRule>
  </conditionalFormatting>
  <conditionalFormatting sqref="C103">
    <cfRule type="cellIs" dxfId="18473" priority="3345" stopIfTrue="1" operator="equal">
      <formula>"Towel"</formula>
    </cfRule>
    <cfRule type="cellIs" dxfId="18472" priority="3346" stopIfTrue="1" operator="equal">
      <formula>"Napkin Hs"</formula>
    </cfRule>
  </conditionalFormatting>
  <conditionalFormatting sqref="B103:C103">
    <cfRule type="cellIs" dxfId="18471" priority="3343" stopIfTrue="1" operator="equal">
      <formula>"Towel"</formula>
    </cfRule>
    <cfRule type="cellIs" dxfId="18470" priority="3344" stopIfTrue="1" operator="equal">
      <formula>"Napkin Hs"</formula>
    </cfRule>
  </conditionalFormatting>
  <conditionalFormatting sqref="C103">
    <cfRule type="cellIs" dxfId="18469" priority="3339" stopIfTrue="1" operator="equal">
      <formula>"Towel"</formula>
    </cfRule>
    <cfRule type="cellIs" dxfId="18468" priority="3340" stopIfTrue="1" operator="equal">
      <formula>"Napkin Hs"</formula>
    </cfRule>
  </conditionalFormatting>
  <conditionalFormatting sqref="C103">
    <cfRule type="cellIs" dxfId="18467" priority="3341" stopIfTrue="1" operator="equal">
      <formula>"Towel"</formula>
    </cfRule>
    <cfRule type="cellIs" dxfId="18466" priority="3342" stopIfTrue="1" operator="equal">
      <formula>"Napkin Hs"</formula>
    </cfRule>
  </conditionalFormatting>
  <conditionalFormatting sqref="B103:C103">
    <cfRule type="cellIs" dxfId="18465" priority="3338" stopIfTrue="1" operator="equal">
      <formula>"Napkin Hs"</formula>
    </cfRule>
  </conditionalFormatting>
  <conditionalFormatting sqref="B103:C103">
    <cfRule type="cellIs" dxfId="18464" priority="3337" stopIfTrue="1" operator="equal">
      <formula>"Towel"</formula>
    </cfRule>
  </conditionalFormatting>
  <conditionalFormatting sqref="C103">
    <cfRule type="cellIs" dxfId="18463" priority="3336" stopIfTrue="1" operator="equal">
      <formula>"Napkin Hs"</formula>
    </cfRule>
  </conditionalFormatting>
  <conditionalFormatting sqref="C103">
    <cfRule type="cellIs" dxfId="18462" priority="3335" stopIfTrue="1" operator="equal">
      <formula>"Towel"</formula>
    </cfRule>
  </conditionalFormatting>
  <conditionalFormatting sqref="C103">
    <cfRule type="cellIs" dxfId="18461" priority="3333" stopIfTrue="1" operator="equal">
      <formula>"Towel"</formula>
    </cfRule>
    <cfRule type="cellIs" dxfId="18460" priority="3334" stopIfTrue="1" operator="equal">
      <formula>"Napkin Hs"</formula>
    </cfRule>
  </conditionalFormatting>
  <conditionalFormatting sqref="B103:C103">
    <cfRule type="cellIs" dxfId="18459" priority="3331" stopIfTrue="1" operator="equal">
      <formula>"Towel"</formula>
    </cfRule>
    <cfRule type="cellIs" dxfId="18458" priority="3332" stopIfTrue="1" operator="equal">
      <formula>"Napkin Hs"</formula>
    </cfRule>
  </conditionalFormatting>
  <conditionalFormatting sqref="C103">
    <cfRule type="cellIs" dxfId="18457" priority="3329" stopIfTrue="1" operator="equal">
      <formula>"Towel"</formula>
    </cfRule>
    <cfRule type="cellIs" dxfId="18456" priority="3330" stopIfTrue="1" operator="equal">
      <formula>"Napkin Hs"</formula>
    </cfRule>
  </conditionalFormatting>
  <conditionalFormatting sqref="C103">
    <cfRule type="cellIs" dxfId="18455" priority="3327" stopIfTrue="1" operator="equal">
      <formula>"Towel"</formula>
    </cfRule>
    <cfRule type="cellIs" dxfId="18454" priority="3328" stopIfTrue="1" operator="equal">
      <formula>"Napkin Hs"</formula>
    </cfRule>
  </conditionalFormatting>
  <conditionalFormatting sqref="B103:C103">
    <cfRule type="cellIs" dxfId="18453" priority="3325" stopIfTrue="1" operator="equal">
      <formula>"Towel"</formula>
    </cfRule>
    <cfRule type="cellIs" dxfId="18452" priority="3326" stopIfTrue="1" operator="equal">
      <formula>"Napkin Hs"</formula>
    </cfRule>
  </conditionalFormatting>
  <conditionalFormatting sqref="C103">
    <cfRule type="cellIs" dxfId="18451" priority="3323" stopIfTrue="1" operator="equal">
      <formula>"Towel"</formula>
    </cfRule>
    <cfRule type="cellIs" dxfId="18450" priority="3324" stopIfTrue="1" operator="equal">
      <formula>"Napkin Hs"</formula>
    </cfRule>
  </conditionalFormatting>
  <conditionalFormatting sqref="C103">
    <cfRule type="cellIs" dxfId="18449" priority="3321" stopIfTrue="1" operator="equal">
      <formula>"Towel"</formula>
    </cfRule>
    <cfRule type="cellIs" dxfId="18448" priority="3322" stopIfTrue="1" operator="equal">
      <formula>"Napkin Hs"</formula>
    </cfRule>
  </conditionalFormatting>
  <conditionalFormatting sqref="B103:C103">
    <cfRule type="cellIs" dxfId="18447" priority="3319" stopIfTrue="1" operator="equal">
      <formula>"Towel"</formula>
    </cfRule>
    <cfRule type="cellIs" dxfId="18446" priority="3320" stopIfTrue="1" operator="equal">
      <formula>"Napkin Hs"</formula>
    </cfRule>
  </conditionalFormatting>
  <conditionalFormatting sqref="C103">
    <cfRule type="cellIs" dxfId="18445" priority="3317" stopIfTrue="1" operator="equal">
      <formula>"Towel"</formula>
    </cfRule>
    <cfRule type="cellIs" dxfId="18444" priority="3318" stopIfTrue="1" operator="equal">
      <formula>"Napkin Hs"</formula>
    </cfRule>
  </conditionalFormatting>
  <conditionalFormatting sqref="C103">
    <cfRule type="cellIs" dxfId="18443" priority="3315" stopIfTrue="1" operator="equal">
      <formula>"Towel"</formula>
    </cfRule>
    <cfRule type="cellIs" dxfId="18442" priority="3316" stopIfTrue="1" operator="equal">
      <formula>"Napkin Hs"</formula>
    </cfRule>
  </conditionalFormatting>
  <conditionalFormatting sqref="B103:C103">
    <cfRule type="cellIs" dxfId="18441" priority="3313" stopIfTrue="1" operator="equal">
      <formula>"Towel"</formula>
    </cfRule>
    <cfRule type="cellIs" dxfId="18440" priority="3314" stopIfTrue="1" operator="equal">
      <formula>"Napkin Hs"</formula>
    </cfRule>
  </conditionalFormatting>
  <conditionalFormatting sqref="C103">
    <cfRule type="cellIs" dxfId="18439" priority="3311" stopIfTrue="1" operator="equal">
      <formula>"Towel"</formula>
    </cfRule>
    <cfRule type="cellIs" dxfId="18438" priority="3312" stopIfTrue="1" operator="equal">
      <formula>"Napkin Hs"</formula>
    </cfRule>
  </conditionalFormatting>
  <conditionalFormatting sqref="C103">
    <cfRule type="cellIs" dxfId="18437" priority="3309" stopIfTrue="1" operator="equal">
      <formula>"Towel"</formula>
    </cfRule>
    <cfRule type="cellIs" dxfId="18436" priority="3310" stopIfTrue="1" operator="equal">
      <formula>"Napkin Hs"</formula>
    </cfRule>
  </conditionalFormatting>
  <conditionalFormatting sqref="B103:C103">
    <cfRule type="cellIs" dxfId="18435" priority="3307" stopIfTrue="1" operator="equal">
      <formula>"Towel"</formula>
    </cfRule>
    <cfRule type="cellIs" dxfId="18434" priority="3308" stopIfTrue="1" operator="equal">
      <formula>"Napkin Hs"</formula>
    </cfRule>
  </conditionalFormatting>
  <conditionalFormatting sqref="C103">
    <cfRule type="cellIs" dxfId="18433" priority="3305" stopIfTrue="1" operator="equal">
      <formula>"Towel"</formula>
    </cfRule>
    <cfRule type="cellIs" dxfId="18432" priority="3306" stopIfTrue="1" operator="equal">
      <formula>"Napkin Hs"</formula>
    </cfRule>
  </conditionalFormatting>
  <conditionalFormatting sqref="C103">
    <cfRule type="cellIs" dxfId="18431" priority="3303" stopIfTrue="1" operator="equal">
      <formula>"Towel"</formula>
    </cfRule>
    <cfRule type="cellIs" dxfId="18430" priority="3304" stopIfTrue="1" operator="equal">
      <formula>"Napkin Hs"</formula>
    </cfRule>
  </conditionalFormatting>
  <conditionalFormatting sqref="B103:C103">
    <cfRule type="cellIs" dxfId="18429" priority="3302" stopIfTrue="1" operator="equal">
      <formula>"Napkin Hs"</formula>
    </cfRule>
  </conditionalFormatting>
  <conditionalFormatting sqref="B103:C103">
    <cfRule type="cellIs" dxfId="18428" priority="3301" stopIfTrue="1" operator="equal">
      <formula>"Towel"</formula>
    </cfRule>
  </conditionalFormatting>
  <conditionalFormatting sqref="C103">
    <cfRule type="cellIs" dxfId="18427" priority="3300" stopIfTrue="1" operator="equal">
      <formula>"Napkin Hs"</formula>
    </cfRule>
  </conditionalFormatting>
  <conditionalFormatting sqref="C103">
    <cfRule type="cellIs" dxfId="18426" priority="3297" stopIfTrue="1" operator="equal">
      <formula>"Towel"</formula>
    </cfRule>
    <cfRule type="cellIs" dxfId="18425" priority="3298" stopIfTrue="1" operator="equal">
      <formula>"Napkin Hs"</formula>
    </cfRule>
  </conditionalFormatting>
  <conditionalFormatting sqref="C103">
    <cfRule type="cellIs" dxfId="18424" priority="3299" stopIfTrue="1" operator="equal">
      <formula>"Towel"</formula>
    </cfRule>
  </conditionalFormatting>
  <conditionalFormatting sqref="B101:C101">
    <cfRule type="cellIs" dxfId="18423" priority="3295" stopIfTrue="1" operator="equal">
      <formula>"Towel"</formula>
    </cfRule>
    <cfRule type="cellIs" dxfId="18422" priority="3296" stopIfTrue="1" operator="equal">
      <formula>"Napkin Hs"</formula>
    </cfRule>
  </conditionalFormatting>
  <conditionalFormatting sqref="C101">
    <cfRule type="cellIs" dxfId="18421" priority="3291" stopIfTrue="1" operator="equal">
      <formula>"Towel"</formula>
    </cfRule>
    <cfRule type="cellIs" dxfId="18420" priority="3292" stopIfTrue="1" operator="equal">
      <formula>"Napkin Hs"</formula>
    </cfRule>
  </conditionalFormatting>
  <conditionalFormatting sqref="C101">
    <cfRule type="cellIs" dxfId="18419" priority="3293" stopIfTrue="1" operator="equal">
      <formula>"Towel"</formula>
    </cfRule>
    <cfRule type="cellIs" dxfId="18418" priority="3294" stopIfTrue="1" operator="equal">
      <formula>"Napkin Hs"</formula>
    </cfRule>
  </conditionalFormatting>
  <conditionalFormatting sqref="B101:C101">
    <cfRule type="cellIs" dxfId="18417" priority="3289" stopIfTrue="1" operator="equal">
      <formula>"Towel"</formula>
    </cfRule>
    <cfRule type="cellIs" dxfId="18416" priority="3290" stopIfTrue="1" operator="equal">
      <formula>"Napkin Hs"</formula>
    </cfRule>
  </conditionalFormatting>
  <conditionalFormatting sqref="C101">
    <cfRule type="cellIs" dxfId="18415" priority="3285" stopIfTrue="1" operator="equal">
      <formula>"Towel"</formula>
    </cfRule>
    <cfRule type="cellIs" dxfId="18414" priority="3286" stopIfTrue="1" operator="equal">
      <formula>"Napkin Hs"</formula>
    </cfRule>
  </conditionalFormatting>
  <conditionalFormatting sqref="C101">
    <cfRule type="cellIs" dxfId="18413" priority="3287" stopIfTrue="1" operator="equal">
      <formula>"Towel"</formula>
    </cfRule>
    <cfRule type="cellIs" dxfId="18412" priority="3288" stopIfTrue="1" operator="equal">
      <formula>"Napkin Hs"</formula>
    </cfRule>
  </conditionalFormatting>
  <conditionalFormatting sqref="B101:C101">
    <cfRule type="cellIs" dxfId="18411" priority="3283" stopIfTrue="1" operator="equal">
      <formula>"Towel"</formula>
    </cfRule>
    <cfRule type="cellIs" dxfId="18410" priority="3284" stopIfTrue="1" operator="equal">
      <formula>"Napkin Hs"</formula>
    </cfRule>
  </conditionalFormatting>
  <conditionalFormatting sqref="C101">
    <cfRule type="cellIs" dxfId="18409" priority="3281" stopIfTrue="1" operator="equal">
      <formula>"Towel"</formula>
    </cfRule>
    <cfRule type="cellIs" dxfId="18408" priority="3282" stopIfTrue="1" operator="equal">
      <formula>"Napkin Hs"</formula>
    </cfRule>
  </conditionalFormatting>
  <conditionalFormatting sqref="C101">
    <cfRule type="cellIs" dxfId="18407" priority="3279" stopIfTrue="1" operator="equal">
      <formula>"Towel"</formula>
    </cfRule>
    <cfRule type="cellIs" dxfId="18406" priority="3280" stopIfTrue="1" operator="equal">
      <formula>"Napkin Hs"</formula>
    </cfRule>
  </conditionalFormatting>
  <conditionalFormatting sqref="B101:C101">
    <cfRule type="cellIs" dxfId="18405" priority="3277" stopIfTrue="1" operator="equal">
      <formula>"Towel"</formula>
    </cfRule>
    <cfRule type="cellIs" dxfId="18404" priority="3278" stopIfTrue="1" operator="equal">
      <formula>"Napkin Hs"</formula>
    </cfRule>
  </conditionalFormatting>
  <conditionalFormatting sqref="C101">
    <cfRule type="cellIs" dxfId="18403" priority="3275" stopIfTrue="1" operator="equal">
      <formula>"Towel"</formula>
    </cfRule>
    <cfRule type="cellIs" dxfId="18402" priority="3276" stopIfTrue="1" operator="equal">
      <formula>"Napkin Hs"</formula>
    </cfRule>
  </conditionalFormatting>
  <conditionalFormatting sqref="C101">
    <cfRule type="cellIs" dxfId="18401" priority="3273" stopIfTrue="1" operator="equal">
      <formula>"Towel"</formula>
    </cfRule>
    <cfRule type="cellIs" dxfId="18400" priority="3274" stopIfTrue="1" operator="equal">
      <formula>"Napkin Hs"</formula>
    </cfRule>
  </conditionalFormatting>
  <conditionalFormatting sqref="B101:C101">
    <cfRule type="cellIs" dxfId="18399" priority="3271" stopIfTrue="1" operator="equal">
      <formula>"Towel"</formula>
    </cfRule>
    <cfRule type="cellIs" dxfId="18398" priority="3272" stopIfTrue="1" operator="equal">
      <formula>"Napkin Hs"</formula>
    </cfRule>
  </conditionalFormatting>
  <conditionalFormatting sqref="C101">
    <cfRule type="cellIs" dxfId="18397" priority="3269" stopIfTrue="1" operator="equal">
      <formula>"Towel"</formula>
    </cfRule>
    <cfRule type="cellIs" dxfId="18396" priority="3270" stopIfTrue="1" operator="equal">
      <formula>"Napkin Hs"</formula>
    </cfRule>
  </conditionalFormatting>
  <conditionalFormatting sqref="C101">
    <cfRule type="cellIs" dxfId="18395" priority="3267" stopIfTrue="1" operator="equal">
      <formula>"Towel"</formula>
    </cfRule>
    <cfRule type="cellIs" dxfId="18394" priority="3268" stopIfTrue="1" operator="equal">
      <formula>"Napkin Hs"</formula>
    </cfRule>
  </conditionalFormatting>
  <conditionalFormatting sqref="B101:C101">
    <cfRule type="cellIs" dxfId="18393" priority="3266" stopIfTrue="1" operator="equal">
      <formula>"Napkin Hs"</formula>
    </cfRule>
  </conditionalFormatting>
  <conditionalFormatting sqref="B101:C101">
    <cfRule type="cellIs" dxfId="18392" priority="3265" stopIfTrue="1" operator="equal">
      <formula>"Towel"</formula>
    </cfRule>
  </conditionalFormatting>
  <conditionalFormatting sqref="C101">
    <cfRule type="cellIs" dxfId="18391" priority="3264" stopIfTrue="1" operator="equal">
      <formula>"Napkin Hs"</formula>
    </cfRule>
  </conditionalFormatting>
  <conditionalFormatting sqref="C101">
    <cfRule type="cellIs" dxfId="18390" priority="3261" stopIfTrue="1" operator="equal">
      <formula>"Towel"</formula>
    </cfRule>
    <cfRule type="cellIs" dxfId="18389" priority="3262" stopIfTrue="1" operator="equal">
      <formula>"Napkin Hs"</formula>
    </cfRule>
  </conditionalFormatting>
  <conditionalFormatting sqref="C101">
    <cfRule type="cellIs" dxfId="18388" priority="3263" stopIfTrue="1" operator="equal">
      <formula>"Towel"</formula>
    </cfRule>
  </conditionalFormatting>
  <conditionalFormatting sqref="B100:C100">
    <cfRule type="cellIs" dxfId="18387" priority="3257" stopIfTrue="1" operator="equal">
      <formula>"Towel"</formula>
    </cfRule>
    <cfRule type="cellIs" dxfId="18386" priority="3258" stopIfTrue="1" operator="equal">
      <formula>"Napkin Hs"</formula>
    </cfRule>
  </conditionalFormatting>
  <conditionalFormatting sqref="C100">
    <cfRule type="cellIs" dxfId="18385" priority="3259" stopIfTrue="1" operator="equal">
      <formula>"Towel"</formula>
    </cfRule>
    <cfRule type="cellIs" dxfId="18384" priority="3260" stopIfTrue="1" operator="equal">
      <formula>"Napkin Hs"</formula>
    </cfRule>
  </conditionalFormatting>
  <conditionalFormatting sqref="C100">
    <cfRule type="cellIs" dxfId="18383" priority="3255" stopIfTrue="1" operator="equal">
      <formula>"Towel"</formula>
    </cfRule>
    <cfRule type="cellIs" dxfId="18382" priority="3256" stopIfTrue="1" operator="equal">
      <formula>"Napkin Hs"</formula>
    </cfRule>
  </conditionalFormatting>
  <conditionalFormatting sqref="B100:C100">
    <cfRule type="cellIs" dxfId="18381" priority="3253" stopIfTrue="1" operator="equal">
      <formula>"Towel"</formula>
    </cfRule>
    <cfRule type="cellIs" dxfId="18380" priority="3254" stopIfTrue="1" operator="equal">
      <formula>"Napkin Hs"</formula>
    </cfRule>
  </conditionalFormatting>
  <conditionalFormatting sqref="C100">
    <cfRule type="cellIs" dxfId="18379" priority="3249" stopIfTrue="1" operator="equal">
      <formula>"Towel"</formula>
    </cfRule>
    <cfRule type="cellIs" dxfId="18378" priority="3250" stopIfTrue="1" operator="equal">
      <formula>"Napkin Hs"</formula>
    </cfRule>
  </conditionalFormatting>
  <conditionalFormatting sqref="C100">
    <cfRule type="cellIs" dxfId="18377" priority="3251" stopIfTrue="1" operator="equal">
      <formula>"Towel"</formula>
    </cfRule>
    <cfRule type="cellIs" dxfId="18376" priority="3252" stopIfTrue="1" operator="equal">
      <formula>"Napkin Hs"</formula>
    </cfRule>
  </conditionalFormatting>
  <conditionalFormatting sqref="B100:C100">
    <cfRule type="cellIs" dxfId="18375" priority="3247" stopIfTrue="1" operator="equal">
      <formula>"Towel"</formula>
    </cfRule>
    <cfRule type="cellIs" dxfId="18374" priority="3248" stopIfTrue="1" operator="equal">
      <formula>"Napkin Hs"</formula>
    </cfRule>
  </conditionalFormatting>
  <conditionalFormatting sqref="C100">
    <cfRule type="cellIs" dxfId="18373" priority="3243" stopIfTrue="1" operator="equal">
      <formula>"Towel"</formula>
    </cfRule>
    <cfRule type="cellIs" dxfId="18372" priority="3244" stopIfTrue="1" operator="equal">
      <formula>"Napkin Hs"</formula>
    </cfRule>
  </conditionalFormatting>
  <conditionalFormatting sqref="C100">
    <cfRule type="cellIs" dxfId="18371" priority="3245" stopIfTrue="1" operator="equal">
      <formula>"Towel"</formula>
    </cfRule>
    <cfRule type="cellIs" dxfId="18370" priority="3246" stopIfTrue="1" operator="equal">
      <formula>"Napkin Hs"</formula>
    </cfRule>
  </conditionalFormatting>
  <conditionalFormatting sqref="B100:C100">
    <cfRule type="cellIs" dxfId="18369" priority="3241" stopIfTrue="1" operator="equal">
      <formula>"Towel"</formula>
    </cfRule>
    <cfRule type="cellIs" dxfId="18368" priority="3242" stopIfTrue="1" operator="equal">
      <formula>"Napkin Hs"</formula>
    </cfRule>
  </conditionalFormatting>
  <conditionalFormatting sqref="C100">
    <cfRule type="cellIs" dxfId="18367" priority="3239" stopIfTrue="1" operator="equal">
      <formula>"Towel"</formula>
    </cfRule>
    <cfRule type="cellIs" dxfId="18366" priority="3240" stopIfTrue="1" operator="equal">
      <formula>"Napkin Hs"</formula>
    </cfRule>
  </conditionalFormatting>
  <conditionalFormatting sqref="C100">
    <cfRule type="cellIs" dxfId="18365" priority="3237" stopIfTrue="1" operator="equal">
      <formula>"Towel"</formula>
    </cfRule>
    <cfRule type="cellIs" dxfId="18364" priority="3238" stopIfTrue="1" operator="equal">
      <formula>"Napkin Hs"</formula>
    </cfRule>
  </conditionalFormatting>
  <conditionalFormatting sqref="B100:C100">
    <cfRule type="cellIs" dxfId="18363" priority="3235" stopIfTrue="1" operator="equal">
      <formula>"Towel"</formula>
    </cfRule>
    <cfRule type="cellIs" dxfId="18362" priority="3236" stopIfTrue="1" operator="equal">
      <formula>"Napkin Hs"</formula>
    </cfRule>
  </conditionalFormatting>
  <conditionalFormatting sqref="C100">
    <cfRule type="cellIs" dxfId="18361" priority="3233" stopIfTrue="1" operator="equal">
      <formula>"Towel"</formula>
    </cfRule>
    <cfRule type="cellIs" dxfId="18360" priority="3234" stopIfTrue="1" operator="equal">
      <formula>"Napkin Hs"</formula>
    </cfRule>
  </conditionalFormatting>
  <conditionalFormatting sqref="C100">
    <cfRule type="cellIs" dxfId="18359" priority="3231" stopIfTrue="1" operator="equal">
      <formula>"Towel"</formula>
    </cfRule>
    <cfRule type="cellIs" dxfId="18358" priority="3232" stopIfTrue="1" operator="equal">
      <formula>"Napkin Hs"</formula>
    </cfRule>
  </conditionalFormatting>
  <conditionalFormatting sqref="B100:C100">
    <cfRule type="cellIs" dxfId="18357" priority="3229" stopIfTrue="1" operator="equal">
      <formula>"Towel"</formula>
    </cfRule>
    <cfRule type="cellIs" dxfId="18356" priority="3230" stopIfTrue="1" operator="equal">
      <formula>"Napkin Hs"</formula>
    </cfRule>
  </conditionalFormatting>
  <conditionalFormatting sqref="C100">
    <cfRule type="cellIs" dxfId="18355" priority="3227" stopIfTrue="1" operator="equal">
      <formula>"Towel"</formula>
    </cfRule>
    <cfRule type="cellIs" dxfId="18354" priority="3228" stopIfTrue="1" operator="equal">
      <formula>"Napkin Hs"</formula>
    </cfRule>
  </conditionalFormatting>
  <conditionalFormatting sqref="C100">
    <cfRule type="cellIs" dxfId="18353" priority="3225" stopIfTrue="1" operator="equal">
      <formula>"Towel"</formula>
    </cfRule>
    <cfRule type="cellIs" dxfId="18352" priority="3226" stopIfTrue="1" operator="equal">
      <formula>"Napkin Hs"</formula>
    </cfRule>
  </conditionalFormatting>
  <conditionalFormatting sqref="B100:C100">
    <cfRule type="cellIs" dxfId="18351" priority="3224" stopIfTrue="1" operator="equal">
      <formula>"Napkin Hs"</formula>
    </cfRule>
  </conditionalFormatting>
  <conditionalFormatting sqref="B100:C100">
    <cfRule type="cellIs" dxfId="18350" priority="3223" stopIfTrue="1" operator="equal">
      <formula>"Towel"</formula>
    </cfRule>
  </conditionalFormatting>
  <conditionalFormatting sqref="C100">
    <cfRule type="cellIs" dxfId="18349" priority="3222" stopIfTrue="1" operator="equal">
      <formula>"Napkin Hs"</formula>
    </cfRule>
  </conditionalFormatting>
  <conditionalFormatting sqref="C100">
    <cfRule type="cellIs" dxfId="18348" priority="3219" stopIfTrue="1" operator="equal">
      <formula>"Towel"</formula>
    </cfRule>
    <cfRule type="cellIs" dxfId="18347" priority="3220" stopIfTrue="1" operator="equal">
      <formula>"Napkin Hs"</formula>
    </cfRule>
  </conditionalFormatting>
  <conditionalFormatting sqref="C100">
    <cfRule type="cellIs" dxfId="18346" priority="3221" stopIfTrue="1" operator="equal">
      <formula>"Towel"</formula>
    </cfRule>
  </conditionalFormatting>
  <conditionalFormatting sqref="B106:C106">
    <cfRule type="cellIs" dxfId="18345" priority="3211" stopIfTrue="1" operator="equal">
      <formula>"Towel"</formula>
    </cfRule>
    <cfRule type="cellIs" dxfId="18344" priority="3212" stopIfTrue="1" operator="equal">
      <formula>"Napkin Hs"</formula>
    </cfRule>
  </conditionalFormatting>
  <conditionalFormatting sqref="B107:C107">
    <cfRule type="cellIs" dxfId="18343" priority="3207" stopIfTrue="1" operator="equal">
      <formula>"Towel"</formula>
    </cfRule>
    <cfRule type="cellIs" dxfId="18342" priority="3208" stopIfTrue="1" operator="equal">
      <formula>"Napkin Hs"</formula>
    </cfRule>
  </conditionalFormatting>
  <conditionalFormatting sqref="C106">
    <cfRule type="cellIs" dxfId="18341" priority="3213" stopIfTrue="1" operator="equal">
      <formula>"Towel"</formula>
    </cfRule>
    <cfRule type="cellIs" dxfId="18340" priority="3214" stopIfTrue="1" operator="equal">
      <formula>"Napkin Hs"</formula>
    </cfRule>
  </conditionalFormatting>
  <conditionalFormatting sqref="C106:C107">
    <cfRule type="cellIs" dxfId="18339" priority="3209" stopIfTrue="1" operator="equal">
      <formula>"Towel"</formula>
    </cfRule>
    <cfRule type="cellIs" dxfId="18338" priority="3210" stopIfTrue="1" operator="equal">
      <formula>"Napkin Hs"</formula>
    </cfRule>
  </conditionalFormatting>
  <conditionalFormatting sqref="C107">
    <cfRule type="cellIs" dxfId="18337" priority="3205" stopIfTrue="1" operator="equal">
      <formula>"Towel"</formula>
    </cfRule>
    <cfRule type="cellIs" dxfId="18336" priority="3206" stopIfTrue="1" operator="equal">
      <formula>"Napkin Hs"</formula>
    </cfRule>
  </conditionalFormatting>
  <conditionalFormatting sqref="B106:C107">
    <cfRule type="cellIs" dxfId="18335" priority="3204" stopIfTrue="1" operator="equal">
      <formula>"Napkin Hs"</formula>
    </cfRule>
  </conditionalFormatting>
  <conditionalFormatting sqref="B106:C107">
    <cfRule type="cellIs" dxfId="18334" priority="3203" stopIfTrue="1" operator="equal">
      <formula>"Towel"</formula>
    </cfRule>
  </conditionalFormatting>
  <conditionalFormatting sqref="C106:C107">
    <cfRule type="cellIs" dxfId="18333" priority="3202" stopIfTrue="1" operator="equal">
      <formula>"Napkin Hs"</formula>
    </cfRule>
  </conditionalFormatting>
  <conditionalFormatting sqref="C106:C107">
    <cfRule type="cellIs" dxfId="18332" priority="3201" stopIfTrue="1" operator="equal">
      <formula>"Towel"</formula>
    </cfRule>
  </conditionalFormatting>
  <conditionalFormatting sqref="C106:C107">
    <cfRule type="cellIs" dxfId="18331" priority="3199" stopIfTrue="1" operator="equal">
      <formula>"Towel"</formula>
    </cfRule>
    <cfRule type="cellIs" dxfId="18330" priority="3200" stopIfTrue="1" operator="equal">
      <formula>"Napkin Hs"</formula>
    </cfRule>
  </conditionalFormatting>
  <conditionalFormatting sqref="B104:C104">
    <cfRule type="cellIs" dxfId="18329" priority="3194" stopIfTrue="1" operator="equal">
      <formula>"Napkin Hs"</formula>
    </cfRule>
  </conditionalFormatting>
  <conditionalFormatting sqref="B104:C104">
    <cfRule type="cellIs" dxfId="18328" priority="3193" stopIfTrue="1" operator="equal">
      <formula>"Towel"</formula>
    </cfRule>
  </conditionalFormatting>
  <conditionalFormatting sqref="C104">
    <cfRule type="cellIs" dxfId="18327" priority="3192" stopIfTrue="1" operator="equal">
      <formula>"Napkin Hs"</formula>
    </cfRule>
  </conditionalFormatting>
  <conditionalFormatting sqref="C104">
    <cfRule type="cellIs" dxfId="18326" priority="3191" stopIfTrue="1" operator="equal">
      <formula>"Towel"</formula>
    </cfRule>
  </conditionalFormatting>
  <conditionalFormatting sqref="C104">
    <cfRule type="cellIs" dxfId="18325" priority="3189" stopIfTrue="1" operator="equal">
      <formula>"Towel"</formula>
    </cfRule>
    <cfRule type="cellIs" dxfId="18324" priority="3190" stopIfTrue="1" operator="equal">
      <formula>"Napkin Hs"</formula>
    </cfRule>
  </conditionalFormatting>
  <conditionalFormatting sqref="B104:C104">
    <cfRule type="cellIs" dxfId="18323" priority="3187" stopIfTrue="1" operator="equal">
      <formula>"Towel"</formula>
    </cfRule>
    <cfRule type="cellIs" dxfId="18322" priority="3188" stopIfTrue="1" operator="equal">
      <formula>"Napkin Hs"</formula>
    </cfRule>
  </conditionalFormatting>
  <conditionalFormatting sqref="C104">
    <cfRule type="cellIs" dxfId="18321" priority="3183" stopIfTrue="1" operator="equal">
      <formula>"Towel"</formula>
    </cfRule>
    <cfRule type="cellIs" dxfId="18320" priority="3184" stopIfTrue="1" operator="equal">
      <formula>"Napkin Hs"</formula>
    </cfRule>
  </conditionalFormatting>
  <conditionalFormatting sqref="C104">
    <cfRule type="cellIs" dxfId="18319" priority="3185" stopIfTrue="1" operator="equal">
      <formula>"Towel"</formula>
    </cfRule>
    <cfRule type="cellIs" dxfId="18318" priority="3186" stopIfTrue="1" operator="equal">
      <formula>"Napkin Hs"</formula>
    </cfRule>
  </conditionalFormatting>
  <conditionalFormatting sqref="B104:C104">
    <cfRule type="cellIs" dxfId="18317" priority="3182" stopIfTrue="1" operator="equal">
      <formula>"Napkin Hs"</formula>
    </cfRule>
  </conditionalFormatting>
  <conditionalFormatting sqref="B104:C104">
    <cfRule type="cellIs" dxfId="18316" priority="3181" stopIfTrue="1" operator="equal">
      <formula>"Towel"</formula>
    </cfRule>
  </conditionalFormatting>
  <conditionalFormatting sqref="C104">
    <cfRule type="cellIs" dxfId="18315" priority="3180" stopIfTrue="1" operator="equal">
      <formula>"Napkin Hs"</formula>
    </cfRule>
  </conditionalFormatting>
  <conditionalFormatting sqref="C104">
    <cfRule type="cellIs" dxfId="18314" priority="3179" stopIfTrue="1" operator="equal">
      <formula>"Towel"</formula>
    </cfRule>
  </conditionalFormatting>
  <conditionalFormatting sqref="C104">
    <cfRule type="cellIs" dxfId="18313" priority="3177" stopIfTrue="1" operator="equal">
      <formula>"Towel"</formula>
    </cfRule>
    <cfRule type="cellIs" dxfId="18312" priority="3178" stopIfTrue="1" operator="equal">
      <formula>"Napkin Hs"</formula>
    </cfRule>
  </conditionalFormatting>
  <conditionalFormatting sqref="B104:C104">
    <cfRule type="cellIs" dxfId="18311" priority="3175" stopIfTrue="1" operator="equal">
      <formula>"Towel"</formula>
    </cfRule>
    <cfRule type="cellIs" dxfId="18310" priority="3176" stopIfTrue="1" operator="equal">
      <formula>"Napkin Hs"</formula>
    </cfRule>
  </conditionalFormatting>
  <conditionalFormatting sqref="C104">
    <cfRule type="cellIs" dxfId="18309" priority="3173" stopIfTrue="1" operator="equal">
      <formula>"Towel"</formula>
    </cfRule>
    <cfRule type="cellIs" dxfId="18308" priority="3174" stopIfTrue="1" operator="equal">
      <formula>"Napkin Hs"</formula>
    </cfRule>
  </conditionalFormatting>
  <conditionalFormatting sqref="C104">
    <cfRule type="cellIs" dxfId="18307" priority="3171" stopIfTrue="1" operator="equal">
      <formula>"Towel"</formula>
    </cfRule>
    <cfRule type="cellIs" dxfId="18306" priority="3172" stopIfTrue="1" operator="equal">
      <formula>"Napkin Hs"</formula>
    </cfRule>
  </conditionalFormatting>
  <conditionalFormatting sqref="B104:C104">
    <cfRule type="cellIs" dxfId="18305" priority="3169" stopIfTrue="1" operator="equal">
      <formula>"Towel"</formula>
    </cfRule>
    <cfRule type="cellIs" dxfId="18304" priority="3170" stopIfTrue="1" operator="equal">
      <formula>"Napkin Hs"</formula>
    </cfRule>
  </conditionalFormatting>
  <conditionalFormatting sqref="C104">
    <cfRule type="cellIs" dxfId="18303" priority="3167" stopIfTrue="1" operator="equal">
      <formula>"Towel"</formula>
    </cfRule>
    <cfRule type="cellIs" dxfId="18302" priority="3168" stopIfTrue="1" operator="equal">
      <formula>"Napkin Hs"</formula>
    </cfRule>
  </conditionalFormatting>
  <conditionalFormatting sqref="C104">
    <cfRule type="cellIs" dxfId="18301" priority="3165" stopIfTrue="1" operator="equal">
      <formula>"Towel"</formula>
    </cfRule>
    <cfRule type="cellIs" dxfId="18300" priority="3166" stopIfTrue="1" operator="equal">
      <formula>"Napkin Hs"</formula>
    </cfRule>
  </conditionalFormatting>
  <conditionalFormatting sqref="B104:C104">
    <cfRule type="cellIs" dxfId="18299" priority="3163" stopIfTrue="1" operator="equal">
      <formula>"Towel"</formula>
    </cfRule>
    <cfRule type="cellIs" dxfId="18298" priority="3164" stopIfTrue="1" operator="equal">
      <formula>"Napkin Hs"</formula>
    </cfRule>
  </conditionalFormatting>
  <conditionalFormatting sqref="C104">
    <cfRule type="cellIs" dxfId="18297" priority="3161" stopIfTrue="1" operator="equal">
      <formula>"Towel"</formula>
    </cfRule>
    <cfRule type="cellIs" dxfId="18296" priority="3162" stopIfTrue="1" operator="equal">
      <formula>"Napkin Hs"</formula>
    </cfRule>
  </conditionalFormatting>
  <conditionalFormatting sqref="C104">
    <cfRule type="cellIs" dxfId="18295" priority="3159" stopIfTrue="1" operator="equal">
      <formula>"Towel"</formula>
    </cfRule>
    <cfRule type="cellIs" dxfId="18294" priority="3160" stopIfTrue="1" operator="equal">
      <formula>"Napkin Hs"</formula>
    </cfRule>
  </conditionalFormatting>
  <conditionalFormatting sqref="B104:C104">
    <cfRule type="cellIs" dxfId="18293" priority="3157" stopIfTrue="1" operator="equal">
      <formula>"Towel"</formula>
    </cfRule>
    <cfRule type="cellIs" dxfId="18292" priority="3158" stopIfTrue="1" operator="equal">
      <formula>"Napkin Hs"</formula>
    </cfRule>
  </conditionalFormatting>
  <conditionalFormatting sqref="C104">
    <cfRule type="cellIs" dxfId="18291" priority="3155" stopIfTrue="1" operator="equal">
      <formula>"Towel"</formula>
    </cfRule>
    <cfRule type="cellIs" dxfId="18290" priority="3156" stopIfTrue="1" operator="equal">
      <formula>"Napkin Hs"</formula>
    </cfRule>
  </conditionalFormatting>
  <conditionalFormatting sqref="C104">
    <cfRule type="cellIs" dxfId="18289" priority="3153" stopIfTrue="1" operator="equal">
      <formula>"Towel"</formula>
    </cfRule>
    <cfRule type="cellIs" dxfId="18288" priority="3154" stopIfTrue="1" operator="equal">
      <formula>"Napkin Hs"</formula>
    </cfRule>
  </conditionalFormatting>
  <conditionalFormatting sqref="B104:C104">
    <cfRule type="cellIs" dxfId="18287" priority="3151" stopIfTrue="1" operator="equal">
      <formula>"Towel"</formula>
    </cfRule>
    <cfRule type="cellIs" dxfId="18286" priority="3152" stopIfTrue="1" operator="equal">
      <formula>"Napkin Hs"</formula>
    </cfRule>
  </conditionalFormatting>
  <conditionalFormatting sqref="C104">
    <cfRule type="cellIs" dxfId="18285" priority="3149" stopIfTrue="1" operator="equal">
      <formula>"Towel"</formula>
    </cfRule>
    <cfRule type="cellIs" dxfId="18284" priority="3150" stopIfTrue="1" operator="equal">
      <formula>"Napkin Hs"</formula>
    </cfRule>
  </conditionalFormatting>
  <conditionalFormatting sqref="C104">
    <cfRule type="cellIs" dxfId="18283" priority="3147" stopIfTrue="1" operator="equal">
      <formula>"Towel"</formula>
    </cfRule>
    <cfRule type="cellIs" dxfId="18282" priority="3148" stopIfTrue="1" operator="equal">
      <formula>"Napkin Hs"</formula>
    </cfRule>
  </conditionalFormatting>
  <conditionalFormatting sqref="B104:C104">
    <cfRule type="cellIs" dxfId="18281" priority="3146" stopIfTrue="1" operator="equal">
      <formula>"Napkin Hs"</formula>
    </cfRule>
  </conditionalFormatting>
  <conditionalFormatting sqref="B104:C104">
    <cfRule type="cellIs" dxfId="18280" priority="3145" stopIfTrue="1" operator="equal">
      <formula>"Towel"</formula>
    </cfRule>
  </conditionalFormatting>
  <conditionalFormatting sqref="C104">
    <cfRule type="cellIs" dxfId="18279" priority="3144" stopIfTrue="1" operator="equal">
      <formula>"Napkin Hs"</formula>
    </cfRule>
  </conditionalFormatting>
  <conditionalFormatting sqref="C104">
    <cfRule type="cellIs" dxfId="18278" priority="3141" stopIfTrue="1" operator="equal">
      <formula>"Towel"</formula>
    </cfRule>
    <cfRule type="cellIs" dxfId="18277" priority="3142" stopIfTrue="1" operator="equal">
      <formula>"Napkin Hs"</formula>
    </cfRule>
  </conditionalFormatting>
  <conditionalFormatting sqref="C104">
    <cfRule type="cellIs" dxfId="18276" priority="3143" stopIfTrue="1" operator="equal">
      <formula>"Towel"</formula>
    </cfRule>
  </conditionalFormatting>
  <conditionalFormatting sqref="B106:C106">
    <cfRule type="cellIs" dxfId="18275" priority="3140" stopIfTrue="1" operator="equal">
      <formula>"Napkin Hs"</formula>
    </cfRule>
  </conditionalFormatting>
  <conditionalFormatting sqref="B106:C106">
    <cfRule type="cellIs" dxfId="18274" priority="3139" stopIfTrue="1" operator="equal">
      <formula>"Towel"</formula>
    </cfRule>
  </conditionalFormatting>
  <conditionalFormatting sqref="C106">
    <cfRule type="cellIs" dxfId="18273" priority="3138" stopIfTrue="1" operator="equal">
      <formula>"Napkin Hs"</formula>
    </cfRule>
  </conditionalFormatting>
  <conditionalFormatting sqref="C106">
    <cfRule type="cellIs" dxfId="18272" priority="3137" stopIfTrue="1" operator="equal">
      <formula>"Towel"</formula>
    </cfRule>
  </conditionalFormatting>
  <conditionalFormatting sqref="C106">
    <cfRule type="cellIs" dxfId="18271" priority="3135" stopIfTrue="1" operator="equal">
      <formula>"Towel"</formula>
    </cfRule>
    <cfRule type="cellIs" dxfId="18270" priority="3136" stopIfTrue="1" operator="equal">
      <formula>"Napkin Hs"</formula>
    </cfRule>
  </conditionalFormatting>
  <conditionalFormatting sqref="B106:C106">
    <cfRule type="cellIs" dxfId="18269" priority="3129" stopIfTrue="1" operator="equal">
      <formula>"Towel"</formula>
    </cfRule>
    <cfRule type="cellIs" dxfId="18268" priority="3130" stopIfTrue="1" operator="equal">
      <formula>"Napkin Hs"</formula>
    </cfRule>
  </conditionalFormatting>
  <conditionalFormatting sqref="C106">
    <cfRule type="cellIs" dxfId="18267" priority="3125" stopIfTrue="1" operator="equal">
      <formula>"Towel"</formula>
    </cfRule>
    <cfRule type="cellIs" dxfId="18266" priority="3126" stopIfTrue="1" operator="equal">
      <formula>"Napkin Hs"</formula>
    </cfRule>
  </conditionalFormatting>
  <conditionalFormatting sqref="C106">
    <cfRule type="cellIs" dxfId="18265" priority="3127" stopIfTrue="1" operator="equal">
      <formula>"Towel"</formula>
    </cfRule>
    <cfRule type="cellIs" dxfId="18264" priority="3128" stopIfTrue="1" operator="equal">
      <formula>"Napkin Hs"</formula>
    </cfRule>
  </conditionalFormatting>
  <conditionalFormatting sqref="B106:C106">
    <cfRule type="cellIs" dxfId="18263" priority="3124" stopIfTrue="1" operator="equal">
      <formula>"Napkin Hs"</formula>
    </cfRule>
  </conditionalFormatting>
  <conditionalFormatting sqref="B106:C106">
    <cfRule type="cellIs" dxfId="18262" priority="3123" stopIfTrue="1" operator="equal">
      <formula>"Towel"</formula>
    </cfRule>
  </conditionalFormatting>
  <conditionalFormatting sqref="C106">
    <cfRule type="cellIs" dxfId="18261" priority="3122" stopIfTrue="1" operator="equal">
      <formula>"Napkin Hs"</formula>
    </cfRule>
  </conditionalFormatting>
  <conditionalFormatting sqref="C106">
    <cfRule type="cellIs" dxfId="18260" priority="3121" stopIfTrue="1" operator="equal">
      <formula>"Towel"</formula>
    </cfRule>
  </conditionalFormatting>
  <conditionalFormatting sqref="C106">
    <cfRule type="cellIs" dxfId="18259" priority="3119" stopIfTrue="1" operator="equal">
      <formula>"Towel"</formula>
    </cfRule>
    <cfRule type="cellIs" dxfId="18258" priority="3120" stopIfTrue="1" operator="equal">
      <formula>"Napkin Hs"</formula>
    </cfRule>
  </conditionalFormatting>
  <conditionalFormatting sqref="B106:C106">
    <cfRule type="cellIs" dxfId="18257" priority="3117" stopIfTrue="1" operator="equal">
      <formula>"Towel"</formula>
    </cfRule>
    <cfRule type="cellIs" dxfId="18256" priority="3118" stopIfTrue="1" operator="equal">
      <formula>"Napkin Hs"</formula>
    </cfRule>
  </conditionalFormatting>
  <conditionalFormatting sqref="C106">
    <cfRule type="cellIs" dxfId="18255" priority="3115" stopIfTrue="1" operator="equal">
      <formula>"Towel"</formula>
    </cfRule>
    <cfRule type="cellIs" dxfId="18254" priority="3116" stopIfTrue="1" operator="equal">
      <formula>"Napkin Hs"</formula>
    </cfRule>
  </conditionalFormatting>
  <conditionalFormatting sqref="C106">
    <cfRule type="cellIs" dxfId="18253" priority="3113" stopIfTrue="1" operator="equal">
      <formula>"Towel"</formula>
    </cfRule>
    <cfRule type="cellIs" dxfId="18252" priority="3114" stopIfTrue="1" operator="equal">
      <formula>"Napkin Hs"</formula>
    </cfRule>
  </conditionalFormatting>
  <conditionalFormatting sqref="B106:C106">
    <cfRule type="cellIs" dxfId="18251" priority="3111" stopIfTrue="1" operator="equal">
      <formula>"Towel"</formula>
    </cfRule>
    <cfRule type="cellIs" dxfId="18250" priority="3112" stopIfTrue="1" operator="equal">
      <formula>"Napkin Hs"</formula>
    </cfRule>
  </conditionalFormatting>
  <conditionalFormatting sqref="C106">
    <cfRule type="cellIs" dxfId="18249" priority="3109" stopIfTrue="1" operator="equal">
      <formula>"Towel"</formula>
    </cfRule>
    <cfRule type="cellIs" dxfId="18248" priority="3110" stopIfTrue="1" operator="equal">
      <formula>"Napkin Hs"</formula>
    </cfRule>
  </conditionalFormatting>
  <conditionalFormatting sqref="C106">
    <cfRule type="cellIs" dxfId="18247" priority="3107" stopIfTrue="1" operator="equal">
      <formula>"Towel"</formula>
    </cfRule>
    <cfRule type="cellIs" dxfId="18246" priority="3108" stopIfTrue="1" operator="equal">
      <formula>"Napkin Hs"</formula>
    </cfRule>
  </conditionalFormatting>
  <conditionalFormatting sqref="B106:C106">
    <cfRule type="cellIs" dxfId="18245" priority="3105" stopIfTrue="1" operator="equal">
      <formula>"Towel"</formula>
    </cfRule>
    <cfRule type="cellIs" dxfId="18244" priority="3106" stopIfTrue="1" operator="equal">
      <formula>"Napkin Hs"</formula>
    </cfRule>
  </conditionalFormatting>
  <conditionalFormatting sqref="C106">
    <cfRule type="cellIs" dxfId="18243" priority="3103" stopIfTrue="1" operator="equal">
      <formula>"Towel"</formula>
    </cfRule>
    <cfRule type="cellIs" dxfId="18242" priority="3104" stopIfTrue="1" operator="equal">
      <formula>"Napkin Hs"</formula>
    </cfRule>
  </conditionalFormatting>
  <conditionalFormatting sqref="C106">
    <cfRule type="cellIs" dxfId="18241" priority="3101" stopIfTrue="1" operator="equal">
      <formula>"Towel"</formula>
    </cfRule>
    <cfRule type="cellIs" dxfId="18240" priority="3102" stopIfTrue="1" operator="equal">
      <formula>"Napkin Hs"</formula>
    </cfRule>
  </conditionalFormatting>
  <conditionalFormatting sqref="B106:C106">
    <cfRule type="cellIs" dxfId="18239" priority="3099" stopIfTrue="1" operator="equal">
      <formula>"Towel"</formula>
    </cfRule>
    <cfRule type="cellIs" dxfId="18238" priority="3100" stopIfTrue="1" operator="equal">
      <formula>"Napkin Hs"</formula>
    </cfRule>
  </conditionalFormatting>
  <conditionalFormatting sqref="C106">
    <cfRule type="cellIs" dxfId="18237" priority="3097" stopIfTrue="1" operator="equal">
      <formula>"Towel"</formula>
    </cfRule>
    <cfRule type="cellIs" dxfId="18236" priority="3098" stopIfTrue="1" operator="equal">
      <formula>"Napkin Hs"</formula>
    </cfRule>
  </conditionalFormatting>
  <conditionalFormatting sqref="C106">
    <cfRule type="cellIs" dxfId="18235" priority="3095" stopIfTrue="1" operator="equal">
      <formula>"Towel"</formula>
    </cfRule>
    <cfRule type="cellIs" dxfId="18234" priority="3096" stopIfTrue="1" operator="equal">
      <formula>"Napkin Hs"</formula>
    </cfRule>
  </conditionalFormatting>
  <conditionalFormatting sqref="B106:C106">
    <cfRule type="cellIs" dxfId="18233" priority="3093" stopIfTrue="1" operator="equal">
      <formula>"Towel"</formula>
    </cfRule>
    <cfRule type="cellIs" dxfId="18232" priority="3094" stopIfTrue="1" operator="equal">
      <formula>"Napkin Hs"</formula>
    </cfRule>
  </conditionalFormatting>
  <conditionalFormatting sqref="C106">
    <cfRule type="cellIs" dxfId="18231" priority="3091" stopIfTrue="1" operator="equal">
      <formula>"Towel"</formula>
    </cfRule>
    <cfRule type="cellIs" dxfId="18230" priority="3092" stopIfTrue="1" operator="equal">
      <formula>"Napkin Hs"</formula>
    </cfRule>
  </conditionalFormatting>
  <conditionalFormatting sqref="C106">
    <cfRule type="cellIs" dxfId="18229" priority="3089" stopIfTrue="1" operator="equal">
      <formula>"Towel"</formula>
    </cfRule>
    <cfRule type="cellIs" dxfId="18228" priority="3090" stopIfTrue="1" operator="equal">
      <formula>"Napkin Hs"</formula>
    </cfRule>
  </conditionalFormatting>
  <conditionalFormatting sqref="B106:C106">
    <cfRule type="cellIs" dxfId="18227" priority="3088" stopIfTrue="1" operator="equal">
      <formula>"Napkin Hs"</formula>
    </cfRule>
  </conditionalFormatting>
  <conditionalFormatting sqref="B106:C106">
    <cfRule type="cellIs" dxfId="18226" priority="3087" stopIfTrue="1" operator="equal">
      <formula>"Towel"</formula>
    </cfRule>
  </conditionalFormatting>
  <conditionalFormatting sqref="C106">
    <cfRule type="cellIs" dxfId="18225" priority="3086" stopIfTrue="1" operator="equal">
      <formula>"Napkin Hs"</formula>
    </cfRule>
  </conditionalFormatting>
  <conditionalFormatting sqref="C106">
    <cfRule type="cellIs" dxfId="18224" priority="3083" stopIfTrue="1" operator="equal">
      <formula>"Towel"</formula>
    </cfRule>
    <cfRule type="cellIs" dxfId="18223" priority="3084" stopIfTrue="1" operator="equal">
      <formula>"Napkin Hs"</formula>
    </cfRule>
  </conditionalFormatting>
  <conditionalFormatting sqref="C106">
    <cfRule type="cellIs" dxfId="18222" priority="3085" stopIfTrue="1" operator="equal">
      <formula>"Towel"</formula>
    </cfRule>
  </conditionalFormatting>
  <conditionalFormatting sqref="B107:C107">
    <cfRule type="cellIs" dxfId="18221" priority="3082" stopIfTrue="1" operator="equal">
      <formula>"Napkin Hs"</formula>
    </cfRule>
  </conditionalFormatting>
  <conditionalFormatting sqref="B107:C107">
    <cfRule type="cellIs" dxfId="18220" priority="3081" stopIfTrue="1" operator="equal">
      <formula>"Towel"</formula>
    </cfRule>
  </conditionalFormatting>
  <conditionalFormatting sqref="C107">
    <cfRule type="cellIs" dxfId="18219" priority="3080" stopIfTrue="1" operator="equal">
      <formula>"Napkin Hs"</formula>
    </cfRule>
  </conditionalFormatting>
  <conditionalFormatting sqref="C107">
    <cfRule type="cellIs" dxfId="18218" priority="3079" stopIfTrue="1" operator="equal">
      <formula>"Towel"</formula>
    </cfRule>
  </conditionalFormatting>
  <conditionalFormatting sqref="C107">
    <cfRule type="cellIs" dxfId="18217" priority="3077" stopIfTrue="1" operator="equal">
      <formula>"Towel"</formula>
    </cfRule>
    <cfRule type="cellIs" dxfId="18216" priority="3078" stopIfTrue="1" operator="equal">
      <formula>"Napkin Hs"</formula>
    </cfRule>
  </conditionalFormatting>
  <conditionalFormatting sqref="B107:C107">
    <cfRule type="cellIs" dxfId="18215" priority="3075" stopIfTrue="1" operator="equal">
      <formula>"Towel"</formula>
    </cfRule>
    <cfRule type="cellIs" dxfId="18214" priority="3076" stopIfTrue="1" operator="equal">
      <formula>"Napkin Hs"</formula>
    </cfRule>
  </conditionalFormatting>
  <conditionalFormatting sqref="C107">
    <cfRule type="cellIs" dxfId="18213" priority="3071" stopIfTrue="1" operator="equal">
      <formula>"Towel"</formula>
    </cfRule>
    <cfRule type="cellIs" dxfId="18212" priority="3072" stopIfTrue="1" operator="equal">
      <formula>"Napkin Hs"</formula>
    </cfRule>
  </conditionalFormatting>
  <conditionalFormatting sqref="C107">
    <cfRule type="cellIs" dxfId="18211" priority="3073" stopIfTrue="1" operator="equal">
      <formula>"Towel"</formula>
    </cfRule>
    <cfRule type="cellIs" dxfId="18210" priority="3074" stopIfTrue="1" operator="equal">
      <formula>"Napkin Hs"</formula>
    </cfRule>
  </conditionalFormatting>
  <conditionalFormatting sqref="B107:C107">
    <cfRule type="cellIs" dxfId="18209" priority="3070" stopIfTrue="1" operator="equal">
      <formula>"Napkin Hs"</formula>
    </cfRule>
  </conditionalFormatting>
  <conditionalFormatting sqref="B107:C107">
    <cfRule type="cellIs" dxfId="18208" priority="3069" stopIfTrue="1" operator="equal">
      <formula>"Towel"</formula>
    </cfRule>
  </conditionalFormatting>
  <conditionalFormatting sqref="C107">
    <cfRule type="cellIs" dxfId="18207" priority="3068" stopIfTrue="1" operator="equal">
      <formula>"Napkin Hs"</formula>
    </cfRule>
  </conditionalFormatting>
  <conditionalFormatting sqref="C107">
    <cfRule type="cellIs" dxfId="18206" priority="3067" stopIfTrue="1" operator="equal">
      <formula>"Towel"</formula>
    </cfRule>
  </conditionalFormatting>
  <conditionalFormatting sqref="C107">
    <cfRule type="cellIs" dxfId="18205" priority="3065" stopIfTrue="1" operator="equal">
      <formula>"Towel"</formula>
    </cfRule>
    <cfRule type="cellIs" dxfId="18204" priority="3066" stopIfTrue="1" operator="equal">
      <formula>"Napkin Hs"</formula>
    </cfRule>
  </conditionalFormatting>
  <conditionalFormatting sqref="B107:C107">
    <cfRule type="cellIs" dxfId="18203" priority="3063" stopIfTrue="1" operator="equal">
      <formula>"Towel"</formula>
    </cfRule>
    <cfRule type="cellIs" dxfId="18202" priority="3064" stopIfTrue="1" operator="equal">
      <formula>"Napkin Hs"</formula>
    </cfRule>
  </conditionalFormatting>
  <conditionalFormatting sqref="C107">
    <cfRule type="cellIs" dxfId="18201" priority="3061" stopIfTrue="1" operator="equal">
      <formula>"Towel"</formula>
    </cfRule>
    <cfRule type="cellIs" dxfId="18200" priority="3062" stopIfTrue="1" operator="equal">
      <formula>"Napkin Hs"</formula>
    </cfRule>
  </conditionalFormatting>
  <conditionalFormatting sqref="C107">
    <cfRule type="cellIs" dxfId="18199" priority="3059" stopIfTrue="1" operator="equal">
      <formula>"Towel"</formula>
    </cfRule>
    <cfRule type="cellIs" dxfId="18198" priority="3060" stopIfTrue="1" operator="equal">
      <formula>"Napkin Hs"</formula>
    </cfRule>
  </conditionalFormatting>
  <conditionalFormatting sqref="B107:C107">
    <cfRule type="cellIs" dxfId="18197" priority="3057" stopIfTrue="1" operator="equal">
      <formula>"Towel"</formula>
    </cfRule>
    <cfRule type="cellIs" dxfId="18196" priority="3058" stopIfTrue="1" operator="equal">
      <formula>"Napkin Hs"</formula>
    </cfRule>
  </conditionalFormatting>
  <conditionalFormatting sqref="C107">
    <cfRule type="cellIs" dxfId="18195" priority="3055" stopIfTrue="1" operator="equal">
      <formula>"Towel"</formula>
    </cfRule>
    <cfRule type="cellIs" dxfId="18194" priority="3056" stopIfTrue="1" operator="equal">
      <formula>"Napkin Hs"</formula>
    </cfRule>
  </conditionalFormatting>
  <conditionalFormatting sqref="C107">
    <cfRule type="cellIs" dxfId="18193" priority="3053" stopIfTrue="1" operator="equal">
      <formula>"Towel"</formula>
    </cfRule>
    <cfRule type="cellIs" dxfId="18192" priority="3054" stopIfTrue="1" operator="equal">
      <formula>"Napkin Hs"</formula>
    </cfRule>
  </conditionalFormatting>
  <conditionalFormatting sqref="B107:C107">
    <cfRule type="cellIs" dxfId="18191" priority="3051" stopIfTrue="1" operator="equal">
      <formula>"Towel"</formula>
    </cfRule>
    <cfRule type="cellIs" dxfId="18190" priority="3052" stopIfTrue="1" operator="equal">
      <formula>"Napkin Hs"</formula>
    </cfRule>
  </conditionalFormatting>
  <conditionalFormatting sqref="C107">
    <cfRule type="cellIs" dxfId="18189" priority="3049" stopIfTrue="1" operator="equal">
      <formula>"Towel"</formula>
    </cfRule>
    <cfRule type="cellIs" dxfId="18188" priority="3050" stopIfTrue="1" operator="equal">
      <formula>"Napkin Hs"</formula>
    </cfRule>
  </conditionalFormatting>
  <conditionalFormatting sqref="C107">
    <cfRule type="cellIs" dxfId="18187" priority="3047" stopIfTrue="1" operator="equal">
      <formula>"Towel"</formula>
    </cfRule>
    <cfRule type="cellIs" dxfId="18186" priority="3048" stopIfTrue="1" operator="equal">
      <formula>"Napkin Hs"</formula>
    </cfRule>
  </conditionalFormatting>
  <conditionalFormatting sqref="B107:C107">
    <cfRule type="cellIs" dxfId="18185" priority="3045" stopIfTrue="1" operator="equal">
      <formula>"Towel"</formula>
    </cfRule>
    <cfRule type="cellIs" dxfId="18184" priority="3046" stopIfTrue="1" operator="equal">
      <formula>"Napkin Hs"</formula>
    </cfRule>
  </conditionalFormatting>
  <conditionalFormatting sqref="C107">
    <cfRule type="cellIs" dxfId="18183" priority="3043" stopIfTrue="1" operator="equal">
      <formula>"Towel"</formula>
    </cfRule>
    <cfRule type="cellIs" dxfId="18182" priority="3044" stopIfTrue="1" operator="equal">
      <formula>"Napkin Hs"</formula>
    </cfRule>
  </conditionalFormatting>
  <conditionalFormatting sqref="C107">
    <cfRule type="cellIs" dxfId="18181" priority="3041" stopIfTrue="1" operator="equal">
      <formula>"Towel"</formula>
    </cfRule>
    <cfRule type="cellIs" dxfId="18180" priority="3042" stopIfTrue="1" operator="equal">
      <formula>"Napkin Hs"</formula>
    </cfRule>
  </conditionalFormatting>
  <conditionalFormatting sqref="B107:C107">
    <cfRule type="cellIs" dxfId="18179" priority="3039" stopIfTrue="1" operator="equal">
      <formula>"Towel"</formula>
    </cfRule>
    <cfRule type="cellIs" dxfId="18178" priority="3040" stopIfTrue="1" operator="equal">
      <formula>"Napkin Hs"</formula>
    </cfRule>
  </conditionalFormatting>
  <conditionalFormatting sqref="C107">
    <cfRule type="cellIs" dxfId="18177" priority="3037" stopIfTrue="1" operator="equal">
      <formula>"Towel"</formula>
    </cfRule>
    <cfRule type="cellIs" dxfId="18176" priority="3038" stopIfTrue="1" operator="equal">
      <formula>"Napkin Hs"</formula>
    </cfRule>
  </conditionalFormatting>
  <conditionalFormatting sqref="C107">
    <cfRule type="cellIs" dxfId="18175" priority="3035" stopIfTrue="1" operator="equal">
      <formula>"Towel"</formula>
    </cfRule>
    <cfRule type="cellIs" dxfId="18174" priority="3036" stopIfTrue="1" operator="equal">
      <formula>"Napkin Hs"</formula>
    </cfRule>
  </conditionalFormatting>
  <conditionalFormatting sqref="B107:C107">
    <cfRule type="cellIs" dxfId="18173" priority="3034" stopIfTrue="1" operator="equal">
      <formula>"Napkin Hs"</formula>
    </cfRule>
  </conditionalFormatting>
  <conditionalFormatting sqref="B107:C107">
    <cfRule type="cellIs" dxfId="18172" priority="3033" stopIfTrue="1" operator="equal">
      <formula>"Towel"</formula>
    </cfRule>
  </conditionalFormatting>
  <conditionalFormatting sqref="C107">
    <cfRule type="cellIs" dxfId="18171" priority="3032" stopIfTrue="1" operator="equal">
      <formula>"Napkin Hs"</formula>
    </cfRule>
  </conditionalFormatting>
  <conditionalFormatting sqref="C107">
    <cfRule type="cellIs" dxfId="18170" priority="3029" stopIfTrue="1" operator="equal">
      <formula>"Towel"</formula>
    </cfRule>
    <cfRule type="cellIs" dxfId="18169" priority="3030" stopIfTrue="1" operator="equal">
      <formula>"Napkin Hs"</formula>
    </cfRule>
  </conditionalFormatting>
  <conditionalFormatting sqref="C107">
    <cfRule type="cellIs" dxfId="18168" priority="3031" stopIfTrue="1" operator="equal">
      <formula>"Towel"</formula>
    </cfRule>
  </conditionalFormatting>
  <conditionalFormatting sqref="B104:C104">
    <cfRule type="cellIs" dxfId="18167" priority="2989" stopIfTrue="1" operator="equal">
      <formula>"Towel"</formula>
    </cfRule>
    <cfRule type="cellIs" dxfId="18166" priority="2990" stopIfTrue="1" operator="equal">
      <formula>"Napkin Hs"</formula>
    </cfRule>
  </conditionalFormatting>
  <conditionalFormatting sqref="C104">
    <cfRule type="cellIs" dxfId="18165" priority="2991" stopIfTrue="1" operator="equal">
      <formula>"Towel"</formula>
    </cfRule>
    <cfRule type="cellIs" dxfId="18164" priority="2992" stopIfTrue="1" operator="equal">
      <formula>"Napkin Hs"</formula>
    </cfRule>
  </conditionalFormatting>
  <conditionalFormatting sqref="C104">
    <cfRule type="cellIs" dxfId="18163" priority="2987" stopIfTrue="1" operator="equal">
      <formula>"Towel"</formula>
    </cfRule>
    <cfRule type="cellIs" dxfId="18162" priority="2988" stopIfTrue="1" operator="equal">
      <formula>"Napkin Hs"</formula>
    </cfRule>
  </conditionalFormatting>
  <conditionalFormatting sqref="B104:C104">
    <cfRule type="cellIs" dxfId="18161" priority="2985" stopIfTrue="1" operator="equal">
      <formula>"Towel"</formula>
    </cfRule>
    <cfRule type="cellIs" dxfId="18160" priority="2986" stopIfTrue="1" operator="equal">
      <formula>"Napkin Hs"</formula>
    </cfRule>
  </conditionalFormatting>
  <conditionalFormatting sqref="C104">
    <cfRule type="cellIs" dxfId="18159" priority="2981" stopIfTrue="1" operator="equal">
      <formula>"Towel"</formula>
    </cfRule>
    <cfRule type="cellIs" dxfId="18158" priority="2982" stopIfTrue="1" operator="equal">
      <formula>"Napkin Hs"</formula>
    </cfRule>
  </conditionalFormatting>
  <conditionalFormatting sqref="C104">
    <cfRule type="cellIs" dxfId="18157" priority="2983" stopIfTrue="1" operator="equal">
      <formula>"Towel"</formula>
    </cfRule>
    <cfRule type="cellIs" dxfId="18156" priority="2984" stopIfTrue="1" operator="equal">
      <formula>"Napkin Hs"</formula>
    </cfRule>
  </conditionalFormatting>
  <conditionalFormatting sqref="B104:C104">
    <cfRule type="cellIs" dxfId="18155" priority="2979" stopIfTrue="1" operator="equal">
      <formula>"Towel"</formula>
    </cfRule>
    <cfRule type="cellIs" dxfId="18154" priority="2980" stopIfTrue="1" operator="equal">
      <formula>"Napkin Hs"</formula>
    </cfRule>
  </conditionalFormatting>
  <conditionalFormatting sqref="C104">
    <cfRule type="cellIs" dxfId="18153" priority="2975" stopIfTrue="1" operator="equal">
      <formula>"Towel"</formula>
    </cfRule>
    <cfRule type="cellIs" dxfId="18152" priority="2976" stopIfTrue="1" operator="equal">
      <formula>"Napkin Hs"</formula>
    </cfRule>
  </conditionalFormatting>
  <conditionalFormatting sqref="C104">
    <cfRule type="cellIs" dxfId="18151" priority="2977" stopIfTrue="1" operator="equal">
      <formula>"Towel"</formula>
    </cfRule>
    <cfRule type="cellIs" dxfId="18150" priority="2978" stopIfTrue="1" operator="equal">
      <formula>"Napkin Hs"</formula>
    </cfRule>
  </conditionalFormatting>
  <conditionalFormatting sqref="B104:C104">
    <cfRule type="cellIs" dxfId="18149" priority="2973" stopIfTrue="1" operator="equal">
      <formula>"Towel"</formula>
    </cfRule>
    <cfRule type="cellIs" dxfId="18148" priority="2974" stopIfTrue="1" operator="equal">
      <formula>"Napkin Hs"</formula>
    </cfRule>
  </conditionalFormatting>
  <conditionalFormatting sqref="C104">
    <cfRule type="cellIs" dxfId="18147" priority="2971" stopIfTrue="1" operator="equal">
      <formula>"Towel"</formula>
    </cfRule>
    <cfRule type="cellIs" dxfId="18146" priority="2972" stopIfTrue="1" operator="equal">
      <formula>"Napkin Hs"</formula>
    </cfRule>
  </conditionalFormatting>
  <conditionalFormatting sqref="C104">
    <cfRule type="cellIs" dxfId="18145" priority="2969" stopIfTrue="1" operator="equal">
      <formula>"Towel"</formula>
    </cfRule>
    <cfRule type="cellIs" dxfId="18144" priority="2970" stopIfTrue="1" operator="equal">
      <formula>"Napkin Hs"</formula>
    </cfRule>
  </conditionalFormatting>
  <conditionalFormatting sqref="B104:C104">
    <cfRule type="cellIs" dxfId="18143" priority="2967" stopIfTrue="1" operator="equal">
      <formula>"Towel"</formula>
    </cfRule>
    <cfRule type="cellIs" dxfId="18142" priority="2968" stopIfTrue="1" operator="equal">
      <formula>"Napkin Hs"</formula>
    </cfRule>
  </conditionalFormatting>
  <conditionalFormatting sqref="C104">
    <cfRule type="cellIs" dxfId="18141" priority="2965" stopIfTrue="1" operator="equal">
      <formula>"Towel"</formula>
    </cfRule>
    <cfRule type="cellIs" dxfId="18140" priority="2966" stopIfTrue="1" operator="equal">
      <formula>"Napkin Hs"</formula>
    </cfRule>
  </conditionalFormatting>
  <conditionalFormatting sqref="C104">
    <cfRule type="cellIs" dxfId="18139" priority="2963" stopIfTrue="1" operator="equal">
      <formula>"Towel"</formula>
    </cfRule>
    <cfRule type="cellIs" dxfId="18138" priority="2964" stopIfTrue="1" operator="equal">
      <formula>"Napkin Hs"</formula>
    </cfRule>
  </conditionalFormatting>
  <conditionalFormatting sqref="B104:C104">
    <cfRule type="cellIs" dxfId="18137" priority="2961" stopIfTrue="1" operator="equal">
      <formula>"Towel"</formula>
    </cfRule>
    <cfRule type="cellIs" dxfId="18136" priority="2962" stopIfTrue="1" operator="equal">
      <formula>"Napkin Hs"</formula>
    </cfRule>
  </conditionalFormatting>
  <conditionalFormatting sqref="C104">
    <cfRule type="cellIs" dxfId="18135" priority="2959" stopIfTrue="1" operator="equal">
      <formula>"Towel"</formula>
    </cfRule>
    <cfRule type="cellIs" dxfId="18134" priority="2960" stopIfTrue="1" operator="equal">
      <formula>"Napkin Hs"</formula>
    </cfRule>
  </conditionalFormatting>
  <conditionalFormatting sqref="C104">
    <cfRule type="cellIs" dxfId="18133" priority="2957" stopIfTrue="1" operator="equal">
      <formula>"Towel"</formula>
    </cfRule>
    <cfRule type="cellIs" dxfId="18132" priority="2958" stopIfTrue="1" operator="equal">
      <formula>"Napkin Hs"</formula>
    </cfRule>
  </conditionalFormatting>
  <conditionalFormatting sqref="B104:C104">
    <cfRule type="cellIs" dxfId="18131" priority="2956" stopIfTrue="1" operator="equal">
      <formula>"Napkin Hs"</formula>
    </cfRule>
  </conditionalFormatting>
  <conditionalFormatting sqref="B104:C104">
    <cfRule type="cellIs" dxfId="18130" priority="2955" stopIfTrue="1" operator="equal">
      <formula>"Towel"</formula>
    </cfRule>
  </conditionalFormatting>
  <conditionalFormatting sqref="C104">
    <cfRule type="cellIs" dxfId="18129" priority="2954" stopIfTrue="1" operator="equal">
      <formula>"Napkin Hs"</formula>
    </cfRule>
  </conditionalFormatting>
  <conditionalFormatting sqref="C104">
    <cfRule type="cellIs" dxfId="18128" priority="2951" stopIfTrue="1" operator="equal">
      <formula>"Towel"</formula>
    </cfRule>
    <cfRule type="cellIs" dxfId="18127" priority="2952" stopIfTrue="1" operator="equal">
      <formula>"Napkin Hs"</formula>
    </cfRule>
  </conditionalFormatting>
  <conditionalFormatting sqref="C104">
    <cfRule type="cellIs" dxfId="18126" priority="2953" stopIfTrue="1" operator="equal">
      <formula>"Towel"</formula>
    </cfRule>
  </conditionalFormatting>
  <conditionalFormatting sqref="B105:C105">
    <cfRule type="cellIs" dxfId="18125" priority="2949" stopIfTrue="1" operator="equal">
      <formula>"Towel"</formula>
    </cfRule>
    <cfRule type="cellIs" dxfId="18124" priority="2950" stopIfTrue="1" operator="equal">
      <formula>"Napkin Hs"</formula>
    </cfRule>
  </conditionalFormatting>
  <conditionalFormatting sqref="C105">
    <cfRule type="cellIs" dxfId="18123" priority="2947" stopIfTrue="1" operator="equal">
      <formula>"Towel"</formula>
    </cfRule>
    <cfRule type="cellIs" dxfId="18122" priority="2948" stopIfTrue="1" operator="equal">
      <formula>"Napkin Hs"</formula>
    </cfRule>
  </conditionalFormatting>
  <conditionalFormatting sqref="C105">
    <cfRule type="cellIs" dxfId="18121" priority="2945" stopIfTrue="1" operator="equal">
      <formula>"Towel"</formula>
    </cfRule>
    <cfRule type="cellIs" dxfId="18120" priority="2946" stopIfTrue="1" operator="equal">
      <formula>"Napkin Hs"</formula>
    </cfRule>
  </conditionalFormatting>
  <conditionalFormatting sqref="B105:C105">
    <cfRule type="cellIs" dxfId="18119" priority="2944" stopIfTrue="1" operator="equal">
      <formula>"Napkin Hs"</formula>
    </cfRule>
  </conditionalFormatting>
  <conditionalFormatting sqref="B105:C105">
    <cfRule type="cellIs" dxfId="18118" priority="2943" stopIfTrue="1" operator="equal">
      <formula>"Towel"</formula>
    </cfRule>
  </conditionalFormatting>
  <conditionalFormatting sqref="C105">
    <cfRule type="cellIs" dxfId="18117" priority="2942" stopIfTrue="1" operator="equal">
      <formula>"Napkin Hs"</formula>
    </cfRule>
  </conditionalFormatting>
  <conditionalFormatting sqref="C105">
    <cfRule type="cellIs" dxfId="18116" priority="2941" stopIfTrue="1" operator="equal">
      <formula>"Towel"</formula>
    </cfRule>
  </conditionalFormatting>
  <conditionalFormatting sqref="C105">
    <cfRule type="cellIs" dxfId="18115" priority="2939" stopIfTrue="1" operator="equal">
      <formula>"Towel"</formula>
    </cfRule>
    <cfRule type="cellIs" dxfId="18114" priority="2940" stopIfTrue="1" operator="equal">
      <formula>"Napkin Hs"</formula>
    </cfRule>
  </conditionalFormatting>
  <conditionalFormatting sqref="B105:C105">
    <cfRule type="cellIs" dxfId="18113" priority="2937" stopIfTrue="1" operator="equal">
      <formula>"Towel"</formula>
    </cfRule>
    <cfRule type="cellIs" dxfId="18112" priority="2938" stopIfTrue="1" operator="equal">
      <formula>"Napkin Hs"</formula>
    </cfRule>
  </conditionalFormatting>
  <conditionalFormatting sqref="C105">
    <cfRule type="cellIs" dxfId="18111" priority="2933" stopIfTrue="1" operator="equal">
      <formula>"Towel"</formula>
    </cfRule>
    <cfRule type="cellIs" dxfId="18110" priority="2934" stopIfTrue="1" operator="equal">
      <formula>"Napkin Hs"</formula>
    </cfRule>
  </conditionalFormatting>
  <conditionalFormatting sqref="C105">
    <cfRule type="cellIs" dxfId="18109" priority="2935" stopIfTrue="1" operator="equal">
      <formula>"Towel"</formula>
    </cfRule>
    <cfRule type="cellIs" dxfId="18108" priority="2936" stopIfTrue="1" operator="equal">
      <formula>"Napkin Hs"</formula>
    </cfRule>
  </conditionalFormatting>
  <conditionalFormatting sqref="B105:C105">
    <cfRule type="cellIs" dxfId="18107" priority="2932" stopIfTrue="1" operator="equal">
      <formula>"Napkin Hs"</formula>
    </cfRule>
  </conditionalFormatting>
  <conditionalFormatting sqref="B105:C105">
    <cfRule type="cellIs" dxfId="18106" priority="2931" stopIfTrue="1" operator="equal">
      <formula>"Towel"</formula>
    </cfRule>
  </conditionalFormatting>
  <conditionalFormatting sqref="C105">
    <cfRule type="cellIs" dxfId="18105" priority="2930" stopIfTrue="1" operator="equal">
      <formula>"Napkin Hs"</formula>
    </cfRule>
  </conditionalFormatting>
  <conditionalFormatting sqref="C105">
    <cfRule type="cellIs" dxfId="18104" priority="2929" stopIfTrue="1" operator="equal">
      <formula>"Towel"</formula>
    </cfRule>
  </conditionalFormatting>
  <conditionalFormatting sqref="C105">
    <cfRule type="cellIs" dxfId="18103" priority="2927" stopIfTrue="1" operator="equal">
      <formula>"Towel"</formula>
    </cfRule>
    <cfRule type="cellIs" dxfId="18102" priority="2928" stopIfTrue="1" operator="equal">
      <formula>"Napkin Hs"</formula>
    </cfRule>
  </conditionalFormatting>
  <conditionalFormatting sqref="B105:C105">
    <cfRule type="cellIs" dxfId="18101" priority="2925" stopIfTrue="1" operator="equal">
      <formula>"Towel"</formula>
    </cfRule>
    <cfRule type="cellIs" dxfId="18100" priority="2926" stopIfTrue="1" operator="equal">
      <formula>"Napkin Hs"</formula>
    </cfRule>
  </conditionalFormatting>
  <conditionalFormatting sqref="C105">
    <cfRule type="cellIs" dxfId="18099" priority="2923" stopIfTrue="1" operator="equal">
      <formula>"Towel"</formula>
    </cfRule>
    <cfRule type="cellIs" dxfId="18098" priority="2924" stopIfTrue="1" operator="equal">
      <formula>"Napkin Hs"</formula>
    </cfRule>
  </conditionalFormatting>
  <conditionalFormatting sqref="C105">
    <cfRule type="cellIs" dxfId="18097" priority="2921" stopIfTrue="1" operator="equal">
      <formula>"Towel"</formula>
    </cfRule>
    <cfRule type="cellIs" dxfId="18096" priority="2922" stopIfTrue="1" operator="equal">
      <formula>"Napkin Hs"</formula>
    </cfRule>
  </conditionalFormatting>
  <conditionalFormatting sqref="B105:C105">
    <cfRule type="cellIs" dxfId="18095" priority="2919" stopIfTrue="1" operator="equal">
      <formula>"Towel"</formula>
    </cfRule>
    <cfRule type="cellIs" dxfId="18094" priority="2920" stopIfTrue="1" operator="equal">
      <formula>"Napkin Hs"</formula>
    </cfRule>
  </conditionalFormatting>
  <conditionalFormatting sqref="C105">
    <cfRule type="cellIs" dxfId="18093" priority="2917" stopIfTrue="1" operator="equal">
      <formula>"Towel"</formula>
    </cfRule>
    <cfRule type="cellIs" dxfId="18092" priority="2918" stopIfTrue="1" operator="equal">
      <formula>"Napkin Hs"</formula>
    </cfRule>
  </conditionalFormatting>
  <conditionalFormatting sqref="C105">
    <cfRule type="cellIs" dxfId="18091" priority="2915" stopIfTrue="1" operator="equal">
      <formula>"Towel"</formula>
    </cfRule>
    <cfRule type="cellIs" dxfId="18090" priority="2916" stopIfTrue="1" operator="equal">
      <formula>"Napkin Hs"</formula>
    </cfRule>
  </conditionalFormatting>
  <conditionalFormatting sqref="B105:C105">
    <cfRule type="cellIs" dxfId="18089" priority="2913" stopIfTrue="1" operator="equal">
      <formula>"Towel"</formula>
    </cfRule>
    <cfRule type="cellIs" dxfId="18088" priority="2914" stopIfTrue="1" operator="equal">
      <formula>"Napkin Hs"</formula>
    </cfRule>
  </conditionalFormatting>
  <conditionalFormatting sqref="C105">
    <cfRule type="cellIs" dxfId="18087" priority="2911" stopIfTrue="1" operator="equal">
      <formula>"Towel"</formula>
    </cfRule>
    <cfRule type="cellIs" dxfId="18086" priority="2912" stopIfTrue="1" operator="equal">
      <formula>"Napkin Hs"</formula>
    </cfRule>
  </conditionalFormatting>
  <conditionalFormatting sqref="C105">
    <cfRule type="cellIs" dxfId="18085" priority="2909" stopIfTrue="1" operator="equal">
      <formula>"Towel"</formula>
    </cfRule>
    <cfRule type="cellIs" dxfId="18084" priority="2910" stopIfTrue="1" operator="equal">
      <formula>"Napkin Hs"</formula>
    </cfRule>
  </conditionalFormatting>
  <conditionalFormatting sqref="B105:C105">
    <cfRule type="cellIs" dxfId="18083" priority="2907" stopIfTrue="1" operator="equal">
      <formula>"Towel"</formula>
    </cfRule>
    <cfRule type="cellIs" dxfId="18082" priority="2908" stopIfTrue="1" operator="equal">
      <formula>"Napkin Hs"</formula>
    </cfRule>
  </conditionalFormatting>
  <conditionalFormatting sqref="C105">
    <cfRule type="cellIs" dxfId="18081" priority="2905" stopIfTrue="1" operator="equal">
      <formula>"Towel"</formula>
    </cfRule>
    <cfRule type="cellIs" dxfId="18080" priority="2906" stopIfTrue="1" operator="equal">
      <formula>"Napkin Hs"</formula>
    </cfRule>
  </conditionalFormatting>
  <conditionalFormatting sqref="C105">
    <cfRule type="cellIs" dxfId="18079" priority="2903" stopIfTrue="1" operator="equal">
      <formula>"Towel"</formula>
    </cfRule>
    <cfRule type="cellIs" dxfId="18078" priority="2904" stopIfTrue="1" operator="equal">
      <formula>"Napkin Hs"</formula>
    </cfRule>
  </conditionalFormatting>
  <conditionalFormatting sqref="B105:C105">
    <cfRule type="cellIs" dxfId="18077" priority="2901" stopIfTrue="1" operator="equal">
      <formula>"Towel"</formula>
    </cfRule>
    <cfRule type="cellIs" dxfId="18076" priority="2902" stopIfTrue="1" operator="equal">
      <formula>"Napkin Hs"</formula>
    </cfRule>
  </conditionalFormatting>
  <conditionalFormatting sqref="C105">
    <cfRule type="cellIs" dxfId="18075" priority="2899" stopIfTrue="1" operator="equal">
      <formula>"Towel"</formula>
    </cfRule>
    <cfRule type="cellIs" dxfId="18074" priority="2900" stopIfTrue="1" operator="equal">
      <formula>"Napkin Hs"</formula>
    </cfRule>
  </conditionalFormatting>
  <conditionalFormatting sqref="C105">
    <cfRule type="cellIs" dxfId="18073" priority="2897" stopIfTrue="1" operator="equal">
      <formula>"Towel"</formula>
    </cfRule>
    <cfRule type="cellIs" dxfId="18072" priority="2898" stopIfTrue="1" operator="equal">
      <formula>"Napkin Hs"</formula>
    </cfRule>
  </conditionalFormatting>
  <conditionalFormatting sqref="B105:C105">
    <cfRule type="cellIs" dxfId="18071" priority="2896" stopIfTrue="1" operator="equal">
      <formula>"Napkin Hs"</formula>
    </cfRule>
  </conditionalFormatting>
  <conditionalFormatting sqref="B105:C105">
    <cfRule type="cellIs" dxfId="18070" priority="2895" stopIfTrue="1" operator="equal">
      <formula>"Towel"</formula>
    </cfRule>
  </conditionalFormatting>
  <conditionalFormatting sqref="C105">
    <cfRule type="cellIs" dxfId="18069" priority="2894" stopIfTrue="1" operator="equal">
      <formula>"Napkin Hs"</formula>
    </cfRule>
  </conditionalFormatting>
  <conditionalFormatting sqref="C105">
    <cfRule type="cellIs" dxfId="18068" priority="2891" stopIfTrue="1" operator="equal">
      <formula>"Towel"</formula>
    </cfRule>
    <cfRule type="cellIs" dxfId="18067" priority="2892" stopIfTrue="1" operator="equal">
      <formula>"Napkin Hs"</formula>
    </cfRule>
  </conditionalFormatting>
  <conditionalFormatting sqref="C105">
    <cfRule type="cellIs" dxfId="18066" priority="2893" stopIfTrue="1" operator="equal">
      <formula>"Towel"</formula>
    </cfRule>
  </conditionalFormatting>
  <conditionalFormatting sqref="B105:C105">
    <cfRule type="cellIs" dxfId="18065" priority="2890" stopIfTrue="1" operator="equal">
      <formula>"Napkin Hs"</formula>
    </cfRule>
  </conditionalFormatting>
  <conditionalFormatting sqref="B105:C105">
    <cfRule type="cellIs" dxfId="18064" priority="2889" stopIfTrue="1" operator="equal">
      <formula>"Towel"</formula>
    </cfRule>
  </conditionalFormatting>
  <conditionalFormatting sqref="C105">
    <cfRule type="cellIs" dxfId="18063" priority="2888" stopIfTrue="1" operator="equal">
      <formula>"Napkin Hs"</formula>
    </cfRule>
  </conditionalFormatting>
  <conditionalFormatting sqref="C105">
    <cfRule type="cellIs" dxfId="18062" priority="2887" stopIfTrue="1" operator="equal">
      <formula>"Towel"</formula>
    </cfRule>
  </conditionalFormatting>
  <conditionalFormatting sqref="C105">
    <cfRule type="cellIs" dxfId="18061" priority="2885" stopIfTrue="1" operator="equal">
      <formula>"Towel"</formula>
    </cfRule>
    <cfRule type="cellIs" dxfId="18060" priority="2886" stopIfTrue="1" operator="equal">
      <formula>"Napkin Hs"</formula>
    </cfRule>
  </conditionalFormatting>
  <conditionalFormatting sqref="B105:C105">
    <cfRule type="cellIs" dxfId="18059" priority="2883" stopIfTrue="1" operator="equal">
      <formula>"Towel"</formula>
    </cfRule>
    <cfRule type="cellIs" dxfId="18058" priority="2884" stopIfTrue="1" operator="equal">
      <formula>"Napkin Hs"</formula>
    </cfRule>
  </conditionalFormatting>
  <conditionalFormatting sqref="C105">
    <cfRule type="cellIs" dxfId="18057" priority="2879" stopIfTrue="1" operator="equal">
      <formula>"Towel"</formula>
    </cfRule>
    <cfRule type="cellIs" dxfId="18056" priority="2880" stopIfTrue="1" operator="equal">
      <formula>"Napkin Hs"</formula>
    </cfRule>
  </conditionalFormatting>
  <conditionalFormatting sqref="C105">
    <cfRule type="cellIs" dxfId="18055" priority="2881" stopIfTrue="1" operator="equal">
      <formula>"Towel"</formula>
    </cfRule>
    <cfRule type="cellIs" dxfId="18054" priority="2882" stopIfTrue="1" operator="equal">
      <formula>"Napkin Hs"</formula>
    </cfRule>
  </conditionalFormatting>
  <conditionalFormatting sqref="B105:C105">
    <cfRule type="cellIs" dxfId="18053" priority="2878" stopIfTrue="1" operator="equal">
      <formula>"Napkin Hs"</formula>
    </cfRule>
  </conditionalFormatting>
  <conditionalFormatting sqref="B105:C105">
    <cfRule type="cellIs" dxfId="18052" priority="2877" stopIfTrue="1" operator="equal">
      <formula>"Towel"</formula>
    </cfRule>
  </conditionalFormatting>
  <conditionalFormatting sqref="C105">
    <cfRule type="cellIs" dxfId="18051" priority="2876" stopIfTrue="1" operator="equal">
      <formula>"Napkin Hs"</formula>
    </cfRule>
  </conditionalFormatting>
  <conditionalFormatting sqref="C105">
    <cfRule type="cellIs" dxfId="18050" priority="2875" stopIfTrue="1" operator="equal">
      <formula>"Towel"</formula>
    </cfRule>
  </conditionalFormatting>
  <conditionalFormatting sqref="C105">
    <cfRule type="cellIs" dxfId="18049" priority="2873" stopIfTrue="1" operator="equal">
      <formula>"Towel"</formula>
    </cfRule>
    <cfRule type="cellIs" dxfId="18048" priority="2874" stopIfTrue="1" operator="equal">
      <formula>"Napkin Hs"</formula>
    </cfRule>
  </conditionalFormatting>
  <conditionalFormatting sqref="B105:C105">
    <cfRule type="cellIs" dxfId="18047" priority="2871" stopIfTrue="1" operator="equal">
      <formula>"Towel"</formula>
    </cfRule>
    <cfRule type="cellIs" dxfId="18046" priority="2872" stopIfTrue="1" operator="equal">
      <formula>"Napkin Hs"</formula>
    </cfRule>
  </conditionalFormatting>
  <conditionalFormatting sqref="C105">
    <cfRule type="cellIs" dxfId="18045" priority="2869" stopIfTrue="1" operator="equal">
      <formula>"Towel"</formula>
    </cfRule>
    <cfRule type="cellIs" dxfId="18044" priority="2870" stopIfTrue="1" operator="equal">
      <formula>"Napkin Hs"</formula>
    </cfRule>
  </conditionalFormatting>
  <conditionalFormatting sqref="C105">
    <cfRule type="cellIs" dxfId="18043" priority="2867" stopIfTrue="1" operator="equal">
      <formula>"Towel"</formula>
    </cfRule>
    <cfRule type="cellIs" dxfId="18042" priority="2868" stopIfTrue="1" operator="equal">
      <formula>"Napkin Hs"</formula>
    </cfRule>
  </conditionalFormatting>
  <conditionalFormatting sqref="B105:C105">
    <cfRule type="cellIs" dxfId="18041" priority="2865" stopIfTrue="1" operator="equal">
      <formula>"Towel"</formula>
    </cfRule>
    <cfRule type="cellIs" dxfId="18040" priority="2866" stopIfTrue="1" operator="equal">
      <formula>"Napkin Hs"</formula>
    </cfRule>
  </conditionalFormatting>
  <conditionalFormatting sqref="C105">
    <cfRule type="cellIs" dxfId="18039" priority="2863" stopIfTrue="1" operator="equal">
      <formula>"Towel"</formula>
    </cfRule>
    <cfRule type="cellIs" dxfId="18038" priority="2864" stopIfTrue="1" operator="equal">
      <formula>"Napkin Hs"</formula>
    </cfRule>
  </conditionalFormatting>
  <conditionalFormatting sqref="C105">
    <cfRule type="cellIs" dxfId="18037" priority="2861" stopIfTrue="1" operator="equal">
      <formula>"Towel"</formula>
    </cfRule>
    <cfRule type="cellIs" dxfId="18036" priority="2862" stopIfTrue="1" operator="equal">
      <formula>"Napkin Hs"</formula>
    </cfRule>
  </conditionalFormatting>
  <conditionalFormatting sqref="B105:C105">
    <cfRule type="cellIs" dxfId="18035" priority="2859" stopIfTrue="1" operator="equal">
      <formula>"Towel"</formula>
    </cfRule>
    <cfRule type="cellIs" dxfId="18034" priority="2860" stopIfTrue="1" operator="equal">
      <formula>"Napkin Hs"</formula>
    </cfRule>
  </conditionalFormatting>
  <conditionalFormatting sqref="C105">
    <cfRule type="cellIs" dxfId="18033" priority="2857" stopIfTrue="1" operator="equal">
      <formula>"Towel"</formula>
    </cfRule>
    <cfRule type="cellIs" dxfId="18032" priority="2858" stopIfTrue="1" operator="equal">
      <formula>"Napkin Hs"</formula>
    </cfRule>
  </conditionalFormatting>
  <conditionalFormatting sqref="C105">
    <cfRule type="cellIs" dxfId="18031" priority="2855" stopIfTrue="1" operator="equal">
      <formula>"Towel"</formula>
    </cfRule>
    <cfRule type="cellIs" dxfId="18030" priority="2856" stopIfTrue="1" operator="equal">
      <formula>"Napkin Hs"</formula>
    </cfRule>
  </conditionalFormatting>
  <conditionalFormatting sqref="B105:C105">
    <cfRule type="cellIs" dxfId="18029" priority="2853" stopIfTrue="1" operator="equal">
      <formula>"Towel"</formula>
    </cfRule>
    <cfRule type="cellIs" dxfId="18028" priority="2854" stopIfTrue="1" operator="equal">
      <formula>"Napkin Hs"</formula>
    </cfRule>
  </conditionalFormatting>
  <conditionalFormatting sqref="C105">
    <cfRule type="cellIs" dxfId="18027" priority="2851" stopIfTrue="1" operator="equal">
      <formula>"Towel"</formula>
    </cfRule>
    <cfRule type="cellIs" dxfId="18026" priority="2852" stopIfTrue="1" operator="equal">
      <formula>"Napkin Hs"</formula>
    </cfRule>
  </conditionalFormatting>
  <conditionalFormatting sqref="C105">
    <cfRule type="cellIs" dxfId="18025" priority="2849" stopIfTrue="1" operator="equal">
      <formula>"Towel"</formula>
    </cfRule>
    <cfRule type="cellIs" dxfId="18024" priority="2850" stopIfTrue="1" operator="equal">
      <formula>"Napkin Hs"</formula>
    </cfRule>
  </conditionalFormatting>
  <conditionalFormatting sqref="B105:C105">
    <cfRule type="cellIs" dxfId="18023" priority="2847" stopIfTrue="1" operator="equal">
      <formula>"Towel"</formula>
    </cfRule>
    <cfRule type="cellIs" dxfId="18022" priority="2848" stopIfTrue="1" operator="equal">
      <formula>"Napkin Hs"</formula>
    </cfRule>
  </conditionalFormatting>
  <conditionalFormatting sqref="C105">
    <cfRule type="cellIs" dxfId="18021" priority="2845" stopIfTrue="1" operator="equal">
      <formula>"Towel"</formula>
    </cfRule>
    <cfRule type="cellIs" dxfId="18020" priority="2846" stopIfTrue="1" operator="equal">
      <formula>"Napkin Hs"</formula>
    </cfRule>
  </conditionalFormatting>
  <conditionalFormatting sqref="C105">
    <cfRule type="cellIs" dxfId="18019" priority="2843" stopIfTrue="1" operator="equal">
      <formula>"Towel"</formula>
    </cfRule>
    <cfRule type="cellIs" dxfId="18018" priority="2844" stopIfTrue="1" operator="equal">
      <formula>"Napkin Hs"</formula>
    </cfRule>
  </conditionalFormatting>
  <conditionalFormatting sqref="B105:C105">
    <cfRule type="cellIs" dxfId="18017" priority="2842" stopIfTrue="1" operator="equal">
      <formula>"Napkin Hs"</formula>
    </cfRule>
  </conditionalFormatting>
  <conditionalFormatting sqref="B105:C105">
    <cfRule type="cellIs" dxfId="18016" priority="2841" stopIfTrue="1" operator="equal">
      <formula>"Towel"</formula>
    </cfRule>
  </conditionalFormatting>
  <conditionalFormatting sqref="C105">
    <cfRule type="cellIs" dxfId="18015" priority="2840" stopIfTrue="1" operator="equal">
      <formula>"Napkin Hs"</formula>
    </cfRule>
  </conditionalFormatting>
  <conditionalFormatting sqref="C105">
    <cfRule type="cellIs" dxfId="18014" priority="2837" stopIfTrue="1" operator="equal">
      <formula>"Towel"</formula>
    </cfRule>
    <cfRule type="cellIs" dxfId="18013" priority="2838" stopIfTrue="1" operator="equal">
      <formula>"Napkin Hs"</formula>
    </cfRule>
  </conditionalFormatting>
  <conditionalFormatting sqref="C105">
    <cfRule type="cellIs" dxfId="18012" priority="2839" stopIfTrue="1" operator="equal">
      <formula>"Towel"</formula>
    </cfRule>
  </conditionalFormatting>
  <conditionalFormatting sqref="B105:C105">
    <cfRule type="cellIs" dxfId="18011" priority="2836" stopIfTrue="1" operator="equal">
      <formula>"Napkin Hs"</formula>
    </cfRule>
  </conditionalFormatting>
  <conditionalFormatting sqref="B105:C105">
    <cfRule type="cellIs" dxfId="18010" priority="2835" stopIfTrue="1" operator="equal">
      <formula>"Towel"</formula>
    </cfRule>
  </conditionalFormatting>
  <conditionalFormatting sqref="C105">
    <cfRule type="cellIs" dxfId="18009" priority="2834" stopIfTrue="1" operator="equal">
      <formula>"Napkin Hs"</formula>
    </cfRule>
  </conditionalFormatting>
  <conditionalFormatting sqref="C105">
    <cfRule type="cellIs" dxfId="18008" priority="2831" stopIfTrue="1" operator="equal">
      <formula>"Towel"</formula>
    </cfRule>
    <cfRule type="cellIs" dxfId="18007" priority="2832" stopIfTrue="1" operator="equal">
      <formula>"Napkin Hs"</formula>
    </cfRule>
  </conditionalFormatting>
  <conditionalFormatting sqref="C105">
    <cfRule type="cellIs" dxfId="18006" priority="2833" stopIfTrue="1" operator="equal">
      <formula>"Towel"</formula>
    </cfRule>
  </conditionalFormatting>
  <conditionalFormatting sqref="B105:C105">
    <cfRule type="cellIs" dxfId="18005" priority="2830" stopIfTrue="1" operator="equal">
      <formula>"Napkin Hs"</formula>
    </cfRule>
  </conditionalFormatting>
  <conditionalFormatting sqref="B105:C105">
    <cfRule type="cellIs" dxfId="18004" priority="2829" stopIfTrue="1" operator="equal">
      <formula>"Towel"</formula>
    </cfRule>
  </conditionalFormatting>
  <conditionalFormatting sqref="C105">
    <cfRule type="cellIs" dxfId="18003" priority="2828" stopIfTrue="1" operator="equal">
      <formula>"Napkin Hs"</formula>
    </cfRule>
  </conditionalFormatting>
  <conditionalFormatting sqref="C105">
    <cfRule type="cellIs" dxfId="18002" priority="2825" stopIfTrue="1" operator="equal">
      <formula>"Towel"</formula>
    </cfRule>
    <cfRule type="cellIs" dxfId="18001" priority="2826" stopIfTrue="1" operator="equal">
      <formula>"Napkin Hs"</formula>
    </cfRule>
  </conditionalFormatting>
  <conditionalFormatting sqref="C105">
    <cfRule type="cellIs" dxfId="18000" priority="2827" stopIfTrue="1" operator="equal">
      <formula>"Towel"</formula>
    </cfRule>
  </conditionalFormatting>
  <conditionalFormatting sqref="B113:C113">
    <cfRule type="cellIs" dxfId="17999" priority="2824" stopIfTrue="1" operator="equal">
      <formula>"Napkin Hs"</formula>
    </cfRule>
  </conditionalFormatting>
  <conditionalFormatting sqref="B113:C113">
    <cfRule type="cellIs" dxfId="17998" priority="2823" stopIfTrue="1" operator="equal">
      <formula>"Towel"</formula>
    </cfRule>
  </conditionalFormatting>
  <conditionalFormatting sqref="C113">
    <cfRule type="cellIs" dxfId="17997" priority="2822" stopIfTrue="1" operator="equal">
      <formula>"Napkin Hs"</formula>
    </cfRule>
  </conditionalFormatting>
  <conditionalFormatting sqref="C113">
    <cfRule type="cellIs" dxfId="17996" priority="2821" stopIfTrue="1" operator="equal">
      <formula>"Towel"</formula>
    </cfRule>
  </conditionalFormatting>
  <conditionalFormatting sqref="C113">
    <cfRule type="cellIs" dxfId="17995" priority="2819" stopIfTrue="1" operator="equal">
      <formula>"Towel"</formula>
    </cfRule>
    <cfRule type="cellIs" dxfId="17994" priority="2820" stopIfTrue="1" operator="equal">
      <formula>"Napkin Hs"</formula>
    </cfRule>
  </conditionalFormatting>
  <conditionalFormatting sqref="B113:C113">
    <cfRule type="cellIs" dxfId="17993" priority="2817" stopIfTrue="1" operator="equal">
      <formula>"Towel"</formula>
    </cfRule>
    <cfRule type="cellIs" dxfId="17992" priority="2818" stopIfTrue="1" operator="equal">
      <formula>"Napkin Hs"</formula>
    </cfRule>
  </conditionalFormatting>
  <conditionalFormatting sqref="C113">
    <cfRule type="cellIs" dxfId="17991" priority="2813" stopIfTrue="1" operator="equal">
      <formula>"Towel"</formula>
    </cfRule>
    <cfRule type="cellIs" dxfId="17990" priority="2814" stopIfTrue="1" operator="equal">
      <formula>"Napkin Hs"</formula>
    </cfRule>
  </conditionalFormatting>
  <conditionalFormatting sqref="C113">
    <cfRule type="cellIs" dxfId="17989" priority="2815" stopIfTrue="1" operator="equal">
      <formula>"Towel"</formula>
    </cfRule>
    <cfRule type="cellIs" dxfId="17988" priority="2816" stopIfTrue="1" operator="equal">
      <formula>"Napkin Hs"</formula>
    </cfRule>
  </conditionalFormatting>
  <conditionalFormatting sqref="B113:C113">
    <cfRule type="cellIs" dxfId="17987" priority="2812" stopIfTrue="1" operator="equal">
      <formula>"Napkin Hs"</formula>
    </cfRule>
  </conditionalFormatting>
  <conditionalFormatting sqref="B113:C113">
    <cfRule type="cellIs" dxfId="17986" priority="2811" stopIfTrue="1" operator="equal">
      <formula>"Towel"</formula>
    </cfRule>
  </conditionalFormatting>
  <conditionalFormatting sqref="C113">
    <cfRule type="cellIs" dxfId="17985" priority="2810" stopIfTrue="1" operator="equal">
      <formula>"Napkin Hs"</formula>
    </cfRule>
  </conditionalFormatting>
  <conditionalFormatting sqref="C113">
    <cfRule type="cellIs" dxfId="17984" priority="2809" stopIfTrue="1" operator="equal">
      <formula>"Towel"</formula>
    </cfRule>
  </conditionalFormatting>
  <conditionalFormatting sqref="C113">
    <cfRule type="cellIs" dxfId="17983" priority="2807" stopIfTrue="1" operator="equal">
      <formula>"Towel"</formula>
    </cfRule>
    <cfRule type="cellIs" dxfId="17982" priority="2808" stopIfTrue="1" operator="equal">
      <formula>"Napkin Hs"</formula>
    </cfRule>
  </conditionalFormatting>
  <conditionalFormatting sqref="B113:C113">
    <cfRule type="cellIs" dxfId="17981" priority="2805" stopIfTrue="1" operator="equal">
      <formula>"Towel"</formula>
    </cfRule>
    <cfRule type="cellIs" dxfId="17980" priority="2806" stopIfTrue="1" operator="equal">
      <formula>"Napkin Hs"</formula>
    </cfRule>
  </conditionalFormatting>
  <conditionalFormatting sqref="C113">
    <cfRule type="cellIs" dxfId="17979" priority="2803" stopIfTrue="1" operator="equal">
      <formula>"Towel"</formula>
    </cfRule>
    <cfRule type="cellIs" dxfId="17978" priority="2804" stopIfTrue="1" operator="equal">
      <formula>"Napkin Hs"</formula>
    </cfRule>
  </conditionalFormatting>
  <conditionalFormatting sqref="C113">
    <cfRule type="cellIs" dxfId="17977" priority="2801" stopIfTrue="1" operator="equal">
      <formula>"Towel"</formula>
    </cfRule>
    <cfRule type="cellIs" dxfId="17976" priority="2802" stopIfTrue="1" operator="equal">
      <formula>"Napkin Hs"</formula>
    </cfRule>
  </conditionalFormatting>
  <conditionalFormatting sqref="B113:C113">
    <cfRule type="cellIs" dxfId="17975" priority="2799" stopIfTrue="1" operator="equal">
      <formula>"Towel"</formula>
    </cfRule>
    <cfRule type="cellIs" dxfId="17974" priority="2800" stopIfTrue="1" operator="equal">
      <formula>"Napkin Hs"</formula>
    </cfRule>
  </conditionalFormatting>
  <conditionalFormatting sqref="C113">
    <cfRule type="cellIs" dxfId="17973" priority="2797" stopIfTrue="1" operator="equal">
      <formula>"Towel"</formula>
    </cfRule>
    <cfRule type="cellIs" dxfId="17972" priority="2798" stopIfTrue="1" operator="equal">
      <formula>"Napkin Hs"</formula>
    </cfRule>
  </conditionalFormatting>
  <conditionalFormatting sqref="C113">
    <cfRule type="cellIs" dxfId="17971" priority="2795" stopIfTrue="1" operator="equal">
      <formula>"Towel"</formula>
    </cfRule>
    <cfRule type="cellIs" dxfId="17970" priority="2796" stopIfTrue="1" operator="equal">
      <formula>"Napkin Hs"</formula>
    </cfRule>
  </conditionalFormatting>
  <conditionalFormatting sqref="B113:C113">
    <cfRule type="cellIs" dxfId="17969" priority="2793" stopIfTrue="1" operator="equal">
      <formula>"Towel"</formula>
    </cfRule>
    <cfRule type="cellIs" dxfId="17968" priority="2794" stopIfTrue="1" operator="equal">
      <formula>"Napkin Hs"</formula>
    </cfRule>
  </conditionalFormatting>
  <conditionalFormatting sqref="C113">
    <cfRule type="cellIs" dxfId="17967" priority="2791" stopIfTrue="1" operator="equal">
      <formula>"Towel"</formula>
    </cfRule>
    <cfRule type="cellIs" dxfId="17966" priority="2792" stopIfTrue="1" operator="equal">
      <formula>"Napkin Hs"</formula>
    </cfRule>
  </conditionalFormatting>
  <conditionalFormatting sqref="C113">
    <cfRule type="cellIs" dxfId="17965" priority="2789" stopIfTrue="1" operator="equal">
      <formula>"Towel"</formula>
    </cfRule>
    <cfRule type="cellIs" dxfId="17964" priority="2790" stopIfTrue="1" operator="equal">
      <formula>"Napkin Hs"</formula>
    </cfRule>
  </conditionalFormatting>
  <conditionalFormatting sqref="B113:C113">
    <cfRule type="cellIs" dxfId="17963" priority="2787" stopIfTrue="1" operator="equal">
      <formula>"Towel"</formula>
    </cfRule>
    <cfRule type="cellIs" dxfId="17962" priority="2788" stopIfTrue="1" operator="equal">
      <formula>"Napkin Hs"</formula>
    </cfRule>
  </conditionalFormatting>
  <conditionalFormatting sqref="C113">
    <cfRule type="cellIs" dxfId="17961" priority="2785" stopIfTrue="1" operator="equal">
      <formula>"Towel"</formula>
    </cfRule>
    <cfRule type="cellIs" dxfId="17960" priority="2786" stopIfTrue="1" operator="equal">
      <formula>"Napkin Hs"</formula>
    </cfRule>
  </conditionalFormatting>
  <conditionalFormatting sqref="C113">
    <cfRule type="cellIs" dxfId="17959" priority="2783" stopIfTrue="1" operator="equal">
      <formula>"Towel"</formula>
    </cfRule>
    <cfRule type="cellIs" dxfId="17958" priority="2784" stopIfTrue="1" operator="equal">
      <formula>"Napkin Hs"</formula>
    </cfRule>
  </conditionalFormatting>
  <conditionalFormatting sqref="B113:C113">
    <cfRule type="cellIs" dxfId="17957" priority="2781" stopIfTrue="1" operator="equal">
      <formula>"Towel"</formula>
    </cfRule>
    <cfRule type="cellIs" dxfId="17956" priority="2782" stopIfTrue="1" operator="equal">
      <formula>"Napkin Hs"</formula>
    </cfRule>
  </conditionalFormatting>
  <conditionalFormatting sqref="C113">
    <cfRule type="cellIs" dxfId="17955" priority="2779" stopIfTrue="1" operator="equal">
      <formula>"Towel"</formula>
    </cfRule>
    <cfRule type="cellIs" dxfId="17954" priority="2780" stopIfTrue="1" operator="equal">
      <formula>"Napkin Hs"</formula>
    </cfRule>
  </conditionalFormatting>
  <conditionalFormatting sqref="C113">
    <cfRule type="cellIs" dxfId="17953" priority="2777" stopIfTrue="1" operator="equal">
      <formula>"Towel"</formula>
    </cfRule>
    <cfRule type="cellIs" dxfId="17952" priority="2778" stopIfTrue="1" operator="equal">
      <formula>"Napkin Hs"</formula>
    </cfRule>
  </conditionalFormatting>
  <conditionalFormatting sqref="B113:C113">
    <cfRule type="cellIs" dxfId="17951" priority="2776" stopIfTrue="1" operator="equal">
      <formula>"Napkin Hs"</formula>
    </cfRule>
  </conditionalFormatting>
  <conditionalFormatting sqref="B113:C113">
    <cfRule type="cellIs" dxfId="17950" priority="2775" stopIfTrue="1" operator="equal">
      <formula>"Towel"</formula>
    </cfRule>
  </conditionalFormatting>
  <conditionalFormatting sqref="C113">
    <cfRule type="cellIs" dxfId="17949" priority="2774" stopIfTrue="1" operator="equal">
      <formula>"Napkin Hs"</formula>
    </cfRule>
  </conditionalFormatting>
  <conditionalFormatting sqref="C113">
    <cfRule type="cellIs" dxfId="17948" priority="2771" stopIfTrue="1" operator="equal">
      <formula>"Towel"</formula>
    </cfRule>
    <cfRule type="cellIs" dxfId="17947" priority="2772" stopIfTrue="1" operator="equal">
      <formula>"Napkin Hs"</formula>
    </cfRule>
  </conditionalFormatting>
  <conditionalFormatting sqref="C113">
    <cfRule type="cellIs" dxfId="17946" priority="2773" stopIfTrue="1" operator="equal">
      <formula>"Towel"</formula>
    </cfRule>
  </conditionalFormatting>
  <conditionalFormatting sqref="B111:C111">
    <cfRule type="cellIs" dxfId="17945" priority="2767" stopIfTrue="1" operator="equal">
      <formula>"Towel"</formula>
    </cfRule>
    <cfRule type="cellIs" dxfId="17944" priority="2768" stopIfTrue="1" operator="equal">
      <formula>"Napkin Hs"</formula>
    </cfRule>
  </conditionalFormatting>
  <conditionalFormatting sqref="B112:C112">
    <cfRule type="cellIs" dxfId="17943" priority="2763" stopIfTrue="1" operator="equal">
      <formula>"Towel"</formula>
    </cfRule>
    <cfRule type="cellIs" dxfId="17942" priority="2764" stopIfTrue="1" operator="equal">
      <formula>"Napkin Hs"</formula>
    </cfRule>
  </conditionalFormatting>
  <conditionalFormatting sqref="C111">
    <cfRule type="cellIs" dxfId="17941" priority="2769" stopIfTrue="1" operator="equal">
      <formula>"Towel"</formula>
    </cfRule>
    <cfRule type="cellIs" dxfId="17940" priority="2770" stopIfTrue="1" operator="equal">
      <formula>"Napkin Hs"</formula>
    </cfRule>
  </conditionalFormatting>
  <conditionalFormatting sqref="C111:C112">
    <cfRule type="cellIs" dxfId="17939" priority="2765" stopIfTrue="1" operator="equal">
      <formula>"Towel"</formula>
    </cfRule>
    <cfRule type="cellIs" dxfId="17938" priority="2766" stopIfTrue="1" operator="equal">
      <formula>"Napkin Hs"</formula>
    </cfRule>
  </conditionalFormatting>
  <conditionalFormatting sqref="C112">
    <cfRule type="cellIs" dxfId="17937" priority="2761" stopIfTrue="1" operator="equal">
      <formula>"Towel"</formula>
    </cfRule>
    <cfRule type="cellIs" dxfId="17936" priority="2762" stopIfTrue="1" operator="equal">
      <formula>"Napkin Hs"</formula>
    </cfRule>
  </conditionalFormatting>
  <conditionalFormatting sqref="B111:C112">
    <cfRule type="cellIs" dxfId="17935" priority="2760" stopIfTrue="1" operator="equal">
      <formula>"Napkin Hs"</formula>
    </cfRule>
  </conditionalFormatting>
  <conditionalFormatting sqref="B111:C112">
    <cfRule type="cellIs" dxfId="17934" priority="2759" stopIfTrue="1" operator="equal">
      <formula>"Towel"</formula>
    </cfRule>
  </conditionalFormatting>
  <conditionalFormatting sqref="C111:C112">
    <cfRule type="cellIs" dxfId="17933" priority="2758" stopIfTrue="1" operator="equal">
      <formula>"Napkin Hs"</formula>
    </cfRule>
  </conditionalFormatting>
  <conditionalFormatting sqref="C111:C112">
    <cfRule type="cellIs" dxfId="17932" priority="2757" stopIfTrue="1" operator="equal">
      <formula>"Towel"</formula>
    </cfRule>
  </conditionalFormatting>
  <conditionalFormatting sqref="C111:C112">
    <cfRule type="cellIs" dxfId="17931" priority="2755" stopIfTrue="1" operator="equal">
      <formula>"Towel"</formula>
    </cfRule>
    <cfRule type="cellIs" dxfId="17930" priority="2756" stopIfTrue="1" operator="equal">
      <formula>"Napkin Hs"</formula>
    </cfRule>
  </conditionalFormatting>
  <conditionalFormatting sqref="B111:C111">
    <cfRule type="cellIs" dxfId="17929" priority="2700" stopIfTrue="1" operator="equal">
      <formula>"Napkin Hs"</formula>
    </cfRule>
  </conditionalFormatting>
  <conditionalFormatting sqref="B111:C111">
    <cfRule type="cellIs" dxfId="17928" priority="2699" stopIfTrue="1" operator="equal">
      <formula>"Towel"</formula>
    </cfRule>
  </conditionalFormatting>
  <conditionalFormatting sqref="C111">
    <cfRule type="cellIs" dxfId="17927" priority="2698" stopIfTrue="1" operator="equal">
      <formula>"Napkin Hs"</formula>
    </cfRule>
  </conditionalFormatting>
  <conditionalFormatting sqref="C111">
    <cfRule type="cellIs" dxfId="17926" priority="2697" stopIfTrue="1" operator="equal">
      <formula>"Towel"</formula>
    </cfRule>
  </conditionalFormatting>
  <conditionalFormatting sqref="C111">
    <cfRule type="cellIs" dxfId="17925" priority="2695" stopIfTrue="1" operator="equal">
      <formula>"Towel"</formula>
    </cfRule>
    <cfRule type="cellIs" dxfId="17924" priority="2696" stopIfTrue="1" operator="equal">
      <formula>"Napkin Hs"</formula>
    </cfRule>
  </conditionalFormatting>
  <conditionalFormatting sqref="B111:C111">
    <cfRule type="cellIs" dxfId="17923" priority="2693" stopIfTrue="1" operator="equal">
      <formula>"Towel"</formula>
    </cfRule>
    <cfRule type="cellIs" dxfId="17922" priority="2694" stopIfTrue="1" operator="equal">
      <formula>"Napkin Hs"</formula>
    </cfRule>
  </conditionalFormatting>
  <conditionalFormatting sqref="C111">
    <cfRule type="cellIs" dxfId="17921" priority="2689" stopIfTrue="1" operator="equal">
      <formula>"Towel"</formula>
    </cfRule>
    <cfRule type="cellIs" dxfId="17920" priority="2690" stopIfTrue="1" operator="equal">
      <formula>"Napkin Hs"</formula>
    </cfRule>
  </conditionalFormatting>
  <conditionalFormatting sqref="C111">
    <cfRule type="cellIs" dxfId="17919" priority="2691" stopIfTrue="1" operator="equal">
      <formula>"Towel"</formula>
    </cfRule>
    <cfRule type="cellIs" dxfId="17918" priority="2692" stopIfTrue="1" operator="equal">
      <formula>"Napkin Hs"</formula>
    </cfRule>
  </conditionalFormatting>
  <conditionalFormatting sqref="B111:C111">
    <cfRule type="cellIs" dxfId="17917" priority="2688" stopIfTrue="1" operator="equal">
      <formula>"Napkin Hs"</formula>
    </cfRule>
  </conditionalFormatting>
  <conditionalFormatting sqref="B111:C111">
    <cfRule type="cellIs" dxfId="17916" priority="2687" stopIfTrue="1" operator="equal">
      <formula>"Towel"</formula>
    </cfRule>
  </conditionalFormatting>
  <conditionalFormatting sqref="C111">
    <cfRule type="cellIs" dxfId="17915" priority="2686" stopIfTrue="1" operator="equal">
      <formula>"Napkin Hs"</formula>
    </cfRule>
  </conditionalFormatting>
  <conditionalFormatting sqref="C111">
    <cfRule type="cellIs" dxfId="17914" priority="2685" stopIfTrue="1" operator="equal">
      <formula>"Towel"</formula>
    </cfRule>
  </conditionalFormatting>
  <conditionalFormatting sqref="C111">
    <cfRule type="cellIs" dxfId="17913" priority="2683" stopIfTrue="1" operator="equal">
      <formula>"Towel"</formula>
    </cfRule>
    <cfRule type="cellIs" dxfId="17912" priority="2684" stopIfTrue="1" operator="equal">
      <formula>"Napkin Hs"</formula>
    </cfRule>
  </conditionalFormatting>
  <conditionalFormatting sqref="B111:C111">
    <cfRule type="cellIs" dxfId="17911" priority="2681" stopIfTrue="1" operator="equal">
      <formula>"Towel"</formula>
    </cfRule>
    <cfRule type="cellIs" dxfId="17910" priority="2682" stopIfTrue="1" operator="equal">
      <formula>"Napkin Hs"</formula>
    </cfRule>
  </conditionalFormatting>
  <conditionalFormatting sqref="C111">
    <cfRule type="cellIs" dxfId="17909" priority="2679" stopIfTrue="1" operator="equal">
      <formula>"Towel"</formula>
    </cfRule>
    <cfRule type="cellIs" dxfId="17908" priority="2680" stopIfTrue="1" operator="equal">
      <formula>"Napkin Hs"</formula>
    </cfRule>
  </conditionalFormatting>
  <conditionalFormatting sqref="C111">
    <cfRule type="cellIs" dxfId="17907" priority="2677" stopIfTrue="1" operator="equal">
      <formula>"Towel"</formula>
    </cfRule>
    <cfRule type="cellIs" dxfId="17906" priority="2678" stopIfTrue="1" operator="equal">
      <formula>"Napkin Hs"</formula>
    </cfRule>
  </conditionalFormatting>
  <conditionalFormatting sqref="B111:C111">
    <cfRule type="cellIs" dxfId="17905" priority="2675" stopIfTrue="1" operator="equal">
      <formula>"Towel"</formula>
    </cfRule>
    <cfRule type="cellIs" dxfId="17904" priority="2676" stopIfTrue="1" operator="equal">
      <formula>"Napkin Hs"</formula>
    </cfRule>
  </conditionalFormatting>
  <conditionalFormatting sqref="C111">
    <cfRule type="cellIs" dxfId="17903" priority="2673" stopIfTrue="1" operator="equal">
      <formula>"Towel"</formula>
    </cfRule>
    <cfRule type="cellIs" dxfId="17902" priority="2674" stopIfTrue="1" operator="equal">
      <formula>"Napkin Hs"</formula>
    </cfRule>
  </conditionalFormatting>
  <conditionalFormatting sqref="C111">
    <cfRule type="cellIs" dxfId="17901" priority="2671" stopIfTrue="1" operator="equal">
      <formula>"Towel"</formula>
    </cfRule>
    <cfRule type="cellIs" dxfId="17900" priority="2672" stopIfTrue="1" operator="equal">
      <formula>"Napkin Hs"</formula>
    </cfRule>
  </conditionalFormatting>
  <conditionalFormatting sqref="B111:C111">
    <cfRule type="cellIs" dxfId="17899" priority="2669" stopIfTrue="1" operator="equal">
      <formula>"Towel"</formula>
    </cfRule>
    <cfRule type="cellIs" dxfId="17898" priority="2670" stopIfTrue="1" operator="equal">
      <formula>"Napkin Hs"</formula>
    </cfRule>
  </conditionalFormatting>
  <conditionalFormatting sqref="C111">
    <cfRule type="cellIs" dxfId="17897" priority="2667" stopIfTrue="1" operator="equal">
      <formula>"Towel"</formula>
    </cfRule>
    <cfRule type="cellIs" dxfId="17896" priority="2668" stopIfTrue="1" operator="equal">
      <formula>"Napkin Hs"</formula>
    </cfRule>
  </conditionalFormatting>
  <conditionalFormatting sqref="C111">
    <cfRule type="cellIs" dxfId="17895" priority="2665" stopIfTrue="1" operator="equal">
      <formula>"Towel"</formula>
    </cfRule>
    <cfRule type="cellIs" dxfId="17894" priority="2666" stopIfTrue="1" operator="equal">
      <formula>"Napkin Hs"</formula>
    </cfRule>
  </conditionalFormatting>
  <conditionalFormatting sqref="B111:C111">
    <cfRule type="cellIs" dxfId="17893" priority="2663" stopIfTrue="1" operator="equal">
      <formula>"Towel"</formula>
    </cfRule>
    <cfRule type="cellIs" dxfId="17892" priority="2664" stopIfTrue="1" operator="equal">
      <formula>"Napkin Hs"</formula>
    </cfRule>
  </conditionalFormatting>
  <conditionalFormatting sqref="C111">
    <cfRule type="cellIs" dxfId="17891" priority="2661" stopIfTrue="1" operator="equal">
      <formula>"Towel"</formula>
    </cfRule>
    <cfRule type="cellIs" dxfId="17890" priority="2662" stopIfTrue="1" operator="equal">
      <formula>"Napkin Hs"</formula>
    </cfRule>
  </conditionalFormatting>
  <conditionalFormatting sqref="C111">
    <cfRule type="cellIs" dxfId="17889" priority="2659" stopIfTrue="1" operator="equal">
      <formula>"Towel"</formula>
    </cfRule>
    <cfRule type="cellIs" dxfId="17888" priority="2660" stopIfTrue="1" operator="equal">
      <formula>"Napkin Hs"</formula>
    </cfRule>
  </conditionalFormatting>
  <conditionalFormatting sqref="B111:C111">
    <cfRule type="cellIs" dxfId="17887" priority="2657" stopIfTrue="1" operator="equal">
      <formula>"Towel"</formula>
    </cfRule>
    <cfRule type="cellIs" dxfId="17886" priority="2658" stopIfTrue="1" operator="equal">
      <formula>"Napkin Hs"</formula>
    </cfRule>
  </conditionalFormatting>
  <conditionalFormatting sqref="C111">
    <cfRule type="cellIs" dxfId="17885" priority="2655" stopIfTrue="1" operator="equal">
      <formula>"Towel"</formula>
    </cfRule>
    <cfRule type="cellIs" dxfId="17884" priority="2656" stopIfTrue="1" operator="equal">
      <formula>"Napkin Hs"</formula>
    </cfRule>
  </conditionalFormatting>
  <conditionalFormatting sqref="C111">
    <cfRule type="cellIs" dxfId="17883" priority="2653" stopIfTrue="1" operator="equal">
      <formula>"Towel"</formula>
    </cfRule>
    <cfRule type="cellIs" dxfId="17882" priority="2654" stopIfTrue="1" operator="equal">
      <formula>"Napkin Hs"</formula>
    </cfRule>
  </conditionalFormatting>
  <conditionalFormatting sqref="B111:C111">
    <cfRule type="cellIs" dxfId="17881" priority="2652" stopIfTrue="1" operator="equal">
      <formula>"Napkin Hs"</formula>
    </cfRule>
  </conditionalFormatting>
  <conditionalFormatting sqref="B111:C111">
    <cfRule type="cellIs" dxfId="17880" priority="2651" stopIfTrue="1" operator="equal">
      <formula>"Towel"</formula>
    </cfRule>
  </conditionalFormatting>
  <conditionalFormatting sqref="C111">
    <cfRule type="cellIs" dxfId="17879" priority="2650" stopIfTrue="1" operator="equal">
      <formula>"Napkin Hs"</formula>
    </cfRule>
  </conditionalFormatting>
  <conditionalFormatting sqref="C111">
    <cfRule type="cellIs" dxfId="17878" priority="2647" stopIfTrue="1" operator="equal">
      <formula>"Towel"</formula>
    </cfRule>
    <cfRule type="cellIs" dxfId="17877" priority="2648" stopIfTrue="1" operator="equal">
      <formula>"Napkin Hs"</formula>
    </cfRule>
  </conditionalFormatting>
  <conditionalFormatting sqref="C111">
    <cfRule type="cellIs" dxfId="17876" priority="2649" stopIfTrue="1" operator="equal">
      <formula>"Towel"</formula>
    </cfRule>
  </conditionalFormatting>
  <conditionalFormatting sqref="B112:C112">
    <cfRule type="cellIs" dxfId="17875" priority="2646" stopIfTrue="1" operator="equal">
      <formula>"Napkin Hs"</formula>
    </cfRule>
  </conditionalFormatting>
  <conditionalFormatting sqref="B112:C112">
    <cfRule type="cellIs" dxfId="17874" priority="2645" stopIfTrue="1" operator="equal">
      <formula>"Towel"</formula>
    </cfRule>
  </conditionalFormatting>
  <conditionalFormatting sqref="C112">
    <cfRule type="cellIs" dxfId="17873" priority="2644" stopIfTrue="1" operator="equal">
      <formula>"Napkin Hs"</formula>
    </cfRule>
  </conditionalFormatting>
  <conditionalFormatting sqref="C112">
    <cfRule type="cellIs" dxfId="17872" priority="2643" stopIfTrue="1" operator="equal">
      <formula>"Towel"</formula>
    </cfRule>
  </conditionalFormatting>
  <conditionalFormatting sqref="C112">
    <cfRule type="cellIs" dxfId="17871" priority="2641" stopIfTrue="1" operator="equal">
      <formula>"Towel"</formula>
    </cfRule>
    <cfRule type="cellIs" dxfId="17870" priority="2642" stopIfTrue="1" operator="equal">
      <formula>"Napkin Hs"</formula>
    </cfRule>
  </conditionalFormatting>
  <conditionalFormatting sqref="B112:C112">
    <cfRule type="cellIs" dxfId="17869" priority="2639" stopIfTrue="1" operator="equal">
      <formula>"Towel"</formula>
    </cfRule>
    <cfRule type="cellIs" dxfId="17868" priority="2640" stopIfTrue="1" operator="equal">
      <formula>"Napkin Hs"</formula>
    </cfRule>
  </conditionalFormatting>
  <conditionalFormatting sqref="C112">
    <cfRule type="cellIs" dxfId="17867" priority="2635" stopIfTrue="1" operator="equal">
      <formula>"Towel"</formula>
    </cfRule>
    <cfRule type="cellIs" dxfId="17866" priority="2636" stopIfTrue="1" operator="equal">
      <formula>"Napkin Hs"</formula>
    </cfRule>
  </conditionalFormatting>
  <conditionalFormatting sqref="C112">
    <cfRule type="cellIs" dxfId="17865" priority="2637" stopIfTrue="1" operator="equal">
      <formula>"Towel"</formula>
    </cfRule>
    <cfRule type="cellIs" dxfId="17864" priority="2638" stopIfTrue="1" operator="equal">
      <formula>"Napkin Hs"</formula>
    </cfRule>
  </conditionalFormatting>
  <conditionalFormatting sqref="B112:C112">
    <cfRule type="cellIs" dxfId="17863" priority="2634" stopIfTrue="1" operator="equal">
      <formula>"Napkin Hs"</formula>
    </cfRule>
  </conditionalFormatting>
  <conditionalFormatting sqref="B112:C112">
    <cfRule type="cellIs" dxfId="17862" priority="2633" stopIfTrue="1" operator="equal">
      <formula>"Towel"</formula>
    </cfRule>
  </conditionalFormatting>
  <conditionalFormatting sqref="C112">
    <cfRule type="cellIs" dxfId="17861" priority="2632" stopIfTrue="1" operator="equal">
      <formula>"Napkin Hs"</formula>
    </cfRule>
  </conditionalFormatting>
  <conditionalFormatting sqref="C112">
    <cfRule type="cellIs" dxfId="17860" priority="2631" stopIfTrue="1" operator="equal">
      <formula>"Towel"</formula>
    </cfRule>
  </conditionalFormatting>
  <conditionalFormatting sqref="C112">
    <cfRule type="cellIs" dxfId="17859" priority="2629" stopIfTrue="1" operator="equal">
      <formula>"Towel"</formula>
    </cfRule>
    <cfRule type="cellIs" dxfId="17858" priority="2630" stopIfTrue="1" operator="equal">
      <formula>"Napkin Hs"</formula>
    </cfRule>
  </conditionalFormatting>
  <conditionalFormatting sqref="B112:C112">
    <cfRule type="cellIs" dxfId="17857" priority="2627" stopIfTrue="1" operator="equal">
      <formula>"Towel"</formula>
    </cfRule>
    <cfRule type="cellIs" dxfId="17856" priority="2628" stopIfTrue="1" operator="equal">
      <formula>"Napkin Hs"</formula>
    </cfRule>
  </conditionalFormatting>
  <conditionalFormatting sqref="C112">
    <cfRule type="cellIs" dxfId="17855" priority="2625" stopIfTrue="1" operator="equal">
      <formula>"Towel"</formula>
    </cfRule>
    <cfRule type="cellIs" dxfId="17854" priority="2626" stopIfTrue="1" operator="equal">
      <formula>"Napkin Hs"</formula>
    </cfRule>
  </conditionalFormatting>
  <conditionalFormatting sqref="C112">
    <cfRule type="cellIs" dxfId="17853" priority="2623" stopIfTrue="1" operator="equal">
      <formula>"Towel"</formula>
    </cfRule>
    <cfRule type="cellIs" dxfId="17852" priority="2624" stopIfTrue="1" operator="equal">
      <formula>"Napkin Hs"</formula>
    </cfRule>
  </conditionalFormatting>
  <conditionalFormatting sqref="B112:C112">
    <cfRule type="cellIs" dxfId="17851" priority="2621" stopIfTrue="1" operator="equal">
      <formula>"Towel"</formula>
    </cfRule>
    <cfRule type="cellIs" dxfId="17850" priority="2622" stopIfTrue="1" operator="equal">
      <formula>"Napkin Hs"</formula>
    </cfRule>
  </conditionalFormatting>
  <conditionalFormatting sqref="C112">
    <cfRule type="cellIs" dxfId="17849" priority="2619" stopIfTrue="1" operator="equal">
      <formula>"Towel"</formula>
    </cfRule>
    <cfRule type="cellIs" dxfId="17848" priority="2620" stopIfTrue="1" operator="equal">
      <formula>"Napkin Hs"</formula>
    </cfRule>
  </conditionalFormatting>
  <conditionalFormatting sqref="C112">
    <cfRule type="cellIs" dxfId="17847" priority="2617" stopIfTrue="1" operator="equal">
      <formula>"Towel"</formula>
    </cfRule>
    <cfRule type="cellIs" dxfId="17846" priority="2618" stopIfTrue="1" operator="equal">
      <formula>"Napkin Hs"</formula>
    </cfRule>
  </conditionalFormatting>
  <conditionalFormatting sqref="B112:C112">
    <cfRule type="cellIs" dxfId="17845" priority="2615" stopIfTrue="1" operator="equal">
      <formula>"Towel"</formula>
    </cfRule>
    <cfRule type="cellIs" dxfId="17844" priority="2616" stopIfTrue="1" operator="equal">
      <formula>"Napkin Hs"</formula>
    </cfRule>
  </conditionalFormatting>
  <conditionalFormatting sqref="C112">
    <cfRule type="cellIs" dxfId="17843" priority="2613" stopIfTrue="1" operator="equal">
      <formula>"Towel"</formula>
    </cfRule>
    <cfRule type="cellIs" dxfId="17842" priority="2614" stopIfTrue="1" operator="equal">
      <formula>"Napkin Hs"</formula>
    </cfRule>
  </conditionalFormatting>
  <conditionalFormatting sqref="C112">
    <cfRule type="cellIs" dxfId="17841" priority="2611" stopIfTrue="1" operator="equal">
      <formula>"Towel"</formula>
    </cfRule>
    <cfRule type="cellIs" dxfId="17840" priority="2612" stopIfTrue="1" operator="equal">
      <formula>"Napkin Hs"</formula>
    </cfRule>
  </conditionalFormatting>
  <conditionalFormatting sqref="B112:C112">
    <cfRule type="cellIs" dxfId="17839" priority="2609" stopIfTrue="1" operator="equal">
      <formula>"Towel"</formula>
    </cfRule>
    <cfRule type="cellIs" dxfId="17838" priority="2610" stopIfTrue="1" operator="equal">
      <formula>"Napkin Hs"</formula>
    </cfRule>
  </conditionalFormatting>
  <conditionalFormatting sqref="C112">
    <cfRule type="cellIs" dxfId="17837" priority="2607" stopIfTrue="1" operator="equal">
      <formula>"Towel"</formula>
    </cfRule>
    <cfRule type="cellIs" dxfId="17836" priority="2608" stopIfTrue="1" operator="equal">
      <formula>"Napkin Hs"</formula>
    </cfRule>
  </conditionalFormatting>
  <conditionalFormatting sqref="C112">
    <cfRule type="cellIs" dxfId="17835" priority="2605" stopIfTrue="1" operator="equal">
      <formula>"Towel"</formula>
    </cfRule>
    <cfRule type="cellIs" dxfId="17834" priority="2606" stopIfTrue="1" operator="equal">
      <formula>"Napkin Hs"</formula>
    </cfRule>
  </conditionalFormatting>
  <conditionalFormatting sqref="B112:C112">
    <cfRule type="cellIs" dxfId="17833" priority="2603" stopIfTrue="1" operator="equal">
      <formula>"Towel"</formula>
    </cfRule>
    <cfRule type="cellIs" dxfId="17832" priority="2604" stopIfTrue="1" operator="equal">
      <formula>"Napkin Hs"</formula>
    </cfRule>
  </conditionalFormatting>
  <conditionalFormatting sqref="C112">
    <cfRule type="cellIs" dxfId="17831" priority="2601" stopIfTrue="1" operator="equal">
      <formula>"Towel"</formula>
    </cfRule>
    <cfRule type="cellIs" dxfId="17830" priority="2602" stopIfTrue="1" operator="equal">
      <formula>"Napkin Hs"</formula>
    </cfRule>
  </conditionalFormatting>
  <conditionalFormatting sqref="C112">
    <cfRule type="cellIs" dxfId="17829" priority="2599" stopIfTrue="1" operator="equal">
      <formula>"Towel"</formula>
    </cfRule>
    <cfRule type="cellIs" dxfId="17828" priority="2600" stopIfTrue="1" operator="equal">
      <formula>"Napkin Hs"</formula>
    </cfRule>
  </conditionalFormatting>
  <conditionalFormatting sqref="B112:C112">
    <cfRule type="cellIs" dxfId="17827" priority="2598" stopIfTrue="1" operator="equal">
      <formula>"Napkin Hs"</formula>
    </cfRule>
  </conditionalFormatting>
  <conditionalFormatting sqref="B112:C112">
    <cfRule type="cellIs" dxfId="17826" priority="2597" stopIfTrue="1" operator="equal">
      <formula>"Towel"</formula>
    </cfRule>
  </conditionalFormatting>
  <conditionalFormatting sqref="C112">
    <cfRule type="cellIs" dxfId="17825" priority="2596" stopIfTrue="1" operator="equal">
      <formula>"Napkin Hs"</formula>
    </cfRule>
  </conditionalFormatting>
  <conditionalFormatting sqref="C112">
    <cfRule type="cellIs" dxfId="17824" priority="2593" stopIfTrue="1" operator="equal">
      <formula>"Towel"</formula>
    </cfRule>
    <cfRule type="cellIs" dxfId="17823" priority="2594" stopIfTrue="1" operator="equal">
      <formula>"Napkin Hs"</formula>
    </cfRule>
  </conditionalFormatting>
  <conditionalFormatting sqref="C112">
    <cfRule type="cellIs" dxfId="17822" priority="2595" stopIfTrue="1" operator="equal">
      <formula>"Towel"</formula>
    </cfRule>
  </conditionalFormatting>
  <conditionalFormatting sqref="B110:C110">
    <cfRule type="cellIs" dxfId="17821" priority="2549" stopIfTrue="1" operator="equal">
      <formula>"Towel"</formula>
    </cfRule>
    <cfRule type="cellIs" dxfId="17820" priority="2550" stopIfTrue="1" operator="equal">
      <formula>"Napkin Hs"</formula>
    </cfRule>
  </conditionalFormatting>
  <conditionalFormatting sqref="C110">
    <cfRule type="cellIs" dxfId="17819" priority="2547" stopIfTrue="1" operator="equal">
      <formula>"Towel"</formula>
    </cfRule>
    <cfRule type="cellIs" dxfId="17818" priority="2548" stopIfTrue="1" operator="equal">
      <formula>"Napkin Hs"</formula>
    </cfRule>
  </conditionalFormatting>
  <conditionalFormatting sqref="C110">
    <cfRule type="cellIs" dxfId="17817" priority="2545" stopIfTrue="1" operator="equal">
      <formula>"Towel"</formula>
    </cfRule>
    <cfRule type="cellIs" dxfId="17816" priority="2546" stopIfTrue="1" operator="equal">
      <formula>"Napkin Hs"</formula>
    </cfRule>
  </conditionalFormatting>
  <conditionalFormatting sqref="B110:C110">
    <cfRule type="cellIs" dxfId="17815" priority="2544" stopIfTrue="1" operator="equal">
      <formula>"Napkin Hs"</formula>
    </cfRule>
  </conditionalFormatting>
  <conditionalFormatting sqref="B110:C110">
    <cfRule type="cellIs" dxfId="17814" priority="2543" stopIfTrue="1" operator="equal">
      <formula>"Towel"</formula>
    </cfRule>
  </conditionalFormatting>
  <conditionalFormatting sqref="C110">
    <cfRule type="cellIs" dxfId="17813" priority="2542" stopIfTrue="1" operator="equal">
      <formula>"Napkin Hs"</formula>
    </cfRule>
  </conditionalFormatting>
  <conditionalFormatting sqref="C110">
    <cfRule type="cellIs" dxfId="17812" priority="2541" stopIfTrue="1" operator="equal">
      <formula>"Towel"</formula>
    </cfRule>
  </conditionalFormatting>
  <conditionalFormatting sqref="C110">
    <cfRule type="cellIs" dxfId="17811" priority="2539" stopIfTrue="1" operator="equal">
      <formula>"Towel"</formula>
    </cfRule>
    <cfRule type="cellIs" dxfId="17810" priority="2540" stopIfTrue="1" operator="equal">
      <formula>"Napkin Hs"</formula>
    </cfRule>
  </conditionalFormatting>
  <conditionalFormatting sqref="B110:C110">
    <cfRule type="cellIs" dxfId="17809" priority="2537" stopIfTrue="1" operator="equal">
      <formula>"Towel"</formula>
    </cfRule>
    <cfRule type="cellIs" dxfId="17808" priority="2538" stopIfTrue="1" operator="equal">
      <formula>"Napkin Hs"</formula>
    </cfRule>
  </conditionalFormatting>
  <conditionalFormatting sqref="C110">
    <cfRule type="cellIs" dxfId="17807" priority="2533" stopIfTrue="1" operator="equal">
      <formula>"Towel"</formula>
    </cfRule>
    <cfRule type="cellIs" dxfId="17806" priority="2534" stopIfTrue="1" operator="equal">
      <formula>"Napkin Hs"</formula>
    </cfRule>
  </conditionalFormatting>
  <conditionalFormatting sqref="C110">
    <cfRule type="cellIs" dxfId="17805" priority="2535" stopIfTrue="1" operator="equal">
      <formula>"Towel"</formula>
    </cfRule>
    <cfRule type="cellIs" dxfId="17804" priority="2536" stopIfTrue="1" operator="equal">
      <formula>"Napkin Hs"</formula>
    </cfRule>
  </conditionalFormatting>
  <conditionalFormatting sqref="B110:C110">
    <cfRule type="cellIs" dxfId="17803" priority="2532" stopIfTrue="1" operator="equal">
      <formula>"Napkin Hs"</formula>
    </cfRule>
  </conditionalFormatting>
  <conditionalFormatting sqref="B110:C110">
    <cfRule type="cellIs" dxfId="17802" priority="2531" stopIfTrue="1" operator="equal">
      <formula>"Towel"</formula>
    </cfRule>
  </conditionalFormatting>
  <conditionalFormatting sqref="C110">
    <cfRule type="cellIs" dxfId="17801" priority="2530" stopIfTrue="1" operator="equal">
      <formula>"Napkin Hs"</formula>
    </cfRule>
  </conditionalFormatting>
  <conditionalFormatting sqref="C110">
    <cfRule type="cellIs" dxfId="17800" priority="2529" stopIfTrue="1" operator="equal">
      <formula>"Towel"</formula>
    </cfRule>
  </conditionalFormatting>
  <conditionalFormatting sqref="C110">
    <cfRule type="cellIs" dxfId="17799" priority="2527" stopIfTrue="1" operator="equal">
      <formula>"Towel"</formula>
    </cfRule>
    <cfRule type="cellIs" dxfId="17798" priority="2528" stopIfTrue="1" operator="equal">
      <formula>"Napkin Hs"</formula>
    </cfRule>
  </conditionalFormatting>
  <conditionalFormatting sqref="B110:C110">
    <cfRule type="cellIs" dxfId="17797" priority="2525" stopIfTrue="1" operator="equal">
      <formula>"Towel"</formula>
    </cfRule>
    <cfRule type="cellIs" dxfId="17796" priority="2526" stopIfTrue="1" operator="equal">
      <formula>"Napkin Hs"</formula>
    </cfRule>
  </conditionalFormatting>
  <conditionalFormatting sqref="C110">
    <cfRule type="cellIs" dxfId="17795" priority="2523" stopIfTrue="1" operator="equal">
      <formula>"Towel"</formula>
    </cfRule>
    <cfRule type="cellIs" dxfId="17794" priority="2524" stopIfTrue="1" operator="equal">
      <formula>"Napkin Hs"</formula>
    </cfRule>
  </conditionalFormatting>
  <conditionalFormatting sqref="C110">
    <cfRule type="cellIs" dxfId="17793" priority="2521" stopIfTrue="1" operator="equal">
      <formula>"Towel"</formula>
    </cfRule>
    <cfRule type="cellIs" dxfId="17792" priority="2522" stopIfTrue="1" operator="equal">
      <formula>"Napkin Hs"</formula>
    </cfRule>
  </conditionalFormatting>
  <conditionalFormatting sqref="B110:C110">
    <cfRule type="cellIs" dxfId="17791" priority="2519" stopIfTrue="1" operator="equal">
      <formula>"Towel"</formula>
    </cfRule>
    <cfRule type="cellIs" dxfId="17790" priority="2520" stopIfTrue="1" operator="equal">
      <formula>"Napkin Hs"</formula>
    </cfRule>
  </conditionalFormatting>
  <conditionalFormatting sqref="C110">
    <cfRule type="cellIs" dxfId="17789" priority="2517" stopIfTrue="1" operator="equal">
      <formula>"Towel"</formula>
    </cfRule>
    <cfRule type="cellIs" dxfId="17788" priority="2518" stopIfTrue="1" operator="equal">
      <formula>"Napkin Hs"</formula>
    </cfRule>
  </conditionalFormatting>
  <conditionalFormatting sqref="C110">
    <cfRule type="cellIs" dxfId="17787" priority="2515" stopIfTrue="1" operator="equal">
      <formula>"Towel"</formula>
    </cfRule>
    <cfRule type="cellIs" dxfId="17786" priority="2516" stopIfTrue="1" operator="equal">
      <formula>"Napkin Hs"</formula>
    </cfRule>
  </conditionalFormatting>
  <conditionalFormatting sqref="B110:C110">
    <cfRule type="cellIs" dxfId="17785" priority="2513" stopIfTrue="1" operator="equal">
      <formula>"Towel"</formula>
    </cfRule>
    <cfRule type="cellIs" dxfId="17784" priority="2514" stopIfTrue="1" operator="equal">
      <formula>"Napkin Hs"</formula>
    </cfRule>
  </conditionalFormatting>
  <conditionalFormatting sqref="C110">
    <cfRule type="cellIs" dxfId="17783" priority="2511" stopIfTrue="1" operator="equal">
      <formula>"Towel"</formula>
    </cfRule>
    <cfRule type="cellIs" dxfId="17782" priority="2512" stopIfTrue="1" operator="equal">
      <formula>"Napkin Hs"</formula>
    </cfRule>
  </conditionalFormatting>
  <conditionalFormatting sqref="C110">
    <cfRule type="cellIs" dxfId="17781" priority="2509" stopIfTrue="1" operator="equal">
      <formula>"Towel"</formula>
    </cfRule>
    <cfRule type="cellIs" dxfId="17780" priority="2510" stopIfTrue="1" operator="equal">
      <formula>"Napkin Hs"</formula>
    </cfRule>
  </conditionalFormatting>
  <conditionalFormatting sqref="B110:C110">
    <cfRule type="cellIs" dxfId="17779" priority="2507" stopIfTrue="1" operator="equal">
      <formula>"Towel"</formula>
    </cfRule>
    <cfRule type="cellIs" dxfId="17778" priority="2508" stopIfTrue="1" operator="equal">
      <formula>"Napkin Hs"</formula>
    </cfRule>
  </conditionalFormatting>
  <conditionalFormatting sqref="C110">
    <cfRule type="cellIs" dxfId="17777" priority="2505" stopIfTrue="1" operator="equal">
      <formula>"Towel"</formula>
    </cfRule>
    <cfRule type="cellIs" dxfId="17776" priority="2506" stopIfTrue="1" operator="equal">
      <formula>"Napkin Hs"</formula>
    </cfRule>
  </conditionalFormatting>
  <conditionalFormatting sqref="C110">
    <cfRule type="cellIs" dxfId="17775" priority="2503" stopIfTrue="1" operator="equal">
      <formula>"Towel"</formula>
    </cfRule>
    <cfRule type="cellIs" dxfId="17774" priority="2504" stopIfTrue="1" operator="equal">
      <formula>"Napkin Hs"</formula>
    </cfRule>
  </conditionalFormatting>
  <conditionalFormatting sqref="B110:C110">
    <cfRule type="cellIs" dxfId="17773" priority="2501" stopIfTrue="1" operator="equal">
      <formula>"Towel"</formula>
    </cfRule>
    <cfRule type="cellIs" dxfId="17772" priority="2502" stopIfTrue="1" operator="equal">
      <formula>"Napkin Hs"</formula>
    </cfRule>
  </conditionalFormatting>
  <conditionalFormatting sqref="C110">
    <cfRule type="cellIs" dxfId="17771" priority="2499" stopIfTrue="1" operator="equal">
      <formula>"Towel"</formula>
    </cfRule>
    <cfRule type="cellIs" dxfId="17770" priority="2500" stopIfTrue="1" operator="equal">
      <formula>"Napkin Hs"</formula>
    </cfRule>
  </conditionalFormatting>
  <conditionalFormatting sqref="C110">
    <cfRule type="cellIs" dxfId="17769" priority="2497" stopIfTrue="1" operator="equal">
      <formula>"Towel"</formula>
    </cfRule>
    <cfRule type="cellIs" dxfId="17768" priority="2498" stopIfTrue="1" operator="equal">
      <formula>"Napkin Hs"</formula>
    </cfRule>
  </conditionalFormatting>
  <conditionalFormatting sqref="B110:C110">
    <cfRule type="cellIs" dxfId="17767" priority="2496" stopIfTrue="1" operator="equal">
      <formula>"Napkin Hs"</formula>
    </cfRule>
  </conditionalFormatting>
  <conditionalFormatting sqref="B110:C110">
    <cfRule type="cellIs" dxfId="17766" priority="2495" stopIfTrue="1" operator="equal">
      <formula>"Towel"</formula>
    </cfRule>
  </conditionalFormatting>
  <conditionalFormatting sqref="C110">
    <cfRule type="cellIs" dxfId="17765" priority="2494" stopIfTrue="1" operator="equal">
      <formula>"Napkin Hs"</formula>
    </cfRule>
  </conditionalFormatting>
  <conditionalFormatting sqref="C110">
    <cfRule type="cellIs" dxfId="17764" priority="2491" stopIfTrue="1" operator="equal">
      <formula>"Towel"</formula>
    </cfRule>
    <cfRule type="cellIs" dxfId="17763" priority="2492" stopIfTrue="1" operator="equal">
      <formula>"Napkin Hs"</formula>
    </cfRule>
  </conditionalFormatting>
  <conditionalFormatting sqref="C110">
    <cfRule type="cellIs" dxfId="17762" priority="2493" stopIfTrue="1" operator="equal">
      <formula>"Towel"</formula>
    </cfRule>
  </conditionalFormatting>
  <conditionalFormatting sqref="B110:C110">
    <cfRule type="cellIs" dxfId="17761" priority="2490" stopIfTrue="1" operator="equal">
      <formula>"Napkin Hs"</formula>
    </cfRule>
  </conditionalFormatting>
  <conditionalFormatting sqref="B110:C110">
    <cfRule type="cellIs" dxfId="17760" priority="2489" stopIfTrue="1" operator="equal">
      <formula>"Towel"</formula>
    </cfRule>
  </conditionalFormatting>
  <conditionalFormatting sqref="C110">
    <cfRule type="cellIs" dxfId="17759" priority="2488" stopIfTrue="1" operator="equal">
      <formula>"Napkin Hs"</formula>
    </cfRule>
  </conditionalFormatting>
  <conditionalFormatting sqref="C110">
    <cfRule type="cellIs" dxfId="17758" priority="2487" stopIfTrue="1" operator="equal">
      <formula>"Towel"</formula>
    </cfRule>
  </conditionalFormatting>
  <conditionalFormatting sqref="C110">
    <cfRule type="cellIs" dxfId="17757" priority="2485" stopIfTrue="1" operator="equal">
      <formula>"Towel"</formula>
    </cfRule>
    <cfRule type="cellIs" dxfId="17756" priority="2486" stopIfTrue="1" operator="equal">
      <formula>"Napkin Hs"</formula>
    </cfRule>
  </conditionalFormatting>
  <conditionalFormatting sqref="B110:C110">
    <cfRule type="cellIs" dxfId="17755" priority="2483" stopIfTrue="1" operator="equal">
      <formula>"Towel"</formula>
    </cfRule>
    <cfRule type="cellIs" dxfId="17754" priority="2484" stopIfTrue="1" operator="equal">
      <formula>"Napkin Hs"</formula>
    </cfRule>
  </conditionalFormatting>
  <conditionalFormatting sqref="C110">
    <cfRule type="cellIs" dxfId="17753" priority="2479" stopIfTrue="1" operator="equal">
      <formula>"Towel"</formula>
    </cfRule>
    <cfRule type="cellIs" dxfId="17752" priority="2480" stopIfTrue="1" operator="equal">
      <formula>"Napkin Hs"</formula>
    </cfRule>
  </conditionalFormatting>
  <conditionalFormatting sqref="C110">
    <cfRule type="cellIs" dxfId="17751" priority="2481" stopIfTrue="1" operator="equal">
      <formula>"Towel"</formula>
    </cfRule>
    <cfRule type="cellIs" dxfId="17750" priority="2482" stopIfTrue="1" operator="equal">
      <formula>"Napkin Hs"</formula>
    </cfRule>
  </conditionalFormatting>
  <conditionalFormatting sqref="B110:C110">
    <cfRule type="cellIs" dxfId="17749" priority="2478" stopIfTrue="1" operator="equal">
      <formula>"Napkin Hs"</formula>
    </cfRule>
  </conditionalFormatting>
  <conditionalFormatting sqref="B110:C110">
    <cfRule type="cellIs" dxfId="17748" priority="2477" stopIfTrue="1" operator="equal">
      <formula>"Towel"</formula>
    </cfRule>
  </conditionalFormatting>
  <conditionalFormatting sqref="C110">
    <cfRule type="cellIs" dxfId="17747" priority="2476" stopIfTrue="1" operator="equal">
      <formula>"Napkin Hs"</formula>
    </cfRule>
  </conditionalFormatting>
  <conditionalFormatting sqref="C110">
    <cfRule type="cellIs" dxfId="17746" priority="2475" stopIfTrue="1" operator="equal">
      <formula>"Towel"</formula>
    </cfRule>
  </conditionalFormatting>
  <conditionalFormatting sqref="C110">
    <cfRule type="cellIs" dxfId="17745" priority="2473" stopIfTrue="1" operator="equal">
      <formula>"Towel"</formula>
    </cfRule>
    <cfRule type="cellIs" dxfId="17744" priority="2474" stopIfTrue="1" operator="equal">
      <formula>"Napkin Hs"</formula>
    </cfRule>
  </conditionalFormatting>
  <conditionalFormatting sqref="B110:C110">
    <cfRule type="cellIs" dxfId="17743" priority="2471" stopIfTrue="1" operator="equal">
      <formula>"Towel"</formula>
    </cfRule>
    <cfRule type="cellIs" dxfId="17742" priority="2472" stopIfTrue="1" operator="equal">
      <formula>"Napkin Hs"</formula>
    </cfRule>
  </conditionalFormatting>
  <conditionalFormatting sqref="C110">
    <cfRule type="cellIs" dxfId="17741" priority="2469" stopIfTrue="1" operator="equal">
      <formula>"Towel"</formula>
    </cfRule>
    <cfRule type="cellIs" dxfId="17740" priority="2470" stopIfTrue="1" operator="equal">
      <formula>"Napkin Hs"</formula>
    </cfRule>
  </conditionalFormatting>
  <conditionalFormatting sqref="C110">
    <cfRule type="cellIs" dxfId="17739" priority="2467" stopIfTrue="1" operator="equal">
      <formula>"Towel"</formula>
    </cfRule>
    <cfRule type="cellIs" dxfId="17738" priority="2468" stopIfTrue="1" operator="equal">
      <formula>"Napkin Hs"</formula>
    </cfRule>
  </conditionalFormatting>
  <conditionalFormatting sqref="B110:C110">
    <cfRule type="cellIs" dxfId="17737" priority="2465" stopIfTrue="1" operator="equal">
      <formula>"Towel"</formula>
    </cfRule>
    <cfRule type="cellIs" dxfId="17736" priority="2466" stopIfTrue="1" operator="equal">
      <formula>"Napkin Hs"</formula>
    </cfRule>
  </conditionalFormatting>
  <conditionalFormatting sqref="C110">
    <cfRule type="cellIs" dxfId="17735" priority="2463" stopIfTrue="1" operator="equal">
      <formula>"Towel"</formula>
    </cfRule>
    <cfRule type="cellIs" dxfId="17734" priority="2464" stopIfTrue="1" operator="equal">
      <formula>"Napkin Hs"</formula>
    </cfRule>
  </conditionalFormatting>
  <conditionalFormatting sqref="C110">
    <cfRule type="cellIs" dxfId="17733" priority="2461" stopIfTrue="1" operator="equal">
      <formula>"Towel"</formula>
    </cfRule>
    <cfRule type="cellIs" dxfId="17732" priority="2462" stopIfTrue="1" operator="equal">
      <formula>"Napkin Hs"</formula>
    </cfRule>
  </conditionalFormatting>
  <conditionalFormatting sqref="B110:C110">
    <cfRule type="cellIs" dxfId="17731" priority="2459" stopIfTrue="1" operator="equal">
      <formula>"Towel"</formula>
    </cfRule>
    <cfRule type="cellIs" dxfId="17730" priority="2460" stopIfTrue="1" operator="equal">
      <formula>"Napkin Hs"</formula>
    </cfRule>
  </conditionalFormatting>
  <conditionalFormatting sqref="C110">
    <cfRule type="cellIs" dxfId="17729" priority="2457" stopIfTrue="1" operator="equal">
      <formula>"Towel"</formula>
    </cfRule>
    <cfRule type="cellIs" dxfId="17728" priority="2458" stopIfTrue="1" operator="equal">
      <formula>"Napkin Hs"</formula>
    </cfRule>
  </conditionalFormatting>
  <conditionalFormatting sqref="C110">
    <cfRule type="cellIs" dxfId="17727" priority="2455" stopIfTrue="1" operator="equal">
      <formula>"Towel"</formula>
    </cfRule>
    <cfRule type="cellIs" dxfId="17726" priority="2456" stopIfTrue="1" operator="equal">
      <formula>"Napkin Hs"</formula>
    </cfRule>
  </conditionalFormatting>
  <conditionalFormatting sqref="B110:C110">
    <cfRule type="cellIs" dxfId="17725" priority="2453" stopIfTrue="1" operator="equal">
      <formula>"Towel"</formula>
    </cfRule>
    <cfRule type="cellIs" dxfId="17724" priority="2454" stopIfTrue="1" operator="equal">
      <formula>"Napkin Hs"</formula>
    </cfRule>
  </conditionalFormatting>
  <conditionalFormatting sqref="C110">
    <cfRule type="cellIs" dxfId="17723" priority="2451" stopIfTrue="1" operator="equal">
      <formula>"Towel"</formula>
    </cfRule>
    <cfRule type="cellIs" dxfId="17722" priority="2452" stopIfTrue="1" operator="equal">
      <formula>"Napkin Hs"</formula>
    </cfRule>
  </conditionalFormatting>
  <conditionalFormatting sqref="C110">
    <cfRule type="cellIs" dxfId="17721" priority="2449" stopIfTrue="1" operator="equal">
      <formula>"Towel"</formula>
    </cfRule>
    <cfRule type="cellIs" dxfId="17720" priority="2450" stopIfTrue="1" operator="equal">
      <formula>"Napkin Hs"</formula>
    </cfRule>
  </conditionalFormatting>
  <conditionalFormatting sqref="B110:C110">
    <cfRule type="cellIs" dxfId="17719" priority="2447" stopIfTrue="1" operator="equal">
      <formula>"Towel"</formula>
    </cfRule>
    <cfRule type="cellIs" dxfId="17718" priority="2448" stopIfTrue="1" operator="equal">
      <formula>"Napkin Hs"</formula>
    </cfRule>
  </conditionalFormatting>
  <conditionalFormatting sqref="C110">
    <cfRule type="cellIs" dxfId="17717" priority="2445" stopIfTrue="1" operator="equal">
      <formula>"Towel"</formula>
    </cfRule>
    <cfRule type="cellIs" dxfId="17716" priority="2446" stopIfTrue="1" operator="equal">
      <formula>"Napkin Hs"</formula>
    </cfRule>
  </conditionalFormatting>
  <conditionalFormatting sqref="C110">
    <cfRule type="cellIs" dxfId="17715" priority="2443" stopIfTrue="1" operator="equal">
      <formula>"Towel"</formula>
    </cfRule>
    <cfRule type="cellIs" dxfId="17714" priority="2444" stopIfTrue="1" operator="equal">
      <formula>"Napkin Hs"</formula>
    </cfRule>
  </conditionalFormatting>
  <conditionalFormatting sqref="B110:C110">
    <cfRule type="cellIs" dxfId="17713" priority="2442" stopIfTrue="1" operator="equal">
      <formula>"Napkin Hs"</formula>
    </cfRule>
  </conditionalFormatting>
  <conditionalFormatting sqref="B110:C110">
    <cfRule type="cellIs" dxfId="17712" priority="2441" stopIfTrue="1" operator="equal">
      <formula>"Towel"</formula>
    </cfRule>
  </conditionalFormatting>
  <conditionalFormatting sqref="C110">
    <cfRule type="cellIs" dxfId="17711" priority="2440" stopIfTrue="1" operator="equal">
      <formula>"Napkin Hs"</formula>
    </cfRule>
  </conditionalFormatting>
  <conditionalFormatting sqref="C110">
    <cfRule type="cellIs" dxfId="17710" priority="2437" stopIfTrue="1" operator="equal">
      <formula>"Towel"</formula>
    </cfRule>
    <cfRule type="cellIs" dxfId="17709" priority="2438" stopIfTrue="1" operator="equal">
      <formula>"Napkin Hs"</formula>
    </cfRule>
  </conditionalFormatting>
  <conditionalFormatting sqref="C110">
    <cfRule type="cellIs" dxfId="17708" priority="2439" stopIfTrue="1" operator="equal">
      <formula>"Towel"</formula>
    </cfRule>
  </conditionalFormatting>
  <conditionalFormatting sqref="B110:C110">
    <cfRule type="cellIs" dxfId="17707" priority="2436" stopIfTrue="1" operator="equal">
      <formula>"Napkin Hs"</formula>
    </cfRule>
  </conditionalFormatting>
  <conditionalFormatting sqref="B110:C110">
    <cfRule type="cellIs" dxfId="17706" priority="2435" stopIfTrue="1" operator="equal">
      <formula>"Towel"</formula>
    </cfRule>
  </conditionalFormatting>
  <conditionalFormatting sqref="C110">
    <cfRule type="cellIs" dxfId="17705" priority="2434" stopIfTrue="1" operator="equal">
      <formula>"Napkin Hs"</formula>
    </cfRule>
  </conditionalFormatting>
  <conditionalFormatting sqref="C110">
    <cfRule type="cellIs" dxfId="17704" priority="2431" stopIfTrue="1" operator="equal">
      <formula>"Towel"</formula>
    </cfRule>
    <cfRule type="cellIs" dxfId="17703" priority="2432" stopIfTrue="1" operator="equal">
      <formula>"Napkin Hs"</formula>
    </cfRule>
  </conditionalFormatting>
  <conditionalFormatting sqref="C110">
    <cfRule type="cellIs" dxfId="17702" priority="2433" stopIfTrue="1" operator="equal">
      <formula>"Towel"</formula>
    </cfRule>
  </conditionalFormatting>
  <conditionalFormatting sqref="B110:C110">
    <cfRule type="cellIs" dxfId="17701" priority="2430" stopIfTrue="1" operator="equal">
      <formula>"Napkin Hs"</formula>
    </cfRule>
  </conditionalFormatting>
  <conditionalFormatting sqref="B110:C110">
    <cfRule type="cellIs" dxfId="17700" priority="2429" stopIfTrue="1" operator="equal">
      <formula>"Towel"</formula>
    </cfRule>
  </conditionalFormatting>
  <conditionalFormatting sqref="C110">
    <cfRule type="cellIs" dxfId="17699" priority="2428" stopIfTrue="1" operator="equal">
      <formula>"Napkin Hs"</formula>
    </cfRule>
  </conditionalFormatting>
  <conditionalFormatting sqref="C110">
    <cfRule type="cellIs" dxfId="17698" priority="2425" stopIfTrue="1" operator="equal">
      <formula>"Towel"</formula>
    </cfRule>
    <cfRule type="cellIs" dxfId="17697" priority="2426" stopIfTrue="1" operator="equal">
      <formula>"Napkin Hs"</formula>
    </cfRule>
  </conditionalFormatting>
  <conditionalFormatting sqref="C110">
    <cfRule type="cellIs" dxfId="17696" priority="2427" stopIfTrue="1" operator="equal">
      <formula>"Towel"</formula>
    </cfRule>
  </conditionalFormatting>
  <conditionalFormatting sqref="B109:C109">
    <cfRule type="cellIs" dxfId="17695" priority="2423" stopIfTrue="1" operator="equal">
      <formula>"Towel"</formula>
    </cfRule>
    <cfRule type="cellIs" dxfId="17694" priority="2424" stopIfTrue="1" operator="equal">
      <formula>"Napkin Hs"</formula>
    </cfRule>
  </conditionalFormatting>
  <conditionalFormatting sqref="C109">
    <cfRule type="cellIs" dxfId="17693" priority="2421" stopIfTrue="1" operator="equal">
      <formula>"Towel"</formula>
    </cfRule>
    <cfRule type="cellIs" dxfId="17692" priority="2422" stopIfTrue="1" operator="equal">
      <formula>"Napkin Hs"</formula>
    </cfRule>
  </conditionalFormatting>
  <conditionalFormatting sqref="C109">
    <cfRule type="cellIs" dxfId="17691" priority="2419" stopIfTrue="1" operator="equal">
      <formula>"Towel"</formula>
    </cfRule>
    <cfRule type="cellIs" dxfId="17690" priority="2420" stopIfTrue="1" operator="equal">
      <formula>"Napkin Hs"</formula>
    </cfRule>
  </conditionalFormatting>
  <conditionalFormatting sqref="B109:C109">
    <cfRule type="cellIs" dxfId="17689" priority="2418" stopIfTrue="1" operator="equal">
      <formula>"Napkin Hs"</formula>
    </cfRule>
  </conditionalFormatting>
  <conditionalFormatting sqref="B109:C109">
    <cfRule type="cellIs" dxfId="17688" priority="2417" stopIfTrue="1" operator="equal">
      <formula>"Towel"</formula>
    </cfRule>
  </conditionalFormatting>
  <conditionalFormatting sqref="C109">
    <cfRule type="cellIs" dxfId="17687" priority="2416" stopIfTrue="1" operator="equal">
      <formula>"Napkin Hs"</formula>
    </cfRule>
  </conditionalFormatting>
  <conditionalFormatting sqref="C109">
    <cfRule type="cellIs" dxfId="17686" priority="2415" stopIfTrue="1" operator="equal">
      <formula>"Towel"</formula>
    </cfRule>
  </conditionalFormatting>
  <conditionalFormatting sqref="C109">
    <cfRule type="cellIs" dxfId="17685" priority="2413" stopIfTrue="1" operator="equal">
      <formula>"Towel"</formula>
    </cfRule>
    <cfRule type="cellIs" dxfId="17684" priority="2414" stopIfTrue="1" operator="equal">
      <formula>"Napkin Hs"</formula>
    </cfRule>
  </conditionalFormatting>
  <conditionalFormatting sqref="B109:C109">
    <cfRule type="cellIs" dxfId="17683" priority="2411" stopIfTrue="1" operator="equal">
      <formula>"Towel"</formula>
    </cfRule>
    <cfRule type="cellIs" dxfId="17682" priority="2412" stopIfTrue="1" operator="equal">
      <formula>"Napkin Hs"</formula>
    </cfRule>
  </conditionalFormatting>
  <conditionalFormatting sqref="C109">
    <cfRule type="cellIs" dxfId="17681" priority="2407" stopIfTrue="1" operator="equal">
      <formula>"Towel"</formula>
    </cfRule>
    <cfRule type="cellIs" dxfId="17680" priority="2408" stopIfTrue="1" operator="equal">
      <formula>"Napkin Hs"</formula>
    </cfRule>
  </conditionalFormatting>
  <conditionalFormatting sqref="C109">
    <cfRule type="cellIs" dxfId="17679" priority="2409" stopIfTrue="1" operator="equal">
      <formula>"Towel"</formula>
    </cfRule>
    <cfRule type="cellIs" dxfId="17678" priority="2410" stopIfTrue="1" operator="equal">
      <formula>"Napkin Hs"</formula>
    </cfRule>
  </conditionalFormatting>
  <conditionalFormatting sqref="B109:C109">
    <cfRule type="cellIs" dxfId="17677" priority="2406" stopIfTrue="1" operator="equal">
      <formula>"Napkin Hs"</formula>
    </cfRule>
  </conditionalFormatting>
  <conditionalFormatting sqref="B109:C109">
    <cfRule type="cellIs" dxfId="17676" priority="2405" stopIfTrue="1" operator="equal">
      <formula>"Towel"</formula>
    </cfRule>
  </conditionalFormatting>
  <conditionalFormatting sqref="C109">
    <cfRule type="cellIs" dxfId="17675" priority="2404" stopIfTrue="1" operator="equal">
      <formula>"Napkin Hs"</formula>
    </cfRule>
  </conditionalFormatting>
  <conditionalFormatting sqref="C109">
    <cfRule type="cellIs" dxfId="17674" priority="2403" stopIfTrue="1" operator="equal">
      <formula>"Towel"</formula>
    </cfRule>
  </conditionalFormatting>
  <conditionalFormatting sqref="C109">
    <cfRule type="cellIs" dxfId="17673" priority="2401" stopIfTrue="1" operator="equal">
      <formula>"Towel"</formula>
    </cfRule>
    <cfRule type="cellIs" dxfId="17672" priority="2402" stopIfTrue="1" operator="equal">
      <formula>"Napkin Hs"</formula>
    </cfRule>
  </conditionalFormatting>
  <conditionalFormatting sqref="B109:C109">
    <cfRule type="cellIs" dxfId="17671" priority="2399" stopIfTrue="1" operator="equal">
      <formula>"Towel"</formula>
    </cfRule>
    <cfRule type="cellIs" dxfId="17670" priority="2400" stopIfTrue="1" operator="equal">
      <formula>"Napkin Hs"</formula>
    </cfRule>
  </conditionalFormatting>
  <conditionalFormatting sqref="C109">
    <cfRule type="cellIs" dxfId="17669" priority="2397" stopIfTrue="1" operator="equal">
      <formula>"Towel"</formula>
    </cfRule>
    <cfRule type="cellIs" dxfId="17668" priority="2398" stopIfTrue="1" operator="equal">
      <formula>"Napkin Hs"</formula>
    </cfRule>
  </conditionalFormatting>
  <conditionalFormatting sqref="C109">
    <cfRule type="cellIs" dxfId="17667" priority="2395" stopIfTrue="1" operator="equal">
      <formula>"Towel"</formula>
    </cfRule>
    <cfRule type="cellIs" dxfId="17666" priority="2396" stopIfTrue="1" operator="equal">
      <formula>"Napkin Hs"</formula>
    </cfRule>
  </conditionalFormatting>
  <conditionalFormatting sqref="B109:C109">
    <cfRule type="cellIs" dxfId="17665" priority="2393" stopIfTrue="1" operator="equal">
      <formula>"Towel"</formula>
    </cfRule>
    <cfRule type="cellIs" dxfId="17664" priority="2394" stopIfTrue="1" operator="equal">
      <formula>"Napkin Hs"</formula>
    </cfRule>
  </conditionalFormatting>
  <conditionalFormatting sqref="C109">
    <cfRule type="cellIs" dxfId="17663" priority="2391" stopIfTrue="1" operator="equal">
      <formula>"Towel"</formula>
    </cfRule>
    <cfRule type="cellIs" dxfId="17662" priority="2392" stopIfTrue="1" operator="equal">
      <formula>"Napkin Hs"</formula>
    </cfRule>
  </conditionalFormatting>
  <conditionalFormatting sqref="C109">
    <cfRule type="cellIs" dxfId="17661" priority="2389" stopIfTrue="1" operator="equal">
      <formula>"Towel"</formula>
    </cfRule>
    <cfRule type="cellIs" dxfId="17660" priority="2390" stopIfTrue="1" operator="equal">
      <formula>"Napkin Hs"</formula>
    </cfRule>
  </conditionalFormatting>
  <conditionalFormatting sqref="B109:C109">
    <cfRule type="cellIs" dxfId="17659" priority="2387" stopIfTrue="1" operator="equal">
      <formula>"Towel"</formula>
    </cfRule>
    <cfRule type="cellIs" dxfId="17658" priority="2388" stopIfTrue="1" operator="equal">
      <formula>"Napkin Hs"</formula>
    </cfRule>
  </conditionalFormatting>
  <conditionalFormatting sqref="C109">
    <cfRule type="cellIs" dxfId="17657" priority="2385" stopIfTrue="1" operator="equal">
      <formula>"Towel"</formula>
    </cfRule>
    <cfRule type="cellIs" dxfId="17656" priority="2386" stopIfTrue="1" operator="equal">
      <formula>"Napkin Hs"</formula>
    </cfRule>
  </conditionalFormatting>
  <conditionalFormatting sqref="C109">
    <cfRule type="cellIs" dxfId="17655" priority="2383" stopIfTrue="1" operator="equal">
      <formula>"Towel"</formula>
    </cfRule>
    <cfRule type="cellIs" dxfId="17654" priority="2384" stopIfTrue="1" operator="equal">
      <formula>"Napkin Hs"</formula>
    </cfRule>
  </conditionalFormatting>
  <conditionalFormatting sqref="B109:C109">
    <cfRule type="cellIs" dxfId="17653" priority="2381" stopIfTrue="1" operator="equal">
      <formula>"Towel"</formula>
    </cfRule>
    <cfRule type="cellIs" dxfId="17652" priority="2382" stopIfTrue="1" operator="equal">
      <formula>"Napkin Hs"</formula>
    </cfRule>
  </conditionalFormatting>
  <conditionalFormatting sqref="C109">
    <cfRule type="cellIs" dxfId="17651" priority="2379" stopIfTrue="1" operator="equal">
      <formula>"Towel"</formula>
    </cfRule>
    <cfRule type="cellIs" dxfId="17650" priority="2380" stopIfTrue="1" operator="equal">
      <formula>"Napkin Hs"</formula>
    </cfRule>
  </conditionalFormatting>
  <conditionalFormatting sqref="C109">
    <cfRule type="cellIs" dxfId="17649" priority="2377" stopIfTrue="1" operator="equal">
      <formula>"Towel"</formula>
    </cfRule>
    <cfRule type="cellIs" dxfId="17648" priority="2378" stopIfTrue="1" operator="equal">
      <formula>"Napkin Hs"</formula>
    </cfRule>
  </conditionalFormatting>
  <conditionalFormatting sqref="B109:C109">
    <cfRule type="cellIs" dxfId="17647" priority="2375" stopIfTrue="1" operator="equal">
      <formula>"Towel"</formula>
    </cfRule>
    <cfRule type="cellIs" dxfId="17646" priority="2376" stopIfTrue="1" operator="equal">
      <formula>"Napkin Hs"</formula>
    </cfRule>
  </conditionalFormatting>
  <conditionalFormatting sqref="C109">
    <cfRule type="cellIs" dxfId="17645" priority="2373" stopIfTrue="1" operator="equal">
      <formula>"Towel"</formula>
    </cfRule>
    <cfRule type="cellIs" dxfId="17644" priority="2374" stopIfTrue="1" operator="equal">
      <formula>"Napkin Hs"</formula>
    </cfRule>
  </conditionalFormatting>
  <conditionalFormatting sqref="C109">
    <cfRule type="cellIs" dxfId="17643" priority="2371" stopIfTrue="1" operator="equal">
      <formula>"Towel"</formula>
    </cfRule>
    <cfRule type="cellIs" dxfId="17642" priority="2372" stopIfTrue="1" operator="equal">
      <formula>"Napkin Hs"</formula>
    </cfRule>
  </conditionalFormatting>
  <conditionalFormatting sqref="B109:C109">
    <cfRule type="cellIs" dxfId="17641" priority="2370" stopIfTrue="1" operator="equal">
      <formula>"Napkin Hs"</formula>
    </cfRule>
  </conditionalFormatting>
  <conditionalFormatting sqref="B109:C109">
    <cfRule type="cellIs" dxfId="17640" priority="2369" stopIfTrue="1" operator="equal">
      <formula>"Towel"</formula>
    </cfRule>
  </conditionalFormatting>
  <conditionalFormatting sqref="C109">
    <cfRule type="cellIs" dxfId="17639" priority="2368" stopIfTrue="1" operator="equal">
      <formula>"Napkin Hs"</formula>
    </cfRule>
  </conditionalFormatting>
  <conditionalFormatting sqref="C109">
    <cfRule type="cellIs" dxfId="17638" priority="2365" stopIfTrue="1" operator="equal">
      <formula>"Towel"</formula>
    </cfRule>
    <cfRule type="cellIs" dxfId="17637" priority="2366" stopIfTrue="1" operator="equal">
      <formula>"Napkin Hs"</formula>
    </cfRule>
  </conditionalFormatting>
  <conditionalFormatting sqref="C109">
    <cfRule type="cellIs" dxfId="17636" priority="2367" stopIfTrue="1" operator="equal">
      <formula>"Towel"</formula>
    </cfRule>
  </conditionalFormatting>
  <conditionalFormatting sqref="B109:C109">
    <cfRule type="cellIs" dxfId="17635" priority="2364" stopIfTrue="1" operator="equal">
      <formula>"Napkin Hs"</formula>
    </cfRule>
  </conditionalFormatting>
  <conditionalFormatting sqref="B109:C109">
    <cfRule type="cellIs" dxfId="17634" priority="2363" stopIfTrue="1" operator="equal">
      <formula>"Towel"</formula>
    </cfRule>
  </conditionalFormatting>
  <conditionalFormatting sqref="C109">
    <cfRule type="cellIs" dxfId="17633" priority="2362" stopIfTrue="1" operator="equal">
      <formula>"Napkin Hs"</formula>
    </cfRule>
  </conditionalFormatting>
  <conditionalFormatting sqref="C109">
    <cfRule type="cellIs" dxfId="17632" priority="2361" stopIfTrue="1" operator="equal">
      <formula>"Towel"</formula>
    </cfRule>
  </conditionalFormatting>
  <conditionalFormatting sqref="C109">
    <cfRule type="cellIs" dxfId="17631" priority="2359" stopIfTrue="1" operator="equal">
      <formula>"Towel"</formula>
    </cfRule>
    <cfRule type="cellIs" dxfId="17630" priority="2360" stopIfTrue="1" operator="equal">
      <formula>"Napkin Hs"</formula>
    </cfRule>
  </conditionalFormatting>
  <conditionalFormatting sqref="B109:C109">
    <cfRule type="cellIs" dxfId="17629" priority="2357" stopIfTrue="1" operator="equal">
      <formula>"Towel"</formula>
    </cfRule>
    <cfRule type="cellIs" dxfId="17628" priority="2358" stopIfTrue="1" operator="equal">
      <formula>"Napkin Hs"</formula>
    </cfRule>
  </conditionalFormatting>
  <conditionalFormatting sqref="C109">
    <cfRule type="cellIs" dxfId="17627" priority="2353" stopIfTrue="1" operator="equal">
      <formula>"Towel"</formula>
    </cfRule>
    <cfRule type="cellIs" dxfId="17626" priority="2354" stopIfTrue="1" operator="equal">
      <formula>"Napkin Hs"</formula>
    </cfRule>
  </conditionalFormatting>
  <conditionalFormatting sqref="C109">
    <cfRule type="cellIs" dxfId="17625" priority="2355" stopIfTrue="1" operator="equal">
      <formula>"Towel"</formula>
    </cfRule>
    <cfRule type="cellIs" dxfId="17624" priority="2356" stopIfTrue="1" operator="equal">
      <formula>"Napkin Hs"</formula>
    </cfRule>
  </conditionalFormatting>
  <conditionalFormatting sqref="B109:C109">
    <cfRule type="cellIs" dxfId="17623" priority="2352" stopIfTrue="1" operator="equal">
      <formula>"Napkin Hs"</formula>
    </cfRule>
  </conditionalFormatting>
  <conditionalFormatting sqref="B109:C109">
    <cfRule type="cellIs" dxfId="17622" priority="2351" stopIfTrue="1" operator="equal">
      <formula>"Towel"</formula>
    </cfRule>
  </conditionalFormatting>
  <conditionalFormatting sqref="C109">
    <cfRule type="cellIs" dxfId="17621" priority="2350" stopIfTrue="1" operator="equal">
      <formula>"Napkin Hs"</formula>
    </cfRule>
  </conditionalFormatting>
  <conditionalFormatting sqref="C109">
    <cfRule type="cellIs" dxfId="17620" priority="2349" stopIfTrue="1" operator="equal">
      <formula>"Towel"</formula>
    </cfRule>
  </conditionalFormatting>
  <conditionalFormatting sqref="C109">
    <cfRule type="cellIs" dxfId="17619" priority="2347" stopIfTrue="1" operator="equal">
      <formula>"Towel"</formula>
    </cfRule>
    <cfRule type="cellIs" dxfId="17618" priority="2348" stopIfTrue="1" operator="equal">
      <formula>"Napkin Hs"</formula>
    </cfRule>
  </conditionalFormatting>
  <conditionalFormatting sqref="B109:C109">
    <cfRule type="cellIs" dxfId="17617" priority="2345" stopIfTrue="1" operator="equal">
      <formula>"Towel"</formula>
    </cfRule>
    <cfRule type="cellIs" dxfId="17616" priority="2346" stopIfTrue="1" operator="equal">
      <formula>"Napkin Hs"</formula>
    </cfRule>
  </conditionalFormatting>
  <conditionalFormatting sqref="C109">
    <cfRule type="cellIs" dxfId="17615" priority="2343" stopIfTrue="1" operator="equal">
      <formula>"Towel"</formula>
    </cfRule>
    <cfRule type="cellIs" dxfId="17614" priority="2344" stopIfTrue="1" operator="equal">
      <formula>"Napkin Hs"</formula>
    </cfRule>
  </conditionalFormatting>
  <conditionalFormatting sqref="C109">
    <cfRule type="cellIs" dxfId="17613" priority="2341" stopIfTrue="1" operator="equal">
      <formula>"Towel"</formula>
    </cfRule>
    <cfRule type="cellIs" dxfId="17612" priority="2342" stopIfTrue="1" operator="equal">
      <formula>"Napkin Hs"</formula>
    </cfRule>
  </conditionalFormatting>
  <conditionalFormatting sqref="B109:C109">
    <cfRule type="cellIs" dxfId="17611" priority="2339" stopIfTrue="1" operator="equal">
      <formula>"Towel"</formula>
    </cfRule>
    <cfRule type="cellIs" dxfId="17610" priority="2340" stopIfTrue="1" operator="equal">
      <formula>"Napkin Hs"</formula>
    </cfRule>
  </conditionalFormatting>
  <conditionalFormatting sqref="C109">
    <cfRule type="cellIs" dxfId="17609" priority="2337" stopIfTrue="1" operator="equal">
      <formula>"Towel"</formula>
    </cfRule>
    <cfRule type="cellIs" dxfId="17608" priority="2338" stopIfTrue="1" operator="equal">
      <formula>"Napkin Hs"</formula>
    </cfRule>
  </conditionalFormatting>
  <conditionalFormatting sqref="C109">
    <cfRule type="cellIs" dxfId="17607" priority="2335" stopIfTrue="1" operator="equal">
      <formula>"Towel"</formula>
    </cfRule>
    <cfRule type="cellIs" dxfId="17606" priority="2336" stopIfTrue="1" operator="equal">
      <formula>"Napkin Hs"</formula>
    </cfRule>
  </conditionalFormatting>
  <conditionalFormatting sqref="B109:C109">
    <cfRule type="cellIs" dxfId="17605" priority="2333" stopIfTrue="1" operator="equal">
      <formula>"Towel"</formula>
    </cfRule>
    <cfRule type="cellIs" dxfId="17604" priority="2334" stopIfTrue="1" operator="equal">
      <formula>"Napkin Hs"</formula>
    </cfRule>
  </conditionalFormatting>
  <conditionalFormatting sqref="C109">
    <cfRule type="cellIs" dxfId="17603" priority="2331" stopIfTrue="1" operator="equal">
      <formula>"Towel"</formula>
    </cfRule>
    <cfRule type="cellIs" dxfId="17602" priority="2332" stopIfTrue="1" operator="equal">
      <formula>"Napkin Hs"</formula>
    </cfRule>
  </conditionalFormatting>
  <conditionalFormatting sqref="C109">
    <cfRule type="cellIs" dxfId="17601" priority="2329" stopIfTrue="1" operator="equal">
      <formula>"Towel"</formula>
    </cfRule>
    <cfRule type="cellIs" dxfId="17600" priority="2330" stopIfTrue="1" operator="equal">
      <formula>"Napkin Hs"</formula>
    </cfRule>
  </conditionalFormatting>
  <conditionalFormatting sqref="B109:C109">
    <cfRule type="cellIs" dxfId="17599" priority="2327" stopIfTrue="1" operator="equal">
      <formula>"Towel"</formula>
    </cfRule>
    <cfRule type="cellIs" dxfId="17598" priority="2328" stopIfTrue="1" operator="equal">
      <formula>"Napkin Hs"</formula>
    </cfRule>
  </conditionalFormatting>
  <conditionalFormatting sqref="C109">
    <cfRule type="cellIs" dxfId="17597" priority="2325" stopIfTrue="1" operator="equal">
      <formula>"Towel"</formula>
    </cfRule>
    <cfRule type="cellIs" dxfId="17596" priority="2326" stopIfTrue="1" operator="equal">
      <formula>"Napkin Hs"</formula>
    </cfRule>
  </conditionalFormatting>
  <conditionalFormatting sqref="C109">
    <cfRule type="cellIs" dxfId="17595" priority="2323" stopIfTrue="1" operator="equal">
      <formula>"Towel"</formula>
    </cfRule>
    <cfRule type="cellIs" dxfId="17594" priority="2324" stopIfTrue="1" operator="equal">
      <formula>"Napkin Hs"</formula>
    </cfRule>
  </conditionalFormatting>
  <conditionalFormatting sqref="B109:C109">
    <cfRule type="cellIs" dxfId="17593" priority="2321" stopIfTrue="1" operator="equal">
      <formula>"Towel"</formula>
    </cfRule>
    <cfRule type="cellIs" dxfId="17592" priority="2322" stopIfTrue="1" operator="equal">
      <formula>"Napkin Hs"</formula>
    </cfRule>
  </conditionalFormatting>
  <conditionalFormatting sqref="C109">
    <cfRule type="cellIs" dxfId="17591" priority="2319" stopIfTrue="1" operator="equal">
      <formula>"Towel"</formula>
    </cfRule>
    <cfRule type="cellIs" dxfId="17590" priority="2320" stopIfTrue="1" operator="equal">
      <formula>"Napkin Hs"</formula>
    </cfRule>
  </conditionalFormatting>
  <conditionalFormatting sqref="C109">
    <cfRule type="cellIs" dxfId="17589" priority="2317" stopIfTrue="1" operator="equal">
      <formula>"Towel"</formula>
    </cfRule>
    <cfRule type="cellIs" dxfId="17588" priority="2318" stopIfTrue="1" operator="equal">
      <formula>"Napkin Hs"</formula>
    </cfRule>
  </conditionalFormatting>
  <conditionalFormatting sqref="B109:C109">
    <cfRule type="cellIs" dxfId="17587" priority="2316" stopIfTrue="1" operator="equal">
      <formula>"Napkin Hs"</formula>
    </cfRule>
  </conditionalFormatting>
  <conditionalFormatting sqref="B109:C109">
    <cfRule type="cellIs" dxfId="17586" priority="2315" stopIfTrue="1" operator="equal">
      <formula>"Towel"</formula>
    </cfRule>
  </conditionalFormatting>
  <conditionalFormatting sqref="C109">
    <cfRule type="cellIs" dxfId="17585" priority="2314" stopIfTrue="1" operator="equal">
      <formula>"Napkin Hs"</formula>
    </cfRule>
  </conditionalFormatting>
  <conditionalFormatting sqref="C109">
    <cfRule type="cellIs" dxfId="17584" priority="2311" stopIfTrue="1" operator="equal">
      <formula>"Towel"</formula>
    </cfRule>
    <cfRule type="cellIs" dxfId="17583" priority="2312" stopIfTrue="1" operator="equal">
      <formula>"Napkin Hs"</formula>
    </cfRule>
  </conditionalFormatting>
  <conditionalFormatting sqref="C109">
    <cfRule type="cellIs" dxfId="17582" priority="2313" stopIfTrue="1" operator="equal">
      <formula>"Towel"</formula>
    </cfRule>
  </conditionalFormatting>
  <conditionalFormatting sqref="B109:C109">
    <cfRule type="cellIs" dxfId="17581" priority="2310" stopIfTrue="1" operator="equal">
      <formula>"Napkin Hs"</formula>
    </cfRule>
  </conditionalFormatting>
  <conditionalFormatting sqref="B109:C109">
    <cfRule type="cellIs" dxfId="17580" priority="2309" stopIfTrue="1" operator="equal">
      <formula>"Towel"</formula>
    </cfRule>
  </conditionalFormatting>
  <conditionalFormatting sqref="C109">
    <cfRule type="cellIs" dxfId="17579" priority="2308" stopIfTrue="1" operator="equal">
      <formula>"Napkin Hs"</formula>
    </cfRule>
  </conditionalFormatting>
  <conditionalFormatting sqref="C109">
    <cfRule type="cellIs" dxfId="17578" priority="2305" stopIfTrue="1" operator="equal">
      <formula>"Towel"</formula>
    </cfRule>
    <cfRule type="cellIs" dxfId="17577" priority="2306" stopIfTrue="1" operator="equal">
      <formula>"Napkin Hs"</formula>
    </cfRule>
  </conditionalFormatting>
  <conditionalFormatting sqref="C109">
    <cfRule type="cellIs" dxfId="17576" priority="2307" stopIfTrue="1" operator="equal">
      <formula>"Towel"</formula>
    </cfRule>
  </conditionalFormatting>
  <conditionalFormatting sqref="B109:C109">
    <cfRule type="cellIs" dxfId="17575" priority="2304" stopIfTrue="1" operator="equal">
      <formula>"Napkin Hs"</formula>
    </cfRule>
  </conditionalFormatting>
  <conditionalFormatting sqref="B109:C109">
    <cfRule type="cellIs" dxfId="17574" priority="2303" stopIfTrue="1" operator="equal">
      <formula>"Towel"</formula>
    </cfRule>
  </conditionalFormatting>
  <conditionalFormatting sqref="C109">
    <cfRule type="cellIs" dxfId="17573" priority="2302" stopIfTrue="1" operator="equal">
      <formula>"Napkin Hs"</formula>
    </cfRule>
  </conditionalFormatting>
  <conditionalFormatting sqref="C109">
    <cfRule type="cellIs" dxfId="17572" priority="2299" stopIfTrue="1" operator="equal">
      <formula>"Towel"</formula>
    </cfRule>
    <cfRule type="cellIs" dxfId="17571" priority="2300" stopIfTrue="1" operator="equal">
      <formula>"Napkin Hs"</formula>
    </cfRule>
  </conditionalFormatting>
  <conditionalFormatting sqref="C109">
    <cfRule type="cellIs" dxfId="17570" priority="2301" stopIfTrue="1" operator="equal">
      <formula>"Towel"</formula>
    </cfRule>
  </conditionalFormatting>
  <conditionalFormatting sqref="B115:C115">
    <cfRule type="cellIs" dxfId="17569" priority="2241" stopIfTrue="1" operator="equal">
      <formula>"Towel"</formula>
    </cfRule>
    <cfRule type="cellIs" dxfId="17568" priority="2242" stopIfTrue="1" operator="equal">
      <formula>"Napkin Hs"</formula>
    </cfRule>
  </conditionalFormatting>
  <conditionalFormatting sqref="B116:C116">
    <cfRule type="cellIs" dxfId="17567" priority="2237" stopIfTrue="1" operator="equal">
      <formula>"Towel"</formula>
    </cfRule>
    <cfRule type="cellIs" dxfId="17566" priority="2238" stopIfTrue="1" operator="equal">
      <formula>"Napkin Hs"</formula>
    </cfRule>
  </conditionalFormatting>
  <conditionalFormatting sqref="C115">
    <cfRule type="cellIs" dxfId="17565" priority="2243" stopIfTrue="1" operator="equal">
      <formula>"Towel"</formula>
    </cfRule>
    <cfRule type="cellIs" dxfId="17564" priority="2244" stopIfTrue="1" operator="equal">
      <formula>"Napkin Hs"</formula>
    </cfRule>
  </conditionalFormatting>
  <conditionalFormatting sqref="C115:C116">
    <cfRule type="cellIs" dxfId="17563" priority="2239" stopIfTrue="1" operator="equal">
      <formula>"Towel"</formula>
    </cfRule>
    <cfRule type="cellIs" dxfId="17562" priority="2240" stopIfTrue="1" operator="equal">
      <formula>"Napkin Hs"</formula>
    </cfRule>
  </conditionalFormatting>
  <conditionalFormatting sqref="C116">
    <cfRule type="cellIs" dxfId="17561" priority="2235" stopIfTrue="1" operator="equal">
      <formula>"Towel"</formula>
    </cfRule>
    <cfRule type="cellIs" dxfId="17560" priority="2236" stopIfTrue="1" operator="equal">
      <formula>"Napkin Hs"</formula>
    </cfRule>
  </conditionalFormatting>
  <conditionalFormatting sqref="B115:C116">
    <cfRule type="cellIs" dxfId="17559" priority="2234" stopIfTrue="1" operator="equal">
      <formula>"Napkin Hs"</formula>
    </cfRule>
  </conditionalFormatting>
  <conditionalFormatting sqref="B115:C116">
    <cfRule type="cellIs" dxfId="17558" priority="2233" stopIfTrue="1" operator="equal">
      <formula>"Towel"</formula>
    </cfRule>
  </conditionalFormatting>
  <conditionalFormatting sqref="C115:C116">
    <cfRule type="cellIs" dxfId="17557" priority="2232" stopIfTrue="1" operator="equal">
      <formula>"Napkin Hs"</formula>
    </cfRule>
  </conditionalFormatting>
  <conditionalFormatting sqref="C115:C116">
    <cfRule type="cellIs" dxfId="17556" priority="2231" stopIfTrue="1" operator="equal">
      <formula>"Towel"</formula>
    </cfRule>
  </conditionalFormatting>
  <conditionalFormatting sqref="C115:C116">
    <cfRule type="cellIs" dxfId="17555" priority="2229" stopIfTrue="1" operator="equal">
      <formula>"Towel"</formula>
    </cfRule>
    <cfRule type="cellIs" dxfId="17554" priority="2230" stopIfTrue="1" operator="equal">
      <formula>"Napkin Hs"</formula>
    </cfRule>
  </conditionalFormatting>
  <conditionalFormatting sqref="B115:C115">
    <cfRule type="cellIs" dxfId="17553" priority="2228" stopIfTrue="1" operator="equal">
      <formula>"Napkin Hs"</formula>
    </cfRule>
  </conditionalFormatting>
  <conditionalFormatting sqref="B115:C115">
    <cfRule type="cellIs" dxfId="17552" priority="2227" stopIfTrue="1" operator="equal">
      <formula>"Towel"</formula>
    </cfRule>
  </conditionalFormatting>
  <conditionalFormatting sqref="C115">
    <cfRule type="cellIs" dxfId="17551" priority="2226" stopIfTrue="1" operator="equal">
      <formula>"Napkin Hs"</formula>
    </cfRule>
  </conditionalFormatting>
  <conditionalFormatting sqref="C115">
    <cfRule type="cellIs" dxfId="17550" priority="2225" stopIfTrue="1" operator="equal">
      <formula>"Towel"</formula>
    </cfRule>
  </conditionalFormatting>
  <conditionalFormatting sqref="C115">
    <cfRule type="cellIs" dxfId="17549" priority="2223" stopIfTrue="1" operator="equal">
      <formula>"Towel"</formula>
    </cfRule>
    <cfRule type="cellIs" dxfId="17548" priority="2224" stopIfTrue="1" operator="equal">
      <formula>"Napkin Hs"</formula>
    </cfRule>
  </conditionalFormatting>
  <conditionalFormatting sqref="B115:C115">
    <cfRule type="cellIs" dxfId="17547" priority="2221" stopIfTrue="1" operator="equal">
      <formula>"Towel"</formula>
    </cfRule>
    <cfRule type="cellIs" dxfId="17546" priority="2222" stopIfTrue="1" operator="equal">
      <formula>"Napkin Hs"</formula>
    </cfRule>
  </conditionalFormatting>
  <conditionalFormatting sqref="C115">
    <cfRule type="cellIs" dxfId="17545" priority="2217" stopIfTrue="1" operator="equal">
      <formula>"Towel"</formula>
    </cfRule>
    <cfRule type="cellIs" dxfId="17544" priority="2218" stopIfTrue="1" operator="equal">
      <formula>"Napkin Hs"</formula>
    </cfRule>
  </conditionalFormatting>
  <conditionalFormatting sqref="C115">
    <cfRule type="cellIs" dxfId="17543" priority="2219" stopIfTrue="1" operator="equal">
      <formula>"Towel"</formula>
    </cfRule>
    <cfRule type="cellIs" dxfId="17542" priority="2220" stopIfTrue="1" operator="equal">
      <formula>"Napkin Hs"</formula>
    </cfRule>
  </conditionalFormatting>
  <conditionalFormatting sqref="B115:C115">
    <cfRule type="cellIs" dxfId="17541" priority="2216" stopIfTrue="1" operator="equal">
      <formula>"Napkin Hs"</formula>
    </cfRule>
  </conditionalFormatting>
  <conditionalFormatting sqref="B115:C115">
    <cfRule type="cellIs" dxfId="17540" priority="2215" stopIfTrue="1" operator="equal">
      <formula>"Towel"</formula>
    </cfRule>
  </conditionalFormatting>
  <conditionalFormatting sqref="C115">
    <cfRule type="cellIs" dxfId="17539" priority="2214" stopIfTrue="1" operator="equal">
      <formula>"Napkin Hs"</formula>
    </cfRule>
  </conditionalFormatting>
  <conditionalFormatting sqref="C115">
    <cfRule type="cellIs" dxfId="17538" priority="2213" stopIfTrue="1" operator="equal">
      <formula>"Towel"</formula>
    </cfRule>
  </conditionalFormatting>
  <conditionalFormatting sqref="C115">
    <cfRule type="cellIs" dxfId="17537" priority="2211" stopIfTrue="1" operator="equal">
      <formula>"Towel"</formula>
    </cfRule>
    <cfRule type="cellIs" dxfId="17536" priority="2212" stopIfTrue="1" operator="equal">
      <formula>"Napkin Hs"</formula>
    </cfRule>
  </conditionalFormatting>
  <conditionalFormatting sqref="B115:C115">
    <cfRule type="cellIs" dxfId="17535" priority="2209" stopIfTrue="1" operator="equal">
      <formula>"Towel"</formula>
    </cfRule>
    <cfRule type="cellIs" dxfId="17534" priority="2210" stopIfTrue="1" operator="equal">
      <formula>"Napkin Hs"</formula>
    </cfRule>
  </conditionalFormatting>
  <conditionalFormatting sqref="C115">
    <cfRule type="cellIs" dxfId="17533" priority="2207" stopIfTrue="1" operator="equal">
      <formula>"Towel"</formula>
    </cfRule>
    <cfRule type="cellIs" dxfId="17532" priority="2208" stopIfTrue="1" operator="equal">
      <formula>"Napkin Hs"</formula>
    </cfRule>
  </conditionalFormatting>
  <conditionalFormatting sqref="C115">
    <cfRule type="cellIs" dxfId="17531" priority="2205" stopIfTrue="1" operator="equal">
      <formula>"Towel"</formula>
    </cfRule>
    <cfRule type="cellIs" dxfId="17530" priority="2206" stopIfTrue="1" operator="equal">
      <formula>"Napkin Hs"</formula>
    </cfRule>
  </conditionalFormatting>
  <conditionalFormatting sqref="B115:C115">
    <cfRule type="cellIs" dxfId="17529" priority="2203" stopIfTrue="1" operator="equal">
      <formula>"Towel"</formula>
    </cfRule>
    <cfRule type="cellIs" dxfId="17528" priority="2204" stopIfTrue="1" operator="equal">
      <formula>"Napkin Hs"</formula>
    </cfRule>
  </conditionalFormatting>
  <conditionalFormatting sqref="C115">
    <cfRule type="cellIs" dxfId="17527" priority="2201" stopIfTrue="1" operator="equal">
      <formula>"Towel"</formula>
    </cfRule>
    <cfRule type="cellIs" dxfId="17526" priority="2202" stopIfTrue="1" operator="equal">
      <formula>"Napkin Hs"</formula>
    </cfRule>
  </conditionalFormatting>
  <conditionalFormatting sqref="C115">
    <cfRule type="cellIs" dxfId="17525" priority="2199" stopIfTrue="1" operator="equal">
      <formula>"Towel"</formula>
    </cfRule>
    <cfRule type="cellIs" dxfId="17524" priority="2200" stopIfTrue="1" operator="equal">
      <formula>"Napkin Hs"</formula>
    </cfRule>
  </conditionalFormatting>
  <conditionalFormatting sqref="B115:C115">
    <cfRule type="cellIs" dxfId="17523" priority="2197" stopIfTrue="1" operator="equal">
      <formula>"Towel"</formula>
    </cfRule>
    <cfRule type="cellIs" dxfId="17522" priority="2198" stopIfTrue="1" operator="equal">
      <formula>"Napkin Hs"</formula>
    </cfRule>
  </conditionalFormatting>
  <conditionalFormatting sqref="C115">
    <cfRule type="cellIs" dxfId="17521" priority="2195" stopIfTrue="1" operator="equal">
      <formula>"Towel"</formula>
    </cfRule>
    <cfRule type="cellIs" dxfId="17520" priority="2196" stopIfTrue="1" operator="equal">
      <formula>"Napkin Hs"</formula>
    </cfRule>
  </conditionalFormatting>
  <conditionalFormatting sqref="C115">
    <cfRule type="cellIs" dxfId="17519" priority="2193" stopIfTrue="1" operator="equal">
      <formula>"Towel"</formula>
    </cfRule>
    <cfRule type="cellIs" dxfId="17518" priority="2194" stopIfTrue="1" operator="equal">
      <formula>"Napkin Hs"</formula>
    </cfRule>
  </conditionalFormatting>
  <conditionalFormatting sqref="B115:C115">
    <cfRule type="cellIs" dxfId="17517" priority="2191" stopIfTrue="1" operator="equal">
      <formula>"Towel"</formula>
    </cfRule>
    <cfRule type="cellIs" dxfId="17516" priority="2192" stopIfTrue="1" operator="equal">
      <formula>"Napkin Hs"</formula>
    </cfRule>
  </conditionalFormatting>
  <conditionalFormatting sqref="C115">
    <cfRule type="cellIs" dxfId="17515" priority="2189" stopIfTrue="1" operator="equal">
      <formula>"Towel"</formula>
    </cfRule>
    <cfRule type="cellIs" dxfId="17514" priority="2190" stopIfTrue="1" operator="equal">
      <formula>"Napkin Hs"</formula>
    </cfRule>
  </conditionalFormatting>
  <conditionalFormatting sqref="C115">
    <cfRule type="cellIs" dxfId="17513" priority="2187" stopIfTrue="1" operator="equal">
      <formula>"Towel"</formula>
    </cfRule>
    <cfRule type="cellIs" dxfId="17512" priority="2188" stopIfTrue="1" operator="equal">
      <formula>"Napkin Hs"</formula>
    </cfRule>
  </conditionalFormatting>
  <conditionalFormatting sqref="B115:C115">
    <cfRule type="cellIs" dxfId="17511" priority="2185" stopIfTrue="1" operator="equal">
      <formula>"Towel"</formula>
    </cfRule>
    <cfRule type="cellIs" dxfId="17510" priority="2186" stopIfTrue="1" operator="equal">
      <formula>"Napkin Hs"</formula>
    </cfRule>
  </conditionalFormatting>
  <conditionalFormatting sqref="C115">
    <cfRule type="cellIs" dxfId="17509" priority="2183" stopIfTrue="1" operator="equal">
      <formula>"Towel"</formula>
    </cfRule>
    <cfRule type="cellIs" dxfId="17508" priority="2184" stopIfTrue="1" operator="equal">
      <formula>"Napkin Hs"</formula>
    </cfRule>
  </conditionalFormatting>
  <conditionalFormatting sqref="C115">
    <cfRule type="cellIs" dxfId="17507" priority="2181" stopIfTrue="1" operator="equal">
      <formula>"Towel"</formula>
    </cfRule>
    <cfRule type="cellIs" dxfId="17506" priority="2182" stopIfTrue="1" operator="equal">
      <formula>"Napkin Hs"</formula>
    </cfRule>
  </conditionalFormatting>
  <conditionalFormatting sqref="B115:C115">
    <cfRule type="cellIs" dxfId="17505" priority="2180" stopIfTrue="1" operator="equal">
      <formula>"Napkin Hs"</formula>
    </cfRule>
  </conditionalFormatting>
  <conditionalFormatting sqref="B115:C115">
    <cfRule type="cellIs" dxfId="17504" priority="2179" stopIfTrue="1" operator="equal">
      <formula>"Towel"</formula>
    </cfRule>
  </conditionalFormatting>
  <conditionalFormatting sqref="C115">
    <cfRule type="cellIs" dxfId="17503" priority="2178" stopIfTrue="1" operator="equal">
      <formula>"Napkin Hs"</formula>
    </cfRule>
  </conditionalFormatting>
  <conditionalFormatting sqref="C115">
    <cfRule type="cellIs" dxfId="17502" priority="2175" stopIfTrue="1" operator="equal">
      <formula>"Towel"</formula>
    </cfRule>
    <cfRule type="cellIs" dxfId="17501" priority="2176" stopIfTrue="1" operator="equal">
      <formula>"Napkin Hs"</formula>
    </cfRule>
  </conditionalFormatting>
  <conditionalFormatting sqref="C115">
    <cfRule type="cellIs" dxfId="17500" priority="2177" stopIfTrue="1" operator="equal">
      <formula>"Towel"</formula>
    </cfRule>
  </conditionalFormatting>
  <conditionalFormatting sqref="B116:C116">
    <cfRule type="cellIs" dxfId="17499" priority="2174" stopIfTrue="1" operator="equal">
      <formula>"Napkin Hs"</formula>
    </cfRule>
  </conditionalFormatting>
  <conditionalFormatting sqref="B116:C116">
    <cfRule type="cellIs" dxfId="17498" priority="2173" stopIfTrue="1" operator="equal">
      <formula>"Towel"</formula>
    </cfRule>
  </conditionalFormatting>
  <conditionalFormatting sqref="C116">
    <cfRule type="cellIs" dxfId="17497" priority="2172" stopIfTrue="1" operator="equal">
      <formula>"Napkin Hs"</formula>
    </cfRule>
  </conditionalFormatting>
  <conditionalFormatting sqref="C116">
    <cfRule type="cellIs" dxfId="17496" priority="2171" stopIfTrue="1" operator="equal">
      <formula>"Towel"</formula>
    </cfRule>
  </conditionalFormatting>
  <conditionalFormatting sqref="C116">
    <cfRule type="cellIs" dxfId="17495" priority="2169" stopIfTrue="1" operator="equal">
      <formula>"Towel"</formula>
    </cfRule>
    <cfRule type="cellIs" dxfId="17494" priority="2170" stopIfTrue="1" operator="equal">
      <formula>"Napkin Hs"</formula>
    </cfRule>
  </conditionalFormatting>
  <conditionalFormatting sqref="B116:C116">
    <cfRule type="cellIs" dxfId="17493" priority="2167" stopIfTrue="1" operator="equal">
      <formula>"Towel"</formula>
    </cfRule>
    <cfRule type="cellIs" dxfId="17492" priority="2168" stopIfTrue="1" operator="equal">
      <formula>"Napkin Hs"</formula>
    </cfRule>
  </conditionalFormatting>
  <conditionalFormatting sqref="C116">
    <cfRule type="cellIs" dxfId="17491" priority="2163" stopIfTrue="1" operator="equal">
      <formula>"Towel"</formula>
    </cfRule>
    <cfRule type="cellIs" dxfId="17490" priority="2164" stopIfTrue="1" operator="equal">
      <formula>"Napkin Hs"</formula>
    </cfRule>
  </conditionalFormatting>
  <conditionalFormatting sqref="C116">
    <cfRule type="cellIs" dxfId="17489" priority="2165" stopIfTrue="1" operator="equal">
      <formula>"Towel"</formula>
    </cfRule>
    <cfRule type="cellIs" dxfId="17488" priority="2166" stopIfTrue="1" operator="equal">
      <formula>"Napkin Hs"</formula>
    </cfRule>
  </conditionalFormatting>
  <conditionalFormatting sqref="B116:C116">
    <cfRule type="cellIs" dxfId="17487" priority="2162" stopIfTrue="1" operator="equal">
      <formula>"Napkin Hs"</formula>
    </cfRule>
  </conditionalFormatting>
  <conditionalFormatting sqref="B116:C116">
    <cfRule type="cellIs" dxfId="17486" priority="2161" stopIfTrue="1" operator="equal">
      <formula>"Towel"</formula>
    </cfRule>
  </conditionalFormatting>
  <conditionalFormatting sqref="C116">
    <cfRule type="cellIs" dxfId="17485" priority="2160" stopIfTrue="1" operator="equal">
      <formula>"Napkin Hs"</formula>
    </cfRule>
  </conditionalFormatting>
  <conditionalFormatting sqref="C116">
    <cfRule type="cellIs" dxfId="17484" priority="2159" stopIfTrue="1" operator="equal">
      <formula>"Towel"</formula>
    </cfRule>
  </conditionalFormatting>
  <conditionalFormatting sqref="C116">
    <cfRule type="cellIs" dxfId="17483" priority="2157" stopIfTrue="1" operator="equal">
      <formula>"Towel"</formula>
    </cfRule>
    <cfRule type="cellIs" dxfId="17482" priority="2158" stopIfTrue="1" operator="equal">
      <formula>"Napkin Hs"</formula>
    </cfRule>
  </conditionalFormatting>
  <conditionalFormatting sqref="B116:C116">
    <cfRule type="cellIs" dxfId="17481" priority="2155" stopIfTrue="1" operator="equal">
      <formula>"Towel"</formula>
    </cfRule>
    <cfRule type="cellIs" dxfId="17480" priority="2156" stopIfTrue="1" operator="equal">
      <formula>"Napkin Hs"</formula>
    </cfRule>
  </conditionalFormatting>
  <conditionalFormatting sqref="C116">
    <cfRule type="cellIs" dxfId="17479" priority="2153" stopIfTrue="1" operator="equal">
      <formula>"Towel"</formula>
    </cfRule>
    <cfRule type="cellIs" dxfId="17478" priority="2154" stopIfTrue="1" operator="equal">
      <formula>"Napkin Hs"</formula>
    </cfRule>
  </conditionalFormatting>
  <conditionalFormatting sqref="C116">
    <cfRule type="cellIs" dxfId="17477" priority="2151" stopIfTrue="1" operator="equal">
      <formula>"Towel"</formula>
    </cfRule>
    <cfRule type="cellIs" dxfId="17476" priority="2152" stopIfTrue="1" operator="equal">
      <formula>"Napkin Hs"</formula>
    </cfRule>
  </conditionalFormatting>
  <conditionalFormatting sqref="B116:C116">
    <cfRule type="cellIs" dxfId="17475" priority="2149" stopIfTrue="1" operator="equal">
      <formula>"Towel"</formula>
    </cfRule>
    <cfRule type="cellIs" dxfId="17474" priority="2150" stopIfTrue="1" operator="equal">
      <formula>"Napkin Hs"</formula>
    </cfRule>
  </conditionalFormatting>
  <conditionalFormatting sqref="C116">
    <cfRule type="cellIs" dxfId="17473" priority="2147" stopIfTrue="1" operator="equal">
      <formula>"Towel"</formula>
    </cfRule>
    <cfRule type="cellIs" dxfId="17472" priority="2148" stopIfTrue="1" operator="equal">
      <formula>"Napkin Hs"</formula>
    </cfRule>
  </conditionalFormatting>
  <conditionalFormatting sqref="C116">
    <cfRule type="cellIs" dxfId="17471" priority="2145" stopIfTrue="1" operator="equal">
      <formula>"Towel"</formula>
    </cfRule>
    <cfRule type="cellIs" dxfId="17470" priority="2146" stopIfTrue="1" operator="equal">
      <formula>"Napkin Hs"</formula>
    </cfRule>
  </conditionalFormatting>
  <conditionalFormatting sqref="B116:C116">
    <cfRule type="cellIs" dxfId="17469" priority="2143" stopIfTrue="1" operator="equal">
      <formula>"Towel"</formula>
    </cfRule>
    <cfRule type="cellIs" dxfId="17468" priority="2144" stopIfTrue="1" operator="equal">
      <formula>"Napkin Hs"</formula>
    </cfRule>
  </conditionalFormatting>
  <conditionalFormatting sqref="C116">
    <cfRule type="cellIs" dxfId="17467" priority="2141" stopIfTrue="1" operator="equal">
      <formula>"Towel"</formula>
    </cfRule>
    <cfRule type="cellIs" dxfId="17466" priority="2142" stopIfTrue="1" operator="equal">
      <formula>"Napkin Hs"</formula>
    </cfRule>
  </conditionalFormatting>
  <conditionalFormatting sqref="C116">
    <cfRule type="cellIs" dxfId="17465" priority="2139" stopIfTrue="1" operator="equal">
      <formula>"Towel"</formula>
    </cfRule>
    <cfRule type="cellIs" dxfId="17464" priority="2140" stopIfTrue="1" operator="equal">
      <formula>"Napkin Hs"</formula>
    </cfRule>
  </conditionalFormatting>
  <conditionalFormatting sqref="B116:C116">
    <cfRule type="cellIs" dxfId="17463" priority="2137" stopIfTrue="1" operator="equal">
      <formula>"Towel"</formula>
    </cfRule>
    <cfRule type="cellIs" dxfId="17462" priority="2138" stopIfTrue="1" operator="equal">
      <formula>"Napkin Hs"</formula>
    </cfRule>
  </conditionalFormatting>
  <conditionalFormatting sqref="C116">
    <cfRule type="cellIs" dxfId="17461" priority="2135" stopIfTrue="1" operator="equal">
      <formula>"Towel"</formula>
    </cfRule>
    <cfRule type="cellIs" dxfId="17460" priority="2136" stopIfTrue="1" operator="equal">
      <formula>"Napkin Hs"</formula>
    </cfRule>
  </conditionalFormatting>
  <conditionalFormatting sqref="C116">
    <cfRule type="cellIs" dxfId="17459" priority="2133" stopIfTrue="1" operator="equal">
      <formula>"Towel"</formula>
    </cfRule>
    <cfRule type="cellIs" dxfId="17458" priority="2134" stopIfTrue="1" operator="equal">
      <formula>"Napkin Hs"</formula>
    </cfRule>
  </conditionalFormatting>
  <conditionalFormatting sqref="B116:C116">
    <cfRule type="cellIs" dxfId="17457" priority="2131" stopIfTrue="1" operator="equal">
      <formula>"Towel"</formula>
    </cfRule>
    <cfRule type="cellIs" dxfId="17456" priority="2132" stopIfTrue="1" operator="equal">
      <formula>"Napkin Hs"</formula>
    </cfRule>
  </conditionalFormatting>
  <conditionalFormatting sqref="C116">
    <cfRule type="cellIs" dxfId="17455" priority="2129" stopIfTrue="1" operator="equal">
      <formula>"Towel"</formula>
    </cfRule>
    <cfRule type="cellIs" dxfId="17454" priority="2130" stopIfTrue="1" operator="equal">
      <formula>"Napkin Hs"</formula>
    </cfRule>
  </conditionalFormatting>
  <conditionalFormatting sqref="C116">
    <cfRule type="cellIs" dxfId="17453" priority="2127" stopIfTrue="1" operator="equal">
      <formula>"Towel"</formula>
    </cfRule>
    <cfRule type="cellIs" dxfId="17452" priority="2128" stopIfTrue="1" operator="equal">
      <formula>"Napkin Hs"</formula>
    </cfRule>
  </conditionalFormatting>
  <conditionalFormatting sqref="B116:C116">
    <cfRule type="cellIs" dxfId="17451" priority="2126" stopIfTrue="1" operator="equal">
      <formula>"Napkin Hs"</formula>
    </cfRule>
  </conditionalFormatting>
  <conditionalFormatting sqref="B116:C116">
    <cfRule type="cellIs" dxfId="17450" priority="2125" stopIfTrue="1" operator="equal">
      <formula>"Towel"</formula>
    </cfRule>
  </conditionalFormatting>
  <conditionalFormatting sqref="C116">
    <cfRule type="cellIs" dxfId="17449" priority="2124" stopIfTrue="1" operator="equal">
      <formula>"Napkin Hs"</formula>
    </cfRule>
  </conditionalFormatting>
  <conditionalFormatting sqref="C116">
    <cfRule type="cellIs" dxfId="17448" priority="2121" stopIfTrue="1" operator="equal">
      <formula>"Towel"</formula>
    </cfRule>
    <cfRule type="cellIs" dxfId="17447" priority="2122" stopIfTrue="1" operator="equal">
      <formula>"Napkin Hs"</formula>
    </cfRule>
  </conditionalFormatting>
  <conditionalFormatting sqref="C116">
    <cfRule type="cellIs" dxfId="17446" priority="2123" stopIfTrue="1" operator="equal">
      <formula>"Towel"</formula>
    </cfRule>
  </conditionalFormatting>
  <conditionalFormatting sqref="B114:C114">
    <cfRule type="cellIs" dxfId="17445" priority="2119" stopIfTrue="1" operator="equal">
      <formula>"Towel"</formula>
    </cfRule>
    <cfRule type="cellIs" dxfId="17444" priority="2120" stopIfTrue="1" operator="equal">
      <formula>"Napkin Hs"</formula>
    </cfRule>
  </conditionalFormatting>
  <conditionalFormatting sqref="C114">
    <cfRule type="cellIs" dxfId="17443" priority="2117" stopIfTrue="1" operator="equal">
      <formula>"Towel"</formula>
    </cfRule>
    <cfRule type="cellIs" dxfId="17442" priority="2118" stopIfTrue="1" operator="equal">
      <formula>"Napkin Hs"</formula>
    </cfRule>
  </conditionalFormatting>
  <conditionalFormatting sqref="C114">
    <cfRule type="cellIs" dxfId="17441" priority="2115" stopIfTrue="1" operator="equal">
      <formula>"Towel"</formula>
    </cfRule>
    <cfRule type="cellIs" dxfId="17440" priority="2116" stopIfTrue="1" operator="equal">
      <formula>"Napkin Hs"</formula>
    </cfRule>
  </conditionalFormatting>
  <conditionalFormatting sqref="B114:C114">
    <cfRule type="cellIs" dxfId="17439" priority="2114" stopIfTrue="1" operator="equal">
      <formula>"Napkin Hs"</formula>
    </cfRule>
  </conditionalFormatting>
  <conditionalFormatting sqref="B114:C114">
    <cfRule type="cellIs" dxfId="17438" priority="2113" stopIfTrue="1" operator="equal">
      <formula>"Towel"</formula>
    </cfRule>
  </conditionalFormatting>
  <conditionalFormatting sqref="C114">
    <cfRule type="cellIs" dxfId="17437" priority="2112" stopIfTrue="1" operator="equal">
      <formula>"Napkin Hs"</formula>
    </cfRule>
  </conditionalFormatting>
  <conditionalFormatting sqref="C114">
    <cfRule type="cellIs" dxfId="17436" priority="2111" stopIfTrue="1" operator="equal">
      <formula>"Towel"</formula>
    </cfRule>
  </conditionalFormatting>
  <conditionalFormatting sqref="C114">
    <cfRule type="cellIs" dxfId="17435" priority="2109" stopIfTrue="1" operator="equal">
      <formula>"Towel"</formula>
    </cfRule>
    <cfRule type="cellIs" dxfId="17434" priority="2110" stopIfTrue="1" operator="equal">
      <formula>"Napkin Hs"</formula>
    </cfRule>
  </conditionalFormatting>
  <conditionalFormatting sqref="B114:C114">
    <cfRule type="cellIs" dxfId="17433" priority="2107" stopIfTrue="1" operator="equal">
      <formula>"Towel"</formula>
    </cfRule>
    <cfRule type="cellIs" dxfId="17432" priority="2108" stopIfTrue="1" operator="equal">
      <formula>"Napkin Hs"</formula>
    </cfRule>
  </conditionalFormatting>
  <conditionalFormatting sqref="C114">
    <cfRule type="cellIs" dxfId="17431" priority="2103" stopIfTrue="1" operator="equal">
      <formula>"Towel"</formula>
    </cfRule>
    <cfRule type="cellIs" dxfId="17430" priority="2104" stopIfTrue="1" operator="equal">
      <formula>"Napkin Hs"</formula>
    </cfRule>
  </conditionalFormatting>
  <conditionalFormatting sqref="C114">
    <cfRule type="cellIs" dxfId="17429" priority="2105" stopIfTrue="1" operator="equal">
      <formula>"Towel"</formula>
    </cfRule>
    <cfRule type="cellIs" dxfId="17428" priority="2106" stopIfTrue="1" operator="equal">
      <formula>"Napkin Hs"</formula>
    </cfRule>
  </conditionalFormatting>
  <conditionalFormatting sqref="B114:C114">
    <cfRule type="cellIs" dxfId="17427" priority="2102" stopIfTrue="1" operator="equal">
      <formula>"Napkin Hs"</formula>
    </cfRule>
  </conditionalFormatting>
  <conditionalFormatting sqref="B114:C114">
    <cfRule type="cellIs" dxfId="17426" priority="2101" stopIfTrue="1" operator="equal">
      <formula>"Towel"</formula>
    </cfRule>
  </conditionalFormatting>
  <conditionalFormatting sqref="C114">
    <cfRule type="cellIs" dxfId="17425" priority="2100" stopIfTrue="1" operator="equal">
      <formula>"Napkin Hs"</formula>
    </cfRule>
  </conditionalFormatting>
  <conditionalFormatting sqref="C114">
    <cfRule type="cellIs" dxfId="17424" priority="2099" stopIfTrue="1" operator="equal">
      <formula>"Towel"</formula>
    </cfRule>
  </conditionalFormatting>
  <conditionalFormatting sqref="C114">
    <cfRule type="cellIs" dxfId="17423" priority="2097" stopIfTrue="1" operator="equal">
      <formula>"Towel"</formula>
    </cfRule>
    <cfRule type="cellIs" dxfId="17422" priority="2098" stopIfTrue="1" operator="equal">
      <formula>"Napkin Hs"</formula>
    </cfRule>
  </conditionalFormatting>
  <conditionalFormatting sqref="B114:C114">
    <cfRule type="cellIs" dxfId="17421" priority="2095" stopIfTrue="1" operator="equal">
      <formula>"Towel"</formula>
    </cfRule>
    <cfRule type="cellIs" dxfId="17420" priority="2096" stopIfTrue="1" operator="equal">
      <formula>"Napkin Hs"</formula>
    </cfRule>
  </conditionalFormatting>
  <conditionalFormatting sqref="C114">
    <cfRule type="cellIs" dxfId="17419" priority="2093" stopIfTrue="1" operator="equal">
      <formula>"Towel"</formula>
    </cfRule>
    <cfRule type="cellIs" dxfId="17418" priority="2094" stopIfTrue="1" operator="equal">
      <formula>"Napkin Hs"</formula>
    </cfRule>
  </conditionalFormatting>
  <conditionalFormatting sqref="C114">
    <cfRule type="cellIs" dxfId="17417" priority="2091" stopIfTrue="1" operator="equal">
      <formula>"Towel"</formula>
    </cfRule>
    <cfRule type="cellIs" dxfId="17416" priority="2092" stopIfTrue="1" operator="equal">
      <formula>"Napkin Hs"</formula>
    </cfRule>
  </conditionalFormatting>
  <conditionalFormatting sqref="B114:C114">
    <cfRule type="cellIs" dxfId="17415" priority="2089" stopIfTrue="1" operator="equal">
      <formula>"Towel"</formula>
    </cfRule>
    <cfRule type="cellIs" dxfId="17414" priority="2090" stopIfTrue="1" operator="equal">
      <formula>"Napkin Hs"</formula>
    </cfRule>
  </conditionalFormatting>
  <conditionalFormatting sqref="C114">
    <cfRule type="cellIs" dxfId="17413" priority="2087" stopIfTrue="1" operator="equal">
      <formula>"Towel"</formula>
    </cfRule>
    <cfRule type="cellIs" dxfId="17412" priority="2088" stopIfTrue="1" operator="equal">
      <formula>"Napkin Hs"</formula>
    </cfRule>
  </conditionalFormatting>
  <conditionalFormatting sqref="C114">
    <cfRule type="cellIs" dxfId="17411" priority="2085" stopIfTrue="1" operator="equal">
      <formula>"Towel"</formula>
    </cfRule>
    <cfRule type="cellIs" dxfId="17410" priority="2086" stopIfTrue="1" operator="equal">
      <formula>"Napkin Hs"</formula>
    </cfRule>
  </conditionalFormatting>
  <conditionalFormatting sqref="B114:C114">
    <cfRule type="cellIs" dxfId="17409" priority="2083" stopIfTrue="1" operator="equal">
      <formula>"Towel"</formula>
    </cfRule>
    <cfRule type="cellIs" dxfId="17408" priority="2084" stopIfTrue="1" operator="equal">
      <formula>"Napkin Hs"</formula>
    </cfRule>
  </conditionalFormatting>
  <conditionalFormatting sqref="C114">
    <cfRule type="cellIs" dxfId="17407" priority="2081" stopIfTrue="1" operator="equal">
      <formula>"Towel"</formula>
    </cfRule>
    <cfRule type="cellIs" dxfId="17406" priority="2082" stopIfTrue="1" operator="equal">
      <formula>"Napkin Hs"</formula>
    </cfRule>
  </conditionalFormatting>
  <conditionalFormatting sqref="C114">
    <cfRule type="cellIs" dxfId="17405" priority="2079" stopIfTrue="1" operator="equal">
      <formula>"Towel"</formula>
    </cfRule>
    <cfRule type="cellIs" dxfId="17404" priority="2080" stopIfTrue="1" operator="equal">
      <formula>"Napkin Hs"</formula>
    </cfRule>
  </conditionalFormatting>
  <conditionalFormatting sqref="B114:C114">
    <cfRule type="cellIs" dxfId="17403" priority="2077" stopIfTrue="1" operator="equal">
      <formula>"Towel"</formula>
    </cfRule>
    <cfRule type="cellIs" dxfId="17402" priority="2078" stopIfTrue="1" operator="equal">
      <formula>"Napkin Hs"</formula>
    </cfRule>
  </conditionalFormatting>
  <conditionalFormatting sqref="C114">
    <cfRule type="cellIs" dxfId="17401" priority="2075" stopIfTrue="1" operator="equal">
      <formula>"Towel"</formula>
    </cfRule>
    <cfRule type="cellIs" dxfId="17400" priority="2076" stopIfTrue="1" operator="equal">
      <formula>"Napkin Hs"</formula>
    </cfRule>
  </conditionalFormatting>
  <conditionalFormatting sqref="C114">
    <cfRule type="cellIs" dxfId="17399" priority="2073" stopIfTrue="1" operator="equal">
      <formula>"Towel"</formula>
    </cfRule>
    <cfRule type="cellIs" dxfId="17398" priority="2074" stopIfTrue="1" operator="equal">
      <formula>"Napkin Hs"</formula>
    </cfRule>
  </conditionalFormatting>
  <conditionalFormatting sqref="B114:C114">
    <cfRule type="cellIs" dxfId="17397" priority="2071" stopIfTrue="1" operator="equal">
      <formula>"Towel"</formula>
    </cfRule>
    <cfRule type="cellIs" dxfId="17396" priority="2072" stopIfTrue="1" operator="equal">
      <formula>"Napkin Hs"</formula>
    </cfRule>
  </conditionalFormatting>
  <conditionalFormatting sqref="C114">
    <cfRule type="cellIs" dxfId="17395" priority="2069" stopIfTrue="1" operator="equal">
      <formula>"Towel"</formula>
    </cfRule>
    <cfRule type="cellIs" dxfId="17394" priority="2070" stopIfTrue="1" operator="equal">
      <formula>"Napkin Hs"</formula>
    </cfRule>
  </conditionalFormatting>
  <conditionalFormatting sqref="C114">
    <cfRule type="cellIs" dxfId="17393" priority="2067" stopIfTrue="1" operator="equal">
      <formula>"Towel"</formula>
    </cfRule>
    <cfRule type="cellIs" dxfId="17392" priority="2068" stopIfTrue="1" operator="equal">
      <formula>"Napkin Hs"</formula>
    </cfRule>
  </conditionalFormatting>
  <conditionalFormatting sqref="B114:C114">
    <cfRule type="cellIs" dxfId="17391" priority="2066" stopIfTrue="1" operator="equal">
      <formula>"Napkin Hs"</formula>
    </cfRule>
  </conditionalFormatting>
  <conditionalFormatting sqref="B114:C114">
    <cfRule type="cellIs" dxfId="17390" priority="2065" stopIfTrue="1" operator="equal">
      <formula>"Towel"</formula>
    </cfRule>
  </conditionalFormatting>
  <conditionalFormatting sqref="C114">
    <cfRule type="cellIs" dxfId="17389" priority="2064" stopIfTrue="1" operator="equal">
      <formula>"Napkin Hs"</formula>
    </cfRule>
  </conditionalFormatting>
  <conditionalFormatting sqref="C114">
    <cfRule type="cellIs" dxfId="17388" priority="2061" stopIfTrue="1" operator="equal">
      <formula>"Towel"</formula>
    </cfRule>
    <cfRule type="cellIs" dxfId="17387" priority="2062" stopIfTrue="1" operator="equal">
      <formula>"Napkin Hs"</formula>
    </cfRule>
  </conditionalFormatting>
  <conditionalFormatting sqref="C114">
    <cfRule type="cellIs" dxfId="17386" priority="2063" stopIfTrue="1" operator="equal">
      <formula>"Towel"</formula>
    </cfRule>
  </conditionalFormatting>
  <conditionalFormatting sqref="B114:C114">
    <cfRule type="cellIs" dxfId="17385" priority="2060" stopIfTrue="1" operator="equal">
      <formula>"Napkin Hs"</formula>
    </cfRule>
  </conditionalFormatting>
  <conditionalFormatting sqref="B114:C114">
    <cfRule type="cellIs" dxfId="17384" priority="2059" stopIfTrue="1" operator="equal">
      <formula>"Towel"</formula>
    </cfRule>
  </conditionalFormatting>
  <conditionalFormatting sqref="C114">
    <cfRule type="cellIs" dxfId="17383" priority="2058" stopIfTrue="1" operator="equal">
      <formula>"Napkin Hs"</formula>
    </cfRule>
  </conditionalFormatting>
  <conditionalFormatting sqref="C114">
    <cfRule type="cellIs" dxfId="17382" priority="2057" stopIfTrue="1" operator="equal">
      <formula>"Towel"</formula>
    </cfRule>
  </conditionalFormatting>
  <conditionalFormatting sqref="C114">
    <cfRule type="cellIs" dxfId="17381" priority="2055" stopIfTrue="1" operator="equal">
      <formula>"Towel"</formula>
    </cfRule>
    <cfRule type="cellIs" dxfId="17380" priority="2056" stopIfTrue="1" operator="equal">
      <formula>"Napkin Hs"</formula>
    </cfRule>
  </conditionalFormatting>
  <conditionalFormatting sqref="B114:C114">
    <cfRule type="cellIs" dxfId="17379" priority="2053" stopIfTrue="1" operator="equal">
      <formula>"Towel"</formula>
    </cfRule>
    <cfRule type="cellIs" dxfId="17378" priority="2054" stopIfTrue="1" operator="equal">
      <formula>"Napkin Hs"</formula>
    </cfRule>
  </conditionalFormatting>
  <conditionalFormatting sqref="C114">
    <cfRule type="cellIs" dxfId="17377" priority="2049" stopIfTrue="1" operator="equal">
      <formula>"Towel"</formula>
    </cfRule>
    <cfRule type="cellIs" dxfId="17376" priority="2050" stopIfTrue="1" operator="equal">
      <formula>"Napkin Hs"</formula>
    </cfRule>
  </conditionalFormatting>
  <conditionalFormatting sqref="C114">
    <cfRule type="cellIs" dxfId="17375" priority="2051" stopIfTrue="1" operator="equal">
      <formula>"Towel"</formula>
    </cfRule>
    <cfRule type="cellIs" dxfId="17374" priority="2052" stopIfTrue="1" operator="equal">
      <formula>"Napkin Hs"</formula>
    </cfRule>
  </conditionalFormatting>
  <conditionalFormatting sqref="B114:C114">
    <cfRule type="cellIs" dxfId="17373" priority="2048" stopIfTrue="1" operator="equal">
      <formula>"Napkin Hs"</formula>
    </cfRule>
  </conditionalFormatting>
  <conditionalFormatting sqref="B114:C114">
    <cfRule type="cellIs" dxfId="17372" priority="2047" stopIfTrue="1" operator="equal">
      <formula>"Towel"</formula>
    </cfRule>
  </conditionalFormatting>
  <conditionalFormatting sqref="C114">
    <cfRule type="cellIs" dxfId="17371" priority="2046" stopIfTrue="1" operator="equal">
      <formula>"Napkin Hs"</formula>
    </cfRule>
  </conditionalFormatting>
  <conditionalFormatting sqref="C114">
    <cfRule type="cellIs" dxfId="17370" priority="2045" stopIfTrue="1" operator="equal">
      <formula>"Towel"</formula>
    </cfRule>
  </conditionalFormatting>
  <conditionalFormatting sqref="C114">
    <cfRule type="cellIs" dxfId="17369" priority="2043" stopIfTrue="1" operator="equal">
      <formula>"Towel"</formula>
    </cfRule>
    <cfRule type="cellIs" dxfId="17368" priority="2044" stopIfTrue="1" operator="equal">
      <formula>"Napkin Hs"</formula>
    </cfRule>
  </conditionalFormatting>
  <conditionalFormatting sqref="B114:C114">
    <cfRule type="cellIs" dxfId="17367" priority="2041" stopIfTrue="1" operator="equal">
      <formula>"Towel"</formula>
    </cfRule>
    <cfRule type="cellIs" dxfId="17366" priority="2042" stopIfTrue="1" operator="equal">
      <formula>"Napkin Hs"</formula>
    </cfRule>
  </conditionalFormatting>
  <conditionalFormatting sqref="C114">
    <cfRule type="cellIs" dxfId="17365" priority="2039" stopIfTrue="1" operator="equal">
      <formula>"Towel"</formula>
    </cfRule>
    <cfRule type="cellIs" dxfId="17364" priority="2040" stopIfTrue="1" operator="equal">
      <formula>"Napkin Hs"</formula>
    </cfRule>
  </conditionalFormatting>
  <conditionalFormatting sqref="C114">
    <cfRule type="cellIs" dxfId="17363" priority="2037" stopIfTrue="1" operator="equal">
      <formula>"Towel"</formula>
    </cfRule>
    <cfRule type="cellIs" dxfId="17362" priority="2038" stopIfTrue="1" operator="equal">
      <formula>"Napkin Hs"</formula>
    </cfRule>
  </conditionalFormatting>
  <conditionalFormatting sqref="B114:C114">
    <cfRule type="cellIs" dxfId="17361" priority="2035" stopIfTrue="1" operator="equal">
      <formula>"Towel"</formula>
    </cfRule>
    <cfRule type="cellIs" dxfId="17360" priority="2036" stopIfTrue="1" operator="equal">
      <formula>"Napkin Hs"</formula>
    </cfRule>
  </conditionalFormatting>
  <conditionalFormatting sqref="C114">
    <cfRule type="cellIs" dxfId="17359" priority="2033" stopIfTrue="1" operator="equal">
      <formula>"Towel"</formula>
    </cfRule>
    <cfRule type="cellIs" dxfId="17358" priority="2034" stopIfTrue="1" operator="equal">
      <formula>"Napkin Hs"</formula>
    </cfRule>
  </conditionalFormatting>
  <conditionalFormatting sqref="C114">
    <cfRule type="cellIs" dxfId="17357" priority="2031" stopIfTrue="1" operator="equal">
      <formula>"Towel"</formula>
    </cfRule>
    <cfRule type="cellIs" dxfId="17356" priority="2032" stopIfTrue="1" operator="equal">
      <formula>"Napkin Hs"</formula>
    </cfRule>
  </conditionalFormatting>
  <conditionalFormatting sqref="B114:C114">
    <cfRule type="cellIs" dxfId="17355" priority="2029" stopIfTrue="1" operator="equal">
      <formula>"Towel"</formula>
    </cfRule>
    <cfRule type="cellIs" dxfId="17354" priority="2030" stopIfTrue="1" operator="equal">
      <formula>"Napkin Hs"</formula>
    </cfRule>
  </conditionalFormatting>
  <conditionalFormatting sqref="C114">
    <cfRule type="cellIs" dxfId="17353" priority="2027" stopIfTrue="1" operator="equal">
      <formula>"Towel"</formula>
    </cfRule>
    <cfRule type="cellIs" dxfId="17352" priority="2028" stopIfTrue="1" operator="equal">
      <formula>"Napkin Hs"</formula>
    </cfRule>
  </conditionalFormatting>
  <conditionalFormatting sqref="C114">
    <cfRule type="cellIs" dxfId="17351" priority="2025" stopIfTrue="1" operator="equal">
      <formula>"Towel"</formula>
    </cfRule>
    <cfRule type="cellIs" dxfId="17350" priority="2026" stopIfTrue="1" operator="equal">
      <formula>"Napkin Hs"</formula>
    </cfRule>
  </conditionalFormatting>
  <conditionalFormatting sqref="B114:C114">
    <cfRule type="cellIs" dxfId="17349" priority="2023" stopIfTrue="1" operator="equal">
      <formula>"Towel"</formula>
    </cfRule>
    <cfRule type="cellIs" dxfId="17348" priority="2024" stopIfTrue="1" operator="equal">
      <formula>"Napkin Hs"</formula>
    </cfRule>
  </conditionalFormatting>
  <conditionalFormatting sqref="C114">
    <cfRule type="cellIs" dxfId="17347" priority="2021" stopIfTrue="1" operator="equal">
      <formula>"Towel"</formula>
    </cfRule>
    <cfRule type="cellIs" dxfId="17346" priority="2022" stopIfTrue="1" operator="equal">
      <formula>"Napkin Hs"</formula>
    </cfRule>
  </conditionalFormatting>
  <conditionalFormatting sqref="C114">
    <cfRule type="cellIs" dxfId="17345" priority="2019" stopIfTrue="1" operator="equal">
      <formula>"Towel"</formula>
    </cfRule>
    <cfRule type="cellIs" dxfId="17344" priority="2020" stopIfTrue="1" operator="equal">
      <formula>"Napkin Hs"</formula>
    </cfRule>
  </conditionalFormatting>
  <conditionalFormatting sqref="B114:C114">
    <cfRule type="cellIs" dxfId="17343" priority="2017" stopIfTrue="1" operator="equal">
      <formula>"Towel"</formula>
    </cfRule>
    <cfRule type="cellIs" dxfId="17342" priority="2018" stopIfTrue="1" operator="equal">
      <formula>"Napkin Hs"</formula>
    </cfRule>
  </conditionalFormatting>
  <conditionalFormatting sqref="C114">
    <cfRule type="cellIs" dxfId="17341" priority="2015" stopIfTrue="1" operator="equal">
      <formula>"Towel"</formula>
    </cfRule>
    <cfRule type="cellIs" dxfId="17340" priority="2016" stopIfTrue="1" operator="equal">
      <formula>"Napkin Hs"</formula>
    </cfRule>
  </conditionalFormatting>
  <conditionalFormatting sqref="C114">
    <cfRule type="cellIs" dxfId="17339" priority="2013" stopIfTrue="1" operator="equal">
      <formula>"Towel"</formula>
    </cfRule>
    <cfRule type="cellIs" dxfId="17338" priority="2014" stopIfTrue="1" operator="equal">
      <formula>"Napkin Hs"</formula>
    </cfRule>
  </conditionalFormatting>
  <conditionalFormatting sqref="B114:C114">
    <cfRule type="cellIs" dxfId="17337" priority="2012" stopIfTrue="1" operator="equal">
      <formula>"Napkin Hs"</formula>
    </cfRule>
  </conditionalFormatting>
  <conditionalFormatting sqref="B114:C114">
    <cfRule type="cellIs" dxfId="17336" priority="2011" stopIfTrue="1" operator="equal">
      <formula>"Towel"</formula>
    </cfRule>
  </conditionalFormatting>
  <conditionalFormatting sqref="C114">
    <cfRule type="cellIs" dxfId="17335" priority="2010" stopIfTrue="1" operator="equal">
      <formula>"Napkin Hs"</formula>
    </cfRule>
  </conditionalFormatting>
  <conditionalFormatting sqref="C114">
    <cfRule type="cellIs" dxfId="17334" priority="2007" stopIfTrue="1" operator="equal">
      <formula>"Towel"</formula>
    </cfRule>
    <cfRule type="cellIs" dxfId="17333" priority="2008" stopIfTrue="1" operator="equal">
      <formula>"Napkin Hs"</formula>
    </cfRule>
  </conditionalFormatting>
  <conditionalFormatting sqref="C114">
    <cfRule type="cellIs" dxfId="17332" priority="2009" stopIfTrue="1" operator="equal">
      <formula>"Towel"</formula>
    </cfRule>
  </conditionalFormatting>
  <conditionalFormatting sqref="B114:C114">
    <cfRule type="cellIs" dxfId="17331" priority="2006" stopIfTrue="1" operator="equal">
      <formula>"Napkin Hs"</formula>
    </cfRule>
  </conditionalFormatting>
  <conditionalFormatting sqref="B114:C114">
    <cfRule type="cellIs" dxfId="17330" priority="2005" stopIfTrue="1" operator="equal">
      <formula>"Towel"</formula>
    </cfRule>
  </conditionalFormatting>
  <conditionalFormatting sqref="C114">
    <cfRule type="cellIs" dxfId="17329" priority="2004" stopIfTrue="1" operator="equal">
      <formula>"Napkin Hs"</formula>
    </cfRule>
  </conditionalFormatting>
  <conditionalFormatting sqref="C114">
    <cfRule type="cellIs" dxfId="17328" priority="2001" stopIfTrue="1" operator="equal">
      <formula>"Towel"</formula>
    </cfRule>
    <cfRule type="cellIs" dxfId="17327" priority="2002" stopIfTrue="1" operator="equal">
      <formula>"Napkin Hs"</formula>
    </cfRule>
  </conditionalFormatting>
  <conditionalFormatting sqref="C114">
    <cfRule type="cellIs" dxfId="17326" priority="2003" stopIfTrue="1" operator="equal">
      <formula>"Towel"</formula>
    </cfRule>
  </conditionalFormatting>
  <conditionalFormatting sqref="B114:C114">
    <cfRule type="cellIs" dxfId="17325" priority="2000" stopIfTrue="1" operator="equal">
      <formula>"Napkin Hs"</formula>
    </cfRule>
  </conditionalFormatting>
  <conditionalFormatting sqref="B114:C114">
    <cfRule type="cellIs" dxfId="17324" priority="1999" stopIfTrue="1" operator="equal">
      <formula>"Towel"</formula>
    </cfRule>
  </conditionalFormatting>
  <conditionalFormatting sqref="C114">
    <cfRule type="cellIs" dxfId="17323" priority="1998" stopIfTrue="1" operator="equal">
      <formula>"Napkin Hs"</formula>
    </cfRule>
  </conditionalFormatting>
  <conditionalFormatting sqref="C114">
    <cfRule type="cellIs" dxfId="17322" priority="1995" stopIfTrue="1" operator="equal">
      <formula>"Towel"</formula>
    </cfRule>
    <cfRule type="cellIs" dxfId="17321" priority="1996" stopIfTrue="1" operator="equal">
      <formula>"Napkin Hs"</formula>
    </cfRule>
  </conditionalFormatting>
  <conditionalFormatting sqref="C114">
    <cfRule type="cellIs" dxfId="17320" priority="1997" stopIfTrue="1" operator="equal">
      <formula>"Towel"</formula>
    </cfRule>
  </conditionalFormatting>
  <conditionalFormatting sqref="B113:C113">
    <cfRule type="cellIs" dxfId="17319" priority="1993" stopIfTrue="1" operator="equal">
      <formula>"Towel"</formula>
    </cfRule>
    <cfRule type="cellIs" dxfId="17318" priority="1994" stopIfTrue="1" operator="equal">
      <formula>"Napkin Hs"</formula>
    </cfRule>
  </conditionalFormatting>
  <conditionalFormatting sqref="C113">
    <cfRule type="cellIs" dxfId="17317" priority="1991" stopIfTrue="1" operator="equal">
      <formula>"Towel"</formula>
    </cfRule>
    <cfRule type="cellIs" dxfId="17316" priority="1992" stopIfTrue="1" operator="equal">
      <formula>"Napkin Hs"</formula>
    </cfRule>
  </conditionalFormatting>
  <conditionalFormatting sqref="C113">
    <cfRule type="cellIs" dxfId="17315" priority="1989" stopIfTrue="1" operator="equal">
      <formula>"Towel"</formula>
    </cfRule>
    <cfRule type="cellIs" dxfId="17314" priority="1990" stopIfTrue="1" operator="equal">
      <formula>"Napkin Hs"</formula>
    </cfRule>
  </conditionalFormatting>
  <conditionalFormatting sqref="B113:C113">
    <cfRule type="cellIs" dxfId="17313" priority="1988" stopIfTrue="1" operator="equal">
      <formula>"Napkin Hs"</formula>
    </cfRule>
  </conditionalFormatting>
  <conditionalFormatting sqref="B113:C113">
    <cfRule type="cellIs" dxfId="17312" priority="1987" stopIfTrue="1" operator="equal">
      <formula>"Towel"</formula>
    </cfRule>
  </conditionalFormatting>
  <conditionalFormatting sqref="C113">
    <cfRule type="cellIs" dxfId="17311" priority="1986" stopIfTrue="1" operator="equal">
      <formula>"Napkin Hs"</formula>
    </cfRule>
  </conditionalFormatting>
  <conditionalFormatting sqref="C113">
    <cfRule type="cellIs" dxfId="17310" priority="1985" stopIfTrue="1" operator="equal">
      <formula>"Towel"</formula>
    </cfRule>
  </conditionalFormatting>
  <conditionalFormatting sqref="C113">
    <cfRule type="cellIs" dxfId="17309" priority="1983" stopIfTrue="1" operator="equal">
      <formula>"Towel"</formula>
    </cfRule>
    <cfRule type="cellIs" dxfId="17308" priority="1984" stopIfTrue="1" operator="equal">
      <formula>"Napkin Hs"</formula>
    </cfRule>
  </conditionalFormatting>
  <conditionalFormatting sqref="B113:C113">
    <cfRule type="cellIs" dxfId="17307" priority="1981" stopIfTrue="1" operator="equal">
      <formula>"Towel"</formula>
    </cfRule>
    <cfRule type="cellIs" dxfId="17306" priority="1982" stopIfTrue="1" operator="equal">
      <formula>"Napkin Hs"</formula>
    </cfRule>
  </conditionalFormatting>
  <conditionalFormatting sqref="C113">
    <cfRule type="cellIs" dxfId="17305" priority="1977" stopIfTrue="1" operator="equal">
      <formula>"Towel"</formula>
    </cfRule>
    <cfRule type="cellIs" dxfId="17304" priority="1978" stopIfTrue="1" operator="equal">
      <formula>"Napkin Hs"</formula>
    </cfRule>
  </conditionalFormatting>
  <conditionalFormatting sqref="C113">
    <cfRule type="cellIs" dxfId="17303" priority="1979" stopIfTrue="1" operator="equal">
      <formula>"Towel"</formula>
    </cfRule>
    <cfRule type="cellIs" dxfId="17302" priority="1980" stopIfTrue="1" operator="equal">
      <formula>"Napkin Hs"</formula>
    </cfRule>
  </conditionalFormatting>
  <conditionalFormatting sqref="B113:C113">
    <cfRule type="cellIs" dxfId="17301" priority="1976" stopIfTrue="1" operator="equal">
      <formula>"Napkin Hs"</formula>
    </cfRule>
  </conditionalFormatting>
  <conditionalFormatting sqref="B113:C113">
    <cfRule type="cellIs" dxfId="17300" priority="1975" stopIfTrue="1" operator="equal">
      <formula>"Towel"</formula>
    </cfRule>
  </conditionalFormatting>
  <conditionalFormatting sqref="C113">
    <cfRule type="cellIs" dxfId="17299" priority="1974" stopIfTrue="1" operator="equal">
      <formula>"Napkin Hs"</formula>
    </cfRule>
  </conditionalFormatting>
  <conditionalFormatting sqref="C113">
    <cfRule type="cellIs" dxfId="17298" priority="1973" stopIfTrue="1" operator="equal">
      <formula>"Towel"</formula>
    </cfRule>
  </conditionalFormatting>
  <conditionalFormatting sqref="C113">
    <cfRule type="cellIs" dxfId="17297" priority="1971" stopIfTrue="1" operator="equal">
      <formula>"Towel"</formula>
    </cfRule>
    <cfRule type="cellIs" dxfId="17296" priority="1972" stopIfTrue="1" operator="equal">
      <formula>"Napkin Hs"</formula>
    </cfRule>
  </conditionalFormatting>
  <conditionalFormatting sqref="B113:C113">
    <cfRule type="cellIs" dxfId="17295" priority="1969" stopIfTrue="1" operator="equal">
      <formula>"Towel"</formula>
    </cfRule>
    <cfRule type="cellIs" dxfId="17294" priority="1970" stopIfTrue="1" operator="equal">
      <formula>"Napkin Hs"</formula>
    </cfRule>
  </conditionalFormatting>
  <conditionalFormatting sqref="C113">
    <cfRule type="cellIs" dxfId="17293" priority="1967" stopIfTrue="1" operator="equal">
      <formula>"Towel"</formula>
    </cfRule>
    <cfRule type="cellIs" dxfId="17292" priority="1968" stopIfTrue="1" operator="equal">
      <formula>"Napkin Hs"</formula>
    </cfRule>
  </conditionalFormatting>
  <conditionalFormatting sqref="C113">
    <cfRule type="cellIs" dxfId="17291" priority="1965" stopIfTrue="1" operator="equal">
      <formula>"Towel"</formula>
    </cfRule>
    <cfRule type="cellIs" dxfId="17290" priority="1966" stopIfTrue="1" operator="equal">
      <formula>"Napkin Hs"</formula>
    </cfRule>
  </conditionalFormatting>
  <conditionalFormatting sqref="B113:C113">
    <cfRule type="cellIs" dxfId="17289" priority="1963" stopIfTrue="1" operator="equal">
      <formula>"Towel"</formula>
    </cfRule>
    <cfRule type="cellIs" dxfId="17288" priority="1964" stopIfTrue="1" operator="equal">
      <formula>"Napkin Hs"</formula>
    </cfRule>
  </conditionalFormatting>
  <conditionalFormatting sqref="C113">
    <cfRule type="cellIs" dxfId="17287" priority="1961" stopIfTrue="1" operator="equal">
      <formula>"Towel"</formula>
    </cfRule>
    <cfRule type="cellIs" dxfId="17286" priority="1962" stopIfTrue="1" operator="equal">
      <formula>"Napkin Hs"</formula>
    </cfRule>
  </conditionalFormatting>
  <conditionalFormatting sqref="C113">
    <cfRule type="cellIs" dxfId="17285" priority="1959" stopIfTrue="1" operator="equal">
      <formula>"Towel"</formula>
    </cfRule>
    <cfRule type="cellIs" dxfId="17284" priority="1960" stopIfTrue="1" operator="equal">
      <formula>"Napkin Hs"</formula>
    </cfRule>
  </conditionalFormatting>
  <conditionalFormatting sqref="B113:C113">
    <cfRule type="cellIs" dxfId="17283" priority="1957" stopIfTrue="1" operator="equal">
      <formula>"Towel"</formula>
    </cfRule>
    <cfRule type="cellIs" dxfId="17282" priority="1958" stopIfTrue="1" operator="equal">
      <formula>"Napkin Hs"</formula>
    </cfRule>
  </conditionalFormatting>
  <conditionalFormatting sqref="C113">
    <cfRule type="cellIs" dxfId="17281" priority="1955" stopIfTrue="1" operator="equal">
      <formula>"Towel"</formula>
    </cfRule>
    <cfRule type="cellIs" dxfId="17280" priority="1956" stopIfTrue="1" operator="equal">
      <formula>"Napkin Hs"</formula>
    </cfRule>
  </conditionalFormatting>
  <conditionalFormatting sqref="C113">
    <cfRule type="cellIs" dxfId="17279" priority="1953" stopIfTrue="1" operator="equal">
      <formula>"Towel"</formula>
    </cfRule>
    <cfRule type="cellIs" dxfId="17278" priority="1954" stopIfTrue="1" operator="equal">
      <formula>"Napkin Hs"</formula>
    </cfRule>
  </conditionalFormatting>
  <conditionalFormatting sqref="B113:C113">
    <cfRule type="cellIs" dxfId="17277" priority="1951" stopIfTrue="1" operator="equal">
      <formula>"Towel"</formula>
    </cfRule>
    <cfRule type="cellIs" dxfId="17276" priority="1952" stopIfTrue="1" operator="equal">
      <formula>"Napkin Hs"</formula>
    </cfRule>
  </conditionalFormatting>
  <conditionalFormatting sqref="C113">
    <cfRule type="cellIs" dxfId="17275" priority="1949" stopIfTrue="1" operator="equal">
      <formula>"Towel"</formula>
    </cfRule>
    <cfRule type="cellIs" dxfId="17274" priority="1950" stopIfTrue="1" operator="equal">
      <formula>"Napkin Hs"</formula>
    </cfRule>
  </conditionalFormatting>
  <conditionalFormatting sqref="C113">
    <cfRule type="cellIs" dxfId="17273" priority="1947" stopIfTrue="1" operator="equal">
      <formula>"Towel"</formula>
    </cfRule>
    <cfRule type="cellIs" dxfId="17272" priority="1948" stopIfTrue="1" operator="equal">
      <formula>"Napkin Hs"</formula>
    </cfRule>
  </conditionalFormatting>
  <conditionalFormatting sqref="B113:C113">
    <cfRule type="cellIs" dxfId="17271" priority="1945" stopIfTrue="1" operator="equal">
      <formula>"Towel"</formula>
    </cfRule>
    <cfRule type="cellIs" dxfId="17270" priority="1946" stopIfTrue="1" operator="equal">
      <formula>"Napkin Hs"</formula>
    </cfRule>
  </conditionalFormatting>
  <conditionalFormatting sqref="C113">
    <cfRule type="cellIs" dxfId="17269" priority="1943" stopIfTrue="1" operator="equal">
      <formula>"Towel"</formula>
    </cfRule>
    <cfRule type="cellIs" dxfId="17268" priority="1944" stopIfTrue="1" operator="equal">
      <formula>"Napkin Hs"</formula>
    </cfRule>
  </conditionalFormatting>
  <conditionalFormatting sqref="C113">
    <cfRule type="cellIs" dxfId="17267" priority="1941" stopIfTrue="1" operator="equal">
      <formula>"Towel"</formula>
    </cfRule>
    <cfRule type="cellIs" dxfId="17266" priority="1942" stopIfTrue="1" operator="equal">
      <formula>"Napkin Hs"</formula>
    </cfRule>
  </conditionalFormatting>
  <conditionalFormatting sqref="B113:C113">
    <cfRule type="cellIs" dxfId="17265" priority="1940" stopIfTrue="1" operator="equal">
      <formula>"Napkin Hs"</formula>
    </cfRule>
  </conditionalFormatting>
  <conditionalFormatting sqref="B113:C113">
    <cfRule type="cellIs" dxfId="17264" priority="1939" stopIfTrue="1" operator="equal">
      <formula>"Towel"</formula>
    </cfRule>
  </conditionalFormatting>
  <conditionalFormatting sqref="C113">
    <cfRule type="cellIs" dxfId="17263" priority="1938" stopIfTrue="1" operator="equal">
      <formula>"Napkin Hs"</formula>
    </cfRule>
  </conditionalFormatting>
  <conditionalFormatting sqref="C113">
    <cfRule type="cellIs" dxfId="17262" priority="1935" stopIfTrue="1" operator="equal">
      <formula>"Towel"</formula>
    </cfRule>
    <cfRule type="cellIs" dxfId="17261" priority="1936" stopIfTrue="1" operator="equal">
      <formula>"Napkin Hs"</formula>
    </cfRule>
  </conditionalFormatting>
  <conditionalFormatting sqref="C113">
    <cfRule type="cellIs" dxfId="17260" priority="1937" stopIfTrue="1" operator="equal">
      <formula>"Towel"</formula>
    </cfRule>
  </conditionalFormatting>
  <conditionalFormatting sqref="B113:C113">
    <cfRule type="cellIs" dxfId="17259" priority="1934" stopIfTrue="1" operator="equal">
      <formula>"Napkin Hs"</formula>
    </cfRule>
  </conditionalFormatting>
  <conditionalFormatting sqref="B113:C113">
    <cfRule type="cellIs" dxfId="17258" priority="1933" stopIfTrue="1" operator="equal">
      <formula>"Towel"</formula>
    </cfRule>
  </conditionalFormatting>
  <conditionalFormatting sqref="C113">
    <cfRule type="cellIs" dxfId="17257" priority="1932" stopIfTrue="1" operator="equal">
      <formula>"Napkin Hs"</formula>
    </cfRule>
  </conditionalFormatting>
  <conditionalFormatting sqref="C113">
    <cfRule type="cellIs" dxfId="17256" priority="1931" stopIfTrue="1" operator="equal">
      <formula>"Towel"</formula>
    </cfRule>
  </conditionalFormatting>
  <conditionalFormatting sqref="C113">
    <cfRule type="cellIs" dxfId="17255" priority="1929" stopIfTrue="1" operator="equal">
      <formula>"Towel"</formula>
    </cfRule>
    <cfRule type="cellIs" dxfId="17254" priority="1930" stopIfTrue="1" operator="equal">
      <formula>"Napkin Hs"</formula>
    </cfRule>
  </conditionalFormatting>
  <conditionalFormatting sqref="B113:C113">
    <cfRule type="cellIs" dxfId="17253" priority="1927" stopIfTrue="1" operator="equal">
      <formula>"Towel"</formula>
    </cfRule>
    <cfRule type="cellIs" dxfId="17252" priority="1928" stopIfTrue="1" operator="equal">
      <formula>"Napkin Hs"</formula>
    </cfRule>
  </conditionalFormatting>
  <conditionalFormatting sqref="C113">
    <cfRule type="cellIs" dxfId="17251" priority="1923" stopIfTrue="1" operator="equal">
      <formula>"Towel"</formula>
    </cfRule>
    <cfRule type="cellIs" dxfId="17250" priority="1924" stopIfTrue="1" operator="equal">
      <formula>"Napkin Hs"</formula>
    </cfRule>
  </conditionalFormatting>
  <conditionalFormatting sqref="C113">
    <cfRule type="cellIs" dxfId="17249" priority="1925" stopIfTrue="1" operator="equal">
      <formula>"Towel"</formula>
    </cfRule>
    <cfRule type="cellIs" dxfId="17248" priority="1926" stopIfTrue="1" operator="equal">
      <formula>"Napkin Hs"</formula>
    </cfRule>
  </conditionalFormatting>
  <conditionalFormatting sqref="B113:C113">
    <cfRule type="cellIs" dxfId="17247" priority="1922" stopIfTrue="1" operator="equal">
      <formula>"Napkin Hs"</formula>
    </cfRule>
  </conditionalFormatting>
  <conditionalFormatting sqref="B113:C113">
    <cfRule type="cellIs" dxfId="17246" priority="1921" stopIfTrue="1" operator="equal">
      <formula>"Towel"</formula>
    </cfRule>
  </conditionalFormatting>
  <conditionalFormatting sqref="C113">
    <cfRule type="cellIs" dxfId="17245" priority="1920" stopIfTrue="1" operator="equal">
      <formula>"Napkin Hs"</formula>
    </cfRule>
  </conditionalFormatting>
  <conditionalFormatting sqref="C113">
    <cfRule type="cellIs" dxfId="17244" priority="1919" stopIfTrue="1" operator="equal">
      <formula>"Towel"</formula>
    </cfRule>
  </conditionalFormatting>
  <conditionalFormatting sqref="C113">
    <cfRule type="cellIs" dxfId="17243" priority="1917" stopIfTrue="1" operator="equal">
      <formula>"Towel"</formula>
    </cfRule>
    <cfRule type="cellIs" dxfId="17242" priority="1918" stopIfTrue="1" operator="equal">
      <formula>"Napkin Hs"</formula>
    </cfRule>
  </conditionalFormatting>
  <conditionalFormatting sqref="B113:C113">
    <cfRule type="cellIs" dxfId="17241" priority="1915" stopIfTrue="1" operator="equal">
      <formula>"Towel"</formula>
    </cfRule>
    <cfRule type="cellIs" dxfId="17240" priority="1916" stopIfTrue="1" operator="equal">
      <formula>"Napkin Hs"</formula>
    </cfRule>
  </conditionalFormatting>
  <conditionalFormatting sqref="C113">
    <cfRule type="cellIs" dxfId="17239" priority="1913" stopIfTrue="1" operator="equal">
      <formula>"Towel"</formula>
    </cfRule>
    <cfRule type="cellIs" dxfId="17238" priority="1914" stopIfTrue="1" operator="equal">
      <formula>"Napkin Hs"</formula>
    </cfRule>
  </conditionalFormatting>
  <conditionalFormatting sqref="C113">
    <cfRule type="cellIs" dxfId="17237" priority="1911" stopIfTrue="1" operator="equal">
      <formula>"Towel"</formula>
    </cfRule>
    <cfRule type="cellIs" dxfId="17236" priority="1912" stopIfTrue="1" operator="equal">
      <formula>"Napkin Hs"</formula>
    </cfRule>
  </conditionalFormatting>
  <conditionalFormatting sqref="B113:C113">
    <cfRule type="cellIs" dxfId="17235" priority="1909" stopIfTrue="1" operator="equal">
      <formula>"Towel"</formula>
    </cfRule>
    <cfRule type="cellIs" dxfId="17234" priority="1910" stopIfTrue="1" operator="equal">
      <formula>"Napkin Hs"</formula>
    </cfRule>
  </conditionalFormatting>
  <conditionalFormatting sqref="C113">
    <cfRule type="cellIs" dxfId="17233" priority="1907" stopIfTrue="1" operator="equal">
      <formula>"Towel"</formula>
    </cfRule>
    <cfRule type="cellIs" dxfId="17232" priority="1908" stopIfTrue="1" operator="equal">
      <formula>"Napkin Hs"</formula>
    </cfRule>
  </conditionalFormatting>
  <conditionalFormatting sqref="C113">
    <cfRule type="cellIs" dxfId="17231" priority="1905" stopIfTrue="1" operator="equal">
      <formula>"Towel"</formula>
    </cfRule>
    <cfRule type="cellIs" dxfId="17230" priority="1906" stopIfTrue="1" operator="equal">
      <formula>"Napkin Hs"</formula>
    </cfRule>
  </conditionalFormatting>
  <conditionalFormatting sqref="B113:C113">
    <cfRule type="cellIs" dxfId="17229" priority="1903" stopIfTrue="1" operator="equal">
      <formula>"Towel"</formula>
    </cfRule>
    <cfRule type="cellIs" dxfId="17228" priority="1904" stopIfTrue="1" operator="equal">
      <formula>"Napkin Hs"</formula>
    </cfRule>
  </conditionalFormatting>
  <conditionalFormatting sqref="C113">
    <cfRule type="cellIs" dxfId="17227" priority="1901" stopIfTrue="1" operator="equal">
      <formula>"Towel"</formula>
    </cfRule>
    <cfRule type="cellIs" dxfId="17226" priority="1902" stopIfTrue="1" operator="equal">
      <formula>"Napkin Hs"</formula>
    </cfRule>
  </conditionalFormatting>
  <conditionalFormatting sqref="C113">
    <cfRule type="cellIs" dxfId="17225" priority="1899" stopIfTrue="1" operator="equal">
      <formula>"Towel"</formula>
    </cfRule>
    <cfRule type="cellIs" dxfId="17224" priority="1900" stopIfTrue="1" operator="equal">
      <formula>"Napkin Hs"</formula>
    </cfRule>
  </conditionalFormatting>
  <conditionalFormatting sqref="B113:C113">
    <cfRule type="cellIs" dxfId="17223" priority="1897" stopIfTrue="1" operator="equal">
      <formula>"Towel"</formula>
    </cfRule>
    <cfRule type="cellIs" dxfId="17222" priority="1898" stopIfTrue="1" operator="equal">
      <formula>"Napkin Hs"</formula>
    </cfRule>
  </conditionalFormatting>
  <conditionalFormatting sqref="C113">
    <cfRule type="cellIs" dxfId="17221" priority="1895" stopIfTrue="1" operator="equal">
      <formula>"Towel"</formula>
    </cfRule>
    <cfRule type="cellIs" dxfId="17220" priority="1896" stopIfTrue="1" operator="equal">
      <formula>"Napkin Hs"</formula>
    </cfRule>
  </conditionalFormatting>
  <conditionalFormatting sqref="C113">
    <cfRule type="cellIs" dxfId="17219" priority="1893" stopIfTrue="1" operator="equal">
      <formula>"Towel"</formula>
    </cfRule>
    <cfRule type="cellIs" dxfId="17218" priority="1894" stopIfTrue="1" operator="equal">
      <formula>"Napkin Hs"</formula>
    </cfRule>
  </conditionalFormatting>
  <conditionalFormatting sqref="B113:C113">
    <cfRule type="cellIs" dxfId="17217" priority="1891" stopIfTrue="1" operator="equal">
      <formula>"Towel"</formula>
    </cfRule>
    <cfRule type="cellIs" dxfId="17216" priority="1892" stopIfTrue="1" operator="equal">
      <formula>"Napkin Hs"</formula>
    </cfRule>
  </conditionalFormatting>
  <conditionalFormatting sqref="C113">
    <cfRule type="cellIs" dxfId="17215" priority="1889" stopIfTrue="1" operator="equal">
      <formula>"Towel"</formula>
    </cfRule>
    <cfRule type="cellIs" dxfId="17214" priority="1890" stopIfTrue="1" operator="equal">
      <formula>"Napkin Hs"</formula>
    </cfRule>
  </conditionalFormatting>
  <conditionalFormatting sqref="C113">
    <cfRule type="cellIs" dxfId="17213" priority="1887" stopIfTrue="1" operator="equal">
      <formula>"Towel"</formula>
    </cfRule>
    <cfRule type="cellIs" dxfId="17212" priority="1888" stopIfTrue="1" operator="equal">
      <formula>"Napkin Hs"</formula>
    </cfRule>
  </conditionalFormatting>
  <conditionalFormatting sqref="B113:C113">
    <cfRule type="cellIs" dxfId="17211" priority="1886" stopIfTrue="1" operator="equal">
      <formula>"Napkin Hs"</formula>
    </cfRule>
  </conditionalFormatting>
  <conditionalFormatting sqref="B113:C113">
    <cfRule type="cellIs" dxfId="17210" priority="1885" stopIfTrue="1" operator="equal">
      <formula>"Towel"</formula>
    </cfRule>
  </conditionalFormatting>
  <conditionalFormatting sqref="C113">
    <cfRule type="cellIs" dxfId="17209" priority="1884" stopIfTrue="1" operator="equal">
      <formula>"Napkin Hs"</formula>
    </cfRule>
  </conditionalFormatting>
  <conditionalFormatting sqref="C113">
    <cfRule type="cellIs" dxfId="17208" priority="1881" stopIfTrue="1" operator="equal">
      <formula>"Towel"</formula>
    </cfRule>
    <cfRule type="cellIs" dxfId="17207" priority="1882" stopIfTrue="1" operator="equal">
      <formula>"Napkin Hs"</formula>
    </cfRule>
  </conditionalFormatting>
  <conditionalFormatting sqref="C113">
    <cfRule type="cellIs" dxfId="17206" priority="1883" stopIfTrue="1" operator="equal">
      <formula>"Towel"</formula>
    </cfRule>
  </conditionalFormatting>
  <conditionalFormatting sqref="B113:C113">
    <cfRule type="cellIs" dxfId="17205" priority="1880" stopIfTrue="1" operator="equal">
      <formula>"Napkin Hs"</formula>
    </cfRule>
  </conditionalFormatting>
  <conditionalFormatting sqref="B113:C113">
    <cfRule type="cellIs" dxfId="17204" priority="1879" stopIfTrue="1" operator="equal">
      <formula>"Towel"</formula>
    </cfRule>
  </conditionalFormatting>
  <conditionalFormatting sqref="C113">
    <cfRule type="cellIs" dxfId="17203" priority="1878" stopIfTrue="1" operator="equal">
      <formula>"Napkin Hs"</formula>
    </cfRule>
  </conditionalFormatting>
  <conditionalFormatting sqref="C113">
    <cfRule type="cellIs" dxfId="17202" priority="1875" stopIfTrue="1" operator="equal">
      <formula>"Towel"</formula>
    </cfRule>
    <cfRule type="cellIs" dxfId="17201" priority="1876" stopIfTrue="1" operator="equal">
      <formula>"Napkin Hs"</formula>
    </cfRule>
  </conditionalFormatting>
  <conditionalFormatting sqref="C113">
    <cfRule type="cellIs" dxfId="17200" priority="1877" stopIfTrue="1" operator="equal">
      <formula>"Towel"</formula>
    </cfRule>
  </conditionalFormatting>
  <conditionalFormatting sqref="B113:C113">
    <cfRule type="cellIs" dxfId="17199" priority="1874" stopIfTrue="1" operator="equal">
      <formula>"Napkin Hs"</formula>
    </cfRule>
  </conditionalFormatting>
  <conditionalFormatting sqref="B113:C113">
    <cfRule type="cellIs" dxfId="17198" priority="1873" stopIfTrue="1" operator="equal">
      <formula>"Towel"</formula>
    </cfRule>
  </conditionalFormatting>
  <conditionalFormatting sqref="C113">
    <cfRule type="cellIs" dxfId="17197" priority="1872" stopIfTrue="1" operator="equal">
      <formula>"Napkin Hs"</formula>
    </cfRule>
  </conditionalFormatting>
  <conditionalFormatting sqref="C113">
    <cfRule type="cellIs" dxfId="17196" priority="1869" stopIfTrue="1" operator="equal">
      <formula>"Towel"</formula>
    </cfRule>
    <cfRule type="cellIs" dxfId="17195" priority="1870" stopIfTrue="1" operator="equal">
      <formula>"Napkin Hs"</formula>
    </cfRule>
  </conditionalFormatting>
  <conditionalFormatting sqref="C113">
    <cfRule type="cellIs" dxfId="17194" priority="1871" stopIfTrue="1" operator="equal">
      <formula>"Towel"</formula>
    </cfRule>
  </conditionalFormatting>
  <conditionalFormatting sqref="C119">
    <cfRule type="cellIs" dxfId="17193" priority="1861" stopIfTrue="1" operator="equal">
      <formula>"Towel"</formula>
    </cfRule>
    <cfRule type="cellIs" dxfId="17192" priority="1862" stopIfTrue="1" operator="equal">
      <formula>"Napkin Hs"</formula>
    </cfRule>
  </conditionalFormatting>
  <conditionalFormatting sqref="B119:C119">
    <cfRule type="cellIs" dxfId="17191" priority="1863" stopIfTrue="1" operator="equal">
      <formula>"Towel"</formula>
    </cfRule>
    <cfRule type="cellIs" dxfId="17190" priority="1864" stopIfTrue="1" operator="equal">
      <formula>"Napkin Hs"</formula>
    </cfRule>
  </conditionalFormatting>
  <conditionalFormatting sqref="C119">
    <cfRule type="cellIs" dxfId="17189" priority="1859" stopIfTrue="1" operator="equal">
      <formula>"Towel"</formula>
    </cfRule>
    <cfRule type="cellIs" dxfId="17188" priority="1860" stopIfTrue="1" operator="equal">
      <formula>"Napkin Hs"</formula>
    </cfRule>
  </conditionalFormatting>
  <conditionalFormatting sqref="B119:C119">
    <cfRule type="cellIs" dxfId="17187" priority="1857" stopIfTrue="1" operator="equal">
      <formula>"Towel"</formula>
    </cfRule>
    <cfRule type="cellIs" dxfId="17186" priority="1858" stopIfTrue="1" operator="equal">
      <formula>"Napkin Hs"</formula>
    </cfRule>
  </conditionalFormatting>
  <conditionalFormatting sqref="C119">
    <cfRule type="cellIs" dxfId="17185" priority="1855" stopIfTrue="1" operator="equal">
      <formula>"Towel"</formula>
    </cfRule>
    <cfRule type="cellIs" dxfId="17184" priority="1856" stopIfTrue="1" operator="equal">
      <formula>"Napkin Hs"</formula>
    </cfRule>
  </conditionalFormatting>
  <conditionalFormatting sqref="C119">
    <cfRule type="cellIs" dxfId="17183" priority="1853" stopIfTrue="1" operator="equal">
      <formula>"Towel"</formula>
    </cfRule>
    <cfRule type="cellIs" dxfId="17182" priority="1854" stopIfTrue="1" operator="equal">
      <formula>"Napkin Hs"</formula>
    </cfRule>
  </conditionalFormatting>
  <conditionalFormatting sqref="B120:C120">
    <cfRule type="cellIs" dxfId="17181" priority="1798" stopIfTrue="1" operator="equal">
      <formula>"Napkin Hs"</formula>
    </cfRule>
  </conditionalFormatting>
  <conditionalFormatting sqref="B120:C120">
    <cfRule type="cellIs" dxfId="17180" priority="1797" stopIfTrue="1" operator="equal">
      <formula>"Towel"</formula>
    </cfRule>
  </conditionalFormatting>
  <conditionalFormatting sqref="C120">
    <cfRule type="cellIs" dxfId="17179" priority="1796" stopIfTrue="1" operator="equal">
      <formula>"Napkin Hs"</formula>
    </cfRule>
  </conditionalFormatting>
  <conditionalFormatting sqref="C120">
    <cfRule type="cellIs" dxfId="17178" priority="1795" stopIfTrue="1" operator="equal">
      <formula>"Towel"</formula>
    </cfRule>
  </conditionalFormatting>
  <conditionalFormatting sqref="C120">
    <cfRule type="cellIs" dxfId="17177" priority="1793" stopIfTrue="1" operator="equal">
      <formula>"Towel"</formula>
    </cfRule>
    <cfRule type="cellIs" dxfId="17176" priority="1794" stopIfTrue="1" operator="equal">
      <formula>"Napkin Hs"</formula>
    </cfRule>
  </conditionalFormatting>
  <conditionalFormatting sqref="B120:C120">
    <cfRule type="cellIs" dxfId="17175" priority="1792" stopIfTrue="1" operator="equal">
      <formula>"Napkin Hs"</formula>
    </cfRule>
  </conditionalFormatting>
  <conditionalFormatting sqref="B120:C120">
    <cfRule type="cellIs" dxfId="17174" priority="1791" stopIfTrue="1" operator="equal">
      <formula>"Towel"</formula>
    </cfRule>
  </conditionalFormatting>
  <conditionalFormatting sqref="C120">
    <cfRule type="cellIs" dxfId="17173" priority="1790" stopIfTrue="1" operator="equal">
      <formula>"Napkin Hs"</formula>
    </cfRule>
  </conditionalFormatting>
  <conditionalFormatting sqref="C120">
    <cfRule type="cellIs" dxfId="17172" priority="1789" stopIfTrue="1" operator="equal">
      <formula>"Towel"</formula>
    </cfRule>
  </conditionalFormatting>
  <conditionalFormatting sqref="C120">
    <cfRule type="cellIs" dxfId="17171" priority="1787" stopIfTrue="1" operator="equal">
      <formula>"Towel"</formula>
    </cfRule>
    <cfRule type="cellIs" dxfId="17170" priority="1788" stopIfTrue="1" operator="equal">
      <formula>"Napkin Hs"</formula>
    </cfRule>
  </conditionalFormatting>
  <conditionalFormatting sqref="B120:C120">
    <cfRule type="cellIs" dxfId="17169" priority="1785" stopIfTrue="1" operator="equal">
      <formula>"Towel"</formula>
    </cfRule>
    <cfRule type="cellIs" dxfId="17168" priority="1786" stopIfTrue="1" operator="equal">
      <formula>"Napkin Hs"</formula>
    </cfRule>
  </conditionalFormatting>
  <conditionalFormatting sqref="C120">
    <cfRule type="cellIs" dxfId="17167" priority="1781" stopIfTrue="1" operator="equal">
      <formula>"Towel"</formula>
    </cfRule>
    <cfRule type="cellIs" dxfId="17166" priority="1782" stopIfTrue="1" operator="equal">
      <formula>"Napkin Hs"</formula>
    </cfRule>
  </conditionalFormatting>
  <conditionalFormatting sqref="C120">
    <cfRule type="cellIs" dxfId="17165" priority="1783" stopIfTrue="1" operator="equal">
      <formula>"Towel"</formula>
    </cfRule>
    <cfRule type="cellIs" dxfId="17164" priority="1784" stopIfTrue="1" operator="equal">
      <formula>"Napkin Hs"</formula>
    </cfRule>
  </conditionalFormatting>
  <conditionalFormatting sqref="B120:C120">
    <cfRule type="cellIs" dxfId="17163" priority="1780" stopIfTrue="1" operator="equal">
      <formula>"Napkin Hs"</formula>
    </cfRule>
  </conditionalFormatting>
  <conditionalFormatting sqref="B120:C120">
    <cfRule type="cellIs" dxfId="17162" priority="1779" stopIfTrue="1" operator="equal">
      <formula>"Towel"</formula>
    </cfRule>
  </conditionalFormatting>
  <conditionalFormatting sqref="C120">
    <cfRule type="cellIs" dxfId="17161" priority="1778" stopIfTrue="1" operator="equal">
      <formula>"Napkin Hs"</formula>
    </cfRule>
  </conditionalFormatting>
  <conditionalFormatting sqref="C120">
    <cfRule type="cellIs" dxfId="17160" priority="1777" stopIfTrue="1" operator="equal">
      <formula>"Towel"</formula>
    </cfRule>
  </conditionalFormatting>
  <conditionalFormatting sqref="C120">
    <cfRule type="cellIs" dxfId="17159" priority="1775" stopIfTrue="1" operator="equal">
      <formula>"Towel"</formula>
    </cfRule>
    <cfRule type="cellIs" dxfId="17158" priority="1776" stopIfTrue="1" operator="equal">
      <formula>"Napkin Hs"</formula>
    </cfRule>
  </conditionalFormatting>
  <conditionalFormatting sqref="B120:C120">
    <cfRule type="cellIs" dxfId="17157" priority="1773" stopIfTrue="1" operator="equal">
      <formula>"Towel"</formula>
    </cfRule>
    <cfRule type="cellIs" dxfId="17156" priority="1774" stopIfTrue="1" operator="equal">
      <formula>"Napkin Hs"</formula>
    </cfRule>
  </conditionalFormatting>
  <conditionalFormatting sqref="C120">
    <cfRule type="cellIs" dxfId="17155" priority="1771" stopIfTrue="1" operator="equal">
      <formula>"Towel"</formula>
    </cfRule>
    <cfRule type="cellIs" dxfId="17154" priority="1772" stopIfTrue="1" operator="equal">
      <formula>"Napkin Hs"</formula>
    </cfRule>
  </conditionalFormatting>
  <conditionalFormatting sqref="C120">
    <cfRule type="cellIs" dxfId="17153" priority="1769" stopIfTrue="1" operator="equal">
      <formula>"Towel"</formula>
    </cfRule>
    <cfRule type="cellIs" dxfId="17152" priority="1770" stopIfTrue="1" operator="equal">
      <formula>"Napkin Hs"</formula>
    </cfRule>
  </conditionalFormatting>
  <conditionalFormatting sqref="B120:C120">
    <cfRule type="cellIs" dxfId="17151" priority="1767" stopIfTrue="1" operator="equal">
      <formula>"Towel"</formula>
    </cfRule>
    <cfRule type="cellIs" dxfId="17150" priority="1768" stopIfTrue="1" operator="equal">
      <formula>"Napkin Hs"</formula>
    </cfRule>
  </conditionalFormatting>
  <conditionalFormatting sqref="C120">
    <cfRule type="cellIs" dxfId="17149" priority="1765" stopIfTrue="1" operator="equal">
      <formula>"Towel"</formula>
    </cfRule>
    <cfRule type="cellIs" dxfId="17148" priority="1766" stopIfTrue="1" operator="equal">
      <formula>"Napkin Hs"</formula>
    </cfRule>
  </conditionalFormatting>
  <conditionalFormatting sqref="C120">
    <cfRule type="cellIs" dxfId="17147" priority="1763" stopIfTrue="1" operator="equal">
      <formula>"Towel"</formula>
    </cfRule>
    <cfRule type="cellIs" dxfId="17146" priority="1764" stopIfTrue="1" operator="equal">
      <formula>"Napkin Hs"</formula>
    </cfRule>
  </conditionalFormatting>
  <conditionalFormatting sqref="B120:C120">
    <cfRule type="cellIs" dxfId="17145" priority="1761" stopIfTrue="1" operator="equal">
      <formula>"Towel"</formula>
    </cfRule>
    <cfRule type="cellIs" dxfId="17144" priority="1762" stopIfTrue="1" operator="equal">
      <formula>"Napkin Hs"</formula>
    </cfRule>
  </conditionalFormatting>
  <conditionalFormatting sqref="C120">
    <cfRule type="cellIs" dxfId="17143" priority="1759" stopIfTrue="1" operator="equal">
      <formula>"Towel"</formula>
    </cfRule>
    <cfRule type="cellIs" dxfId="17142" priority="1760" stopIfTrue="1" operator="equal">
      <formula>"Napkin Hs"</formula>
    </cfRule>
  </conditionalFormatting>
  <conditionalFormatting sqref="C120">
    <cfRule type="cellIs" dxfId="17141" priority="1757" stopIfTrue="1" operator="equal">
      <formula>"Towel"</formula>
    </cfRule>
    <cfRule type="cellIs" dxfId="17140" priority="1758" stopIfTrue="1" operator="equal">
      <formula>"Napkin Hs"</formula>
    </cfRule>
  </conditionalFormatting>
  <conditionalFormatting sqref="B120:C120">
    <cfRule type="cellIs" dxfId="17139" priority="1755" stopIfTrue="1" operator="equal">
      <formula>"Towel"</formula>
    </cfRule>
    <cfRule type="cellIs" dxfId="17138" priority="1756" stopIfTrue="1" operator="equal">
      <formula>"Napkin Hs"</formula>
    </cfRule>
  </conditionalFormatting>
  <conditionalFormatting sqref="C120">
    <cfRule type="cellIs" dxfId="17137" priority="1753" stopIfTrue="1" operator="equal">
      <formula>"Towel"</formula>
    </cfRule>
    <cfRule type="cellIs" dxfId="17136" priority="1754" stopIfTrue="1" operator="equal">
      <formula>"Napkin Hs"</formula>
    </cfRule>
  </conditionalFormatting>
  <conditionalFormatting sqref="C120">
    <cfRule type="cellIs" dxfId="17135" priority="1751" stopIfTrue="1" operator="equal">
      <formula>"Towel"</formula>
    </cfRule>
    <cfRule type="cellIs" dxfId="17134" priority="1752" stopIfTrue="1" operator="equal">
      <formula>"Napkin Hs"</formula>
    </cfRule>
  </conditionalFormatting>
  <conditionalFormatting sqref="B120:C120">
    <cfRule type="cellIs" dxfId="17133" priority="1749" stopIfTrue="1" operator="equal">
      <formula>"Towel"</formula>
    </cfRule>
    <cfRule type="cellIs" dxfId="17132" priority="1750" stopIfTrue="1" operator="equal">
      <formula>"Napkin Hs"</formula>
    </cfRule>
  </conditionalFormatting>
  <conditionalFormatting sqref="C120">
    <cfRule type="cellIs" dxfId="17131" priority="1747" stopIfTrue="1" operator="equal">
      <formula>"Towel"</formula>
    </cfRule>
    <cfRule type="cellIs" dxfId="17130" priority="1748" stopIfTrue="1" operator="equal">
      <formula>"Napkin Hs"</formula>
    </cfRule>
  </conditionalFormatting>
  <conditionalFormatting sqref="C120">
    <cfRule type="cellIs" dxfId="17129" priority="1745" stopIfTrue="1" operator="equal">
      <formula>"Towel"</formula>
    </cfRule>
    <cfRule type="cellIs" dxfId="17128" priority="1746" stopIfTrue="1" operator="equal">
      <formula>"Napkin Hs"</formula>
    </cfRule>
  </conditionalFormatting>
  <conditionalFormatting sqref="B120:C120">
    <cfRule type="cellIs" dxfId="17127" priority="1744" stopIfTrue="1" operator="equal">
      <formula>"Napkin Hs"</formula>
    </cfRule>
  </conditionalFormatting>
  <conditionalFormatting sqref="B120:C120">
    <cfRule type="cellIs" dxfId="17126" priority="1743" stopIfTrue="1" operator="equal">
      <formula>"Towel"</formula>
    </cfRule>
  </conditionalFormatting>
  <conditionalFormatting sqref="C120">
    <cfRule type="cellIs" dxfId="17125" priority="1742" stopIfTrue="1" operator="equal">
      <formula>"Napkin Hs"</formula>
    </cfRule>
  </conditionalFormatting>
  <conditionalFormatting sqref="C120">
    <cfRule type="cellIs" dxfId="17124" priority="1739" stopIfTrue="1" operator="equal">
      <formula>"Towel"</formula>
    </cfRule>
    <cfRule type="cellIs" dxfId="17123" priority="1740" stopIfTrue="1" operator="equal">
      <formula>"Napkin Hs"</formula>
    </cfRule>
  </conditionalFormatting>
  <conditionalFormatting sqref="C120">
    <cfRule type="cellIs" dxfId="17122" priority="1741" stopIfTrue="1" operator="equal">
      <formula>"Towel"</formula>
    </cfRule>
  </conditionalFormatting>
  <conditionalFormatting sqref="B118:C118">
    <cfRule type="cellIs" dxfId="17121" priority="1738" stopIfTrue="1" operator="equal">
      <formula>"Napkin Hs"</formula>
    </cfRule>
  </conditionalFormatting>
  <conditionalFormatting sqref="B118:C118">
    <cfRule type="cellIs" dxfId="17120" priority="1737" stopIfTrue="1" operator="equal">
      <formula>"Towel"</formula>
    </cfRule>
  </conditionalFormatting>
  <conditionalFormatting sqref="C118">
    <cfRule type="cellIs" dxfId="17119" priority="1736" stopIfTrue="1" operator="equal">
      <formula>"Napkin Hs"</formula>
    </cfRule>
  </conditionalFormatting>
  <conditionalFormatting sqref="C118">
    <cfRule type="cellIs" dxfId="17118" priority="1735" stopIfTrue="1" operator="equal">
      <formula>"Towel"</formula>
    </cfRule>
  </conditionalFormatting>
  <conditionalFormatting sqref="C118">
    <cfRule type="cellIs" dxfId="17117" priority="1733" stopIfTrue="1" operator="equal">
      <formula>"Towel"</formula>
    </cfRule>
    <cfRule type="cellIs" dxfId="17116" priority="1734" stopIfTrue="1" operator="equal">
      <formula>"Napkin Hs"</formula>
    </cfRule>
  </conditionalFormatting>
  <conditionalFormatting sqref="B118:C118">
    <cfRule type="cellIs" dxfId="17115" priority="1731" stopIfTrue="1" operator="equal">
      <formula>"Towel"</formula>
    </cfRule>
    <cfRule type="cellIs" dxfId="17114" priority="1732" stopIfTrue="1" operator="equal">
      <formula>"Napkin Hs"</formula>
    </cfRule>
  </conditionalFormatting>
  <conditionalFormatting sqref="C118">
    <cfRule type="cellIs" dxfId="17113" priority="1727" stopIfTrue="1" operator="equal">
      <formula>"Towel"</formula>
    </cfRule>
    <cfRule type="cellIs" dxfId="17112" priority="1728" stopIfTrue="1" operator="equal">
      <formula>"Napkin Hs"</formula>
    </cfRule>
  </conditionalFormatting>
  <conditionalFormatting sqref="C118">
    <cfRule type="cellIs" dxfId="17111" priority="1729" stopIfTrue="1" operator="equal">
      <formula>"Towel"</formula>
    </cfRule>
    <cfRule type="cellIs" dxfId="17110" priority="1730" stopIfTrue="1" operator="equal">
      <formula>"Napkin Hs"</formula>
    </cfRule>
  </conditionalFormatting>
  <conditionalFormatting sqref="B118:C118">
    <cfRule type="cellIs" dxfId="17109" priority="1726" stopIfTrue="1" operator="equal">
      <formula>"Napkin Hs"</formula>
    </cfRule>
  </conditionalFormatting>
  <conditionalFormatting sqref="B118:C118">
    <cfRule type="cellIs" dxfId="17108" priority="1725" stopIfTrue="1" operator="equal">
      <formula>"Towel"</formula>
    </cfRule>
  </conditionalFormatting>
  <conditionalFormatting sqref="C118">
    <cfRule type="cellIs" dxfId="17107" priority="1724" stopIfTrue="1" operator="equal">
      <formula>"Napkin Hs"</formula>
    </cfRule>
  </conditionalFormatting>
  <conditionalFormatting sqref="C118">
    <cfRule type="cellIs" dxfId="17106" priority="1723" stopIfTrue="1" operator="equal">
      <formula>"Towel"</formula>
    </cfRule>
  </conditionalFormatting>
  <conditionalFormatting sqref="C118">
    <cfRule type="cellIs" dxfId="17105" priority="1721" stopIfTrue="1" operator="equal">
      <formula>"Towel"</formula>
    </cfRule>
    <cfRule type="cellIs" dxfId="17104" priority="1722" stopIfTrue="1" operator="equal">
      <formula>"Napkin Hs"</formula>
    </cfRule>
  </conditionalFormatting>
  <conditionalFormatting sqref="B118:C118">
    <cfRule type="cellIs" dxfId="17103" priority="1719" stopIfTrue="1" operator="equal">
      <formula>"Towel"</formula>
    </cfRule>
    <cfRule type="cellIs" dxfId="17102" priority="1720" stopIfTrue="1" operator="equal">
      <formula>"Napkin Hs"</formula>
    </cfRule>
  </conditionalFormatting>
  <conditionalFormatting sqref="C118">
    <cfRule type="cellIs" dxfId="17101" priority="1717" stopIfTrue="1" operator="equal">
      <formula>"Towel"</formula>
    </cfRule>
    <cfRule type="cellIs" dxfId="17100" priority="1718" stopIfTrue="1" operator="equal">
      <formula>"Napkin Hs"</formula>
    </cfRule>
  </conditionalFormatting>
  <conditionalFormatting sqref="C118">
    <cfRule type="cellIs" dxfId="17099" priority="1715" stopIfTrue="1" operator="equal">
      <formula>"Towel"</formula>
    </cfRule>
    <cfRule type="cellIs" dxfId="17098" priority="1716" stopIfTrue="1" operator="equal">
      <formula>"Napkin Hs"</formula>
    </cfRule>
  </conditionalFormatting>
  <conditionalFormatting sqref="B118:C118">
    <cfRule type="cellIs" dxfId="17097" priority="1713" stopIfTrue="1" operator="equal">
      <formula>"Towel"</formula>
    </cfRule>
    <cfRule type="cellIs" dxfId="17096" priority="1714" stopIfTrue="1" operator="equal">
      <formula>"Napkin Hs"</formula>
    </cfRule>
  </conditionalFormatting>
  <conditionalFormatting sqref="C118">
    <cfRule type="cellIs" dxfId="17095" priority="1711" stopIfTrue="1" operator="equal">
      <formula>"Towel"</formula>
    </cfRule>
    <cfRule type="cellIs" dxfId="17094" priority="1712" stopIfTrue="1" operator="equal">
      <formula>"Napkin Hs"</formula>
    </cfRule>
  </conditionalFormatting>
  <conditionalFormatting sqref="C118">
    <cfRule type="cellIs" dxfId="17093" priority="1709" stopIfTrue="1" operator="equal">
      <formula>"Towel"</formula>
    </cfRule>
    <cfRule type="cellIs" dxfId="17092" priority="1710" stopIfTrue="1" operator="equal">
      <formula>"Napkin Hs"</formula>
    </cfRule>
  </conditionalFormatting>
  <conditionalFormatting sqref="B118:C118">
    <cfRule type="cellIs" dxfId="17091" priority="1707" stopIfTrue="1" operator="equal">
      <formula>"Towel"</formula>
    </cfRule>
    <cfRule type="cellIs" dxfId="17090" priority="1708" stopIfTrue="1" operator="equal">
      <formula>"Napkin Hs"</formula>
    </cfRule>
  </conditionalFormatting>
  <conditionalFormatting sqref="C118">
    <cfRule type="cellIs" dxfId="17089" priority="1705" stopIfTrue="1" operator="equal">
      <formula>"Towel"</formula>
    </cfRule>
    <cfRule type="cellIs" dxfId="17088" priority="1706" stopIfTrue="1" operator="equal">
      <formula>"Napkin Hs"</formula>
    </cfRule>
  </conditionalFormatting>
  <conditionalFormatting sqref="C118">
    <cfRule type="cellIs" dxfId="17087" priority="1703" stopIfTrue="1" operator="equal">
      <formula>"Towel"</formula>
    </cfRule>
    <cfRule type="cellIs" dxfId="17086" priority="1704" stopIfTrue="1" operator="equal">
      <formula>"Napkin Hs"</formula>
    </cfRule>
  </conditionalFormatting>
  <conditionalFormatting sqref="B118:C118">
    <cfRule type="cellIs" dxfId="17085" priority="1701" stopIfTrue="1" operator="equal">
      <formula>"Towel"</formula>
    </cfRule>
    <cfRule type="cellIs" dxfId="17084" priority="1702" stopIfTrue="1" operator="equal">
      <formula>"Napkin Hs"</formula>
    </cfRule>
  </conditionalFormatting>
  <conditionalFormatting sqref="C118">
    <cfRule type="cellIs" dxfId="17083" priority="1699" stopIfTrue="1" operator="equal">
      <formula>"Towel"</formula>
    </cfRule>
    <cfRule type="cellIs" dxfId="17082" priority="1700" stopIfTrue="1" operator="equal">
      <formula>"Napkin Hs"</formula>
    </cfRule>
  </conditionalFormatting>
  <conditionalFormatting sqref="C118">
    <cfRule type="cellIs" dxfId="17081" priority="1697" stopIfTrue="1" operator="equal">
      <formula>"Towel"</formula>
    </cfRule>
    <cfRule type="cellIs" dxfId="17080" priority="1698" stopIfTrue="1" operator="equal">
      <formula>"Napkin Hs"</formula>
    </cfRule>
  </conditionalFormatting>
  <conditionalFormatting sqref="B118:C118">
    <cfRule type="cellIs" dxfId="17079" priority="1695" stopIfTrue="1" operator="equal">
      <formula>"Towel"</formula>
    </cfRule>
    <cfRule type="cellIs" dxfId="17078" priority="1696" stopIfTrue="1" operator="equal">
      <formula>"Napkin Hs"</formula>
    </cfRule>
  </conditionalFormatting>
  <conditionalFormatting sqref="C118">
    <cfRule type="cellIs" dxfId="17077" priority="1693" stopIfTrue="1" operator="equal">
      <formula>"Towel"</formula>
    </cfRule>
    <cfRule type="cellIs" dxfId="17076" priority="1694" stopIfTrue="1" operator="equal">
      <formula>"Napkin Hs"</formula>
    </cfRule>
  </conditionalFormatting>
  <conditionalFormatting sqref="C118">
    <cfRule type="cellIs" dxfId="17075" priority="1691" stopIfTrue="1" operator="equal">
      <formula>"Towel"</formula>
    </cfRule>
    <cfRule type="cellIs" dxfId="17074" priority="1692" stopIfTrue="1" operator="equal">
      <formula>"Napkin Hs"</formula>
    </cfRule>
  </conditionalFormatting>
  <conditionalFormatting sqref="B118:C118">
    <cfRule type="cellIs" dxfId="17073" priority="1690" stopIfTrue="1" operator="equal">
      <formula>"Napkin Hs"</formula>
    </cfRule>
  </conditionalFormatting>
  <conditionalFormatting sqref="B118:C118">
    <cfRule type="cellIs" dxfId="17072" priority="1689" stopIfTrue="1" operator="equal">
      <formula>"Towel"</formula>
    </cfRule>
  </conditionalFormatting>
  <conditionalFormatting sqref="C118">
    <cfRule type="cellIs" dxfId="17071" priority="1688" stopIfTrue="1" operator="equal">
      <formula>"Napkin Hs"</formula>
    </cfRule>
  </conditionalFormatting>
  <conditionalFormatting sqref="C118">
    <cfRule type="cellIs" dxfId="17070" priority="1685" stopIfTrue="1" operator="equal">
      <formula>"Towel"</formula>
    </cfRule>
    <cfRule type="cellIs" dxfId="17069" priority="1686" stopIfTrue="1" operator="equal">
      <formula>"Napkin Hs"</formula>
    </cfRule>
  </conditionalFormatting>
  <conditionalFormatting sqref="C118">
    <cfRule type="cellIs" dxfId="17068" priority="1687" stopIfTrue="1" operator="equal">
      <formula>"Towel"</formula>
    </cfRule>
  </conditionalFormatting>
  <conditionalFormatting sqref="B119:C119">
    <cfRule type="cellIs" dxfId="17067" priority="1681" stopIfTrue="1" operator="equal">
      <formula>"Towel"</formula>
    </cfRule>
    <cfRule type="cellIs" dxfId="17066" priority="1682" stopIfTrue="1" operator="equal">
      <formula>"Napkin Hs"</formula>
    </cfRule>
  </conditionalFormatting>
  <conditionalFormatting sqref="B120:C120">
    <cfRule type="cellIs" dxfId="17065" priority="1677" stopIfTrue="1" operator="equal">
      <formula>"Towel"</formula>
    </cfRule>
    <cfRule type="cellIs" dxfId="17064" priority="1678" stopIfTrue="1" operator="equal">
      <formula>"Napkin Hs"</formula>
    </cfRule>
  </conditionalFormatting>
  <conditionalFormatting sqref="C119">
    <cfRule type="cellIs" dxfId="17063" priority="1683" stopIfTrue="1" operator="equal">
      <formula>"Towel"</formula>
    </cfRule>
    <cfRule type="cellIs" dxfId="17062" priority="1684" stopIfTrue="1" operator="equal">
      <formula>"Napkin Hs"</formula>
    </cfRule>
  </conditionalFormatting>
  <conditionalFormatting sqref="C119:C120">
    <cfRule type="cellIs" dxfId="17061" priority="1679" stopIfTrue="1" operator="equal">
      <formula>"Towel"</formula>
    </cfRule>
    <cfRule type="cellIs" dxfId="17060" priority="1680" stopIfTrue="1" operator="equal">
      <formula>"Napkin Hs"</formula>
    </cfRule>
  </conditionalFormatting>
  <conditionalFormatting sqref="C120">
    <cfRule type="cellIs" dxfId="17059" priority="1675" stopIfTrue="1" operator="equal">
      <formula>"Towel"</formula>
    </cfRule>
    <cfRule type="cellIs" dxfId="17058" priority="1676" stopIfTrue="1" operator="equal">
      <formula>"Napkin Hs"</formula>
    </cfRule>
  </conditionalFormatting>
  <conditionalFormatting sqref="B119:C120">
    <cfRule type="cellIs" dxfId="17057" priority="1674" stopIfTrue="1" operator="equal">
      <formula>"Napkin Hs"</formula>
    </cfRule>
  </conditionalFormatting>
  <conditionalFormatting sqref="B119:C120">
    <cfRule type="cellIs" dxfId="17056" priority="1673" stopIfTrue="1" operator="equal">
      <formula>"Towel"</formula>
    </cfRule>
  </conditionalFormatting>
  <conditionalFormatting sqref="C119:C120">
    <cfRule type="cellIs" dxfId="17055" priority="1672" stopIfTrue="1" operator="equal">
      <formula>"Napkin Hs"</formula>
    </cfRule>
  </conditionalFormatting>
  <conditionalFormatting sqref="C119:C120">
    <cfRule type="cellIs" dxfId="17054" priority="1671" stopIfTrue="1" operator="equal">
      <formula>"Towel"</formula>
    </cfRule>
  </conditionalFormatting>
  <conditionalFormatting sqref="C119:C120">
    <cfRule type="cellIs" dxfId="17053" priority="1669" stopIfTrue="1" operator="equal">
      <formula>"Towel"</formula>
    </cfRule>
    <cfRule type="cellIs" dxfId="17052" priority="1670" stopIfTrue="1" operator="equal">
      <formula>"Napkin Hs"</formula>
    </cfRule>
  </conditionalFormatting>
  <conditionalFormatting sqref="B119:C119">
    <cfRule type="cellIs" dxfId="17051" priority="1668" stopIfTrue="1" operator="equal">
      <formula>"Napkin Hs"</formula>
    </cfRule>
  </conditionalFormatting>
  <conditionalFormatting sqref="B119:C119">
    <cfRule type="cellIs" dxfId="17050" priority="1667" stopIfTrue="1" operator="equal">
      <formula>"Towel"</formula>
    </cfRule>
  </conditionalFormatting>
  <conditionalFormatting sqref="C119">
    <cfRule type="cellIs" dxfId="17049" priority="1666" stopIfTrue="1" operator="equal">
      <formula>"Napkin Hs"</formula>
    </cfRule>
  </conditionalFormatting>
  <conditionalFormatting sqref="C119">
    <cfRule type="cellIs" dxfId="17048" priority="1665" stopIfTrue="1" operator="equal">
      <formula>"Towel"</formula>
    </cfRule>
  </conditionalFormatting>
  <conditionalFormatting sqref="C119">
    <cfRule type="cellIs" dxfId="17047" priority="1663" stopIfTrue="1" operator="equal">
      <formula>"Towel"</formula>
    </cfRule>
    <cfRule type="cellIs" dxfId="17046" priority="1664" stopIfTrue="1" operator="equal">
      <formula>"Napkin Hs"</formula>
    </cfRule>
  </conditionalFormatting>
  <conditionalFormatting sqref="B119:C119">
    <cfRule type="cellIs" dxfId="17045" priority="1661" stopIfTrue="1" operator="equal">
      <formula>"Towel"</formula>
    </cfRule>
    <cfRule type="cellIs" dxfId="17044" priority="1662" stopIfTrue="1" operator="equal">
      <formula>"Napkin Hs"</formula>
    </cfRule>
  </conditionalFormatting>
  <conditionalFormatting sqref="C119">
    <cfRule type="cellIs" dxfId="17043" priority="1657" stopIfTrue="1" operator="equal">
      <formula>"Towel"</formula>
    </cfRule>
    <cfRule type="cellIs" dxfId="17042" priority="1658" stopIfTrue="1" operator="equal">
      <formula>"Napkin Hs"</formula>
    </cfRule>
  </conditionalFormatting>
  <conditionalFormatting sqref="C119">
    <cfRule type="cellIs" dxfId="17041" priority="1659" stopIfTrue="1" operator="equal">
      <formula>"Towel"</formula>
    </cfRule>
    <cfRule type="cellIs" dxfId="17040" priority="1660" stopIfTrue="1" operator="equal">
      <formula>"Napkin Hs"</formula>
    </cfRule>
  </conditionalFormatting>
  <conditionalFormatting sqref="B119:C119">
    <cfRule type="cellIs" dxfId="17039" priority="1656" stopIfTrue="1" operator="equal">
      <formula>"Napkin Hs"</formula>
    </cfRule>
  </conditionalFormatting>
  <conditionalFormatting sqref="B119:C119">
    <cfRule type="cellIs" dxfId="17038" priority="1655" stopIfTrue="1" operator="equal">
      <formula>"Towel"</formula>
    </cfRule>
  </conditionalFormatting>
  <conditionalFormatting sqref="C119">
    <cfRule type="cellIs" dxfId="17037" priority="1654" stopIfTrue="1" operator="equal">
      <formula>"Napkin Hs"</formula>
    </cfRule>
  </conditionalFormatting>
  <conditionalFormatting sqref="C119">
    <cfRule type="cellIs" dxfId="17036" priority="1653" stopIfTrue="1" operator="equal">
      <formula>"Towel"</formula>
    </cfRule>
  </conditionalFormatting>
  <conditionalFormatting sqref="C119">
    <cfRule type="cellIs" dxfId="17035" priority="1651" stopIfTrue="1" operator="equal">
      <formula>"Towel"</formula>
    </cfRule>
    <cfRule type="cellIs" dxfId="17034" priority="1652" stopIfTrue="1" operator="equal">
      <formula>"Napkin Hs"</formula>
    </cfRule>
  </conditionalFormatting>
  <conditionalFormatting sqref="B119:C119">
    <cfRule type="cellIs" dxfId="17033" priority="1649" stopIfTrue="1" operator="equal">
      <formula>"Towel"</formula>
    </cfRule>
    <cfRule type="cellIs" dxfId="17032" priority="1650" stopIfTrue="1" operator="equal">
      <formula>"Napkin Hs"</formula>
    </cfRule>
  </conditionalFormatting>
  <conditionalFormatting sqref="C119">
    <cfRule type="cellIs" dxfId="17031" priority="1647" stopIfTrue="1" operator="equal">
      <formula>"Towel"</formula>
    </cfRule>
    <cfRule type="cellIs" dxfId="17030" priority="1648" stopIfTrue="1" operator="equal">
      <formula>"Napkin Hs"</formula>
    </cfRule>
  </conditionalFormatting>
  <conditionalFormatting sqref="C119">
    <cfRule type="cellIs" dxfId="17029" priority="1645" stopIfTrue="1" operator="equal">
      <formula>"Towel"</formula>
    </cfRule>
    <cfRule type="cellIs" dxfId="17028" priority="1646" stopIfTrue="1" operator="equal">
      <formula>"Napkin Hs"</formula>
    </cfRule>
  </conditionalFormatting>
  <conditionalFormatting sqref="B119:C119">
    <cfRule type="cellIs" dxfId="17027" priority="1643" stopIfTrue="1" operator="equal">
      <formula>"Towel"</formula>
    </cfRule>
    <cfRule type="cellIs" dxfId="17026" priority="1644" stopIfTrue="1" operator="equal">
      <formula>"Napkin Hs"</formula>
    </cfRule>
  </conditionalFormatting>
  <conditionalFormatting sqref="C119">
    <cfRule type="cellIs" dxfId="17025" priority="1641" stopIfTrue="1" operator="equal">
      <formula>"Towel"</formula>
    </cfRule>
    <cfRule type="cellIs" dxfId="17024" priority="1642" stopIfTrue="1" operator="equal">
      <formula>"Napkin Hs"</formula>
    </cfRule>
  </conditionalFormatting>
  <conditionalFormatting sqref="C119">
    <cfRule type="cellIs" dxfId="17023" priority="1639" stopIfTrue="1" operator="equal">
      <formula>"Towel"</formula>
    </cfRule>
    <cfRule type="cellIs" dxfId="17022" priority="1640" stopIfTrue="1" operator="equal">
      <formula>"Napkin Hs"</formula>
    </cfRule>
  </conditionalFormatting>
  <conditionalFormatting sqref="B119:C119">
    <cfRule type="cellIs" dxfId="17021" priority="1637" stopIfTrue="1" operator="equal">
      <formula>"Towel"</formula>
    </cfRule>
    <cfRule type="cellIs" dxfId="17020" priority="1638" stopIfTrue="1" operator="equal">
      <formula>"Napkin Hs"</formula>
    </cfRule>
  </conditionalFormatting>
  <conditionalFormatting sqref="C119">
    <cfRule type="cellIs" dxfId="17019" priority="1635" stopIfTrue="1" operator="equal">
      <formula>"Towel"</formula>
    </cfRule>
    <cfRule type="cellIs" dxfId="17018" priority="1636" stopIfTrue="1" operator="equal">
      <formula>"Napkin Hs"</formula>
    </cfRule>
  </conditionalFormatting>
  <conditionalFormatting sqref="C119">
    <cfRule type="cellIs" dxfId="17017" priority="1633" stopIfTrue="1" operator="equal">
      <formula>"Towel"</formula>
    </cfRule>
    <cfRule type="cellIs" dxfId="17016" priority="1634" stopIfTrue="1" operator="equal">
      <formula>"Napkin Hs"</formula>
    </cfRule>
  </conditionalFormatting>
  <conditionalFormatting sqref="B119:C119">
    <cfRule type="cellIs" dxfId="17015" priority="1631" stopIfTrue="1" operator="equal">
      <formula>"Towel"</formula>
    </cfRule>
    <cfRule type="cellIs" dxfId="17014" priority="1632" stopIfTrue="1" operator="equal">
      <formula>"Napkin Hs"</formula>
    </cfRule>
  </conditionalFormatting>
  <conditionalFormatting sqref="C119">
    <cfRule type="cellIs" dxfId="17013" priority="1629" stopIfTrue="1" operator="equal">
      <formula>"Towel"</formula>
    </cfRule>
    <cfRule type="cellIs" dxfId="17012" priority="1630" stopIfTrue="1" operator="equal">
      <formula>"Napkin Hs"</formula>
    </cfRule>
  </conditionalFormatting>
  <conditionalFormatting sqref="C119">
    <cfRule type="cellIs" dxfId="17011" priority="1627" stopIfTrue="1" operator="equal">
      <formula>"Towel"</formula>
    </cfRule>
    <cfRule type="cellIs" dxfId="17010" priority="1628" stopIfTrue="1" operator="equal">
      <formula>"Napkin Hs"</formula>
    </cfRule>
  </conditionalFormatting>
  <conditionalFormatting sqref="B119:C119">
    <cfRule type="cellIs" dxfId="17009" priority="1625" stopIfTrue="1" operator="equal">
      <formula>"Towel"</formula>
    </cfRule>
    <cfRule type="cellIs" dxfId="17008" priority="1626" stopIfTrue="1" operator="equal">
      <formula>"Napkin Hs"</formula>
    </cfRule>
  </conditionalFormatting>
  <conditionalFormatting sqref="C119">
    <cfRule type="cellIs" dxfId="17007" priority="1623" stopIfTrue="1" operator="equal">
      <formula>"Towel"</formula>
    </cfRule>
    <cfRule type="cellIs" dxfId="17006" priority="1624" stopIfTrue="1" operator="equal">
      <formula>"Napkin Hs"</formula>
    </cfRule>
  </conditionalFormatting>
  <conditionalFormatting sqref="C119">
    <cfRule type="cellIs" dxfId="17005" priority="1621" stopIfTrue="1" operator="equal">
      <formula>"Towel"</formula>
    </cfRule>
    <cfRule type="cellIs" dxfId="17004" priority="1622" stopIfTrue="1" operator="equal">
      <formula>"Napkin Hs"</formula>
    </cfRule>
  </conditionalFormatting>
  <conditionalFormatting sqref="B119:C119">
    <cfRule type="cellIs" dxfId="17003" priority="1620" stopIfTrue="1" operator="equal">
      <formula>"Napkin Hs"</formula>
    </cfRule>
  </conditionalFormatting>
  <conditionalFormatting sqref="B119:C119">
    <cfRule type="cellIs" dxfId="17002" priority="1619" stopIfTrue="1" operator="equal">
      <formula>"Towel"</formula>
    </cfRule>
  </conditionalFormatting>
  <conditionalFormatting sqref="C119">
    <cfRule type="cellIs" dxfId="17001" priority="1618" stopIfTrue="1" operator="equal">
      <formula>"Napkin Hs"</formula>
    </cfRule>
  </conditionalFormatting>
  <conditionalFormatting sqref="C119">
    <cfRule type="cellIs" dxfId="17000" priority="1615" stopIfTrue="1" operator="equal">
      <formula>"Towel"</formula>
    </cfRule>
    <cfRule type="cellIs" dxfId="16999" priority="1616" stopIfTrue="1" operator="equal">
      <formula>"Napkin Hs"</formula>
    </cfRule>
  </conditionalFormatting>
  <conditionalFormatting sqref="C119">
    <cfRule type="cellIs" dxfId="16998" priority="1617" stopIfTrue="1" operator="equal">
      <formula>"Towel"</formula>
    </cfRule>
  </conditionalFormatting>
  <conditionalFormatting sqref="B120:C120">
    <cfRule type="cellIs" dxfId="16997" priority="1614" stopIfTrue="1" operator="equal">
      <formula>"Napkin Hs"</formula>
    </cfRule>
  </conditionalFormatting>
  <conditionalFormatting sqref="B120:C120">
    <cfRule type="cellIs" dxfId="16996" priority="1613" stopIfTrue="1" operator="equal">
      <formula>"Towel"</formula>
    </cfRule>
  </conditionalFormatting>
  <conditionalFormatting sqref="C120">
    <cfRule type="cellIs" dxfId="16995" priority="1612" stopIfTrue="1" operator="equal">
      <formula>"Napkin Hs"</formula>
    </cfRule>
  </conditionalFormatting>
  <conditionalFormatting sqref="C120">
    <cfRule type="cellIs" dxfId="16994" priority="1611" stopIfTrue="1" operator="equal">
      <formula>"Towel"</formula>
    </cfRule>
  </conditionalFormatting>
  <conditionalFormatting sqref="C120">
    <cfRule type="cellIs" dxfId="16993" priority="1609" stopIfTrue="1" operator="equal">
      <formula>"Towel"</formula>
    </cfRule>
    <cfRule type="cellIs" dxfId="16992" priority="1610" stopIfTrue="1" operator="equal">
      <formula>"Napkin Hs"</formula>
    </cfRule>
  </conditionalFormatting>
  <conditionalFormatting sqref="B120:C120">
    <cfRule type="cellIs" dxfId="16991" priority="1607" stopIfTrue="1" operator="equal">
      <formula>"Towel"</formula>
    </cfRule>
    <cfRule type="cellIs" dxfId="16990" priority="1608" stopIfTrue="1" operator="equal">
      <formula>"Napkin Hs"</formula>
    </cfRule>
  </conditionalFormatting>
  <conditionalFormatting sqref="C120">
    <cfRule type="cellIs" dxfId="16989" priority="1603" stopIfTrue="1" operator="equal">
      <formula>"Towel"</formula>
    </cfRule>
    <cfRule type="cellIs" dxfId="16988" priority="1604" stopIfTrue="1" operator="equal">
      <formula>"Napkin Hs"</formula>
    </cfRule>
  </conditionalFormatting>
  <conditionalFormatting sqref="C120">
    <cfRule type="cellIs" dxfId="16987" priority="1605" stopIfTrue="1" operator="equal">
      <formula>"Towel"</formula>
    </cfRule>
    <cfRule type="cellIs" dxfId="16986" priority="1606" stopIfTrue="1" operator="equal">
      <formula>"Napkin Hs"</formula>
    </cfRule>
  </conditionalFormatting>
  <conditionalFormatting sqref="B120:C120">
    <cfRule type="cellIs" dxfId="16985" priority="1602" stopIfTrue="1" operator="equal">
      <formula>"Napkin Hs"</formula>
    </cfRule>
  </conditionalFormatting>
  <conditionalFormatting sqref="B120:C120">
    <cfRule type="cellIs" dxfId="16984" priority="1601" stopIfTrue="1" operator="equal">
      <formula>"Towel"</formula>
    </cfRule>
  </conditionalFormatting>
  <conditionalFormatting sqref="C120">
    <cfRule type="cellIs" dxfId="16983" priority="1600" stopIfTrue="1" operator="equal">
      <formula>"Napkin Hs"</formula>
    </cfRule>
  </conditionalFormatting>
  <conditionalFormatting sqref="C120">
    <cfRule type="cellIs" dxfId="16982" priority="1599" stopIfTrue="1" operator="equal">
      <formula>"Towel"</formula>
    </cfRule>
  </conditionalFormatting>
  <conditionalFormatting sqref="C120">
    <cfRule type="cellIs" dxfId="16981" priority="1597" stopIfTrue="1" operator="equal">
      <formula>"Towel"</formula>
    </cfRule>
    <cfRule type="cellIs" dxfId="16980" priority="1598" stopIfTrue="1" operator="equal">
      <formula>"Napkin Hs"</formula>
    </cfRule>
  </conditionalFormatting>
  <conditionalFormatting sqref="B120:C120">
    <cfRule type="cellIs" dxfId="16979" priority="1595" stopIfTrue="1" operator="equal">
      <formula>"Towel"</formula>
    </cfRule>
    <cfRule type="cellIs" dxfId="16978" priority="1596" stopIfTrue="1" operator="equal">
      <formula>"Napkin Hs"</formula>
    </cfRule>
  </conditionalFormatting>
  <conditionalFormatting sqref="C120">
    <cfRule type="cellIs" dxfId="16977" priority="1593" stopIfTrue="1" operator="equal">
      <formula>"Towel"</formula>
    </cfRule>
    <cfRule type="cellIs" dxfId="16976" priority="1594" stopIfTrue="1" operator="equal">
      <formula>"Napkin Hs"</formula>
    </cfRule>
  </conditionalFormatting>
  <conditionalFormatting sqref="C120">
    <cfRule type="cellIs" dxfId="16975" priority="1591" stopIfTrue="1" operator="equal">
      <formula>"Towel"</formula>
    </cfRule>
    <cfRule type="cellIs" dxfId="16974" priority="1592" stopIfTrue="1" operator="equal">
      <formula>"Napkin Hs"</formula>
    </cfRule>
  </conditionalFormatting>
  <conditionalFormatting sqref="B120:C120">
    <cfRule type="cellIs" dxfId="16973" priority="1589" stopIfTrue="1" operator="equal">
      <formula>"Towel"</formula>
    </cfRule>
    <cfRule type="cellIs" dxfId="16972" priority="1590" stopIfTrue="1" operator="equal">
      <formula>"Napkin Hs"</formula>
    </cfRule>
  </conditionalFormatting>
  <conditionalFormatting sqref="C120">
    <cfRule type="cellIs" dxfId="16971" priority="1587" stopIfTrue="1" operator="equal">
      <formula>"Towel"</formula>
    </cfRule>
    <cfRule type="cellIs" dxfId="16970" priority="1588" stopIfTrue="1" operator="equal">
      <formula>"Napkin Hs"</formula>
    </cfRule>
  </conditionalFormatting>
  <conditionalFormatting sqref="C120">
    <cfRule type="cellIs" dxfId="16969" priority="1585" stopIfTrue="1" operator="equal">
      <formula>"Towel"</formula>
    </cfRule>
    <cfRule type="cellIs" dxfId="16968" priority="1586" stopIfTrue="1" operator="equal">
      <formula>"Napkin Hs"</formula>
    </cfRule>
  </conditionalFormatting>
  <conditionalFormatting sqref="B120:C120">
    <cfRule type="cellIs" dxfId="16967" priority="1583" stopIfTrue="1" operator="equal">
      <formula>"Towel"</formula>
    </cfRule>
    <cfRule type="cellIs" dxfId="16966" priority="1584" stopIfTrue="1" operator="equal">
      <formula>"Napkin Hs"</formula>
    </cfRule>
  </conditionalFormatting>
  <conditionalFormatting sqref="C120">
    <cfRule type="cellIs" dxfId="16965" priority="1581" stopIfTrue="1" operator="equal">
      <formula>"Towel"</formula>
    </cfRule>
    <cfRule type="cellIs" dxfId="16964" priority="1582" stopIfTrue="1" operator="equal">
      <formula>"Napkin Hs"</formula>
    </cfRule>
  </conditionalFormatting>
  <conditionalFormatting sqref="C120">
    <cfRule type="cellIs" dxfId="16963" priority="1579" stopIfTrue="1" operator="equal">
      <formula>"Towel"</formula>
    </cfRule>
    <cfRule type="cellIs" dxfId="16962" priority="1580" stopIfTrue="1" operator="equal">
      <formula>"Napkin Hs"</formula>
    </cfRule>
  </conditionalFormatting>
  <conditionalFormatting sqref="B120:C120">
    <cfRule type="cellIs" dxfId="16961" priority="1577" stopIfTrue="1" operator="equal">
      <formula>"Towel"</formula>
    </cfRule>
    <cfRule type="cellIs" dxfId="16960" priority="1578" stopIfTrue="1" operator="equal">
      <formula>"Napkin Hs"</formula>
    </cfRule>
  </conditionalFormatting>
  <conditionalFormatting sqref="C120">
    <cfRule type="cellIs" dxfId="16959" priority="1575" stopIfTrue="1" operator="equal">
      <formula>"Towel"</formula>
    </cfRule>
    <cfRule type="cellIs" dxfId="16958" priority="1576" stopIfTrue="1" operator="equal">
      <formula>"Napkin Hs"</formula>
    </cfRule>
  </conditionalFormatting>
  <conditionalFormatting sqref="C120">
    <cfRule type="cellIs" dxfId="16957" priority="1573" stopIfTrue="1" operator="equal">
      <formula>"Towel"</formula>
    </cfRule>
    <cfRule type="cellIs" dxfId="16956" priority="1574" stopIfTrue="1" operator="equal">
      <formula>"Napkin Hs"</formula>
    </cfRule>
  </conditionalFormatting>
  <conditionalFormatting sqref="B120:C120">
    <cfRule type="cellIs" dxfId="16955" priority="1571" stopIfTrue="1" operator="equal">
      <formula>"Towel"</formula>
    </cfRule>
    <cfRule type="cellIs" dxfId="16954" priority="1572" stopIfTrue="1" operator="equal">
      <formula>"Napkin Hs"</formula>
    </cfRule>
  </conditionalFormatting>
  <conditionalFormatting sqref="C120">
    <cfRule type="cellIs" dxfId="16953" priority="1569" stopIfTrue="1" operator="equal">
      <formula>"Towel"</formula>
    </cfRule>
    <cfRule type="cellIs" dxfId="16952" priority="1570" stopIfTrue="1" operator="equal">
      <formula>"Napkin Hs"</formula>
    </cfRule>
  </conditionalFormatting>
  <conditionalFormatting sqref="C120">
    <cfRule type="cellIs" dxfId="16951" priority="1567" stopIfTrue="1" operator="equal">
      <formula>"Towel"</formula>
    </cfRule>
    <cfRule type="cellIs" dxfId="16950" priority="1568" stopIfTrue="1" operator="equal">
      <formula>"Napkin Hs"</formula>
    </cfRule>
  </conditionalFormatting>
  <conditionalFormatting sqref="B120:C120">
    <cfRule type="cellIs" dxfId="16949" priority="1566" stopIfTrue="1" operator="equal">
      <formula>"Napkin Hs"</formula>
    </cfRule>
  </conditionalFormatting>
  <conditionalFormatting sqref="B120:C120">
    <cfRule type="cellIs" dxfId="16948" priority="1565" stopIfTrue="1" operator="equal">
      <formula>"Towel"</formula>
    </cfRule>
  </conditionalFormatting>
  <conditionalFormatting sqref="C120">
    <cfRule type="cellIs" dxfId="16947" priority="1564" stopIfTrue="1" operator="equal">
      <formula>"Napkin Hs"</formula>
    </cfRule>
  </conditionalFormatting>
  <conditionalFormatting sqref="C120">
    <cfRule type="cellIs" dxfId="16946" priority="1561" stopIfTrue="1" operator="equal">
      <formula>"Towel"</formula>
    </cfRule>
    <cfRule type="cellIs" dxfId="16945" priority="1562" stopIfTrue="1" operator="equal">
      <formula>"Napkin Hs"</formula>
    </cfRule>
  </conditionalFormatting>
  <conditionalFormatting sqref="C120">
    <cfRule type="cellIs" dxfId="16944" priority="1563" stopIfTrue="1" operator="equal">
      <formula>"Towel"</formula>
    </cfRule>
  </conditionalFormatting>
  <conditionalFormatting sqref="B118:C118">
    <cfRule type="cellIs" dxfId="16943" priority="1433" stopIfTrue="1" operator="equal">
      <formula>"Towel"</formula>
    </cfRule>
    <cfRule type="cellIs" dxfId="16942" priority="1434" stopIfTrue="1" operator="equal">
      <formula>"Napkin Hs"</formula>
    </cfRule>
  </conditionalFormatting>
  <conditionalFormatting sqref="C118">
    <cfRule type="cellIs" dxfId="16941" priority="1431" stopIfTrue="1" operator="equal">
      <formula>"Towel"</formula>
    </cfRule>
    <cfRule type="cellIs" dxfId="16940" priority="1432" stopIfTrue="1" operator="equal">
      <formula>"Napkin Hs"</formula>
    </cfRule>
  </conditionalFormatting>
  <conditionalFormatting sqref="C118">
    <cfRule type="cellIs" dxfId="16939" priority="1429" stopIfTrue="1" operator="equal">
      <formula>"Towel"</formula>
    </cfRule>
    <cfRule type="cellIs" dxfId="16938" priority="1430" stopIfTrue="1" operator="equal">
      <formula>"Napkin Hs"</formula>
    </cfRule>
  </conditionalFormatting>
  <conditionalFormatting sqref="B118:C118">
    <cfRule type="cellIs" dxfId="16937" priority="1428" stopIfTrue="1" operator="equal">
      <formula>"Napkin Hs"</formula>
    </cfRule>
  </conditionalFormatting>
  <conditionalFormatting sqref="B118:C118">
    <cfRule type="cellIs" dxfId="16936" priority="1427" stopIfTrue="1" operator="equal">
      <formula>"Towel"</formula>
    </cfRule>
  </conditionalFormatting>
  <conditionalFormatting sqref="C118">
    <cfRule type="cellIs" dxfId="16935" priority="1426" stopIfTrue="1" operator="equal">
      <formula>"Napkin Hs"</formula>
    </cfRule>
  </conditionalFormatting>
  <conditionalFormatting sqref="C118">
    <cfRule type="cellIs" dxfId="16934" priority="1425" stopIfTrue="1" operator="equal">
      <formula>"Towel"</formula>
    </cfRule>
  </conditionalFormatting>
  <conditionalFormatting sqref="C118">
    <cfRule type="cellIs" dxfId="16933" priority="1423" stopIfTrue="1" operator="equal">
      <formula>"Towel"</formula>
    </cfRule>
    <cfRule type="cellIs" dxfId="16932" priority="1424" stopIfTrue="1" operator="equal">
      <formula>"Napkin Hs"</formula>
    </cfRule>
  </conditionalFormatting>
  <conditionalFormatting sqref="B118:C118">
    <cfRule type="cellIs" dxfId="16931" priority="1421" stopIfTrue="1" operator="equal">
      <formula>"Towel"</formula>
    </cfRule>
    <cfRule type="cellIs" dxfId="16930" priority="1422" stopIfTrue="1" operator="equal">
      <formula>"Napkin Hs"</formula>
    </cfRule>
  </conditionalFormatting>
  <conditionalFormatting sqref="C118">
    <cfRule type="cellIs" dxfId="16929" priority="1417" stopIfTrue="1" operator="equal">
      <formula>"Towel"</formula>
    </cfRule>
    <cfRule type="cellIs" dxfId="16928" priority="1418" stopIfTrue="1" operator="equal">
      <formula>"Napkin Hs"</formula>
    </cfRule>
  </conditionalFormatting>
  <conditionalFormatting sqref="C118">
    <cfRule type="cellIs" dxfId="16927" priority="1419" stopIfTrue="1" operator="equal">
      <formula>"Towel"</formula>
    </cfRule>
    <cfRule type="cellIs" dxfId="16926" priority="1420" stopIfTrue="1" operator="equal">
      <formula>"Napkin Hs"</formula>
    </cfRule>
  </conditionalFormatting>
  <conditionalFormatting sqref="B118:C118">
    <cfRule type="cellIs" dxfId="16925" priority="1416" stopIfTrue="1" operator="equal">
      <formula>"Napkin Hs"</formula>
    </cfRule>
  </conditionalFormatting>
  <conditionalFormatting sqref="B118:C118">
    <cfRule type="cellIs" dxfId="16924" priority="1415" stopIfTrue="1" operator="equal">
      <formula>"Towel"</formula>
    </cfRule>
  </conditionalFormatting>
  <conditionalFormatting sqref="C118">
    <cfRule type="cellIs" dxfId="16923" priority="1414" stopIfTrue="1" operator="equal">
      <formula>"Napkin Hs"</formula>
    </cfRule>
  </conditionalFormatting>
  <conditionalFormatting sqref="C118">
    <cfRule type="cellIs" dxfId="16922" priority="1413" stopIfTrue="1" operator="equal">
      <formula>"Towel"</formula>
    </cfRule>
  </conditionalFormatting>
  <conditionalFormatting sqref="C118">
    <cfRule type="cellIs" dxfId="16921" priority="1411" stopIfTrue="1" operator="equal">
      <formula>"Towel"</formula>
    </cfRule>
    <cfRule type="cellIs" dxfId="16920" priority="1412" stopIfTrue="1" operator="equal">
      <formula>"Napkin Hs"</formula>
    </cfRule>
  </conditionalFormatting>
  <conditionalFormatting sqref="B118:C118">
    <cfRule type="cellIs" dxfId="16919" priority="1409" stopIfTrue="1" operator="equal">
      <formula>"Towel"</formula>
    </cfRule>
    <cfRule type="cellIs" dxfId="16918" priority="1410" stopIfTrue="1" operator="equal">
      <formula>"Napkin Hs"</formula>
    </cfRule>
  </conditionalFormatting>
  <conditionalFormatting sqref="C118">
    <cfRule type="cellIs" dxfId="16917" priority="1407" stopIfTrue="1" operator="equal">
      <formula>"Towel"</formula>
    </cfRule>
    <cfRule type="cellIs" dxfId="16916" priority="1408" stopIfTrue="1" operator="equal">
      <formula>"Napkin Hs"</formula>
    </cfRule>
  </conditionalFormatting>
  <conditionalFormatting sqref="C118">
    <cfRule type="cellIs" dxfId="16915" priority="1405" stopIfTrue="1" operator="equal">
      <formula>"Towel"</formula>
    </cfRule>
    <cfRule type="cellIs" dxfId="16914" priority="1406" stopIfTrue="1" operator="equal">
      <formula>"Napkin Hs"</formula>
    </cfRule>
  </conditionalFormatting>
  <conditionalFormatting sqref="B118:C118">
    <cfRule type="cellIs" dxfId="16913" priority="1403" stopIfTrue="1" operator="equal">
      <formula>"Towel"</formula>
    </cfRule>
    <cfRule type="cellIs" dxfId="16912" priority="1404" stopIfTrue="1" operator="equal">
      <formula>"Napkin Hs"</formula>
    </cfRule>
  </conditionalFormatting>
  <conditionalFormatting sqref="C118">
    <cfRule type="cellIs" dxfId="16911" priority="1401" stopIfTrue="1" operator="equal">
      <formula>"Towel"</formula>
    </cfRule>
    <cfRule type="cellIs" dxfId="16910" priority="1402" stopIfTrue="1" operator="equal">
      <formula>"Napkin Hs"</formula>
    </cfRule>
  </conditionalFormatting>
  <conditionalFormatting sqref="C118">
    <cfRule type="cellIs" dxfId="16909" priority="1399" stopIfTrue="1" operator="equal">
      <formula>"Towel"</formula>
    </cfRule>
    <cfRule type="cellIs" dxfId="16908" priority="1400" stopIfTrue="1" operator="equal">
      <formula>"Napkin Hs"</formula>
    </cfRule>
  </conditionalFormatting>
  <conditionalFormatting sqref="B118:C118">
    <cfRule type="cellIs" dxfId="16907" priority="1397" stopIfTrue="1" operator="equal">
      <formula>"Towel"</formula>
    </cfRule>
    <cfRule type="cellIs" dxfId="16906" priority="1398" stopIfTrue="1" operator="equal">
      <formula>"Napkin Hs"</formula>
    </cfRule>
  </conditionalFormatting>
  <conditionalFormatting sqref="C118">
    <cfRule type="cellIs" dxfId="16905" priority="1395" stopIfTrue="1" operator="equal">
      <formula>"Towel"</formula>
    </cfRule>
    <cfRule type="cellIs" dxfId="16904" priority="1396" stopIfTrue="1" operator="equal">
      <formula>"Napkin Hs"</formula>
    </cfRule>
  </conditionalFormatting>
  <conditionalFormatting sqref="C118">
    <cfRule type="cellIs" dxfId="16903" priority="1393" stopIfTrue="1" operator="equal">
      <formula>"Towel"</formula>
    </cfRule>
    <cfRule type="cellIs" dxfId="16902" priority="1394" stopIfTrue="1" operator="equal">
      <formula>"Napkin Hs"</formula>
    </cfRule>
  </conditionalFormatting>
  <conditionalFormatting sqref="B118:C118">
    <cfRule type="cellIs" dxfId="16901" priority="1391" stopIfTrue="1" operator="equal">
      <formula>"Towel"</formula>
    </cfRule>
    <cfRule type="cellIs" dxfId="16900" priority="1392" stopIfTrue="1" operator="equal">
      <formula>"Napkin Hs"</formula>
    </cfRule>
  </conditionalFormatting>
  <conditionalFormatting sqref="C118">
    <cfRule type="cellIs" dxfId="16899" priority="1389" stopIfTrue="1" operator="equal">
      <formula>"Towel"</formula>
    </cfRule>
    <cfRule type="cellIs" dxfId="16898" priority="1390" stopIfTrue="1" operator="equal">
      <formula>"Napkin Hs"</formula>
    </cfRule>
  </conditionalFormatting>
  <conditionalFormatting sqref="C118">
    <cfRule type="cellIs" dxfId="16897" priority="1387" stopIfTrue="1" operator="equal">
      <formula>"Towel"</formula>
    </cfRule>
    <cfRule type="cellIs" dxfId="16896" priority="1388" stopIfTrue="1" operator="equal">
      <formula>"Napkin Hs"</formula>
    </cfRule>
  </conditionalFormatting>
  <conditionalFormatting sqref="B118:C118">
    <cfRule type="cellIs" dxfId="16895" priority="1385" stopIfTrue="1" operator="equal">
      <formula>"Towel"</formula>
    </cfRule>
    <cfRule type="cellIs" dxfId="16894" priority="1386" stopIfTrue="1" operator="equal">
      <formula>"Napkin Hs"</formula>
    </cfRule>
  </conditionalFormatting>
  <conditionalFormatting sqref="C118">
    <cfRule type="cellIs" dxfId="16893" priority="1383" stopIfTrue="1" operator="equal">
      <formula>"Towel"</formula>
    </cfRule>
    <cfRule type="cellIs" dxfId="16892" priority="1384" stopIfTrue="1" operator="equal">
      <formula>"Napkin Hs"</formula>
    </cfRule>
  </conditionalFormatting>
  <conditionalFormatting sqref="C118">
    <cfRule type="cellIs" dxfId="16891" priority="1381" stopIfTrue="1" operator="equal">
      <formula>"Towel"</formula>
    </cfRule>
    <cfRule type="cellIs" dxfId="16890" priority="1382" stopIfTrue="1" operator="equal">
      <formula>"Napkin Hs"</formula>
    </cfRule>
  </conditionalFormatting>
  <conditionalFormatting sqref="B118:C118">
    <cfRule type="cellIs" dxfId="16889" priority="1380" stopIfTrue="1" operator="equal">
      <formula>"Napkin Hs"</formula>
    </cfRule>
  </conditionalFormatting>
  <conditionalFormatting sqref="B118:C118">
    <cfRule type="cellIs" dxfId="16888" priority="1379" stopIfTrue="1" operator="equal">
      <formula>"Towel"</formula>
    </cfRule>
  </conditionalFormatting>
  <conditionalFormatting sqref="C118">
    <cfRule type="cellIs" dxfId="16887" priority="1378" stopIfTrue="1" operator="equal">
      <formula>"Napkin Hs"</formula>
    </cfRule>
  </conditionalFormatting>
  <conditionalFormatting sqref="C118">
    <cfRule type="cellIs" dxfId="16886" priority="1375" stopIfTrue="1" operator="equal">
      <formula>"Towel"</formula>
    </cfRule>
    <cfRule type="cellIs" dxfId="16885" priority="1376" stopIfTrue="1" operator="equal">
      <formula>"Napkin Hs"</formula>
    </cfRule>
  </conditionalFormatting>
  <conditionalFormatting sqref="C118">
    <cfRule type="cellIs" dxfId="16884" priority="1377" stopIfTrue="1" operator="equal">
      <formula>"Towel"</formula>
    </cfRule>
  </conditionalFormatting>
  <conditionalFormatting sqref="B118:C118">
    <cfRule type="cellIs" dxfId="16883" priority="1374" stopIfTrue="1" operator="equal">
      <formula>"Napkin Hs"</formula>
    </cfRule>
  </conditionalFormatting>
  <conditionalFormatting sqref="B118:C118">
    <cfRule type="cellIs" dxfId="16882" priority="1373" stopIfTrue="1" operator="equal">
      <formula>"Towel"</formula>
    </cfRule>
  </conditionalFormatting>
  <conditionalFormatting sqref="C118">
    <cfRule type="cellIs" dxfId="16881" priority="1372" stopIfTrue="1" operator="equal">
      <formula>"Napkin Hs"</formula>
    </cfRule>
  </conditionalFormatting>
  <conditionalFormatting sqref="C118">
    <cfRule type="cellIs" dxfId="16880" priority="1371" stopIfTrue="1" operator="equal">
      <formula>"Towel"</formula>
    </cfRule>
  </conditionalFormatting>
  <conditionalFormatting sqref="C118">
    <cfRule type="cellIs" dxfId="16879" priority="1369" stopIfTrue="1" operator="equal">
      <formula>"Towel"</formula>
    </cfRule>
    <cfRule type="cellIs" dxfId="16878" priority="1370" stopIfTrue="1" operator="equal">
      <formula>"Napkin Hs"</formula>
    </cfRule>
  </conditionalFormatting>
  <conditionalFormatting sqref="B118:C118">
    <cfRule type="cellIs" dxfId="16877" priority="1367" stopIfTrue="1" operator="equal">
      <formula>"Towel"</formula>
    </cfRule>
    <cfRule type="cellIs" dxfId="16876" priority="1368" stopIfTrue="1" operator="equal">
      <formula>"Napkin Hs"</formula>
    </cfRule>
  </conditionalFormatting>
  <conditionalFormatting sqref="C118">
    <cfRule type="cellIs" dxfId="16875" priority="1363" stopIfTrue="1" operator="equal">
      <formula>"Towel"</formula>
    </cfRule>
    <cfRule type="cellIs" dxfId="16874" priority="1364" stopIfTrue="1" operator="equal">
      <formula>"Napkin Hs"</formula>
    </cfRule>
  </conditionalFormatting>
  <conditionalFormatting sqref="C118">
    <cfRule type="cellIs" dxfId="16873" priority="1365" stopIfTrue="1" operator="equal">
      <formula>"Towel"</formula>
    </cfRule>
    <cfRule type="cellIs" dxfId="16872" priority="1366" stopIfTrue="1" operator="equal">
      <formula>"Napkin Hs"</formula>
    </cfRule>
  </conditionalFormatting>
  <conditionalFormatting sqref="B118:C118">
    <cfRule type="cellIs" dxfId="16871" priority="1362" stopIfTrue="1" operator="equal">
      <formula>"Napkin Hs"</formula>
    </cfRule>
  </conditionalFormatting>
  <conditionalFormatting sqref="B118:C118">
    <cfRule type="cellIs" dxfId="16870" priority="1361" stopIfTrue="1" operator="equal">
      <formula>"Towel"</formula>
    </cfRule>
  </conditionalFormatting>
  <conditionalFormatting sqref="C118">
    <cfRule type="cellIs" dxfId="16869" priority="1360" stopIfTrue="1" operator="equal">
      <formula>"Napkin Hs"</formula>
    </cfRule>
  </conditionalFormatting>
  <conditionalFormatting sqref="C118">
    <cfRule type="cellIs" dxfId="16868" priority="1359" stopIfTrue="1" operator="equal">
      <formula>"Towel"</formula>
    </cfRule>
  </conditionalFormatting>
  <conditionalFormatting sqref="C118">
    <cfRule type="cellIs" dxfId="16867" priority="1357" stopIfTrue="1" operator="equal">
      <formula>"Towel"</formula>
    </cfRule>
    <cfRule type="cellIs" dxfId="16866" priority="1358" stopIfTrue="1" operator="equal">
      <formula>"Napkin Hs"</formula>
    </cfRule>
  </conditionalFormatting>
  <conditionalFormatting sqref="B118:C118">
    <cfRule type="cellIs" dxfId="16865" priority="1355" stopIfTrue="1" operator="equal">
      <formula>"Towel"</formula>
    </cfRule>
    <cfRule type="cellIs" dxfId="16864" priority="1356" stopIfTrue="1" operator="equal">
      <formula>"Napkin Hs"</formula>
    </cfRule>
  </conditionalFormatting>
  <conditionalFormatting sqref="C118">
    <cfRule type="cellIs" dxfId="16863" priority="1353" stopIfTrue="1" operator="equal">
      <formula>"Towel"</formula>
    </cfRule>
    <cfRule type="cellIs" dxfId="16862" priority="1354" stopIfTrue="1" operator="equal">
      <formula>"Napkin Hs"</formula>
    </cfRule>
  </conditionalFormatting>
  <conditionalFormatting sqref="C118">
    <cfRule type="cellIs" dxfId="16861" priority="1351" stopIfTrue="1" operator="equal">
      <formula>"Towel"</formula>
    </cfRule>
    <cfRule type="cellIs" dxfId="16860" priority="1352" stopIfTrue="1" operator="equal">
      <formula>"Napkin Hs"</formula>
    </cfRule>
  </conditionalFormatting>
  <conditionalFormatting sqref="B118:C118">
    <cfRule type="cellIs" dxfId="16859" priority="1349" stopIfTrue="1" operator="equal">
      <formula>"Towel"</formula>
    </cfRule>
    <cfRule type="cellIs" dxfId="16858" priority="1350" stopIfTrue="1" operator="equal">
      <formula>"Napkin Hs"</formula>
    </cfRule>
  </conditionalFormatting>
  <conditionalFormatting sqref="C118">
    <cfRule type="cellIs" dxfId="16857" priority="1347" stopIfTrue="1" operator="equal">
      <formula>"Towel"</formula>
    </cfRule>
    <cfRule type="cellIs" dxfId="16856" priority="1348" stopIfTrue="1" operator="equal">
      <formula>"Napkin Hs"</formula>
    </cfRule>
  </conditionalFormatting>
  <conditionalFormatting sqref="C118">
    <cfRule type="cellIs" dxfId="16855" priority="1345" stopIfTrue="1" operator="equal">
      <formula>"Towel"</formula>
    </cfRule>
    <cfRule type="cellIs" dxfId="16854" priority="1346" stopIfTrue="1" operator="equal">
      <formula>"Napkin Hs"</formula>
    </cfRule>
  </conditionalFormatting>
  <conditionalFormatting sqref="B118:C118">
    <cfRule type="cellIs" dxfId="16853" priority="1343" stopIfTrue="1" operator="equal">
      <formula>"Towel"</formula>
    </cfRule>
    <cfRule type="cellIs" dxfId="16852" priority="1344" stopIfTrue="1" operator="equal">
      <formula>"Napkin Hs"</formula>
    </cfRule>
  </conditionalFormatting>
  <conditionalFormatting sqref="C118">
    <cfRule type="cellIs" dxfId="16851" priority="1341" stopIfTrue="1" operator="equal">
      <formula>"Towel"</formula>
    </cfRule>
    <cfRule type="cellIs" dxfId="16850" priority="1342" stopIfTrue="1" operator="equal">
      <formula>"Napkin Hs"</formula>
    </cfRule>
  </conditionalFormatting>
  <conditionalFormatting sqref="C118">
    <cfRule type="cellIs" dxfId="16849" priority="1339" stopIfTrue="1" operator="equal">
      <formula>"Towel"</formula>
    </cfRule>
    <cfRule type="cellIs" dxfId="16848" priority="1340" stopIfTrue="1" operator="equal">
      <formula>"Napkin Hs"</formula>
    </cfRule>
  </conditionalFormatting>
  <conditionalFormatting sqref="B118:C118">
    <cfRule type="cellIs" dxfId="16847" priority="1337" stopIfTrue="1" operator="equal">
      <formula>"Towel"</formula>
    </cfRule>
    <cfRule type="cellIs" dxfId="16846" priority="1338" stopIfTrue="1" operator="equal">
      <formula>"Napkin Hs"</formula>
    </cfRule>
  </conditionalFormatting>
  <conditionalFormatting sqref="C118">
    <cfRule type="cellIs" dxfId="16845" priority="1335" stopIfTrue="1" operator="equal">
      <formula>"Towel"</formula>
    </cfRule>
    <cfRule type="cellIs" dxfId="16844" priority="1336" stopIfTrue="1" operator="equal">
      <formula>"Napkin Hs"</formula>
    </cfRule>
  </conditionalFormatting>
  <conditionalFormatting sqref="C118">
    <cfRule type="cellIs" dxfId="16843" priority="1333" stopIfTrue="1" operator="equal">
      <formula>"Towel"</formula>
    </cfRule>
    <cfRule type="cellIs" dxfId="16842" priority="1334" stopIfTrue="1" operator="equal">
      <formula>"Napkin Hs"</formula>
    </cfRule>
  </conditionalFormatting>
  <conditionalFormatting sqref="B118:C118">
    <cfRule type="cellIs" dxfId="16841" priority="1331" stopIfTrue="1" operator="equal">
      <formula>"Towel"</formula>
    </cfRule>
    <cfRule type="cellIs" dxfId="16840" priority="1332" stopIfTrue="1" operator="equal">
      <formula>"Napkin Hs"</formula>
    </cfRule>
  </conditionalFormatting>
  <conditionalFormatting sqref="C118">
    <cfRule type="cellIs" dxfId="16839" priority="1329" stopIfTrue="1" operator="equal">
      <formula>"Towel"</formula>
    </cfRule>
    <cfRule type="cellIs" dxfId="16838" priority="1330" stopIfTrue="1" operator="equal">
      <formula>"Napkin Hs"</formula>
    </cfRule>
  </conditionalFormatting>
  <conditionalFormatting sqref="C118">
    <cfRule type="cellIs" dxfId="16837" priority="1327" stopIfTrue="1" operator="equal">
      <formula>"Towel"</formula>
    </cfRule>
    <cfRule type="cellIs" dxfId="16836" priority="1328" stopIfTrue="1" operator="equal">
      <formula>"Napkin Hs"</formula>
    </cfRule>
  </conditionalFormatting>
  <conditionalFormatting sqref="B118:C118">
    <cfRule type="cellIs" dxfId="16835" priority="1326" stopIfTrue="1" operator="equal">
      <formula>"Napkin Hs"</formula>
    </cfRule>
  </conditionalFormatting>
  <conditionalFormatting sqref="B118:C118">
    <cfRule type="cellIs" dxfId="16834" priority="1325" stopIfTrue="1" operator="equal">
      <formula>"Towel"</formula>
    </cfRule>
  </conditionalFormatting>
  <conditionalFormatting sqref="C118">
    <cfRule type="cellIs" dxfId="16833" priority="1324" stopIfTrue="1" operator="equal">
      <formula>"Napkin Hs"</formula>
    </cfRule>
  </conditionalFormatting>
  <conditionalFormatting sqref="C118">
    <cfRule type="cellIs" dxfId="16832" priority="1321" stopIfTrue="1" operator="equal">
      <formula>"Towel"</formula>
    </cfRule>
    <cfRule type="cellIs" dxfId="16831" priority="1322" stopIfTrue="1" operator="equal">
      <formula>"Napkin Hs"</formula>
    </cfRule>
  </conditionalFormatting>
  <conditionalFormatting sqref="C118">
    <cfRule type="cellIs" dxfId="16830" priority="1323" stopIfTrue="1" operator="equal">
      <formula>"Towel"</formula>
    </cfRule>
  </conditionalFormatting>
  <conditionalFormatting sqref="B118:C118">
    <cfRule type="cellIs" dxfId="16829" priority="1320" stopIfTrue="1" operator="equal">
      <formula>"Napkin Hs"</formula>
    </cfRule>
  </conditionalFormatting>
  <conditionalFormatting sqref="B118:C118">
    <cfRule type="cellIs" dxfId="16828" priority="1319" stopIfTrue="1" operator="equal">
      <formula>"Towel"</formula>
    </cfRule>
  </conditionalFormatting>
  <conditionalFormatting sqref="C118">
    <cfRule type="cellIs" dxfId="16827" priority="1318" stopIfTrue="1" operator="equal">
      <formula>"Napkin Hs"</formula>
    </cfRule>
  </conditionalFormatting>
  <conditionalFormatting sqref="C118">
    <cfRule type="cellIs" dxfId="16826" priority="1315" stopIfTrue="1" operator="equal">
      <formula>"Towel"</formula>
    </cfRule>
    <cfRule type="cellIs" dxfId="16825" priority="1316" stopIfTrue="1" operator="equal">
      <formula>"Napkin Hs"</formula>
    </cfRule>
  </conditionalFormatting>
  <conditionalFormatting sqref="C118">
    <cfRule type="cellIs" dxfId="16824" priority="1317" stopIfTrue="1" operator="equal">
      <formula>"Towel"</formula>
    </cfRule>
  </conditionalFormatting>
  <conditionalFormatting sqref="B118:C118">
    <cfRule type="cellIs" dxfId="16823" priority="1314" stopIfTrue="1" operator="equal">
      <formula>"Napkin Hs"</formula>
    </cfRule>
  </conditionalFormatting>
  <conditionalFormatting sqref="B118:C118">
    <cfRule type="cellIs" dxfId="16822" priority="1313" stopIfTrue="1" operator="equal">
      <formula>"Towel"</formula>
    </cfRule>
  </conditionalFormatting>
  <conditionalFormatting sqref="C118">
    <cfRule type="cellIs" dxfId="16821" priority="1312" stopIfTrue="1" operator="equal">
      <formula>"Napkin Hs"</formula>
    </cfRule>
  </conditionalFormatting>
  <conditionalFormatting sqref="C118">
    <cfRule type="cellIs" dxfId="16820" priority="1309" stopIfTrue="1" operator="equal">
      <formula>"Towel"</formula>
    </cfRule>
    <cfRule type="cellIs" dxfId="16819" priority="1310" stopIfTrue="1" operator="equal">
      <formula>"Napkin Hs"</formula>
    </cfRule>
  </conditionalFormatting>
  <conditionalFormatting sqref="C118">
    <cfRule type="cellIs" dxfId="16818" priority="1311" stopIfTrue="1" operator="equal">
      <formula>"Towel"</formula>
    </cfRule>
  </conditionalFormatting>
  <conditionalFormatting sqref="B117:C117">
    <cfRule type="cellIs" dxfId="16817" priority="1308" stopIfTrue="1" operator="equal">
      <formula>"Napkin Hs"</formula>
    </cfRule>
  </conditionalFormatting>
  <conditionalFormatting sqref="B117:C117">
    <cfRule type="cellIs" dxfId="16816" priority="1307" stopIfTrue="1" operator="equal">
      <formula>"Towel"</formula>
    </cfRule>
  </conditionalFormatting>
  <conditionalFormatting sqref="C117">
    <cfRule type="cellIs" dxfId="16815" priority="1306" stopIfTrue="1" operator="equal">
      <formula>"Napkin Hs"</formula>
    </cfRule>
  </conditionalFormatting>
  <conditionalFormatting sqref="C117">
    <cfRule type="cellIs" dxfId="16814" priority="1305" stopIfTrue="1" operator="equal">
      <formula>"Towel"</formula>
    </cfRule>
  </conditionalFormatting>
  <conditionalFormatting sqref="C117">
    <cfRule type="cellIs" dxfId="16813" priority="1303" stopIfTrue="1" operator="equal">
      <formula>"Towel"</formula>
    </cfRule>
    <cfRule type="cellIs" dxfId="16812" priority="1304" stopIfTrue="1" operator="equal">
      <formula>"Napkin Hs"</formula>
    </cfRule>
  </conditionalFormatting>
  <conditionalFormatting sqref="B117:C117">
    <cfRule type="cellIs" dxfId="16811" priority="1301" stopIfTrue="1" operator="equal">
      <formula>"Towel"</formula>
    </cfRule>
    <cfRule type="cellIs" dxfId="16810" priority="1302" stopIfTrue="1" operator="equal">
      <formula>"Napkin Hs"</formula>
    </cfRule>
  </conditionalFormatting>
  <conditionalFormatting sqref="C117">
    <cfRule type="cellIs" dxfId="16809" priority="1297" stopIfTrue="1" operator="equal">
      <formula>"Towel"</formula>
    </cfRule>
    <cfRule type="cellIs" dxfId="16808" priority="1298" stopIfTrue="1" operator="equal">
      <formula>"Napkin Hs"</formula>
    </cfRule>
  </conditionalFormatting>
  <conditionalFormatting sqref="C117">
    <cfRule type="cellIs" dxfId="16807" priority="1299" stopIfTrue="1" operator="equal">
      <formula>"Towel"</formula>
    </cfRule>
    <cfRule type="cellIs" dxfId="16806" priority="1300" stopIfTrue="1" operator="equal">
      <formula>"Napkin Hs"</formula>
    </cfRule>
  </conditionalFormatting>
  <conditionalFormatting sqref="B117:C117">
    <cfRule type="cellIs" dxfId="16805" priority="1296" stopIfTrue="1" operator="equal">
      <formula>"Napkin Hs"</formula>
    </cfRule>
  </conditionalFormatting>
  <conditionalFormatting sqref="B117:C117">
    <cfRule type="cellIs" dxfId="16804" priority="1295" stopIfTrue="1" operator="equal">
      <formula>"Towel"</formula>
    </cfRule>
  </conditionalFormatting>
  <conditionalFormatting sqref="C117">
    <cfRule type="cellIs" dxfId="16803" priority="1294" stopIfTrue="1" operator="equal">
      <formula>"Napkin Hs"</formula>
    </cfRule>
  </conditionalFormatting>
  <conditionalFormatting sqref="C117">
    <cfRule type="cellIs" dxfId="16802" priority="1293" stopIfTrue="1" operator="equal">
      <formula>"Towel"</formula>
    </cfRule>
  </conditionalFormatting>
  <conditionalFormatting sqref="C117">
    <cfRule type="cellIs" dxfId="16801" priority="1291" stopIfTrue="1" operator="equal">
      <formula>"Towel"</formula>
    </cfRule>
    <cfRule type="cellIs" dxfId="16800" priority="1292" stopIfTrue="1" operator="equal">
      <formula>"Napkin Hs"</formula>
    </cfRule>
  </conditionalFormatting>
  <conditionalFormatting sqref="B117:C117">
    <cfRule type="cellIs" dxfId="16799" priority="1289" stopIfTrue="1" operator="equal">
      <formula>"Towel"</formula>
    </cfRule>
    <cfRule type="cellIs" dxfId="16798" priority="1290" stopIfTrue="1" operator="equal">
      <formula>"Napkin Hs"</formula>
    </cfRule>
  </conditionalFormatting>
  <conditionalFormatting sqref="C117">
    <cfRule type="cellIs" dxfId="16797" priority="1287" stopIfTrue="1" operator="equal">
      <formula>"Towel"</formula>
    </cfRule>
    <cfRule type="cellIs" dxfId="16796" priority="1288" stopIfTrue="1" operator="equal">
      <formula>"Napkin Hs"</formula>
    </cfRule>
  </conditionalFormatting>
  <conditionalFormatting sqref="C117">
    <cfRule type="cellIs" dxfId="16795" priority="1285" stopIfTrue="1" operator="equal">
      <formula>"Towel"</formula>
    </cfRule>
    <cfRule type="cellIs" dxfId="16794" priority="1286" stopIfTrue="1" operator="equal">
      <formula>"Napkin Hs"</formula>
    </cfRule>
  </conditionalFormatting>
  <conditionalFormatting sqref="B117:C117">
    <cfRule type="cellIs" dxfId="16793" priority="1283" stopIfTrue="1" operator="equal">
      <formula>"Towel"</formula>
    </cfRule>
    <cfRule type="cellIs" dxfId="16792" priority="1284" stopIfTrue="1" operator="equal">
      <formula>"Napkin Hs"</formula>
    </cfRule>
  </conditionalFormatting>
  <conditionalFormatting sqref="C117">
    <cfRule type="cellIs" dxfId="16791" priority="1281" stopIfTrue="1" operator="equal">
      <formula>"Towel"</formula>
    </cfRule>
    <cfRule type="cellIs" dxfId="16790" priority="1282" stopIfTrue="1" operator="equal">
      <formula>"Napkin Hs"</formula>
    </cfRule>
  </conditionalFormatting>
  <conditionalFormatting sqref="C117">
    <cfRule type="cellIs" dxfId="16789" priority="1279" stopIfTrue="1" operator="equal">
      <formula>"Towel"</formula>
    </cfRule>
    <cfRule type="cellIs" dxfId="16788" priority="1280" stopIfTrue="1" operator="equal">
      <formula>"Napkin Hs"</formula>
    </cfRule>
  </conditionalFormatting>
  <conditionalFormatting sqref="B117:C117">
    <cfRule type="cellIs" dxfId="16787" priority="1277" stopIfTrue="1" operator="equal">
      <formula>"Towel"</formula>
    </cfRule>
    <cfRule type="cellIs" dxfId="16786" priority="1278" stopIfTrue="1" operator="equal">
      <formula>"Napkin Hs"</formula>
    </cfRule>
  </conditionalFormatting>
  <conditionalFormatting sqref="C117">
    <cfRule type="cellIs" dxfId="16785" priority="1275" stopIfTrue="1" operator="equal">
      <formula>"Towel"</formula>
    </cfRule>
    <cfRule type="cellIs" dxfId="16784" priority="1276" stopIfTrue="1" operator="equal">
      <formula>"Napkin Hs"</formula>
    </cfRule>
  </conditionalFormatting>
  <conditionalFormatting sqref="C117">
    <cfRule type="cellIs" dxfId="16783" priority="1273" stopIfTrue="1" operator="equal">
      <formula>"Towel"</formula>
    </cfRule>
    <cfRule type="cellIs" dxfId="16782" priority="1274" stopIfTrue="1" operator="equal">
      <formula>"Napkin Hs"</formula>
    </cfRule>
  </conditionalFormatting>
  <conditionalFormatting sqref="B117:C117">
    <cfRule type="cellIs" dxfId="16781" priority="1271" stopIfTrue="1" operator="equal">
      <formula>"Towel"</formula>
    </cfRule>
    <cfRule type="cellIs" dxfId="16780" priority="1272" stopIfTrue="1" operator="equal">
      <formula>"Napkin Hs"</formula>
    </cfRule>
  </conditionalFormatting>
  <conditionalFormatting sqref="C117">
    <cfRule type="cellIs" dxfId="16779" priority="1269" stopIfTrue="1" operator="equal">
      <formula>"Towel"</formula>
    </cfRule>
    <cfRule type="cellIs" dxfId="16778" priority="1270" stopIfTrue="1" operator="equal">
      <formula>"Napkin Hs"</formula>
    </cfRule>
  </conditionalFormatting>
  <conditionalFormatting sqref="C117">
    <cfRule type="cellIs" dxfId="16777" priority="1267" stopIfTrue="1" operator="equal">
      <formula>"Towel"</formula>
    </cfRule>
    <cfRule type="cellIs" dxfId="16776" priority="1268" stopIfTrue="1" operator="equal">
      <formula>"Napkin Hs"</formula>
    </cfRule>
  </conditionalFormatting>
  <conditionalFormatting sqref="B117:C117">
    <cfRule type="cellIs" dxfId="16775" priority="1265" stopIfTrue="1" operator="equal">
      <formula>"Towel"</formula>
    </cfRule>
    <cfRule type="cellIs" dxfId="16774" priority="1266" stopIfTrue="1" operator="equal">
      <formula>"Napkin Hs"</formula>
    </cfRule>
  </conditionalFormatting>
  <conditionalFormatting sqref="C117">
    <cfRule type="cellIs" dxfId="16773" priority="1263" stopIfTrue="1" operator="equal">
      <formula>"Towel"</formula>
    </cfRule>
    <cfRule type="cellIs" dxfId="16772" priority="1264" stopIfTrue="1" operator="equal">
      <formula>"Napkin Hs"</formula>
    </cfRule>
  </conditionalFormatting>
  <conditionalFormatting sqref="C117">
    <cfRule type="cellIs" dxfId="16771" priority="1261" stopIfTrue="1" operator="equal">
      <formula>"Towel"</formula>
    </cfRule>
    <cfRule type="cellIs" dxfId="16770" priority="1262" stopIfTrue="1" operator="equal">
      <formula>"Napkin Hs"</formula>
    </cfRule>
  </conditionalFormatting>
  <conditionalFormatting sqref="B117:C117">
    <cfRule type="cellIs" dxfId="16769" priority="1260" stopIfTrue="1" operator="equal">
      <formula>"Napkin Hs"</formula>
    </cfRule>
  </conditionalFormatting>
  <conditionalFormatting sqref="B117:C117">
    <cfRule type="cellIs" dxfId="16768" priority="1259" stopIfTrue="1" operator="equal">
      <formula>"Towel"</formula>
    </cfRule>
  </conditionalFormatting>
  <conditionalFormatting sqref="C117">
    <cfRule type="cellIs" dxfId="16767" priority="1258" stopIfTrue="1" operator="equal">
      <formula>"Napkin Hs"</formula>
    </cfRule>
  </conditionalFormatting>
  <conditionalFormatting sqref="C117">
    <cfRule type="cellIs" dxfId="16766" priority="1255" stopIfTrue="1" operator="equal">
      <formula>"Towel"</formula>
    </cfRule>
    <cfRule type="cellIs" dxfId="16765" priority="1256" stopIfTrue="1" operator="equal">
      <formula>"Napkin Hs"</formula>
    </cfRule>
  </conditionalFormatting>
  <conditionalFormatting sqref="C117">
    <cfRule type="cellIs" dxfId="16764" priority="1257" stopIfTrue="1" operator="equal">
      <formula>"Towel"</formula>
    </cfRule>
  </conditionalFormatting>
  <conditionalFormatting sqref="B117:C117">
    <cfRule type="cellIs" dxfId="16763" priority="1251" stopIfTrue="1" operator="equal">
      <formula>"Towel"</formula>
    </cfRule>
    <cfRule type="cellIs" dxfId="16762" priority="1252" stopIfTrue="1" operator="equal">
      <formula>"Napkin Hs"</formula>
    </cfRule>
  </conditionalFormatting>
  <conditionalFormatting sqref="C117">
    <cfRule type="cellIs" dxfId="16761" priority="1253" stopIfTrue="1" operator="equal">
      <formula>"Towel"</formula>
    </cfRule>
    <cfRule type="cellIs" dxfId="16760" priority="1254" stopIfTrue="1" operator="equal">
      <formula>"Napkin Hs"</formula>
    </cfRule>
  </conditionalFormatting>
  <conditionalFormatting sqref="C117">
    <cfRule type="cellIs" dxfId="16759" priority="1249" stopIfTrue="1" operator="equal">
      <formula>"Towel"</formula>
    </cfRule>
    <cfRule type="cellIs" dxfId="16758" priority="1250" stopIfTrue="1" operator="equal">
      <formula>"Napkin Hs"</formula>
    </cfRule>
  </conditionalFormatting>
  <conditionalFormatting sqref="B117:C117">
    <cfRule type="cellIs" dxfId="16757" priority="1247" stopIfTrue="1" operator="equal">
      <formula>"Towel"</formula>
    </cfRule>
    <cfRule type="cellIs" dxfId="16756" priority="1248" stopIfTrue="1" operator="equal">
      <formula>"Napkin Hs"</formula>
    </cfRule>
  </conditionalFormatting>
  <conditionalFormatting sqref="C117">
    <cfRule type="cellIs" dxfId="16755" priority="1243" stopIfTrue="1" operator="equal">
      <formula>"Towel"</formula>
    </cfRule>
    <cfRule type="cellIs" dxfId="16754" priority="1244" stopIfTrue="1" operator="equal">
      <formula>"Napkin Hs"</formula>
    </cfRule>
  </conditionalFormatting>
  <conditionalFormatting sqref="C117">
    <cfRule type="cellIs" dxfId="16753" priority="1245" stopIfTrue="1" operator="equal">
      <formula>"Towel"</formula>
    </cfRule>
    <cfRule type="cellIs" dxfId="16752" priority="1246" stopIfTrue="1" operator="equal">
      <formula>"Napkin Hs"</formula>
    </cfRule>
  </conditionalFormatting>
  <conditionalFormatting sqref="B117:C117">
    <cfRule type="cellIs" dxfId="16751" priority="1241" stopIfTrue="1" operator="equal">
      <formula>"Towel"</formula>
    </cfRule>
    <cfRule type="cellIs" dxfId="16750" priority="1242" stopIfTrue="1" operator="equal">
      <formula>"Napkin Hs"</formula>
    </cfRule>
  </conditionalFormatting>
  <conditionalFormatting sqref="C117">
    <cfRule type="cellIs" dxfId="16749" priority="1237" stopIfTrue="1" operator="equal">
      <formula>"Towel"</formula>
    </cfRule>
    <cfRule type="cellIs" dxfId="16748" priority="1238" stopIfTrue="1" operator="equal">
      <formula>"Napkin Hs"</formula>
    </cfRule>
  </conditionalFormatting>
  <conditionalFormatting sqref="C117">
    <cfRule type="cellIs" dxfId="16747" priority="1239" stopIfTrue="1" operator="equal">
      <formula>"Towel"</formula>
    </cfRule>
    <cfRule type="cellIs" dxfId="16746" priority="1240" stopIfTrue="1" operator="equal">
      <formula>"Napkin Hs"</formula>
    </cfRule>
  </conditionalFormatting>
  <conditionalFormatting sqref="B117:C117">
    <cfRule type="cellIs" dxfId="16745" priority="1235" stopIfTrue="1" operator="equal">
      <formula>"Towel"</formula>
    </cfRule>
    <cfRule type="cellIs" dxfId="16744" priority="1236" stopIfTrue="1" operator="equal">
      <formula>"Napkin Hs"</formula>
    </cfRule>
  </conditionalFormatting>
  <conditionalFormatting sqref="C117">
    <cfRule type="cellIs" dxfId="16743" priority="1233" stopIfTrue="1" operator="equal">
      <formula>"Towel"</formula>
    </cfRule>
    <cfRule type="cellIs" dxfId="16742" priority="1234" stopIfTrue="1" operator="equal">
      <formula>"Napkin Hs"</formula>
    </cfRule>
  </conditionalFormatting>
  <conditionalFormatting sqref="C117">
    <cfRule type="cellIs" dxfId="16741" priority="1231" stopIfTrue="1" operator="equal">
      <formula>"Towel"</formula>
    </cfRule>
    <cfRule type="cellIs" dxfId="16740" priority="1232" stopIfTrue="1" operator="equal">
      <formula>"Napkin Hs"</formula>
    </cfRule>
  </conditionalFormatting>
  <conditionalFormatting sqref="B117:C117">
    <cfRule type="cellIs" dxfId="16739" priority="1229" stopIfTrue="1" operator="equal">
      <formula>"Towel"</formula>
    </cfRule>
    <cfRule type="cellIs" dxfId="16738" priority="1230" stopIfTrue="1" operator="equal">
      <formula>"Napkin Hs"</formula>
    </cfRule>
  </conditionalFormatting>
  <conditionalFormatting sqref="C117">
    <cfRule type="cellIs" dxfId="16737" priority="1227" stopIfTrue="1" operator="equal">
      <formula>"Towel"</formula>
    </cfRule>
    <cfRule type="cellIs" dxfId="16736" priority="1228" stopIfTrue="1" operator="equal">
      <formula>"Napkin Hs"</formula>
    </cfRule>
  </conditionalFormatting>
  <conditionalFormatting sqref="C117">
    <cfRule type="cellIs" dxfId="16735" priority="1225" stopIfTrue="1" operator="equal">
      <formula>"Towel"</formula>
    </cfRule>
    <cfRule type="cellIs" dxfId="16734" priority="1226" stopIfTrue="1" operator="equal">
      <formula>"Napkin Hs"</formula>
    </cfRule>
  </conditionalFormatting>
  <conditionalFormatting sqref="B117:C117">
    <cfRule type="cellIs" dxfId="16733" priority="1223" stopIfTrue="1" operator="equal">
      <formula>"Towel"</formula>
    </cfRule>
    <cfRule type="cellIs" dxfId="16732" priority="1224" stopIfTrue="1" operator="equal">
      <formula>"Napkin Hs"</formula>
    </cfRule>
  </conditionalFormatting>
  <conditionalFormatting sqref="C117">
    <cfRule type="cellIs" dxfId="16731" priority="1221" stopIfTrue="1" operator="equal">
      <formula>"Towel"</formula>
    </cfRule>
    <cfRule type="cellIs" dxfId="16730" priority="1222" stopIfTrue="1" operator="equal">
      <formula>"Napkin Hs"</formula>
    </cfRule>
  </conditionalFormatting>
  <conditionalFormatting sqref="C117">
    <cfRule type="cellIs" dxfId="16729" priority="1219" stopIfTrue="1" operator="equal">
      <formula>"Towel"</formula>
    </cfRule>
    <cfRule type="cellIs" dxfId="16728" priority="1220" stopIfTrue="1" operator="equal">
      <formula>"Napkin Hs"</formula>
    </cfRule>
  </conditionalFormatting>
  <conditionalFormatting sqref="B117:C117">
    <cfRule type="cellIs" dxfId="16727" priority="1218" stopIfTrue="1" operator="equal">
      <formula>"Napkin Hs"</formula>
    </cfRule>
  </conditionalFormatting>
  <conditionalFormatting sqref="B117:C117">
    <cfRule type="cellIs" dxfId="16726" priority="1217" stopIfTrue="1" operator="equal">
      <formula>"Towel"</formula>
    </cfRule>
  </conditionalFormatting>
  <conditionalFormatting sqref="C117">
    <cfRule type="cellIs" dxfId="16725" priority="1216" stopIfTrue="1" operator="equal">
      <formula>"Napkin Hs"</formula>
    </cfRule>
  </conditionalFormatting>
  <conditionalFormatting sqref="C117">
    <cfRule type="cellIs" dxfId="16724" priority="1213" stopIfTrue="1" operator="equal">
      <formula>"Towel"</formula>
    </cfRule>
    <cfRule type="cellIs" dxfId="16723" priority="1214" stopIfTrue="1" operator="equal">
      <formula>"Napkin Hs"</formula>
    </cfRule>
  </conditionalFormatting>
  <conditionalFormatting sqref="C117">
    <cfRule type="cellIs" dxfId="16722" priority="1215" stopIfTrue="1" operator="equal">
      <formula>"Towel"</formula>
    </cfRule>
  </conditionalFormatting>
  <conditionalFormatting sqref="C125">
    <cfRule type="cellIs" dxfId="16721" priority="1209" stopIfTrue="1" operator="equal">
      <formula>"Towel"</formula>
    </cfRule>
    <cfRule type="cellIs" dxfId="16720" priority="1210" stopIfTrue="1" operator="equal">
      <formula>"Napkin Hs"</formula>
    </cfRule>
  </conditionalFormatting>
  <conditionalFormatting sqref="B125:C125">
    <cfRule type="cellIs" dxfId="16719" priority="1211" stopIfTrue="1" operator="equal">
      <formula>"Towel"</formula>
    </cfRule>
    <cfRule type="cellIs" dxfId="16718" priority="1212" stopIfTrue="1" operator="equal">
      <formula>"Napkin Hs"</formula>
    </cfRule>
  </conditionalFormatting>
  <conditionalFormatting sqref="C125">
    <cfRule type="cellIs" dxfId="16717" priority="1207" stopIfTrue="1" operator="equal">
      <formula>"Towel"</formula>
    </cfRule>
    <cfRule type="cellIs" dxfId="16716" priority="1208" stopIfTrue="1" operator="equal">
      <formula>"Napkin Hs"</formula>
    </cfRule>
  </conditionalFormatting>
  <conditionalFormatting sqref="B125:C125">
    <cfRule type="cellIs" dxfId="16715" priority="1205" stopIfTrue="1" operator="equal">
      <formula>"Towel"</formula>
    </cfRule>
    <cfRule type="cellIs" dxfId="16714" priority="1206" stopIfTrue="1" operator="equal">
      <formula>"Napkin Hs"</formula>
    </cfRule>
  </conditionalFormatting>
  <conditionalFormatting sqref="C125">
    <cfRule type="cellIs" dxfId="16713" priority="1203" stopIfTrue="1" operator="equal">
      <formula>"Towel"</formula>
    </cfRule>
    <cfRule type="cellIs" dxfId="16712" priority="1204" stopIfTrue="1" operator="equal">
      <formula>"Napkin Hs"</formula>
    </cfRule>
  </conditionalFormatting>
  <conditionalFormatting sqref="C125">
    <cfRule type="cellIs" dxfId="16711" priority="1201" stopIfTrue="1" operator="equal">
      <formula>"Towel"</formula>
    </cfRule>
    <cfRule type="cellIs" dxfId="16710" priority="1202" stopIfTrue="1" operator="equal">
      <formula>"Napkin Hs"</formula>
    </cfRule>
  </conditionalFormatting>
  <conditionalFormatting sqref="B124:C124">
    <cfRule type="cellIs" dxfId="16709" priority="1200" stopIfTrue="1" operator="equal">
      <formula>"Napkin Hs"</formula>
    </cfRule>
  </conditionalFormatting>
  <conditionalFormatting sqref="B124:C124">
    <cfRule type="cellIs" dxfId="16708" priority="1199" stopIfTrue="1" operator="equal">
      <formula>"Towel"</formula>
    </cfRule>
  </conditionalFormatting>
  <conditionalFormatting sqref="C124">
    <cfRule type="cellIs" dxfId="16707" priority="1198" stopIfTrue="1" operator="equal">
      <formula>"Napkin Hs"</formula>
    </cfRule>
  </conditionalFormatting>
  <conditionalFormatting sqref="C124">
    <cfRule type="cellIs" dxfId="16706" priority="1197" stopIfTrue="1" operator="equal">
      <formula>"Towel"</formula>
    </cfRule>
  </conditionalFormatting>
  <conditionalFormatting sqref="C124">
    <cfRule type="cellIs" dxfId="16705" priority="1195" stopIfTrue="1" operator="equal">
      <formula>"Towel"</formula>
    </cfRule>
    <cfRule type="cellIs" dxfId="16704" priority="1196" stopIfTrue="1" operator="equal">
      <formula>"Napkin Hs"</formula>
    </cfRule>
  </conditionalFormatting>
  <conditionalFormatting sqref="B124:C124">
    <cfRule type="cellIs" dxfId="16703" priority="1193" stopIfTrue="1" operator="equal">
      <formula>"Towel"</formula>
    </cfRule>
    <cfRule type="cellIs" dxfId="16702" priority="1194" stopIfTrue="1" operator="equal">
      <formula>"Napkin Hs"</formula>
    </cfRule>
  </conditionalFormatting>
  <conditionalFormatting sqref="C124">
    <cfRule type="cellIs" dxfId="16701" priority="1189" stopIfTrue="1" operator="equal">
      <formula>"Towel"</formula>
    </cfRule>
    <cfRule type="cellIs" dxfId="16700" priority="1190" stopIfTrue="1" operator="equal">
      <formula>"Napkin Hs"</formula>
    </cfRule>
  </conditionalFormatting>
  <conditionalFormatting sqref="C124">
    <cfRule type="cellIs" dxfId="16699" priority="1191" stopIfTrue="1" operator="equal">
      <formula>"Towel"</formula>
    </cfRule>
    <cfRule type="cellIs" dxfId="16698" priority="1192" stopIfTrue="1" operator="equal">
      <formula>"Napkin Hs"</formula>
    </cfRule>
  </conditionalFormatting>
  <conditionalFormatting sqref="B124:C124">
    <cfRule type="cellIs" dxfId="16697" priority="1188" stopIfTrue="1" operator="equal">
      <formula>"Napkin Hs"</formula>
    </cfRule>
  </conditionalFormatting>
  <conditionalFormatting sqref="B124:C124">
    <cfRule type="cellIs" dxfId="16696" priority="1187" stopIfTrue="1" operator="equal">
      <formula>"Towel"</formula>
    </cfRule>
  </conditionalFormatting>
  <conditionalFormatting sqref="C124">
    <cfRule type="cellIs" dxfId="16695" priority="1186" stopIfTrue="1" operator="equal">
      <formula>"Napkin Hs"</formula>
    </cfRule>
  </conditionalFormatting>
  <conditionalFormatting sqref="C124">
    <cfRule type="cellIs" dxfId="16694" priority="1185" stopIfTrue="1" operator="equal">
      <formula>"Towel"</formula>
    </cfRule>
  </conditionalFormatting>
  <conditionalFormatting sqref="C124">
    <cfRule type="cellIs" dxfId="16693" priority="1183" stopIfTrue="1" operator="equal">
      <formula>"Towel"</formula>
    </cfRule>
    <cfRule type="cellIs" dxfId="16692" priority="1184" stopIfTrue="1" operator="equal">
      <formula>"Napkin Hs"</formula>
    </cfRule>
  </conditionalFormatting>
  <conditionalFormatting sqref="B124:C124">
    <cfRule type="cellIs" dxfId="16691" priority="1181" stopIfTrue="1" operator="equal">
      <formula>"Towel"</formula>
    </cfRule>
    <cfRule type="cellIs" dxfId="16690" priority="1182" stopIfTrue="1" operator="equal">
      <formula>"Napkin Hs"</formula>
    </cfRule>
  </conditionalFormatting>
  <conditionalFormatting sqref="C124">
    <cfRule type="cellIs" dxfId="16689" priority="1179" stopIfTrue="1" operator="equal">
      <formula>"Towel"</formula>
    </cfRule>
    <cfRule type="cellIs" dxfId="16688" priority="1180" stopIfTrue="1" operator="equal">
      <formula>"Napkin Hs"</formula>
    </cfRule>
  </conditionalFormatting>
  <conditionalFormatting sqref="C124">
    <cfRule type="cellIs" dxfId="16687" priority="1177" stopIfTrue="1" operator="equal">
      <formula>"Towel"</formula>
    </cfRule>
    <cfRule type="cellIs" dxfId="16686" priority="1178" stopIfTrue="1" operator="equal">
      <formula>"Napkin Hs"</formula>
    </cfRule>
  </conditionalFormatting>
  <conditionalFormatting sqref="B124:C124">
    <cfRule type="cellIs" dxfId="16685" priority="1175" stopIfTrue="1" operator="equal">
      <formula>"Towel"</formula>
    </cfRule>
    <cfRule type="cellIs" dxfId="16684" priority="1176" stopIfTrue="1" operator="equal">
      <formula>"Napkin Hs"</formula>
    </cfRule>
  </conditionalFormatting>
  <conditionalFormatting sqref="C124">
    <cfRule type="cellIs" dxfId="16683" priority="1173" stopIfTrue="1" operator="equal">
      <formula>"Towel"</formula>
    </cfRule>
    <cfRule type="cellIs" dxfId="16682" priority="1174" stopIfTrue="1" operator="equal">
      <formula>"Napkin Hs"</formula>
    </cfRule>
  </conditionalFormatting>
  <conditionalFormatting sqref="C124">
    <cfRule type="cellIs" dxfId="16681" priority="1171" stopIfTrue="1" operator="equal">
      <formula>"Towel"</formula>
    </cfRule>
    <cfRule type="cellIs" dxfId="16680" priority="1172" stopIfTrue="1" operator="equal">
      <formula>"Napkin Hs"</formula>
    </cfRule>
  </conditionalFormatting>
  <conditionalFormatting sqref="B124:C124">
    <cfRule type="cellIs" dxfId="16679" priority="1169" stopIfTrue="1" operator="equal">
      <formula>"Towel"</formula>
    </cfRule>
    <cfRule type="cellIs" dxfId="16678" priority="1170" stopIfTrue="1" operator="equal">
      <formula>"Napkin Hs"</formula>
    </cfRule>
  </conditionalFormatting>
  <conditionalFormatting sqref="C124">
    <cfRule type="cellIs" dxfId="16677" priority="1167" stopIfTrue="1" operator="equal">
      <formula>"Towel"</formula>
    </cfRule>
    <cfRule type="cellIs" dxfId="16676" priority="1168" stopIfTrue="1" operator="equal">
      <formula>"Napkin Hs"</formula>
    </cfRule>
  </conditionalFormatting>
  <conditionalFormatting sqref="C124">
    <cfRule type="cellIs" dxfId="16675" priority="1165" stopIfTrue="1" operator="equal">
      <formula>"Towel"</formula>
    </cfRule>
    <cfRule type="cellIs" dxfId="16674" priority="1166" stopIfTrue="1" operator="equal">
      <formula>"Napkin Hs"</formula>
    </cfRule>
  </conditionalFormatting>
  <conditionalFormatting sqref="B124:C124">
    <cfRule type="cellIs" dxfId="16673" priority="1163" stopIfTrue="1" operator="equal">
      <formula>"Towel"</formula>
    </cfRule>
    <cfRule type="cellIs" dxfId="16672" priority="1164" stopIfTrue="1" operator="equal">
      <formula>"Napkin Hs"</formula>
    </cfRule>
  </conditionalFormatting>
  <conditionalFormatting sqref="C124">
    <cfRule type="cellIs" dxfId="16671" priority="1161" stopIfTrue="1" operator="equal">
      <formula>"Towel"</formula>
    </cfRule>
    <cfRule type="cellIs" dxfId="16670" priority="1162" stopIfTrue="1" operator="equal">
      <formula>"Napkin Hs"</formula>
    </cfRule>
  </conditionalFormatting>
  <conditionalFormatting sqref="C124">
    <cfRule type="cellIs" dxfId="16669" priority="1159" stopIfTrue="1" operator="equal">
      <formula>"Towel"</formula>
    </cfRule>
    <cfRule type="cellIs" dxfId="16668" priority="1160" stopIfTrue="1" operator="equal">
      <formula>"Napkin Hs"</formula>
    </cfRule>
  </conditionalFormatting>
  <conditionalFormatting sqref="B124:C124">
    <cfRule type="cellIs" dxfId="16667" priority="1157" stopIfTrue="1" operator="equal">
      <formula>"Towel"</formula>
    </cfRule>
    <cfRule type="cellIs" dxfId="16666" priority="1158" stopIfTrue="1" operator="equal">
      <formula>"Napkin Hs"</formula>
    </cfRule>
  </conditionalFormatting>
  <conditionalFormatting sqref="C124">
    <cfRule type="cellIs" dxfId="16665" priority="1155" stopIfTrue="1" operator="equal">
      <formula>"Towel"</formula>
    </cfRule>
    <cfRule type="cellIs" dxfId="16664" priority="1156" stopIfTrue="1" operator="equal">
      <formula>"Napkin Hs"</formula>
    </cfRule>
  </conditionalFormatting>
  <conditionalFormatting sqref="C124">
    <cfRule type="cellIs" dxfId="16663" priority="1153" stopIfTrue="1" operator="equal">
      <formula>"Towel"</formula>
    </cfRule>
    <cfRule type="cellIs" dxfId="16662" priority="1154" stopIfTrue="1" operator="equal">
      <formula>"Napkin Hs"</formula>
    </cfRule>
  </conditionalFormatting>
  <conditionalFormatting sqref="B124:C124">
    <cfRule type="cellIs" dxfId="16661" priority="1152" stopIfTrue="1" operator="equal">
      <formula>"Napkin Hs"</formula>
    </cfRule>
  </conditionalFormatting>
  <conditionalFormatting sqref="B124:C124">
    <cfRule type="cellIs" dxfId="16660" priority="1151" stopIfTrue="1" operator="equal">
      <formula>"Towel"</formula>
    </cfRule>
  </conditionalFormatting>
  <conditionalFormatting sqref="C124">
    <cfRule type="cellIs" dxfId="16659" priority="1150" stopIfTrue="1" operator="equal">
      <formula>"Napkin Hs"</formula>
    </cfRule>
  </conditionalFormatting>
  <conditionalFormatting sqref="C124">
    <cfRule type="cellIs" dxfId="16658" priority="1147" stopIfTrue="1" operator="equal">
      <formula>"Towel"</formula>
    </cfRule>
    <cfRule type="cellIs" dxfId="16657" priority="1148" stopIfTrue="1" operator="equal">
      <formula>"Napkin Hs"</formula>
    </cfRule>
  </conditionalFormatting>
  <conditionalFormatting sqref="C124">
    <cfRule type="cellIs" dxfId="16656" priority="1149" stopIfTrue="1" operator="equal">
      <formula>"Towel"</formula>
    </cfRule>
  </conditionalFormatting>
  <conditionalFormatting sqref="B125:C125">
    <cfRule type="cellIs" dxfId="16655" priority="1143" stopIfTrue="1" operator="equal">
      <formula>"Towel"</formula>
    </cfRule>
    <cfRule type="cellIs" dxfId="16654" priority="1144" stopIfTrue="1" operator="equal">
      <formula>"Napkin Hs"</formula>
    </cfRule>
  </conditionalFormatting>
  <conditionalFormatting sqref="C125">
    <cfRule type="cellIs" dxfId="16653" priority="1145" stopIfTrue="1" operator="equal">
      <formula>"Towel"</formula>
    </cfRule>
    <cfRule type="cellIs" dxfId="16652" priority="1146" stopIfTrue="1" operator="equal">
      <formula>"Napkin Hs"</formula>
    </cfRule>
  </conditionalFormatting>
  <conditionalFormatting sqref="C125">
    <cfRule type="cellIs" dxfId="16651" priority="1141" stopIfTrue="1" operator="equal">
      <formula>"Towel"</formula>
    </cfRule>
    <cfRule type="cellIs" dxfId="16650" priority="1142" stopIfTrue="1" operator="equal">
      <formula>"Napkin Hs"</formula>
    </cfRule>
  </conditionalFormatting>
  <conditionalFormatting sqref="B125:C125">
    <cfRule type="cellIs" dxfId="16649" priority="1140" stopIfTrue="1" operator="equal">
      <formula>"Napkin Hs"</formula>
    </cfRule>
  </conditionalFormatting>
  <conditionalFormatting sqref="B125:C125">
    <cfRule type="cellIs" dxfId="16648" priority="1139" stopIfTrue="1" operator="equal">
      <formula>"Towel"</formula>
    </cfRule>
  </conditionalFormatting>
  <conditionalFormatting sqref="C125">
    <cfRule type="cellIs" dxfId="16647" priority="1138" stopIfTrue="1" operator="equal">
      <formula>"Napkin Hs"</formula>
    </cfRule>
  </conditionalFormatting>
  <conditionalFormatting sqref="C125">
    <cfRule type="cellIs" dxfId="16646" priority="1137" stopIfTrue="1" operator="equal">
      <formula>"Towel"</formula>
    </cfRule>
  </conditionalFormatting>
  <conditionalFormatting sqref="C125">
    <cfRule type="cellIs" dxfId="16645" priority="1135" stopIfTrue="1" operator="equal">
      <formula>"Towel"</formula>
    </cfRule>
    <cfRule type="cellIs" dxfId="16644" priority="1136" stopIfTrue="1" operator="equal">
      <formula>"Napkin Hs"</formula>
    </cfRule>
  </conditionalFormatting>
  <conditionalFormatting sqref="B125:C125">
    <cfRule type="cellIs" dxfId="16643" priority="1134" stopIfTrue="1" operator="equal">
      <formula>"Napkin Hs"</formula>
    </cfRule>
  </conditionalFormatting>
  <conditionalFormatting sqref="B125:C125">
    <cfRule type="cellIs" dxfId="16642" priority="1133" stopIfTrue="1" operator="equal">
      <formula>"Towel"</formula>
    </cfRule>
  </conditionalFormatting>
  <conditionalFormatting sqref="C125">
    <cfRule type="cellIs" dxfId="16641" priority="1132" stopIfTrue="1" operator="equal">
      <formula>"Napkin Hs"</formula>
    </cfRule>
  </conditionalFormatting>
  <conditionalFormatting sqref="C125">
    <cfRule type="cellIs" dxfId="16640" priority="1131" stopIfTrue="1" operator="equal">
      <formula>"Towel"</formula>
    </cfRule>
  </conditionalFormatting>
  <conditionalFormatting sqref="C125">
    <cfRule type="cellIs" dxfId="16639" priority="1129" stopIfTrue="1" operator="equal">
      <formula>"Towel"</formula>
    </cfRule>
    <cfRule type="cellIs" dxfId="16638" priority="1130" stopIfTrue="1" operator="equal">
      <formula>"Napkin Hs"</formula>
    </cfRule>
  </conditionalFormatting>
  <conditionalFormatting sqref="B125:C125">
    <cfRule type="cellIs" dxfId="16637" priority="1127" stopIfTrue="1" operator="equal">
      <formula>"Towel"</formula>
    </cfRule>
    <cfRule type="cellIs" dxfId="16636" priority="1128" stopIfTrue="1" operator="equal">
      <formula>"Napkin Hs"</formula>
    </cfRule>
  </conditionalFormatting>
  <conditionalFormatting sqref="C125">
    <cfRule type="cellIs" dxfId="16635" priority="1123" stopIfTrue="1" operator="equal">
      <formula>"Towel"</formula>
    </cfRule>
    <cfRule type="cellIs" dxfId="16634" priority="1124" stopIfTrue="1" operator="equal">
      <formula>"Napkin Hs"</formula>
    </cfRule>
  </conditionalFormatting>
  <conditionalFormatting sqref="C125">
    <cfRule type="cellIs" dxfId="16633" priority="1125" stopIfTrue="1" operator="equal">
      <formula>"Towel"</formula>
    </cfRule>
    <cfRule type="cellIs" dxfId="16632" priority="1126" stopIfTrue="1" operator="equal">
      <formula>"Napkin Hs"</formula>
    </cfRule>
  </conditionalFormatting>
  <conditionalFormatting sqref="B125:C125">
    <cfRule type="cellIs" dxfId="16631" priority="1122" stopIfTrue="1" operator="equal">
      <formula>"Napkin Hs"</formula>
    </cfRule>
  </conditionalFormatting>
  <conditionalFormatting sqref="B125:C125">
    <cfRule type="cellIs" dxfId="16630" priority="1121" stopIfTrue="1" operator="equal">
      <formula>"Towel"</formula>
    </cfRule>
  </conditionalFormatting>
  <conditionalFormatting sqref="C125">
    <cfRule type="cellIs" dxfId="16629" priority="1120" stopIfTrue="1" operator="equal">
      <formula>"Napkin Hs"</formula>
    </cfRule>
  </conditionalFormatting>
  <conditionalFormatting sqref="C125">
    <cfRule type="cellIs" dxfId="16628" priority="1119" stopIfTrue="1" operator="equal">
      <formula>"Towel"</formula>
    </cfRule>
  </conditionalFormatting>
  <conditionalFormatting sqref="C125">
    <cfRule type="cellIs" dxfId="16627" priority="1117" stopIfTrue="1" operator="equal">
      <formula>"Towel"</formula>
    </cfRule>
    <cfRule type="cellIs" dxfId="16626" priority="1118" stopIfTrue="1" operator="equal">
      <formula>"Napkin Hs"</formula>
    </cfRule>
  </conditionalFormatting>
  <conditionalFormatting sqref="B125:C125">
    <cfRule type="cellIs" dxfId="16625" priority="1115" stopIfTrue="1" operator="equal">
      <formula>"Towel"</formula>
    </cfRule>
    <cfRule type="cellIs" dxfId="16624" priority="1116" stopIfTrue="1" operator="equal">
      <formula>"Napkin Hs"</formula>
    </cfRule>
  </conditionalFormatting>
  <conditionalFormatting sqref="C125">
    <cfRule type="cellIs" dxfId="16623" priority="1113" stopIfTrue="1" operator="equal">
      <formula>"Towel"</formula>
    </cfRule>
    <cfRule type="cellIs" dxfId="16622" priority="1114" stopIfTrue="1" operator="equal">
      <formula>"Napkin Hs"</formula>
    </cfRule>
  </conditionalFormatting>
  <conditionalFormatting sqref="C125">
    <cfRule type="cellIs" dxfId="16621" priority="1111" stopIfTrue="1" operator="equal">
      <formula>"Towel"</formula>
    </cfRule>
    <cfRule type="cellIs" dxfId="16620" priority="1112" stopIfTrue="1" operator="equal">
      <formula>"Napkin Hs"</formula>
    </cfRule>
  </conditionalFormatting>
  <conditionalFormatting sqref="B125:C125">
    <cfRule type="cellIs" dxfId="16619" priority="1109" stopIfTrue="1" operator="equal">
      <formula>"Towel"</formula>
    </cfRule>
    <cfRule type="cellIs" dxfId="16618" priority="1110" stopIfTrue="1" operator="equal">
      <formula>"Napkin Hs"</formula>
    </cfRule>
  </conditionalFormatting>
  <conditionalFormatting sqref="C125">
    <cfRule type="cellIs" dxfId="16617" priority="1107" stopIfTrue="1" operator="equal">
      <formula>"Towel"</formula>
    </cfRule>
    <cfRule type="cellIs" dxfId="16616" priority="1108" stopIfTrue="1" operator="equal">
      <formula>"Napkin Hs"</formula>
    </cfRule>
  </conditionalFormatting>
  <conditionalFormatting sqref="C125">
    <cfRule type="cellIs" dxfId="16615" priority="1105" stopIfTrue="1" operator="equal">
      <formula>"Towel"</formula>
    </cfRule>
    <cfRule type="cellIs" dxfId="16614" priority="1106" stopIfTrue="1" operator="equal">
      <formula>"Napkin Hs"</formula>
    </cfRule>
  </conditionalFormatting>
  <conditionalFormatting sqref="B125:C125">
    <cfRule type="cellIs" dxfId="16613" priority="1103" stopIfTrue="1" operator="equal">
      <formula>"Towel"</formula>
    </cfRule>
    <cfRule type="cellIs" dxfId="16612" priority="1104" stopIfTrue="1" operator="equal">
      <formula>"Napkin Hs"</formula>
    </cfRule>
  </conditionalFormatting>
  <conditionalFormatting sqref="C125">
    <cfRule type="cellIs" dxfId="16611" priority="1101" stopIfTrue="1" operator="equal">
      <formula>"Towel"</formula>
    </cfRule>
    <cfRule type="cellIs" dxfId="16610" priority="1102" stopIfTrue="1" operator="equal">
      <formula>"Napkin Hs"</formula>
    </cfRule>
  </conditionalFormatting>
  <conditionalFormatting sqref="C125">
    <cfRule type="cellIs" dxfId="16609" priority="1099" stopIfTrue="1" operator="equal">
      <formula>"Towel"</formula>
    </cfRule>
    <cfRule type="cellIs" dxfId="16608" priority="1100" stopIfTrue="1" operator="equal">
      <formula>"Napkin Hs"</formula>
    </cfRule>
  </conditionalFormatting>
  <conditionalFormatting sqref="B125:C125">
    <cfRule type="cellIs" dxfId="16607" priority="1097" stopIfTrue="1" operator="equal">
      <formula>"Towel"</formula>
    </cfRule>
    <cfRule type="cellIs" dxfId="16606" priority="1098" stopIfTrue="1" operator="equal">
      <formula>"Napkin Hs"</formula>
    </cfRule>
  </conditionalFormatting>
  <conditionalFormatting sqref="C125">
    <cfRule type="cellIs" dxfId="16605" priority="1095" stopIfTrue="1" operator="equal">
      <formula>"Towel"</formula>
    </cfRule>
    <cfRule type="cellIs" dxfId="16604" priority="1096" stopIfTrue="1" operator="equal">
      <formula>"Napkin Hs"</formula>
    </cfRule>
  </conditionalFormatting>
  <conditionalFormatting sqref="C125">
    <cfRule type="cellIs" dxfId="16603" priority="1093" stopIfTrue="1" operator="equal">
      <formula>"Towel"</formula>
    </cfRule>
    <cfRule type="cellIs" dxfId="16602" priority="1094" stopIfTrue="1" operator="equal">
      <formula>"Napkin Hs"</formula>
    </cfRule>
  </conditionalFormatting>
  <conditionalFormatting sqref="B125:C125">
    <cfRule type="cellIs" dxfId="16601" priority="1091" stopIfTrue="1" operator="equal">
      <formula>"Towel"</formula>
    </cfRule>
    <cfRule type="cellIs" dxfId="16600" priority="1092" stopIfTrue="1" operator="equal">
      <formula>"Napkin Hs"</formula>
    </cfRule>
  </conditionalFormatting>
  <conditionalFormatting sqref="C125">
    <cfRule type="cellIs" dxfId="16599" priority="1089" stopIfTrue="1" operator="equal">
      <formula>"Towel"</formula>
    </cfRule>
    <cfRule type="cellIs" dxfId="16598" priority="1090" stopIfTrue="1" operator="equal">
      <formula>"Napkin Hs"</formula>
    </cfRule>
  </conditionalFormatting>
  <conditionalFormatting sqref="C125">
    <cfRule type="cellIs" dxfId="16597" priority="1087" stopIfTrue="1" operator="equal">
      <formula>"Towel"</formula>
    </cfRule>
    <cfRule type="cellIs" dxfId="16596" priority="1088" stopIfTrue="1" operator="equal">
      <formula>"Napkin Hs"</formula>
    </cfRule>
  </conditionalFormatting>
  <conditionalFormatting sqref="B125:C125">
    <cfRule type="cellIs" dxfId="16595" priority="1086" stopIfTrue="1" operator="equal">
      <formula>"Napkin Hs"</formula>
    </cfRule>
  </conditionalFormatting>
  <conditionalFormatting sqref="B125:C125">
    <cfRule type="cellIs" dxfId="16594" priority="1085" stopIfTrue="1" operator="equal">
      <formula>"Towel"</formula>
    </cfRule>
  </conditionalFormatting>
  <conditionalFormatting sqref="C125">
    <cfRule type="cellIs" dxfId="16593" priority="1084" stopIfTrue="1" operator="equal">
      <formula>"Napkin Hs"</formula>
    </cfRule>
  </conditionalFormatting>
  <conditionalFormatting sqref="C125">
    <cfRule type="cellIs" dxfId="16592" priority="1081" stopIfTrue="1" operator="equal">
      <formula>"Towel"</formula>
    </cfRule>
    <cfRule type="cellIs" dxfId="16591" priority="1082" stopIfTrue="1" operator="equal">
      <formula>"Napkin Hs"</formula>
    </cfRule>
  </conditionalFormatting>
  <conditionalFormatting sqref="C125">
    <cfRule type="cellIs" dxfId="16590" priority="1083" stopIfTrue="1" operator="equal">
      <formula>"Towel"</formula>
    </cfRule>
  </conditionalFormatting>
  <conditionalFormatting sqref="B124:C124">
    <cfRule type="cellIs" dxfId="16589" priority="1079" stopIfTrue="1" operator="equal">
      <formula>"Towel"</formula>
    </cfRule>
    <cfRule type="cellIs" dxfId="16588" priority="1080" stopIfTrue="1" operator="equal">
      <formula>"Napkin Hs"</formula>
    </cfRule>
  </conditionalFormatting>
  <conditionalFormatting sqref="C124">
    <cfRule type="cellIs" dxfId="16587" priority="1077" stopIfTrue="1" operator="equal">
      <formula>"Towel"</formula>
    </cfRule>
    <cfRule type="cellIs" dxfId="16586" priority="1078" stopIfTrue="1" operator="equal">
      <formula>"Napkin Hs"</formula>
    </cfRule>
  </conditionalFormatting>
  <conditionalFormatting sqref="C124">
    <cfRule type="cellIs" dxfId="16585" priority="1075" stopIfTrue="1" operator="equal">
      <formula>"Towel"</formula>
    </cfRule>
    <cfRule type="cellIs" dxfId="16584" priority="1076" stopIfTrue="1" operator="equal">
      <formula>"Napkin Hs"</formula>
    </cfRule>
  </conditionalFormatting>
  <conditionalFormatting sqref="B124:C124">
    <cfRule type="cellIs" dxfId="16583" priority="1074" stopIfTrue="1" operator="equal">
      <formula>"Napkin Hs"</formula>
    </cfRule>
  </conditionalFormatting>
  <conditionalFormatting sqref="B124:C124">
    <cfRule type="cellIs" dxfId="16582" priority="1073" stopIfTrue="1" operator="equal">
      <formula>"Towel"</formula>
    </cfRule>
  </conditionalFormatting>
  <conditionalFormatting sqref="C124">
    <cfRule type="cellIs" dxfId="16581" priority="1072" stopIfTrue="1" operator="equal">
      <formula>"Napkin Hs"</formula>
    </cfRule>
  </conditionalFormatting>
  <conditionalFormatting sqref="C124">
    <cfRule type="cellIs" dxfId="16580" priority="1071" stopIfTrue="1" operator="equal">
      <formula>"Towel"</formula>
    </cfRule>
  </conditionalFormatting>
  <conditionalFormatting sqref="C124">
    <cfRule type="cellIs" dxfId="16579" priority="1069" stopIfTrue="1" operator="equal">
      <formula>"Towel"</formula>
    </cfRule>
    <cfRule type="cellIs" dxfId="16578" priority="1070" stopIfTrue="1" operator="equal">
      <formula>"Napkin Hs"</formula>
    </cfRule>
  </conditionalFormatting>
  <conditionalFormatting sqref="B124:C124">
    <cfRule type="cellIs" dxfId="16577" priority="1067" stopIfTrue="1" operator="equal">
      <formula>"Towel"</formula>
    </cfRule>
    <cfRule type="cellIs" dxfId="16576" priority="1068" stopIfTrue="1" operator="equal">
      <formula>"Napkin Hs"</formula>
    </cfRule>
  </conditionalFormatting>
  <conditionalFormatting sqref="C124">
    <cfRule type="cellIs" dxfId="16575" priority="1063" stopIfTrue="1" operator="equal">
      <formula>"Towel"</formula>
    </cfRule>
    <cfRule type="cellIs" dxfId="16574" priority="1064" stopIfTrue="1" operator="equal">
      <formula>"Napkin Hs"</formula>
    </cfRule>
  </conditionalFormatting>
  <conditionalFormatting sqref="C124">
    <cfRule type="cellIs" dxfId="16573" priority="1065" stopIfTrue="1" operator="equal">
      <formula>"Towel"</formula>
    </cfRule>
    <cfRule type="cellIs" dxfId="16572" priority="1066" stopIfTrue="1" operator="equal">
      <formula>"Napkin Hs"</formula>
    </cfRule>
  </conditionalFormatting>
  <conditionalFormatting sqref="B124:C124">
    <cfRule type="cellIs" dxfId="16571" priority="1062" stopIfTrue="1" operator="equal">
      <formula>"Napkin Hs"</formula>
    </cfRule>
  </conditionalFormatting>
  <conditionalFormatting sqref="B124:C124">
    <cfRule type="cellIs" dxfId="16570" priority="1061" stopIfTrue="1" operator="equal">
      <formula>"Towel"</formula>
    </cfRule>
  </conditionalFormatting>
  <conditionalFormatting sqref="C124">
    <cfRule type="cellIs" dxfId="16569" priority="1060" stopIfTrue="1" operator="equal">
      <formula>"Napkin Hs"</formula>
    </cfRule>
  </conditionalFormatting>
  <conditionalFormatting sqref="C124">
    <cfRule type="cellIs" dxfId="16568" priority="1059" stopIfTrue="1" operator="equal">
      <formula>"Towel"</formula>
    </cfRule>
  </conditionalFormatting>
  <conditionalFormatting sqref="C124">
    <cfRule type="cellIs" dxfId="16567" priority="1057" stopIfTrue="1" operator="equal">
      <formula>"Towel"</formula>
    </cfRule>
    <cfRule type="cellIs" dxfId="16566" priority="1058" stopIfTrue="1" operator="equal">
      <formula>"Napkin Hs"</formula>
    </cfRule>
  </conditionalFormatting>
  <conditionalFormatting sqref="B124:C124">
    <cfRule type="cellIs" dxfId="16565" priority="1055" stopIfTrue="1" operator="equal">
      <formula>"Towel"</formula>
    </cfRule>
    <cfRule type="cellIs" dxfId="16564" priority="1056" stopIfTrue="1" operator="equal">
      <formula>"Napkin Hs"</formula>
    </cfRule>
  </conditionalFormatting>
  <conditionalFormatting sqref="C124">
    <cfRule type="cellIs" dxfId="16563" priority="1053" stopIfTrue="1" operator="equal">
      <formula>"Towel"</formula>
    </cfRule>
    <cfRule type="cellIs" dxfId="16562" priority="1054" stopIfTrue="1" operator="equal">
      <formula>"Napkin Hs"</formula>
    </cfRule>
  </conditionalFormatting>
  <conditionalFormatting sqref="C124">
    <cfRule type="cellIs" dxfId="16561" priority="1051" stopIfTrue="1" operator="equal">
      <formula>"Towel"</formula>
    </cfRule>
    <cfRule type="cellIs" dxfId="16560" priority="1052" stopIfTrue="1" operator="equal">
      <formula>"Napkin Hs"</formula>
    </cfRule>
  </conditionalFormatting>
  <conditionalFormatting sqref="B124:C124">
    <cfRule type="cellIs" dxfId="16559" priority="1049" stopIfTrue="1" operator="equal">
      <formula>"Towel"</formula>
    </cfRule>
    <cfRule type="cellIs" dxfId="16558" priority="1050" stopIfTrue="1" operator="equal">
      <formula>"Napkin Hs"</formula>
    </cfRule>
  </conditionalFormatting>
  <conditionalFormatting sqref="C124">
    <cfRule type="cellIs" dxfId="16557" priority="1047" stopIfTrue="1" operator="equal">
      <formula>"Towel"</formula>
    </cfRule>
    <cfRule type="cellIs" dxfId="16556" priority="1048" stopIfTrue="1" operator="equal">
      <formula>"Napkin Hs"</formula>
    </cfRule>
  </conditionalFormatting>
  <conditionalFormatting sqref="C124">
    <cfRule type="cellIs" dxfId="16555" priority="1045" stopIfTrue="1" operator="equal">
      <formula>"Towel"</formula>
    </cfRule>
    <cfRule type="cellIs" dxfId="16554" priority="1046" stopIfTrue="1" operator="equal">
      <formula>"Napkin Hs"</formula>
    </cfRule>
  </conditionalFormatting>
  <conditionalFormatting sqref="B124:C124">
    <cfRule type="cellIs" dxfId="16553" priority="1043" stopIfTrue="1" operator="equal">
      <formula>"Towel"</formula>
    </cfRule>
    <cfRule type="cellIs" dxfId="16552" priority="1044" stopIfTrue="1" operator="equal">
      <formula>"Napkin Hs"</formula>
    </cfRule>
  </conditionalFormatting>
  <conditionalFormatting sqref="C124">
    <cfRule type="cellIs" dxfId="16551" priority="1041" stopIfTrue="1" operator="equal">
      <formula>"Towel"</formula>
    </cfRule>
    <cfRule type="cellIs" dxfId="16550" priority="1042" stopIfTrue="1" operator="equal">
      <formula>"Napkin Hs"</formula>
    </cfRule>
  </conditionalFormatting>
  <conditionalFormatting sqref="C124">
    <cfRule type="cellIs" dxfId="16549" priority="1039" stopIfTrue="1" operator="equal">
      <formula>"Towel"</formula>
    </cfRule>
    <cfRule type="cellIs" dxfId="16548" priority="1040" stopIfTrue="1" operator="equal">
      <formula>"Napkin Hs"</formula>
    </cfRule>
  </conditionalFormatting>
  <conditionalFormatting sqref="B124:C124">
    <cfRule type="cellIs" dxfId="16547" priority="1037" stopIfTrue="1" operator="equal">
      <formula>"Towel"</formula>
    </cfRule>
    <cfRule type="cellIs" dxfId="16546" priority="1038" stopIfTrue="1" operator="equal">
      <formula>"Napkin Hs"</formula>
    </cfRule>
  </conditionalFormatting>
  <conditionalFormatting sqref="C124">
    <cfRule type="cellIs" dxfId="16545" priority="1035" stopIfTrue="1" operator="equal">
      <formula>"Towel"</formula>
    </cfRule>
    <cfRule type="cellIs" dxfId="16544" priority="1036" stopIfTrue="1" operator="equal">
      <formula>"Napkin Hs"</formula>
    </cfRule>
  </conditionalFormatting>
  <conditionalFormatting sqref="C124">
    <cfRule type="cellIs" dxfId="16543" priority="1033" stopIfTrue="1" operator="equal">
      <formula>"Towel"</formula>
    </cfRule>
    <cfRule type="cellIs" dxfId="16542" priority="1034" stopIfTrue="1" operator="equal">
      <formula>"Napkin Hs"</formula>
    </cfRule>
  </conditionalFormatting>
  <conditionalFormatting sqref="B124:C124">
    <cfRule type="cellIs" dxfId="16541" priority="1031" stopIfTrue="1" operator="equal">
      <formula>"Towel"</formula>
    </cfRule>
    <cfRule type="cellIs" dxfId="16540" priority="1032" stopIfTrue="1" operator="equal">
      <formula>"Napkin Hs"</formula>
    </cfRule>
  </conditionalFormatting>
  <conditionalFormatting sqref="C124">
    <cfRule type="cellIs" dxfId="16539" priority="1029" stopIfTrue="1" operator="equal">
      <formula>"Towel"</formula>
    </cfRule>
    <cfRule type="cellIs" dxfId="16538" priority="1030" stopIfTrue="1" operator="equal">
      <formula>"Napkin Hs"</formula>
    </cfRule>
  </conditionalFormatting>
  <conditionalFormatting sqref="C124">
    <cfRule type="cellIs" dxfId="16537" priority="1027" stopIfTrue="1" operator="equal">
      <formula>"Towel"</formula>
    </cfRule>
    <cfRule type="cellIs" dxfId="16536" priority="1028" stopIfTrue="1" operator="equal">
      <formula>"Napkin Hs"</formula>
    </cfRule>
  </conditionalFormatting>
  <conditionalFormatting sqref="B124:C124">
    <cfRule type="cellIs" dxfId="16535" priority="1026" stopIfTrue="1" operator="equal">
      <formula>"Napkin Hs"</formula>
    </cfRule>
  </conditionalFormatting>
  <conditionalFormatting sqref="B124:C124">
    <cfRule type="cellIs" dxfId="16534" priority="1025" stopIfTrue="1" operator="equal">
      <formula>"Towel"</formula>
    </cfRule>
  </conditionalFormatting>
  <conditionalFormatting sqref="C124">
    <cfRule type="cellIs" dxfId="16533" priority="1024" stopIfTrue="1" operator="equal">
      <formula>"Napkin Hs"</formula>
    </cfRule>
  </conditionalFormatting>
  <conditionalFormatting sqref="C124">
    <cfRule type="cellIs" dxfId="16532" priority="1021" stopIfTrue="1" operator="equal">
      <formula>"Towel"</formula>
    </cfRule>
    <cfRule type="cellIs" dxfId="16531" priority="1022" stopIfTrue="1" operator="equal">
      <formula>"Napkin Hs"</formula>
    </cfRule>
  </conditionalFormatting>
  <conditionalFormatting sqref="C124">
    <cfRule type="cellIs" dxfId="16530" priority="1023" stopIfTrue="1" operator="equal">
      <formula>"Towel"</formula>
    </cfRule>
  </conditionalFormatting>
  <conditionalFormatting sqref="B124:C124">
    <cfRule type="cellIs" dxfId="16529" priority="1020" stopIfTrue="1" operator="equal">
      <formula>"Napkin Hs"</formula>
    </cfRule>
  </conditionalFormatting>
  <conditionalFormatting sqref="B124:C124">
    <cfRule type="cellIs" dxfId="16528" priority="1019" stopIfTrue="1" operator="equal">
      <formula>"Towel"</formula>
    </cfRule>
  </conditionalFormatting>
  <conditionalFormatting sqref="C124">
    <cfRule type="cellIs" dxfId="16527" priority="1018" stopIfTrue="1" operator="equal">
      <formula>"Napkin Hs"</formula>
    </cfRule>
  </conditionalFormatting>
  <conditionalFormatting sqref="C124">
    <cfRule type="cellIs" dxfId="16526" priority="1017" stopIfTrue="1" operator="equal">
      <formula>"Towel"</formula>
    </cfRule>
  </conditionalFormatting>
  <conditionalFormatting sqref="C124">
    <cfRule type="cellIs" dxfId="16525" priority="1015" stopIfTrue="1" operator="equal">
      <formula>"Towel"</formula>
    </cfRule>
    <cfRule type="cellIs" dxfId="16524" priority="1016" stopIfTrue="1" operator="equal">
      <formula>"Napkin Hs"</formula>
    </cfRule>
  </conditionalFormatting>
  <conditionalFormatting sqref="B124:C124">
    <cfRule type="cellIs" dxfId="16523" priority="1013" stopIfTrue="1" operator="equal">
      <formula>"Towel"</formula>
    </cfRule>
    <cfRule type="cellIs" dxfId="16522" priority="1014" stopIfTrue="1" operator="equal">
      <formula>"Napkin Hs"</formula>
    </cfRule>
  </conditionalFormatting>
  <conditionalFormatting sqref="C124">
    <cfRule type="cellIs" dxfId="16521" priority="1009" stopIfTrue="1" operator="equal">
      <formula>"Towel"</formula>
    </cfRule>
    <cfRule type="cellIs" dxfId="16520" priority="1010" stopIfTrue="1" operator="equal">
      <formula>"Napkin Hs"</formula>
    </cfRule>
  </conditionalFormatting>
  <conditionalFormatting sqref="C124">
    <cfRule type="cellIs" dxfId="16519" priority="1011" stopIfTrue="1" operator="equal">
      <formula>"Towel"</formula>
    </cfRule>
    <cfRule type="cellIs" dxfId="16518" priority="1012" stopIfTrue="1" operator="equal">
      <formula>"Napkin Hs"</formula>
    </cfRule>
  </conditionalFormatting>
  <conditionalFormatting sqref="B124:C124">
    <cfRule type="cellIs" dxfId="16517" priority="1008" stopIfTrue="1" operator="equal">
      <formula>"Napkin Hs"</formula>
    </cfRule>
  </conditionalFormatting>
  <conditionalFormatting sqref="B124:C124">
    <cfRule type="cellIs" dxfId="16516" priority="1007" stopIfTrue="1" operator="equal">
      <formula>"Towel"</formula>
    </cfRule>
  </conditionalFormatting>
  <conditionalFormatting sqref="C124">
    <cfRule type="cellIs" dxfId="16515" priority="1006" stopIfTrue="1" operator="equal">
      <formula>"Napkin Hs"</formula>
    </cfRule>
  </conditionalFormatting>
  <conditionalFormatting sqref="C124">
    <cfRule type="cellIs" dxfId="16514" priority="1005" stopIfTrue="1" operator="equal">
      <formula>"Towel"</formula>
    </cfRule>
  </conditionalFormatting>
  <conditionalFormatting sqref="C124">
    <cfRule type="cellIs" dxfId="16513" priority="1003" stopIfTrue="1" operator="equal">
      <formula>"Towel"</formula>
    </cfRule>
    <cfRule type="cellIs" dxfId="16512" priority="1004" stopIfTrue="1" operator="equal">
      <formula>"Napkin Hs"</formula>
    </cfRule>
  </conditionalFormatting>
  <conditionalFormatting sqref="B124:C124">
    <cfRule type="cellIs" dxfId="16511" priority="1001" stopIfTrue="1" operator="equal">
      <formula>"Towel"</formula>
    </cfRule>
    <cfRule type="cellIs" dxfId="16510" priority="1002" stopIfTrue="1" operator="equal">
      <formula>"Napkin Hs"</formula>
    </cfRule>
  </conditionalFormatting>
  <conditionalFormatting sqref="C124">
    <cfRule type="cellIs" dxfId="16509" priority="999" stopIfTrue="1" operator="equal">
      <formula>"Towel"</formula>
    </cfRule>
    <cfRule type="cellIs" dxfId="16508" priority="1000" stopIfTrue="1" operator="equal">
      <formula>"Napkin Hs"</formula>
    </cfRule>
  </conditionalFormatting>
  <conditionalFormatting sqref="C124">
    <cfRule type="cellIs" dxfId="16507" priority="997" stopIfTrue="1" operator="equal">
      <formula>"Towel"</formula>
    </cfRule>
    <cfRule type="cellIs" dxfId="16506" priority="998" stopIfTrue="1" operator="equal">
      <formula>"Napkin Hs"</formula>
    </cfRule>
  </conditionalFormatting>
  <conditionalFormatting sqref="B124:C124">
    <cfRule type="cellIs" dxfId="16505" priority="995" stopIfTrue="1" operator="equal">
      <formula>"Towel"</formula>
    </cfRule>
    <cfRule type="cellIs" dxfId="16504" priority="996" stopIfTrue="1" operator="equal">
      <formula>"Napkin Hs"</formula>
    </cfRule>
  </conditionalFormatting>
  <conditionalFormatting sqref="C124">
    <cfRule type="cellIs" dxfId="16503" priority="993" stopIfTrue="1" operator="equal">
      <formula>"Towel"</formula>
    </cfRule>
    <cfRule type="cellIs" dxfId="16502" priority="994" stopIfTrue="1" operator="equal">
      <formula>"Napkin Hs"</formula>
    </cfRule>
  </conditionalFormatting>
  <conditionalFormatting sqref="C124">
    <cfRule type="cellIs" dxfId="16501" priority="991" stopIfTrue="1" operator="equal">
      <formula>"Towel"</formula>
    </cfRule>
    <cfRule type="cellIs" dxfId="16500" priority="992" stopIfTrue="1" operator="equal">
      <formula>"Napkin Hs"</formula>
    </cfRule>
  </conditionalFormatting>
  <conditionalFormatting sqref="B124:C124">
    <cfRule type="cellIs" dxfId="16499" priority="989" stopIfTrue="1" operator="equal">
      <formula>"Towel"</formula>
    </cfRule>
    <cfRule type="cellIs" dxfId="16498" priority="990" stopIfTrue="1" operator="equal">
      <formula>"Napkin Hs"</formula>
    </cfRule>
  </conditionalFormatting>
  <conditionalFormatting sqref="C124">
    <cfRule type="cellIs" dxfId="16497" priority="987" stopIfTrue="1" operator="equal">
      <formula>"Towel"</formula>
    </cfRule>
    <cfRule type="cellIs" dxfId="16496" priority="988" stopIfTrue="1" operator="equal">
      <formula>"Napkin Hs"</formula>
    </cfRule>
  </conditionalFormatting>
  <conditionalFormatting sqref="C124">
    <cfRule type="cellIs" dxfId="16495" priority="985" stopIfTrue="1" operator="equal">
      <formula>"Towel"</formula>
    </cfRule>
    <cfRule type="cellIs" dxfId="16494" priority="986" stopIfTrue="1" operator="equal">
      <formula>"Napkin Hs"</formula>
    </cfRule>
  </conditionalFormatting>
  <conditionalFormatting sqref="B124:C124">
    <cfRule type="cellIs" dxfId="16493" priority="983" stopIfTrue="1" operator="equal">
      <formula>"Towel"</formula>
    </cfRule>
    <cfRule type="cellIs" dxfId="16492" priority="984" stopIfTrue="1" operator="equal">
      <formula>"Napkin Hs"</formula>
    </cfRule>
  </conditionalFormatting>
  <conditionalFormatting sqref="C124">
    <cfRule type="cellIs" dxfId="16491" priority="981" stopIfTrue="1" operator="equal">
      <formula>"Towel"</formula>
    </cfRule>
    <cfRule type="cellIs" dxfId="16490" priority="982" stopIfTrue="1" operator="equal">
      <formula>"Napkin Hs"</formula>
    </cfRule>
  </conditionalFormatting>
  <conditionalFormatting sqref="C124">
    <cfRule type="cellIs" dxfId="16489" priority="979" stopIfTrue="1" operator="equal">
      <formula>"Towel"</formula>
    </cfRule>
    <cfRule type="cellIs" dxfId="16488" priority="980" stopIfTrue="1" operator="equal">
      <formula>"Napkin Hs"</formula>
    </cfRule>
  </conditionalFormatting>
  <conditionalFormatting sqref="B124:C124">
    <cfRule type="cellIs" dxfId="16487" priority="977" stopIfTrue="1" operator="equal">
      <formula>"Towel"</formula>
    </cfRule>
    <cfRule type="cellIs" dxfId="16486" priority="978" stopIfTrue="1" operator="equal">
      <formula>"Napkin Hs"</formula>
    </cfRule>
  </conditionalFormatting>
  <conditionalFormatting sqref="C124">
    <cfRule type="cellIs" dxfId="16485" priority="975" stopIfTrue="1" operator="equal">
      <formula>"Towel"</formula>
    </cfRule>
    <cfRule type="cellIs" dxfId="16484" priority="976" stopIfTrue="1" operator="equal">
      <formula>"Napkin Hs"</formula>
    </cfRule>
  </conditionalFormatting>
  <conditionalFormatting sqref="C124">
    <cfRule type="cellIs" dxfId="16483" priority="973" stopIfTrue="1" operator="equal">
      <formula>"Towel"</formula>
    </cfRule>
    <cfRule type="cellIs" dxfId="16482" priority="974" stopIfTrue="1" operator="equal">
      <formula>"Napkin Hs"</formula>
    </cfRule>
  </conditionalFormatting>
  <conditionalFormatting sqref="B124:C124">
    <cfRule type="cellIs" dxfId="16481" priority="972" stopIfTrue="1" operator="equal">
      <formula>"Napkin Hs"</formula>
    </cfRule>
  </conditionalFormatting>
  <conditionalFormatting sqref="B124:C124">
    <cfRule type="cellIs" dxfId="16480" priority="971" stopIfTrue="1" operator="equal">
      <formula>"Towel"</formula>
    </cfRule>
  </conditionalFormatting>
  <conditionalFormatting sqref="C124">
    <cfRule type="cellIs" dxfId="16479" priority="970" stopIfTrue="1" operator="equal">
      <formula>"Napkin Hs"</formula>
    </cfRule>
  </conditionalFormatting>
  <conditionalFormatting sqref="C124">
    <cfRule type="cellIs" dxfId="16478" priority="967" stopIfTrue="1" operator="equal">
      <formula>"Towel"</formula>
    </cfRule>
    <cfRule type="cellIs" dxfId="16477" priority="968" stopIfTrue="1" operator="equal">
      <formula>"Napkin Hs"</formula>
    </cfRule>
  </conditionalFormatting>
  <conditionalFormatting sqref="C124">
    <cfRule type="cellIs" dxfId="16476" priority="969" stopIfTrue="1" operator="equal">
      <formula>"Towel"</formula>
    </cfRule>
  </conditionalFormatting>
  <conditionalFormatting sqref="B124:C124">
    <cfRule type="cellIs" dxfId="16475" priority="966" stopIfTrue="1" operator="equal">
      <formula>"Napkin Hs"</formula>
    </cfRule>
  </conditionalFormatting>
  <conditionalFormatting sqref="B124:C124">
    <cfRule type="cellIs" dxfId="16474" priority="965" stopIfTrue="1" operator="equal">
      <formula>"Towel"</formula>
    </cfRule>
  </conditionalFormatting>
  <conditionalFormatting sqref="C124">
    <cfRule type="cellIs" dxfId="16473" priority="964" stopIfTrue="1" operator="equal">
      <formula>"Napkin Hs"</formula>
    </cfRule>
  </conditionalFormatting>
  <conditionalFormatting sqref="C124">
    <cfRule type="cellIs" dxfId="16472" priority="961" stopIfTrue="1" operator="equal">
      <formula>"Towel"</formula>
    </cfRule>
    <cfRule type="cellIs" dxfId="16471" priority="962" stopIfTrue="1" operator="equal">
      <formula>"Napkin Hs"</formula>
    </cfRule>
  </conditionalFormatting>
  <conditionalFormatting sqref="C124">
    <cfRule type="cellIs" dxfId="16470" priority="963" stopIfTrue="1" operator="equal">
      <formula>"Towel"</formula>
    </cfRule>
  </conditionalFormatting>
  <conditionalFormatting sqref="B124:C124">
    <cfRule type="cellIs" dxfId="16469" priority="960" stopIfTrue="1" operator="equal">
      <formula>"Napkin Hs"</formula>
    </cfRule>
  </conditionalFormatting>
  <conditionalFormatting sqref="B124:C124">
    <cfRule type="cellIs" dxfId="16468" priority="959" stopIfTrue="1" operator="equal">
      <formula>"Towel"</formula>
    </cfRule>
  </conditionalFormatting>
  <conditionalFormatting sqref="C124">
    <cfRule type="cellIs" dxfId="16467" priority="958" stopIfTrue="1" operator="equal">
      <formula>"Napkin Hs"</formula>
    </cfRule>
  </conditionalFormatting>
  <conditionalFormatting sqref="C124">
    <cfRule type="cellIs" dxfId="16466" priority="955" stopIfTrue="1" operator="equal">
      <formula>"Towel"</formula>
    </cfRule>
    <cfRule type="cellIs" dxfId="16465" priority="956" stopIfTrue="1" operator="equal">
      <formula>"Napkin Hs"</formula>
    </cfRule>
  </conditionalFormatting>
  <conditionalFormatting sqref="C124">
    <cfRule type="cellIs" dxfId="16464" priority="957" stopIfTrue="1" operator="equal">
      <formula>"Towel"</formula>
    </cfRule>
  </conditionalFormatting>
  <conditionalFormatting sqref="B123:C123">
    <cfRule type="cellIs" dxfId="16463" priority="954" stopIfTrue="1" operator="equal">
      <formula>"Napkin Hs"</formula>
    </cfRule>
  </conditionalFormatting>
  <conditionalFormatting sqref="B123:C123">
    <cfRule type="cellIs" dxfId="16462" priority="953" stopIfTrue="1" operator="equal">
      <formula>"Towel"</formula>
    </cfRule>
  </conditionalFormatting>
  <conditionalFormatting sqref="C123">
    <cfRule type="cellIs" dxfId="16461" priority="952" stopIfTrue="1" operator="equal">
      <formula>"Napkin Hs"</formula>
    </cfRule>
  </conditionalFormatting>
  <conditionalFormatting sqref="C123">
    <cfRule type="cellIs" dxfId="16460" priority="951" stopIfTrue="1" operator="equal">
      <formula>"Towel"</formula>
    </cfRule>
  </conditionalFormatting>
  <conditionalFormatting sqref="C123">
    <cfRule type="cellIs" dxfId="16459" priority="949" stopIfTrue="1" operator="equal">
      <formula>"Towel"</formula>
    </cfRule>
    <cfRule type="cellIs" dxfId="16458" priority="950" stopIfTrue="1" operator="equal">
      <formula>"Napkin Hs"</formula>
    </cfRule>
  </conditionalFormatting>
  <conditionalFormatting sqref="B123:C123">
    <cfRule type="cellIs" dxfId="16457" priority="947" stopIfTrue="1" operator="equal">
      <formula>"Towel"</formula>
    </cfRule>
    <cfRule type="cellIs" dxfId="16456" priority="948" stopIfTrue="1" operator="equal">
      <formula>"Napkin Hs"</formula>
    </cfRule>
  </conditionalFormatting>
  <conditionalFormatting sqref="C123">
    <cfRule type="cellIs" dxfId="16455" priority="943" stopIfTrue="1" operator="equal">
      <formula>"Towel"</formula>
    </cfRule>
    <cfRule type="cellIs" dxfId="16454" priority="944" stopIfTrue="1" operator="equal">
      <formula>"Napkin Hs"</formula>
    </cfRule>
  </conditionalFormatting>
  <conditionalFormatting sqref="C123">
    <cfRule type="cellIs" dxfId="16453" priority="945" stopIfTrue="1" operator="equal">
      <formula>"Towel"</formula>
    </cfRule>
    <cfRule type="cellIs" dxfId="16452" priority="946" stopIfTrue="1" operator="equal">
      <formula>"Napkin Hs"</formula>
    </cfRule>
  </conditionalFormatting>
  <conditionalFormatting sqref="B123:C123">
    <cfRule type="cellIs" dxfId="16451" priority="942" stopIfTrue="1" operator="equal">
      <formula>"Napkin Hs"</formula>
    </cfRule>
  </conditionalFormatting>
  <conditionalFormatting sqref="B123:C123">
    <cfRule type="cellIs" dxfId="16450" priority="941" stopIfTrue="1" operator="equal">
      <formula>"Towel"</formula>
    </cfRule>
  </conditionalFormatting>
  <conditionalFormatting sqref="C123">
    <cfRule type="cellIs" dxfId="16449" priority="940" stopIfTrue="1" operator="equal">
      <formula>"Napkin Hs"</formula>
    </cfRule>
  </conditionalFormatting>
  <conditionalFormatting sqref="C123">
    <cfRule type="cellIs" dxfId="16448" priority="939" stopIfTrue="1" operator="equal">
      <formula>"Towel"</formula>
    </cfRule>
  </conditionalFormatting>
  <conditionalFormatting sqref="C123">
    <cfRule type="cellIs" dxfId="16447" priority="937" stopIfTrue="1" operator="equal">
      <formula>"Towel"</formula>
    </cfRule>
    <cfRule type="cellIs" dxfId="16446" priority="938" stopIfTrue="1" operator="equal">
      <formula>"Napkin Hs"</formula>
    </cfRule>
  </conditionalFormatting>
  <conditionalFormatting sqref="B123:C123">
    <cfRule type="cellIs" dxfId="16445" priority="935" stopIfTrue="1" operator="equal">
      <formula>"Towel"</formula>
    </cfRule>
    <cfRule type="cellIs" dxfId="16444" priority="936" stopIfTrue="1" operator="equal">
      <formula>"Napkin Hs"</formula>
    </cfRule>
  </conditionalFormatting>
  <conditionalFormatting sqref="C123">
    <cfRule type="cellIs" dxfId="16443" priority="933" stopIfTrue="1" operator="equal">
      <formula>"Towel"</formula>
    </cfRule>
    <cfRule type="cellIs" dxfId="16442" priority="934" stopIfTrue="1" operator="equal">
      <formula>"Napkin Hs"</formula>
    </cfRule>
  </conditionalFormatting>
  <conditionalFormatting sqref="C123">
    <cfRule type="cellIs" dxfId="16441" priority="931" stopIfTrue="1" operator="equal">
      <formula>"Towel"</formula>
    </cfRule>
    <cfRule type="cellIs" dxfId="16440" priority="932" stopIfTrue="1" operator="equal">
      <formula>"Napkin Hs"</formula>
    </cfRule>
  </conditionalFormatting>
  <conditionalFormatting sqref="B123:C123">
    <cfRule type="cellIs" dxfId="16439" priority="929" stopIfTrue="1" operator="equal">
      <formula>"Towel"</formula>
    </cfRule>
    <cfRule type="cellIs" dxfId="16438" priority="930" stopIfTrue="1" operator="equal">
      <formula>"Napkin Hs"</formula>
    </cfRule>
  </conditionalFormatting>
  <conditionalFormatting sqref="C123">
    <cfRule type="cellIs" dxfId="16437" priority="927" stopIfTrue="1" operator="equal">
      <formula>"Towel"</formula>
    </cfRule>
    <cfRule type="cellIs" dxfId="16436" priority="928" stopIfTrue="1" operator="equal">
      <formula>"Napkin Hs"</formula>
    </cfRule>
  </conditionalFormatting>
  <conditionalFormatting sqref="C123">
    <cfRule type="cellIs" dxfId="16435" priority="925" stopIfTrue="1" operator="equal">
      <formula>"Towel"</formula>
    </cfRule>
    <cfRule type="cellIs" dxfId="16434" priority="926" stopIfTrue="1" operator="equal">
      <formula>"Napkin Hs"</formula>
    </cfRule>
  </conditionalFormatting>
  <conditionalFormatting sqref="B123:C123">
    <cfRule type="cellIs" dxfId="16433" priority="923" stopIfTrue="1" operator="equal">
      <formula>"Towel"</formula>
    </cfRule>
    <cfRule type="cellIs" dxfId="16432" priority="924" stopIfTrue="1" operator="equal">
      <formula>"Napkin Hs"</formula>
    </cfRule>
  </conditionalFormatting>
  <conditionalFormatting sqref="C123">
    <cfRule type="cellIs" dxfId="16431" priority="921" stopIfTrue="1" operator="equal">
      <formula>"Towel"</formula>
    </cfRule>
    <cfRule type="cellIs" dxfId="16430" priority="922" stopIfTrue="1" operator="equal">
      <formula>"Napkin Hs"</formula>
    </cfRule>
  </conditionalFormatting>
  <conditionalFormatting sqref="C123">
    <cfRule type="cellIs" dxfId="16429" priority="919" stopIfTrue="1" operator="equal">
      <formula>"Towel"</formula>
    </cfRule>
    <cfRule type="cellIs" dxfId="16428" priority="920" stopIfTrue="1" operator="equal">
      <formula>"Napkin Hs"</formula>
    </cfRule>
  </conditionalFormatting>
  <conditionalFormatting sqref="B123:C123">
    <cfRule type="cellIs" dxfId="16427" priority="917" stopIfTrue="1" operator="equal">
      <formula>"Towel"</formula>
    </cfRule>
    <cfRule type="cellIs" dxfId="16426" priority="918" stopIfTrue="1" operator="equal">
      <formula>"Napkin Hs"</formula>
    </cfRule>
  </conditionalFormatting>
  <conditionalFormatting sqref="C123">
    <cfRule type="cellIs" dxfId="16425" priority="915" stopIfTrue="1" operator="equal">
      <formula>"Towel"</formula>
    </cfRule>
    <cfRule type="cellIs" dxfId="16424" priority="916" stopIfTrue="1" operator="equal">
      <formula>"Napkin Hs"</formula>
    </cfRule>
  </conditionalFormatting>
  <conditionalFormatting sqref="C123">
    <cfRule type="cellIs" dxfId="16423" priority="913" stopIfTrue="1" operator="equal">
      <formula>"Towel"</formula>
    </cfRule>
    <cfRule type="cellIs" dxfId="16422" priority="914" stopIfTrue="1" operator="equal">
      <formula>"Napkin Hs"</formula>
    </cfRule>
  </conditionalFormatting>
  <conditionalFormatting sqref="B123:C123">
    <cfRule type="cellIs" dxfId="16421" priority="911" stopIfTrue="1" operator="equal">
      <formula>"Towel"</formula>
    </cfRule>
    <cfRule type="cellIs" dxfId="16420" priority="912" stopIfTrue="1" operator="equal">
      <formula>"Napkin Hs"</formula>
    </cfRule>
  </conditionalFormatting>
  <conditionalFormatting sqref="C123">
    <cfRule type="cellIs" dxfId="16419" priority="909" stopIfTrue="1" operator="equal">
      <formula>"Towel"</formula>
    </cfRule>
    <cfRule type="cellIs" dxfId="16418" priority="910" stopIfTrue="1" operator="equal">
      <formula>"Napkin Hs"</formula>
    </cfRule>
  </conditionalFormatting>
  <conditionalFormatting sqref="C123">
    <cfRule type="cellIs" dxfId="16417" priority="907" stopIfTrue="1" operator="equal">
      <formula>"Towel"</formula>
    </cfRule>
    <cfRule type="cellIs" dxfId="16416" priority="908" stopIfTrue="1" operator="equal">
      <formula>"Napkin Hs"</formula>
    </cfRule>
  </conditionalFormatting>
  <conditionalFormatting sqref="B123:C123">
    <cfRule type="cellIs" dxfId="16415" priority="906" stopIfTrue="1" operator="equal">
      <formula>"Napkin Hs"</formula>
    </cfRule>
  </conditionalFormatting>
  <conditionalFormatting sqref="B123:C123">
    <cfRule type="cellIs" dxfId="16414" priority="905" stopIfTrue="1" operator="equal">
      <formula>"Towel"</formula>
    </cfRule>
  </conditionalFormatting>
  <conditionalFormatting sqref="C123">
    <cfRule type="cellIs" dxfId="16413" priority="904" stopIfTrue="1" operator="equal">
      <formula>"Napkin Hs"</formula>
    </cfRule>
  </conditionalFormatting>
  <conditionalFormatting sqref="C123">
    <cfRule type="cellIs" dxfId="16412" priority="901" stopIfTrue="1" operator="equal">
      <formula>"Towel"</formula>
    </cfRule>
    <cfRule type="cellIs" dxfId="16411" priority="902" stopIfTrue="1" operator="equal">
      <formula>"Napkin Hs"</formula>
    </cfRule>
  </conditionalFormatting>
  <conditionalFormatting sqref="C123">
    <cfRule type="cellIs" dxfId="16410" priority="903" stopIfTrue="1" operator="equal">
      <formula>"Towel"</formula>
    </cfRule>
  </conditionalFormatting>
  <conditionalFormatting sqref="B123:C123">
    <cfRule type="cellIs" dxfId="16409" priority="897" stopIfTrue="1" operator="equal">
      <formula>"Towel"</formula>
    </cfRule>
    <cfRule type="cellIs" dxfId="16408" priority="898" stopIfTrue="1" operator="equal">
      <formula>"Napkin Hs"</formula>
    </cfRule>
  </conditionalFormatting>
  <conditionalFormatting sqref="C123">
    <cfRule type="cellIs" dxfId="16407" priority="899" stopIfTrue="1" operator="equal">
      <formula>"Towel"</formula>
    </cfRule>
    <cfRule type="cellIs" dxfId="16406" priority="900" stopIfTrue="1" operator="equal">
      <formula>"Napkin Hs"</formula>
    </cfRule>
  </conditionalFormatting>
  <conditionalFormatting sqref="C123">
    <cfRule type="cellIs" dxfId="16405" priority="895" stopIfTrue="1" operator="equal">
      <formula>"Towel"</formula>
    </cfRule>
    <cfRule type="cellIs" dxfId="16404" priority="896" stopIfTrue="1" operator="equal">
      <formula>"Napkin Hs"</formula>
    </cfRule>
  </conditionalFormatting>
  <conditionalFormatting sqref="B123:C123">
    <cfRule type="cellIs" dxfId="16403" priority="893" stopIfTrue="1" operator="equal">
      <formula>"Towel"</formula>
    </cfRule>
    <cfRule type="cellIs" dxfId="16402" priority="894" stopIfTrue="1" operator="equal">
      <formula>"Napkin Hs"</formula>
    </cfRule>
  </conditionalFormatting>
  <conditionalFormatting sqref="C123">
    <cfRule type="cellIs" dxfId="16401" priority="889" stopIfTrue="1" operator="equal">
      <formula>"Towel"</formula>
    </cfRule>
    <cfRule type="cellIs" dxfId="16400" priority="890" stopIfTrue="1" operator="equal">
      <formula>"Napkin Hs"</formula>
    </cfRule>
  </conditionalFormatting>
  <conditionalFormatting sqref="C123">
    <cfRule type="cellIs" dxfId="16399" priority="891" stopIfTrue="1" operator="equal">
      <formula>"Towel"</formula>
    </cfRule>
    <cfRule type="cellIs" dxfId="16398" priority="892" stopIfTrue="1" operator="equal">
      <formula>"Napkin Hs"</formula>
    </cfRule>
  </conditionalFormatting>
  <conditionalFormatting sqref="B123:C123">
    <cfRule type="cellIs" dxfId="16397" priority="887" stopIfTrue="1" operator="equal">
      <formula>"Towel"</formula>
    </cfRule>
    <cfRule type="cellIs" dxfId="16396" priority="888" stopIfTrue="1" operator="equal">
      <formula>"Napkin Hs"</formula>
    </cfRule>
  </conditionalFormatting>
  <conditionalFormatting sqref="C123">
    <cfRule type="cellIs" dxfId="16395" priority="883" stopIfTrue="1" operator="equal">
      <formula>"Towel"</formula>
    </cfRule>
    <cfRule type="cellIs" dxfId="16394" priority="884" stopIfTrue="1" operator="equal">
      <formula>"Napkin Hs"</formula>
    </cfRule>
  </conditionalFormatting>
  <conditionalFormatting sqref="C123">
    <cfRule type="cellIs" dxfId="16393" priority="885" stopIfTrue="1" operator="equal">
      <formula>"Towel"</formula>
    </cfRule>
    <cfRule type="cellIs" dxfId="16392" priority="886" stopIfTrue="1" operator="equal">
      <formula>"Napkin Hs"</formula>
    </cfRule>
  </conditionalFormatting>
  <conditionalFormatting sqref="B123:C123">
    <cfRule type="cellIs" dxfId="16391" priority="881" stopIfTrue="1" operator="equal">
      <formula>"Towel"</formula>
    </cfRule>
    <cfRule type="cellIs" dxfId="16390" priority="882" stopIfTrue="1" operator="equal">
      <formula>"Napkin Hs"</formula>
    </cfRule>
  </conditionalFormatting>
  <conditionalFormatting sqref="C123">
    <cfRule type="cellIs" dxfId="16389" priority="879" stopIfTrue="1" operator="equal">
      <formula>"Towel"</formula>
    </cfRule>
    <cfRule type="cellIs" dxfId="16388" priority="880" stopIfTrue="1" operator="equal">
      <formula>"Napkin Hs"</formula>
    </cfRule>
  </conditionalFormatting>
  <conditionalFormatting sqref="C123">
    <cfRule type="cellIs" dxfId="16387" priority="877" stopIfTrue="1" operator="equal">
      <formula>"Towel"</formula>
    </cfRule>
    <cfRule type="cellIs" dxfId="16386" priority="878" stopIfTrue="1" operator="equal">
      <formula>"Napkin Hs"</formula>
    </cfRule>
  </conditionalFormatting>
  <conditionalFormatting sqref="B123:C123">
    <cfRule type="cellIs" dxfId="16385" priority="875" stopIfTrue="1" operator="equal">
      <formula>"Towel"</formula>
    </cfRule>
    <cfRule type="cellIs" dxfId="16384" priority="876" stopIfTrue="1" operator="equal">
      <formula>"Napkin Hs"</formula>
    </cfRule>
  </conditionalFormatting>
  <conditionalFormatting sqref="C123">
    <cfRule type="cellIs" dxfId="16383" priority="873" stopIfTrue="1" operator="equal">
      <formula>"Towel"</formula>
    </cfRule>
    <cfRule type="cellIs" dxfId="16382" priority="874" stopIfTrue="1" operator="equal">
      <formula>"Napkin Hs"</formula>
    </cfRule>
  </conditionalFormatting>
  <conditionalFormatting sqref="C123">
    <cfRule type="cellIs" dxfId="16381" priority="871" stopIfTrue="1" operator="equal">
      <formula>"Towel"</formula>
    </cfRule>
    <cfRule type="cellIs" dxfId="16380" priority="872" stopIfTrue="1" operator="equal">
      <formula>"Napkin Hs"</formula>
    </cfRule>
  </conditionalFormatting>
  <conditionalFormatting sqref="B123:C123">
    <cfRule type="cellIs" dxfId="16379" priority="869" stopIfTrue="1" operator="equal">
      <formula>"Towel"</formula>
    </cfRule>
    <cfRule type="cellIs" dxfId="16378" priority="870" stopIfTrue="1" operator="equal">
      <formula>"Napkin Hs"</formula>
    </cfRule>
  </conditionalFormatting>
  <conditionalFormatting sqref="C123">
    <cfRule type="cellIs" dxfId="16377" priority="867" stopIfTrue="1" operator="equal">
      <formula>"Towel"</formula>
    </cfRule>
    <cfRule type="cellIs" dxfId="16376" priority="868" stopIfTrue="1" operator="equal">
      <formula>"Napkin Hs"</formula>
    </cfRule>
  </conditionalFormatting>
  <conditionalFormatting sqref="C123">
    <cfRule type="cellIs" dxfId="16375" priority="865" stopIfTrue="1" operator="equal">
      <formula>"Towel"</formula>
    </cfRule>
    <cfRule type="cellIs" dxfId="16374" priority="866" stopIfTrue="1" operator="equal">
      <formula>"Napkin Hs"</formula>
    </cfRule>
  </conditionalFormatting>
  <conditionalFormatting sqref="B123:C123">
    <cfRule type="cellIs" dxfId="16373" priority="864" stopIfTrue="1" operator="equal">
      <formula>"Napkin Hs"</formula>
    </cfRule>
  </conditionalFormatting>
  <conditionalFormatting sqref="B123:C123">
    <cfRule type="cellIs" dxfId="16372" priority="863" stopIfTrue="1" operator="equal">
      <formula>"Towel"</formula>
    </cfRule>
  </conditionalFormatting>
  <conditionalFormatting sqref="C123">
    <cfRule type="cellIs" dxfId="16371" priority="862" stopIfTrue="1" operator="equal">
      <formula>"Napkin Hs"</formula>
    </cfRule>
  </conditionalFormatting>
  <conditionalFormatting sqref="C123">
    <cfRule type="cellIs" dxfId="16370" priority="859" stopIfTrue="1" operator="equal">
      <formula>"Towel"</formula>
    </cfRule>
    <cfRule type="cellIs" dxfId="16369" priority="860" stopIfTrue="1" operator="equal">
      <formula>"Napkin Hs"</formula>
    </cfRule>
  </conditionalFormatting>
  <conditionalFormatting sqref="C123">
    <cfRule type="cellIs" dxfId="16368" priority="861" stopIfTrue="1" operator="equal">
      <formula>"Towel"</formula>
    </cfRule>
  </conditionalFormatting>
  <conditionalFormatting sqref="C130">
    <cfRule type="cellIs" dxfId="16367" priority="855" stopIfTrue="1" operator="equal">
      <formula>"Towel"</formula>
    </cfRule>
    <cfRule type="cellIs" dxfId="16366" priority="856" stopIfTrue="1" operator="equal">
      <formula>"Napkin Hs"</formula>
    </cfRule>
  </conditionalFormatting>
  <conditionalFormatting sqref="C130">
    <cfRule type="cellIs" dxfId="16365" priority="857" stopIfTrue="1" operator="equal">
      <formula>"Towel"</formula>
    </cfRule>
    <cfRule type="cellIs" dxfId="16364" priority="858" stopIfTrue="1" operator="equal">
      <formula>"Napkin Hs"</formula>
    </cfRule>
  </conditionalFormatting>
  <conditionalFormatting sqref="C130">
    <cfRule type="cellIs" dxfId="16363" priority="853" stopIfTrue="1" operator="equal">
      <formula>"Towel"</formula>
    </cfRule>
    <cfRule type="cellIs" dxfId="16362" priority="854" stopIfTrue="1" operator="equal">
      <formula>"Napkin Hs"</formula>
    </cfRule>
  </conditionalFormatting>
  <conditionalFormatting sqref="C130">
    <cfRule type="cellIs" dxfId="16361" priority="851" stopIfTrue="1" operator="equal">
      <formula>"Towel"</formula>
    </cfRule>
    <cfRule type="cellIs" dxfId="16360" priority="852" stopIfTrue="1" operator="equal">
      <formula>"Napkin Hs"</formula>
    </cfRule>
  </conditionalFormatting>
  <conditionalFormatting sqref="C130">
    <cfRule type="cellIs" dxfId="16359" priority="849" stopIfTrue="1" operator="equal">
      <formula>"Towel"</formula>
    </cfRule>
    <cfRule type="cellIs" dxfId="16358" priority="850" stopIfTrue="1" operator="equal">
      <formula>"Napkin Hs"</formula>
    </cfRule>
  </conditionalFormatting>
  <conditionalFormatting sqref="C130">
    <cfRule type="cellIs" dxfId="16357" priority="847" stopIfTrue="1" operator="equal">
      <formula>"Towel"</formula>
    </cfRule>
    <cfRule type="cellIs" dxfId="16356" priority="848" stopIfTrue="1" operator="equal">
      <formula>"Napkin Hs"</formula>
    </cfRule>
  </conditionalFormatting>
  <conditionalFormatting sqref="B129:C129 B130:B131">
    <cfRule type="cellIs" dxfId="16355" priority="846" stopIfTrue="1" operator="equal">
      <formula>"Napkin Hs"</formula>
    </cfRule>
  </conditionalFormatting>
  <conditionalFormatting sqref="B129:C129 B130:B131">
    <cfRule type="cellIs" dxfId="16354" priority="845" stopIfTrue="1" operator="equal">
      <formula>"Towel"</formula>
    </cfRule>
  </conditionalFormatting>
  <conditionalFormatting sqref="C129">
    <cfRule type="cellIs" dxfId="16353" priority="844" stopIfTrue="1" operator="equal">
      <formula>"Napkin Hs"</formula>
    </cfRule>
  </conditionalFormatting>
  <conditionalFormatting sqref="C129">
    <cfRule type="cellIs" dxfId="16352" priority="843" stopIfTrue="1" operator="equal">
      <formula>"Towel"</formula>
    </cfRule>
  </conditionalFormatting>
  <conditionalFormatting sqref="C129">
    <cfRule type="cellIs" dxfId="16351" priority="841" stopIfTrue="1" operator="equal">
      <formula>"Towel"</formula>
    </cfRule>
    <cfRule type="cellIs" dxfId="16350" priority="842" stopIfTrue="1" operator="equal">
      <formula>"Napkin Hs"</formula>
    </cfRule>
  </conditionalFormatting>
  <conditionalFormatting sqref="B129:C129 B130:B131">
    <cfRule type="cellIs" dxfId="16349" priority="839" stopIfTrue="1" operator="equal">
      <formula>"Towel"</formula>
    </cfRule>
    <cfRule type="cellIs" dxfId="16348" priority="840" stopIfTrue="1" operator="equal">
      <formula>"Napkin Hs"</formula>
    </cfRule>
  </conditionalFormatting>
  <conditionalFormatting sqref="C129">
    <cfRule type="cellIs" dxfId="16347" priority="835" stopIfTrue="1" operator="equal">
      <formula>"Towel"</formula>
    </cfRule>
    <cfRule type="cellIs" dxfId="16346" priority="836" stopIfTrue="1" operator="equal">
      <formula>"Napkin Hs"</formula>
    </cfRule>
  </conditionalFormatting>
  <conditionalFormatting sqref="C129">
    <cfRule type="cellIs" dxfId="16345" priority="837" stopIfTrue="1" operator="equal">
      <formula>"Towel"</formula>
    </cfRule>
    <cfRule type="cellIs" dxfId="16344" priority="838" stopIfTrue="1" operator="equal">
      <formula>"Napkin Hs"</formula>
    </cfRule>
  </conditionalFormatting>
  <conditionalFormatting sqref="B129:C129 B130:B131">
    <cfRule type="cellIs" dxfId="16343" priority="834" stopIfTrue="1" operator="equal">
      <formula>"Napkin Hs"</formula>
    </cfRule>
  </conditionalFormatting>
  <conditionalFormatting sqref="B129:C129 B130:B131">
    <cfRule type="cellIs" dxfId="16342" priority="833" stopIfTrue="1" operator="equal">
      <formula>"Towel"</formula>
    </cfRule>
  </conditionalFormatting>
  <conditionalFormatting sqref="C129">
    <cfRule type="cellIs" dxfId="16341" priority="832" stopIfTrue="1" operator="equal">
      <formula>"Napkin Hs"</formula>
    </cfRule>
  </conditionalFormatting>
  <conditionalFormatting sqref="C129">
    <cfRule type="cellIs" dxfId="16340" priority="831" stopIfTrue="1" operator="equal">
      <formula>"Towel"</formula>
    </cfRule>
  </conditionalFormatting>
  <conditionalFormatting sqref="C129">
    <cfRule type="cellIs" dxfId="16339" priority="829" stopIfTrue="1" operator="equal">
      <formula>"Towel"</formula>
    </cfRule>
    <cfRule type="cellIs" dxfId="16338" priority="830" stopIfTrue="1" operator="equal">
      <formula>"Napkin Hs"</formula>
    </cfRule>
  </conditionalFormatting>
  <conditionalFormatting sqref="B129:C129 B130:B131">
    <cfRule type="cellIs" dxfId="16337" priority="827" stopIfTrue="1" operator="equal">
      <formula>"Towel"</formula>
    </cfRule>
    <cfRule type="cellIs" dxfId="16336" priority="828" stopIfTrue="1" operator="equal">
      <formula>"Napkin Hs"</formula>
    </cfRule>
  </conditionalFormatting>
  <conditionalFormatting sqref="C129">
    <cfRule type="cellIs" dxfId="16335" priority="825" stopIfTrue="1" operator="equal">
      <formula>"Towel"</formula>
    </cfRule>
    <cfRule type="cellIs" dxfId="16334" priority="826" stopIfTrue="1" operator="equal">
      <formula>"Napkin Hs"</formula>
    </cfRule>
  </conditionalFormatting>
  <conditionalFormatting sqref="C129">
    <cfRule type="cellIs" dxfId="16333" priority="823" stopIfTrue="1" operator="equal">
      <formula>"Towel"</formula>
    </cfRule>
    <cfRule type="cellIs" dxfId="16332" priority="824" stopIfTrue="1" operator="equal">
      <formula>"Napkin Hs"</formula>
    </cfRule>
  </conditionalFormatting>
  <conditionalFormatting sqref="B129:C129 B130:B131">
    <cfRule type="cellIs" dxfId="16331" priority="821" stopIfTrue="1" operator="equal">
      <formula>"Towel"</formula>
    </cfRule>
    <cfRule type="cellIs" dxfId="16330" priority="822" stopIfTrue="1" operator="equal">
      <formula>"Napkin Hs"</formula>
    </cfRule>
  </conditionalFormatting>
  <conditionalFormatting sqref="C129">
    <cfRule type="cellIs" dxfId="16329" priority="819" stopIfTrue="1" operator="equal">
      <formula>"Towel"</formula>
    </cfRule>
    <cfRule type="cellIs" dxfId="16328" priority="820" stopIfTrue="1" operator="equal">
      <formula>"Napkin Hs"</formula>
    </cfRule>
  </conditionalFormatting>
  <conditionalFormatting sqref="C129">
    <cfRule type="cellIs" dxfId="16327" priority="817" stopIfTrue="1" operator="equal">
      <formula>"Towel"</formula>
    </cfRule>
    <cfRule type="cellIs" dxfId="16326" priority="818" stopIfTrue="1" operator="equal">
      <formula>"Napkin Hs"</formula>
    </cfRule>
  </conditionalFormatting>
  <conditionalFormatting sqref="B129:C129 B130:B131">
    <cfRule type="cellIs" dxfId="16325" priority="815" stopIfTrue="1" operator="equal">
      <formula>"Towel"</formula>
    </cfRule>
    <cfRule type="cellIs" dxfId="16324" priority="816" stopIfTrue="1" operator="equal">
      <formula>"Napkin Hs"</formula>
    </cfRule>
  </conditionalFormatting>
  <conditionalFormatting sqref="C129">
    <cfRule type="cellIs" dxfId="16323" priority="813" stopIfTrue="1" operator="equal">
      <formula>"Towel"</formula>
    </cfRule>
    <cfRule type="cellIs" dxfId="16322" priority="814" stopIfTrue="1" operator="equal">
      <formula>"Napkin Hs"</formula>
    </cfRule>
  </conditionalFormatting>
  <conditionalFormatting sqref="C129">
    <cfRule type="cellIs" dxfId="16321" priority="811" stopIfTrue="1" operator="equal">
      <formula>"Towel"</formula>
    </cfRule>
    <cfRule type="cellIs" dxfId="16320" priority="812" stopIfTrue="1" operator="equal">
      <formula>"Napkin Hs"</formula>
    </cfRule>
  </conditionalFormatting>
  <conditionalFormatting sqref="B129:C129 B130:B131">
    <cfRule type="cellIs" dxfId="16319" priority="809" stopIfTrue="1" operator="equal">
      <formula>"Towel"</formula>
    </cfRule>
    <cfRule type="cellIs" dxfId="16318" priority="810" stopIfTrue="1" operator="equal">
      <formula>"Napkin Hs"</formula>
    </cfRule>
  </conditionalFormatting>
  <conditionalFormatting sqref="C129">
    <cfRule type="cellIs" dxfId="16317" priority="807" stopIfTrue="1" operator="equal">
      <formula>"Towel"</formula>
    </cfRule>
    <cfRule type="cellIs" dxfId="16316" priority="808" stopIfTrue="1" operator="equal">
      <formula>"Napkin Hs"</formula>
    </cfRule>
  </conditionalFormatting>
  <conditionalFormatting sqref="C129">
    <cfRule type="cellIs" dxfId="16315" priority="805" stopIfTrue="1" operator="equal">
      <formula>"Towel"</formula>
    </cfRule>
    <cfRule type="cellIs" dxfId="16314" priority="806" stopIfTrue="1" operator="equal">
      <formula>"Napkin Hs"</formula>
    </cfRule>
  </conditionalFormatting>
  <conditionalFormatting sqref="B129:C129 B130:B131">
    <cfRule type="cellIs" dxfId="16313" priority="803" stopIfTrue="1" operator="equal">
      <formula>"Towel"</formula>
    </cfRule>
    <cfRule type="cellIs" dxfId="16312" priority="804" stopIfTrue="1" operator="equal">
      <formula>"Napkin Hs"</formula>
    </cfRule>
  </conditionalFormatting>
  <conditionalFormatting sqref="C129">
    <cfRule type="cellIs" dxfId="16311" priority="801" stopIfTrue="1" operator="equal">
      <formula>"Towel"</formula>
    </cfRule>
    <cfRule type="cellIs" dxfId="16310" priority="802" stopIfTrue="1" operator="equal">
      <formula>"Napkin Hs"</formula>
    </cfRule>
  </conditionalFormatting>
  <conditionalFormatting sqref="C129">
    <cfRule type="cellIs" dxfId="16309" priority="799" stopIfTrue="1" operator="equal">
      <formula>"Towel"</formula>
    </cfRule>
    <cfRule type="cellIs" dxfId="16308" priority="800" stopIfTrue="1" operator="equal">
      <formula>"Napkin Hs"</formula>
    </cfRule>
  </conditionalFormatting>
  <conditionalFormatting sqref="B129:C129 B130:B131">
    <cfRule type="cellIs" dxfId="16307" priority="798" stopIfTrue="1" operator="equal">
      <formula>"Napkin Hs"</formula>
    </cfRule>
  </conditionalFormatting>
  <conditionalFormatting sqref="B129:C129 B130:B131">
    <cfRule type="cellIs" dxfId="16306" priority="797" stopIfTrue="1" operator="equal">
      <formula>"Towel"</formula>
    </cfRule>
  </conditionalFormatting>
  <conditionalFormatting sqref="C129">
    <cfRule type="cellIs" dxfId="16305" priority="796" stopIfTrue="1" operator="equal">
      <formula>"Napkin Hs"</formula>
    </cfRule>
  </conditionalFormatting>
  <conditionalFormatting sqref="C129">
    <cfRule type="cellIs" dxfId="16304" priority="793" stopIfTrue="1" operator="equal">
      <formula>"Towel"</formula>
    </cfRule>
    <cfRule type="cellIs" dxfId="16303" priority="794" stopIfTrue="1" operator="equal">
      <formula>"Napkin Hs"</formula>
    </cfRule>
  </conditionalFormatting>
  <conditionalFormatting sqref="C129">
    <cfRule type="cellIs" dxfId="16302" priority="795" stopIfTrue="1" operator="equal">
      <formula>"Towel"</formula>
    </cfRule>
  </conditionalFormatting>
  <conditionalFormatting sqref="C130">
    <cfRule type="cellIs" dxfId="16301" priority="789" stopIfTrue="1" operator="equal">
      <formula>"Towel"</formula>
    </cfRule>
    <cfRule type="cellIs" dxfId="16300" priority="790" stopIfTrue="1" operator="equal">
      <formula>"Napkin Hs"</formula>
    </cfRule>
  </conditionalFormatting>
  <conditionalFormatting sqref="C130">
    <cfRule type="cellIs" dxfId="16299" priority="791" stopIfTrue="1" operator="equal">
      <formula>"Towel"</formula>
    </cfRule>
    <cfRule type="cellIs" dxfId="16298" priority="792" stopIfTrue="1" operator="equal">
      <formula>"Napkin Hs"</formula>
    </cfRule>
  </conditionalFormatting>
  <conditionalFormatting sqref="C130">
    <cfRule type="cellIs" dxfId="16297" priority="787" stopIfTrue="1" operator="equal">
      <formula>"Towel"</formula>
    </cfRule>
    <cfRule type="cellIs" dxfId="16296" priority="788" stopIfTrue="1" operator="equal">
      <formula>"Napkin Hs"</formula>
    </cfRule>
  </conditionalFormatting>
  <conditionalFormatting sqref="C130">
    <cfRule type="cellIs" dxfId="16295" priority="786" stopIfTrue="1" operator="equal">
      <formula>"Napkin Hs"</formula>
    </cfRule>
  </conditionalFormatting>
  <conditionalFormatting sqref="C130">
    <cfRule type="cellIs" dxfId="16294" priority="785" stopIfTrue="1" operator="equal">
      <formula>"Towel"</formula>
    </cfRule>
  </conditionalFormatting>
  <conditionalFormatting sqref="C130">
    <cfRule type="cellIs" dxfId="16293" priority="784" stopIfTrue="1" operator="equal">
      <formula>"Napkin Hs"</formula>
    </cfRule>
  </conditionalFormatting>
  <conditionalFormatting sqref="C130">
    <cfRule type="cellIs" dxfId="16292" priority="783" stopIfTrue="1" operator="equal">
      <formula>"Towel"</formula>
    </cfRule>
  </conditionalFormatting>
  <conditionalFormatting sqref="C130">
    <cfRule type="cellIs" dxfId="16291" priority="781" stopIfTrue="1" operator="equal">
      <formula>"Towel"</formula>
    </cfRule>
    <cfRule type="cellIs" dxfId="16290" priority="782" stopIfTrue="1" operator="equal">
      <formula>"Napkin Hs"</formula>
    </cfRule>
  </conditionalFormatting>
  <conditionalFormatting sqref="C130">
    <cfRule type="cellIs" dxfId="16289" priority="780" stopIfTrue="1" operator="equal">
      <formula>"Napkin Hs"</formula>
    </cfRule>
  </conditionalFormatting>
  <conditionalFormatting sqref="C130">
    <cfRule type="cellIs" dxfId="16288" priority="779" stopIfTrue="1" operator="equal">
      <formula>"Towel"</formula>
    </cfRule>
  </conditionalFormatting>
  <conditionalFormatting sqref="C130">
    <cfRule type="cellIs" dxfId="16287" priority="778" stopIfTrue="1" operator="equal">
      <formula>"Napkin Hs"</formula>
    </cfRule>
  </conditionalFormatting>
  <conditionalFormatting sqref="C130">
    <cfRule type="cellIs" dxfId="16286" priority="777" stopIfTrue="1" operator="equal">
      <formula>"Towel"</formula>
    </cfRule>
  </conditionalFormatting>
  <conditionalFormatting sqref="C130">
    <cfRule type="cellIs" dxfId="16285" priority="775" stopIfTrue="1" operator="equal">
      <formula>"Towel"</formula>
    </cfRule>
    <cfRule type="cellIs" dxfId="16284" priority="776" stopIfTrue="1" operator="equal">
      <formula>"Napkin Hs"</formula>
    </cfRule>
  </conditionalFormatting>
  <conditionalFormatting sqref="C130">
    <cfRule type="cellIs" dxfId="16283" priority="773" stopIfTrue="1" operator="equal">
      <formula>"Towel"</formula>
    </cfRule>
    <cfRule type="cellIs" dxfId="16282" priority="774" stopIfTrue="1" operator="equal">
      <formula>"Napkin Hs"</formula>
    </cfRule>
  </conditionalFormatting>
  <conditionalFormatting sqref="C130">
    <cfRule type="cellIs" dxfId="16281" priority="769" stopIfTrue="1" operator="equal">
      <formula>"Towel"</formula>
    </cfRule>
    <cfRule type="cellIs" dxfId="16280" priority="770" stopIfTrue="1" operator="equal">
      <formula>"Napkin Hs"</formula>
    </cfRule>
  </conditionalFormatting>
  <conditionalFormatting sqref="C130">
    <cfRule type="cellIs" dxfId="16279" priority="771" stopIfTrue="1" operator="equal">
      <formula>"Towel"</formula>
    </cfRule>
    <cfRule type="cellIs" dxfId="16278" priority="772" stopIfTrue="1" operator="equal">
      <formula>"Napkin Hs"</formula>
    </cfRule>
  </conditionalFormatting>
  <conditionalFormatting sqref="C130">
    <cfRule type="cellIs" dxfId="16277" priority="768" stopIfTrue="1" operator="equal">
      <formula>"Napkin Hs"</formula>
    </cfRule>
  </conditionalFormatting>
  <conditionalFormatting sqref="C130">
    <cfRule type="cellIs" dxfId="16276" priority="767" stopIfTrue="1" operator="equal">
      <formula>"Towel"</formula>
    </cfRule>
  </conditionalFormatting>
  <conditionalFormatting sqref="C130">
    <cfRule type="cellIs" dxfId="16275" priority="766" stopIfTrue="1" operator="equal">
      <formula>"Napkin Hs"</formula>
    </cfRule>
  </conditionalFormatting>
  <conditionalFormatting sqref="C130">
    <cfRule type="cellIs" dxfId="16274" priority="765" stopIfTrue="1" operator="equal">
      <formula>"Towel"</formula>
    </cfRule>
  </conditionalFormatting>
  <conditionalFormatting sqref="C130">
    <cfRule type="cellIs" dxfId="16273" priority="763" stopIfTrue="1" operator="equal">
      <formula>"Towel"</formula>
    </cfRule>
    <cfRule type="cellIs" dxfId="16272" priority="764" stopIfTrue="1" operator="equal">
      <formula>"Napkin Hs"</formula>
    </cfRule>
  </conditionalFormatting>
  <conditionalFormatting sqref="C130">
    <cfRule type="cellIs" dxfId="16271" priority="761" stopIfTrue="1" operator="equal">
      <formula>"Towel"</formula>
    </cfRule>
    <cfRule type="cellIs" dxfId="16270" priority="762" stopIfTrue="1" operator="equal">
      <formula>"Napkin Hs"</formula>
    </cfRule>
  </conditionalFormatting>
  <conditionalFormatting sqref="C130">
    <cfRule type="cellIs" dxfId="16269" priority="759" stopIfTrue="1" operator="equal">
      <formula>"Towel"</formula>
    </cfRule>
    <cfRule type="cellIs" dxfId="16268" priority="760" stopIfTrue="1" operator="equal">
      <formula>"Napkin Hs"</formula>
    </cfRule>
  </conditionalFormatting>
  <conditionalFormatting sqref="C130">
    <cfRule type="cellIs" dxfId="16267" priority="757" stopIfTrue="1" operator="equal">
      <formula>"Towel"</formula>
    </cfRule>
    <cfRule type="cellIs" dxfId="16266" priority="758" stopIfTrue="1" operator="equal">
      <formula>"Napkin Hs"</formula>
    </cfRule>
  </conditionalFormatting>
  <conditionalFormatting sqref="C130">
    <cfRule type="cellIs" dxfId="16265" priority="755" stopIfTrue="1" operator="equal">
      <formula>"Towel"</formula>
    </cfRule>
    <cfRule type="cellIs" dxfId="16264" priority="756" stopIfTrue="1" operator="equal">
      <formula>"Napkin Hs"</formula>
    </cfRule>
  </conditionalFormatting>
  <conditionalFormatting sqref="C130">
    <cfRule type="cellIs" dxfId="16263" priority="753" stopIfTrue="1" operator="equal">
      <formula>"Towel"</formula>
    </cfRule>
    <cfRule type="cellIs" dxfId="16262" priority="754" stopIfTrue="1" operator="equal">
      <formula>"Napkin Hs"</formula>
    </cfRule>
  </conditionalFormatting>
  <conditionalFormatting sqref="C130">
    <cfRule type="cellIs" dxfId="16261" priority="751" stopIfTrue="1" operator="equal">
      <formula>"Towel"</formula>
    </cfRule>
    <cfRule type="cellIs" dxfId="16260" priority="752" stopIfTrue="1" operator="equal">
      <formula>"Napkin Hs"</formula>
    </cfRule>
  </conditionalFormatting>
  <conditionalFormatting sqref="C130">
    <cfRule type="cellIs" dxfId="16259" priority="749" stopIfTrue="1" operator="equal">
      <formula>"Towel"</formula>
    </cfRule>
    <cfRule type="cellIs" dxfId="16258" priority="750" stopIfTrue="1" operator="equal">
      <formula>"Napkin Hs"</formula>
    </cfRule>
  </conditionalFormatting>
  <conditionalFormatting sqref="C130">
    <cfRule type="cellIs" dxfId="16257" priority="747" stopIfTrue="1" operator="equal">
      <formula>"Towel"</formula>
    </cfRule>
    <cfRule type="cellIs" dxfId="16256" priority="748" stopIfTrue="1" operator="equal">
      <formula>"Napkin Hs"</formula>
    </cfRule>
  </conditionalFormatting>
  <conditionalFormatting sqref="C130">
    <cfRule type="cellIs" dxfId="16255" priority="745" stopIfTrue="1" operator="equal">
      <formula>"Towel"</formula>
    </cfRule>
    <cfRule type="cellIs" dxfId="16254" priority="746" stopIfTrue="1" operator="equal">
      <formula>"Napkin Hs"</formula>
    </cfRule>
  </conditionalFormatting>
  <conditionalFormatting sqref="C130">
    <cfRule type="cellIs" dxfId="16253" priority="743" stopIfTrue="1" operator="equal">
      <formula>"Towel"</formula>
    </cfRule>
    <cfRule type="cellIs" dxfId="16252" priority="744" stopIfTrue="1" operator="equal">
      <formula>"Napkin Hs"</formula>
    </cfRule>
  </conditionalFormatting>
  <conditionalFormatting sqref="C130">
    <cfRule type="cellIs" dxfId="16251" priority="741" stopIfTrue="1" operator="equal">
      <formula>"Towel"</formula>
    </cfRule>
    <cfRule type="cellIs" dxfId="16250" priority="742" stopIfTrue="1" operator="equal">
      <formula>"Napkin Hs"</formula>
    </cfRule>
  </conditionalFormatting>
  <conditionalFormatting sqref="C130">
    <cfRule type="cellIs" dxfId="16249" priority="739" stopIfTrue="1" operator="equal">
      <formula>"Towel"</formula>
    </cfRule>
    <cfRule type="cellIs" dxfId="16248" priority="740" stopIfTrue="1" operator="equal">
      <formula>"Napkin Hs"</formula>
    </cfRule>
  </conditionalFormatting>
  <conditionalFormatting sqref="C130">
    <cfRule type="cellIs" dxfId="16247" priority="737" stopIfTrue="1" operator="equal">
      <formula>"Towel"</formula>
    </cfRule>
    <cfRule type="cellIs" dxfId="16246" priority="738" stopIfTrue="1" operator="equal">
      <formula>"Napkin Hs"</formula>
    </cfRule>
  </conditionalFormatting>
  <conditionalFormatting sqref="C130">
    <cfRule type="cellIs" dxfId="16245" priority="735" stopIfTrue="1" operator="equal">
      <formula>"Towel"</formula>
    </cfRule>
    <cfRule type="cellIs" dxfId="16244" priority="736" stopIfTrue="1" operator="equal">
      <formula>"Napkin Hs"</formula>
    </cfRule>
  </conditionalFormatting>
  <conditionalFormatting sqref="C130">
    <cfRule type="cellIs" dxfId="16243" priority="733" stopIfTrue="1" operator="equal">
      <formula>"Towel"</formula>
    </cfRule>
    <cfRule type="cellIs" dxfId="16242" priority="734" stopIfTrue="1" operator="equal">
      <formula>"Napkin Hs"</formula>
    </cfRule>
  </conditionalFormatting>
  <conditionalFormatting sqref="C130">
    <cfRule type="cellIs" dxfId="16241" priority="732" stopIfTrue="1" operator="equal">
      <formula>"Napkin Hs"</formula>
    </cfRule>
  </conditionalFormatting>
  <conditionalFormatting sqref="C130">
    <cfRule type="cellIs" dxfId="16240" priority="731" stopIfTrue="1" operator="equal">
      <formula>"Towel"</formula>
    </cfRule>
  </conditionalFormatting>
  <conditionalFormatting sqref="C130">
    <cfRule type="cellIs" dxfId="16239" priority="730" stopIfTrue="1" operator="equal">
      <formula>"Napkin Hs"</formula>
    </cfRule>
  </conditionalFormatting>
  <conditionalFormatting sqref="C130">
    <cfRule type="cellIs" dxfId="16238" priority="727" stopIfTrue="1" operator="equal">
      <formula>"Towel"</formula>
    </cfRule>
    <cfRule type="cellIs" dxfId="16237" priority="728" stopIfTrue="1" operator="equal">
      <formula>"Napkin Hs"</formula>
    </cfRule>
  </conditionalFormatting>
  <conditionalFormatting sqref="C130">
    <cfRule type="cellIs" dxfId="16236" priority="729" stopIfTrue="1" operator="equal">
      <formula>"Towel"</formula>
    </cfRule>
  </conditionalFormatting>
  <conditionalFormatting sqref="B129:C129 B130:B131">
    <cfRule type="cellIs" dxfId="16235" priority="725" stopIfTrue="1" operator="equal">
      <formula>"Towel"</formula>
    </cfRule>
    <cfRule type="cellIs" dxfId="16234" priority="726" stopIfTrue="1" operator="equal">
      <formula>"Napkin Hs"</formula>
    </cfRule>
  </conditionalFormatting>
  <conditionalFormatting sqref="C129">
    <cfRule type="cellIs" dxfId="16233" priority="723" stopIfTrue="1" operator="equal">
      <formula>"Towel"</formula>
    </cfRule>
    <cfRule type="cellIs" dxfId="16232" priority="724" stopIfTrue="1" operator="equal">
      <formula>"Napkin Hs"</formula>
    </cfRule>
  </conditionalFormatting>
  <conditionalFormatting sqref="C129">
    <cfRule type="cellIs" dxfId="16231" priority="721" stopIfTrue="1" operator="equal">
      <formula>"Towel"</formula>
    </cfRule>
    <cfRule type="cellIs" dxfId="16230" priority="722" stopIfTrue="1" operator="equal">
      <formula>"Napkin Hs"</formula>
    </cfRule>
  </conditionalFormatting>
  <conditionalFormatting sqref="B129:C129 B130:B131">
    <cfRule type="cellIs" dxfId="16229" priority="720" stopIfTrue="1" operator="equal">
      <formula>"Napkin Hs"</formula>
    </cfRule>
  </conditionalFormatting>
  <conditionalFormatting sqref="B129:C129 B130:B131">
    <cfRule type="cellIs" dxfId="16228" priority="719" stopIfTrue="1" operator="equal">
      <formula>"Towel"</formula>
    </cfRule>
  </conditionalFormatting>
  <conditionalFormatting sqref="C129">
    <cfRule type="cellIs" dxfId="16227" priority="718" stopIfTrue="1" operator="equal">
      <formula>"Napkin Hs"</formula>
    </cfRule>
  </conditionalFormatting>
  <conditionalFormatting sqref="C129">
    <cfRule type="cellIs" dxfId="16226" priority="717" stopIfTrue="1" operator="equal">
      <formula>"Towel"</formula>
    </cfRule>
  </conditionalFormatting>
  <conditionalFormatting sqref="C129">
    <cfRule type="cellIs" dxfId="16225" priority="715" stopIfTrue="1" operator="equal">
      <formula>"Towel"</formula>
    </cfRule>
    <cfRule type="cellIs" dxfId="16224" priority="716" stopIfTrue="1" operator="equal">
      <formula>"Napkin Hs"</formula>
    </cfRule>
  </conditionalFormatting>
  <conditionalFormatting sqref="B129:C129 B130:B131">
    <cfRule type="cellIs" dxfId="16223" priority="713" stopIfTrue="1" operator="equal">
      <formula>"Towel"</formula>
    </cfRule>
    <cfRule type="cellIs" dxfId="16222" priority="714" stopIfTrue="1" operator="equal">
      <formula>"Napkin Hs"</formula>
    </cfRule>
  </conditionalFormatting>
  <conditionalFormatting sqref="C129">
    <cfRule type="cellIs" dxfId="16221" priority="709" stopIfTrue="1" operator="equal">
      <formula>"Towel"</formula>
    </cfRule>
    <cfRule type="cellIs" dxfId="16220" priority="710" stopIfTrue="1" operator="equal">
      <formula>"Napkin Hs"</formula>
    </cfRule>
  </conditionalFormatting>
  <conditionalFormatting sqref="C129">
    <cfRule type="cellIs" dxfId="16219" priority="711" stopIfTrue="1" operator="equal">
      <formula>"Towel"</formula>
    </cfRule>
    <cfRule type="cellIs" dxfId="16218" priority="712" stopIfTrue="1" operator="equal">
      <formula>"Napkin Hs"</formula>
    </cfRule>
  </conditionalFormatting>
  <conditionalFormatting sqref="B129:C129 B130:B131">
    <cfRule type="cellIs" dxfId="16217" priority="708" stopIfTrue="1" operator="equal">
      <formula>"Napkin Hs"</formula>
    </cfRule>
  </conditionalFormatting>
  <conditionalFormatting sqref="B129:C129 B130:B131">
    <cfRule type="cellIs" dxfId="16216" priority="707" stopIfTrue="1" operator="equal">
      <formula>"Towel"</formula>
    </cfRule>
  </conditionalFormatting>
  <conditionalFormatting sqref="C129">
    <cfRule type="cellIs" dxfId="16215" priority="706" stopIfTrue="1" operator="equal">
      <formula>"Napkin Hs"</formula>
    </cfRule>
  </conditionalFormatting>
  <conditionalFormatting sqref="C129">
    <cfRule type="cellIs" dxfId="16214" priority="705" stopIfTrue="1" operator="equal">
      <formula>"Towel"</formula>
    </cfRule>
  </conditionalFormatting>
  <conditionalFormatting sqref="C129">
    <cfRule type="cellIs" dxfId="16213" priority="703" stopIfTrue="1" operator="equal">
      <formula>"Towel"</formula>
    </cfRule>
    <cfRule type="cellIs" dxfId="16212" priority="704" stopIfTrue="1" operator="equal">
      <formula>"Napkin Hs"</formula>
    </cfRule>
  </conditionalFormatting>
  <conditionalFormatting sqref="B129:C129 B130:B131">
    <cfRule type="cellIs" dxfId="16211" priority="701" stopIfTrue="1" operator="equal">
      <formula>"Towel"</formula>
    </cfRule>
    <cfRule type="cellIs" dxfId="16210" priority="702" stopIfTrue="1" operator="equal">
      <formula>"Napkin Hs"</formula>
    </cfRule>
  </conditionalFormatting>
  <conditionalFormatting sqref="C129">
    <cfRule type="cellIs" dxfId="16209" priority="699" stopIfTrue="1" operator="equal">
      <formula>"Towel"</formula>
    </cfRule>
    <cfRule type="cellIs" dxfId="16208" priority="700" stopIfTrue="1" operator="equal">
      <formula>"Napkin Hs"</formula>
    </cfRule>
  </conditionalFormatting>
  <conditionalFormatting sqref="C129">
    <cfRule type="cellIs" dxfId="16207" priority="697" stopIfTrue="1" operator="equal">
      <formula>"Towel"</formula>
    </cfRule>
    <cfRule type="cellIs" dxfId="16206" priority="698" stopIfTrue="1" operator="equal">
      <formula>"Napkin Hs"</formula>
    </cfRule>
  </conditionalFormatting>
  <conditionalFormatting sqref="B129:C129 B130:B131">
    <cfRule type="cellIs" dxfId="16205" priority="695" stopIfTrue="1" operator="equal">
      <formula>"Towel"</formula>
    </cfRule>
    <cfRule type="cellIs" dxfId="16204" priority="696" stopIfTrue="1" operator="equal">
      <formula>"Napkin Hs"</formula>
    </cfRule>
  </conditionalFormatting>
  <conditionalFormatting sqref="C129">
    <cfRule type="cellIs" dxfId="16203" priority="693" stopIfTrue="1" operator="equal">
      <formula>"Towel"</formula>
    </cfRule>
    <cfRule type="cellIs" dxfId="16202" priority="694" stopIfTrue="1" operator="equal">
      <formula>"Napkin Hs"</formula>
    </cfRule>
  </conditionalFormatting>
  <conditionalFormatting sqref="C129">
    <cfRule type="cellIs" dxfId="16201" priority="691" stopIfTrue="1" operator="equal">
      <formula>"Towel"</formula>
    </cfRule>
    <cfRule type="cellIs" dxfId="16200" priority="692" stopIfTrue="1" operator="equal">
      <formula>"Napkin Hs"</formula>
    </cfRule>
  </conditionalFormatting>
  <conditionalFormatting sqref="B129:C129 B130:B131">
    <cfRule type="cellIs" dxfId="16199" priority="689" stopIfTrue="1" operator="equal">
      <formula>"Towel"</formula>
    </cfRule>
    <cfRule type="cellIs" dxfId="16198" priority="690" stopIfTrue="1" operator="equal">
      <formula>"Napkin Hs"</formula>
    </cfRule>
  </conditionalFormatting>
  <conditionalFormatting sqref="C129">
    <cfRule type="cellIs" dxfId="16197" priority="687" stopIfTrue="1" operator="equal">
      <formula>"Towel"</formula>
    </cfRule>
    <cfRule type="cellIs" dxfId="16196" priority="688" stopIfTrue="1" operator="equal">
      <formula>"Napkin Hs"</formula>
    </cfRule>
  </conditionalFormatting>
  <conditionalFormatting sqref="C129">
    <cfRule type="cellIs" dxfId="16195" priority="685" stopIfTrue="1" operator="equal">
      <formula>"Towel"</formula>
    </cfRule>
    <cfRule type="cellIs" dxfId="16194" priority="686" stopIfTrue="1" operator="equal">
      <formula>"Napkin Hs"</formula>
    </cfRule>
  </conditionalFormatting>
  <conditionalFormatting sqref="B129:C129 B130:B131">
    <cfRule type="cellIs" dxfId="16193" priority="683" stopIfTrue="1" operator="equal">
      <formula>"Towel"</formula>
    </cfRule>
    <cfRule type="cellIs" dxfId="16192" priority="684" stopIfTrue="1" operator="equal">
      <formula>"Napkin Hs"</formula>
    </cfRule>
  </conditionalFormatting>
  <conditionalFormatting sqref="C129">
    <cfRule type="cellIs" dxfId="16191" priority="681" stopIfTrue="1" operator="equal">
      <formula>"Towel"</formula>
    </cfRule>
    <cfRule type="cellIs" dxfId="16190" priority="682" stopIfTrue="1" operator="equal">
      <formula>"Napkin Hs"</formula>
    </cfRule>
  </conditionalFormatting>
  <conditionalFormatting sqref="C129">
    <cfRule type="cellIs" dxfId="16189" priority="679" stopIfTrue="1" operator="equal">
      <formula>"Towel"</formula>
    </cfRule>
    <cfRule type="cellIs" dxfId="16188" priority="680" stopIfTrue="1" operator="equal">
      <formula>"Napkin Hs"</formula>
    </cfRule>
  </conditionalFormatting>
  <conditionalFormatting sqref="B129:C129 B130:B131">
    <cfRule type="cellIs" dxfId="16187" priority="677" stopIfTrue="1" operator="equal">
      <formula>"Towel"</formula>
    </cfRule>
    <cfRule type="cellIs" dxfId="16186" priority="678" stopIfTrue="1" operator="equal">
      <formula>"Napkin Hs"</formula>
    </cfRule>
  </conditionalFormatting>
  <conditionalFormatting sqref="C129">
    <cfRule type="cellIs" dxfId="16185" priority="675" stopIfTrue="1" operator="equal">
      <formula>"Towel"</formula>
    </cfRule>
    <cfRule type="cellIs" dxfId="16184" priority="676" stopIfTrue="1" operator="equal">
      <formula>"Napkin Hs"</formula>
    </cfRule>
  </conditionalFormatting>
  <conditionalFormatting sqref="C129">
    <cfRule type="cellIs" dxfId="16183" priority="673" stopIfTrue="1" operator="equal">
      <formula>"Towel"</formula>
    </cfRule>
    <cfRule type="cellIs" dxfId="16182" priority="674" stopIfTrue="1" operator="equal">
      <formula>"Napkin Hs"</formula>
    </cfRule>
  </conditionalFormatting>
  <conditionalFormatting sqref="B129:C129 B130:B131">
    <cfRule type="cellIs" dxfId="16181" priority="672" stopIfTrue="1" operator="equal">
      <formula>"Napkin Hs"</formula>
    </cfRule>
  </conditionalFormatting>
  <conditionalFormatting sqref="B129:C129 B130:B131">
    <cfRule type="cellIs" dxfId="16180" priority="671" stopIfTrue="1" operator="equal">
      <formula>"Towel"</formula>
    </cfRule>
  </conditionalFormatting>
  <conditionalFormatting sqref="C129">
    <cfRule type="cellIs" dxfId="16179" priority="670" stopIfTrue="1" operator="equal">
      <formula>"Napkin Hs"</formula>
    </cfRule>
  </conditionalFormatting>
  <conditionalFormatting sqref="C129">
    <cfRule type="cellIs" dxfId="16178" priority="667" stopIfTrue="1" operator="equal">
      <formula>"Towel"</formula>
    </cfRule>
    <cfRule type="cellIs" dxfId="16177" priority="668" stopIfTrue="1" operator="equal">
      <formula>"Napkin Hs"</formula>
    </cfRule>
  </conditionalFormatting>
  <conditionalFormatting sqref="C129">
    <cfRule type="cellIs" dxfId="16176" priority="669" stopIfTrue="1" operator="equal">
      <formula>"Towel"</formula>
    </cfRule>
  </conditionalFormatting>
  <conditionalFormatting sqref="B129:C129 B130:B131">
    <cfRule type="cellIs" dxfId="16175" priority="666" stopIfTrue="1" operator="equal">
      <formula>"Napkin Hs"</formula>
    </cfRule>
  </conditionalFormatting>
  <conditionalFormatting sqref="B129:C129 B130:B131">
    <cfRule type="cellIs" dxfId="16174" priority="665" stopIfTrue="1" operator="equal">
      <formula>"Towel"</formula>
    </cfRule>
  </conditionalFormatting>
  <conditionalFormatting sqref="C129">
    <cfRule type="cellIs" dxfId="16173" priority="664" stopIfTrue="1" operator="equal">
      <formula>"Napkin Hs"</formula>
    </cfRule>
  </conditionalFormatting>
  <conditionalFormatting sqref="C129">
    <cfRule type="cellIs" dxfId="16172" priority="663" stopIfTrue="1" operator="equal">
      <formula>"Towel"</formula>
    </cfRule>
  </conditionalFormatting>
  <conditionalFormatting sqref="C129">
    <cfRule type="cellIs" dxfId="16171" priority="661" stopIfTrue="1" operator="equal">
      <formula>"Towel"</formula>
    </cfRule>
    <cfRule type="cellIs" dxfId="16170" priority="662" stopIfTrue="1" operator="equal">
      <formula>"Napkin Hs"</formula>
    </cfRule>
  </conditionalFormatting>
  <conditionalFormatting sqref="B129:C129 B130:B131">
    <cfRule type="cellIs" dxfId="16169" priority="659" stopIfTrue="1" operator="equal">
      <formula>"Towel"</formula>
    </cfRule>
    <cfRule type="cellIs" dxfId="16168" priority="660" stopIfTrue="1" operator="equal">
      <formula>"Napkin Hs"</formula>
    </cfRule>
  </conditionalFormatting>
  <conditionalFormatting sqref="C129">
    <cfRule type="cellIs" dxfId="16167" priority="655" stopIfTrue="1" operator="equal">
      <formula>"Towel"</formula>
    </cfRule>
    <cfRule type="cellIs" dxfId="16166" priority="656" stopIfTrue="1" operator="equal">
      <formula>"Napkin Hs"</formula>
    </cfRule>
  </conditionalFormatting>
  <conditionalFormatting sqref="C129">
    <cfRule type="cellIs" dxfId="16165" priority="657" stopIfTrue="1" operator="equal">
      <formula>"Towel"</formula>
    </cfRule>
    <cfRule type="cellIs" dxfId="16164" priority="658" stopIfTrue="1" operator="equal">
      <formula>"Napkin Hs"</formula>
    </cfRule>
  </conditionalFormatting>
  <conditionalFormatting sqref="B129:C129 B130:B131">
    <cfRule type="cellIs" dxfId="16163" priority="654" stopIfTrue="1" operator="equal">
      <formula>"Napkin Hs"</formula>
    </cfRule>
  </conditionalFormatting>
  <conditionalFormatting sqref="B129:C129 B130:B131">
    <cfRule type="cellIs" dxfId="16162" priority="653" stopIfTrue="1" operator="equal">
      <formula>"Towel"</formula>
    </cfRule>
  </conditionalFormatting>
  <conditionalFormatting sqref="C129">
    <cfRule type="cellIs" dxfId="16161" priority="652" stopIfTrue="1" operator="equal">
      <formula>"Napkin Hs"</formula>
    </cfRule>
  </conditionalFormatting>
  <conditionalFormatting sqref="C129">
    <cfRule type="cellIs" dxfId="16160" priority="651" stopIfTrue="1" operator="equal">
      <formula>"Towel"</formula>
    </cfRule>
  </conditionalFormatting>
  <conditionalFormatting sqref="C129">
    <cfRule type="cellIs" dxfId="16159" priority="649" stopIfTrue="1" operator="equal">
      <formula>"Towel"</formula>
    </cfRule>
    <cfRule type="cellIs" dxfId="16158" priority="650" stopIfTrue="1" operator="equal">
      <formula>"Napkin Hs"</formula>
    </cfRule>
  </conditionalFormatting>
  <conditionalFormatting sqref="B129:C129 B130:B131">
    <cfRule type="cellIs" dxfId="16157" priority="647" stopIfTrue="1" operator="equal">
      <formula>"Towel"</formula>
    </cfRule>
    <cfRule type="cellIs" dxfId="16156" priority="648" stopIfTrue="1" operator="equal">
      <formula>"Napkin Hs"</formula>
    </cfRule>
  </conditionalFormatting>
  <conditionalFormatting sqref="C129">
    <cfRule type="cellIs" dxfId="16155" priority="645" stopIfTrue="1" operator="equal">
      <formula>"Towel"</formula>
    </cfRule>
    <cfRule type="cellIs" dxfId="16154" priority="646" stopIfTrue="1" operator="equal">
      <formula>"Napkin Hs"</formula>
    </cfRule>
  </conditionalFormatting>
  <conditionalFormatting sqref="C129">
    <cfRule type="cellIs" dxfId="16153" priority="643" stopIfTrue="1" operator="equal">
      <formula>"Towel"</formula>
    </cfRule>
    <cfRule type="cellIs" dxfId="16152" priority="644" stopIfTrue="1" operator="equal">
      <formula>"Napkin Hs"</formula>
    </cfRule>
  </conditionalFormatting>
  <conditionalFormatting sqref="B129:C129 B130:B131">
    <cfRule type="cellIs" dxfId="16151" priority="641" stopIfTrue="1" operator="equal">
      <formula>"Towel"</formula>
    </cfRule>
    <cfRule type="cellIs" dxfId="16150" priority="642" stopIfTrue="1" operator="equal">
      <formula>"Napkin Hs"</formula>
    </cfRule>
  </conditionalFormatting>
  <conditionalFormatting sqref="C129">
    <cfRule type="cellIs" dxfId="16149" priority="639" stopIfTrue="1" operator="equal">
      <formula>"Towel"</formula>
    </cfRule>
    <cfRule type="cellIs" dxfId="16148" priority="640" stopIfTrue="1" operator="equal">
      <formula>"Napkin Hs"</formula>
    </cfRule>
  </conditionalFormatting>
  <conditionalFormatting sqref="C129">
    <cfRule type="cellIs" dxfId="16147" priority="637" stopIfTrue="1" operator="equal">
      <formula>"Towel"</formula>
    </cfRule>
    <cfRule type="cellIs" dxfId="16146" priority="638" stopIfTrue="1" operator="equal">
      <formula>"Napkin Hs"</formula>
    </cfRule>
  </conditionalFormatting>
  <conditionalFormatting sqref="B129:C129 B130:B131">
    <cfRule type="cellIs" dxfId="16145" priority="635" stopIfTrue="1" operator="equal">
      <formula>"Towel"</formula>
    </cfRule>
    <cfRule type="cellIs" dxfId="16144" priority="636" stopIfTrue="1" operator="equal">
      <formula>"Napkin Hs"</formula>
    </cfRule>
  </conditionalFormatting>
  <conditionalFormatting sqref="C129">
    <cfRule type="cellIs" dxfId="16143" priority="633" stopIfTrue="1" operator="equal">
      <formula>"Towel"</formula>
    </cfRule>
    <cfRule type="cellIs" dxfId="16142" priority="634" stopIfTrue="1" operator="equal">
      <formula>"Napkin Hs"</formula>
    </cfRule>
  </conditionalFormatting>
  <conditionalFormatting sqref="C129">
    <cfRule type="cellIs" dxfId="16141" priority="631" stopIfTrue="1" operator="equal">
      <formula>"Towel"</formula>
    </cfRule>
    <cfRule type="cellIs" dxfId="16140" priority="632" stopIfTrue="1" operator="equal">
      <formula>"Napkin Hs"</formula>
    </cfRule>
  </conditionalFormatting>
  <conditionalFormatting sqref="B129:C129 B130:B131">
    <cfRule type="cellIs" dxfId="16139" priority="629" stopIfTrue="1" operator="equal">
      <formula>"Towel"</formula>
    </cfRule>
    <cfRule type="cellIs" dxfId="16138" priority="630" stopIfTrue="1" operator="equal">
      <formula>"Napkin Hs"</formula>
    </cfRule>
  </conditionalFormatting>
  <conditionalFormatting sqref="C129">
    <cfRule type="cellIs" dxfId="16137" priority="627" stopIfTrue="1" operator="equal">
      <formula>"Towel"</formula>
    </cfRule>
    <cfRule type="cellIs" dxfId="16136" priority="628" stopIfTrue="1" operator="equal">
      <formula>"Napkin Hs"</formula>
    </cfRule>
  </conditionalFormatting>
  <conditionalFormatting sqref="C129">
    <cfRule type="cellIs" dxfId="16135" priority="625" stopIfTrue="1" operator="equal">
      <formula>"Towel"</formula>
    </cfRule>
    <cfRule type="cellIs" dxfId="16134" priority="626" stopIfTrue="1" operator="equal">
      <formula>"Napkin Hs"</formula>
    </cfRule>
  </conditionalFormatting>
  <conditionalFormatting sqref="B129:C129 B130:B131">
    <cfRule type="cellIs" dxfId="16133" priority="623" stopIfTrue="1" operator="equal">
      <formula>"Towel"</formula>
    </cfRule>
    <cfRule type="cellIs" dxfId="16132" priority="624" stopIfTrue="1" operator="equal">
      <formula>"Napkin Hs"</formula>
    </cfRule>
  </conditionalFormatting>
  <conditionalFormatting sqref="C129">
    <cfRule type="cellIs" dxfId="16131" priority="621" stopIfTrue="1" operator="equal">
      <formula>"Towel"</formula>
    </cfRule>
    <cfRule type="cellIs" dxfId="16130" priority="622" stopIfTrue="1" operator="equal">
      <formula>"Napkin Hs"</formula>
    </cfRule>
  </conditionalFormatting>
  <conditionalFormatting sqref="C129">
    <cfRule type="cellIs" dxfId="16129" priority="619" stopIfTrue="1" operator="equal">
      <formula>"Towel"</formula>
    </cfRule>
    <cfRule type="cellIs" dxfId="16128" priority="620" stopIfTrue="1" operator="equal">
      <formula>"Napkin Hs"</formula>
    </cfRule>
  </conditionalFormatting>
  <conditionalFormatting sqref="B129:C129 B130:B131">
    <cfRule type="cellIs" dxfId="16127" priority="618" stopIfTrue="1" operator="equal">
      <formula>"Napkin Hs"</formula>
    </cfRule>
  </conditionalFormatting>
  <conditionalFormatting sqref="B129:C129 B130:B131">
    <cfRule type="cellIs" dxfId="16126" priority="617" stopIfTrue="1" operator="equal">
      <formula>"Towel"</formula>
    </cfRule>
  </conditionalFormatting>
  <conditionalFormatting sqref="C129">
    <cfRule type="cellIs" dxfId="16125" priority="616" stopIfTrue="1" operator="equal">
      <formula>"Napkin Hs"</formula>
    </cfRule>
  </conditionalFormatting>
  <conditionalFormatting sqref="C129">
    <cfRule type="cellIs" dxfId="16124" priority="613" stopIfTrue="1" operator="equal">
      <formula>"Towel"</formula>
    </cfRule>
    <cfRule type="cellIs" dxfId="16123" priority="614" stopIfTrue="1" operator="equal">
      <formula>"Napkin Hs"</formula>
    </cfRule>
  </conditionalFormatting>
  <conditionalFormatting sqref="C129">
    <cfRule type="cellIs" dxfId="16122" priority="615" stopIfTrue="1" operator="equal">
      <formula>"Towel"</formula>
    </cfRule>
  </conditionalFormatting>
  <conditionalFormatting sqref="B129:C129 B130:B131">
    <cfRule type="cellIs" dxfId="16121" priority="612" stopIfTrue="1" operator="equal">
      <formula>"Napkin Hs"</formula>
    </cfRule>
  </conditionalFormatting>
  <conditionalFormatting sqref="B129:C129 B130:B131">
    <cfRule type="cellIs" dxfId="16120" priority="611" stopIfTrue="1" operator="equal">
      <formula>"Towel"</formula>
    </cfRule>
  </conditionalFormatting>
  <conditionalFormatting sqref="C129">
    <cfRule type="cellIs" dxfId="16119" priority="610" stopIfTrue="1" operator="equal">
      <formula>"Napkin Hs"</formula>
    </cfRule>
  </conditionalFormatting>
  <conditionalFormatting sqref="C129">
    <cfRule type="cellIs" dxfId="16118" priority="607" stopIfTrue="1" operator="equal">
      <formula>"Towel"</formula>
    </cfRule>
    <cfRule type="cellIs" dxfId="16117" priority="608" stopIfTrue="1" operator="equal">
      <formula>"Napkin Hs"</formula>
    </cfRule>
  </conditionalFormatting>
  <conditionalFormatting sqref="C129">
    <cfRule type="cellIs" dxfId="16116" priority="609" stopIfTrue="1" operator="equal">
      <formula>"Towel"</formula>
    </cfRule>
  </conditionalFormatting>
  <conditionalFormatting sqref="B129:C129 B130:B131">
    <cfRule type="cellIs" dxfId="16115" priority="606" stopIfTrue="1" operator="equal">
      <formula>"Napkin Hs"</formula>
    </cfRule>
  </conditionalFormatting>
  <conditionalFormatting sqref="B129:C129 B130:B131">
    <cfRule type="cellIs" dxfId="16114" priority="605" stopIfTrue="1" operator="equal">
      <formula>"Towel"</formula>
    </cfRule>
  </conditionalFormatting>
  <conditionalFormatting sqref="C129">
    <cfRule type="cellIs" dxfId="16113" priority="604" stopIfTrue="1" operator="equal">
      <formula>"Napkin Hs"</formula>
    </cfRule>
  </conditionalFormatting>
  <conditionalFormatting sqref="C129">
    <cfRule type="cellIs" dxfId="16112" priority="601" stopIfTrue="1" operator="equal">
      <formula>"Towel"</formula>
    </cfRule>
    <cfRule type="cellIs" dxfId="16111" priority="602" stopIfTrue="1" operator="equal">
      <formula>"Napkin Hs"</formula>
    </cfRule>
  </conditionalFormatting>
  <conditionalFormatting sqref="C129">
    <cfRule type="cellIs" dxfId="16110" priority="603" stopIfTrue="1" operator="equal">
      <formula>"Towel"</formula>
    </cfRule>
  </conditionalFormatting>
  <conditionalFormatting sqref="B128:C128">
    <cfRule type="cellIs" dxfId="16109" priority="600" stopIfTrue="1" operator="equal">
      <formula>"Napkin Hs"</formula>
    </cfRule>
  </conditionalFormatting>
  <conditionalFormatting sqref="B128:C128">
    <cfRule type="cellIs" dxfId="16108" priority="599" stopIfTrue="1" operator="equal">
      <formula>"Towel"</formula>
    </cfRule>
  </conditionalFormatting>
  <conditionalFormatting sqref="C128">
    <cfRule type="cellIs" dxfId="16107" priority="598" stopIfTrue="1" operator="equal">
      <formula>"Napkin Hs"</formula>
    </cfRule>
  </conditionalFormatting>
  <conditionalFormatting sqref="C128">
    <cfRule type="cellIs" dxfId="16106" priority="597" stopIfTrue="1" operator="equal">
      <formula>"Towel"</formula>
    </cfRule>
  </conditionalFormatting>
  <conditionalFormatting sqref="C128">
    <cfRule type="cellIs" dxfId="16105" priority="595" stopIfTrue="1" operator="equal">
      <formula>"Towel"</formula>
    </cfRule>
    <cfRule type="cellIs" dxfId="16104" priority="596" stopIfTrue="1" operator="equal">
      <formula>"Napkin Hs"</formula>
    </cfRule>
  </conditionalFormatting>
  <conditionalFormatting sqref="B128:C128">
    <cfRule type="cellIs" dxfId="16103" priority="593" stopIfTrue="1" operator="equal">
      <formula>"Towel"</formula>
    </cfRule>
    <cfRule type="cellIs" dxfId="16102" priority="594" stopIfTrue="1" operator="equal">
      <formula>"Napkin Hs"</formula>
    </cfRule>
  </conditionalFormatting>
  <conditionalFormatting sqref="C128">
    <cfRule type="cellIs" dxfId="16101" priority="589" stopIfTrue="1" operator="equal">
      <formula>"Towel"</formula>
    </cfRule>
    <cfRule type="cellIs" dxfId="16100" priority="590" stopIfTrue="1" operator="equal">
      <formula>"Napkin Hs"</formula>
    </cfRule>
  </conditionalFormatting>
  <conditionalFormatting sqref="C128">
    <cfRule type="cellIs" dxfId="16099" priority="591" stopIfTrue="1" operator="equal">
      <formula>"Towel"</formula>
    </cfRule>
    <cfRule type="cellIs" dxfId="16098" priority="592" stopIfTrue="1" operator="equal">
      <formula>"Napkin Hs"</formula>
    </cfRule>
  </conditionalFormatting>
  <conditionalFormatting sqref="B128:C128">
    <cfRule type="cellIs" dxfId="16097" priority="588" stopIfTrue="1" operator="equal">
      <formula>"Napkin Hs"</formula>
    </cfRule>
  </conditionalFormatting>
  <conditionalFormatting sqref="B128:C128">
    <cfRule type="cellIs" dxfId="16096" priority="587" stopIfTrue="1" operator="equal">
      <formula>"Towel"</formula>
    </cfRule>
  </conditionalFormatting>
  <conditionalFormatting sqref="C128">
    <cfRule type="cellIs" dxfId="16095" priority="586" stopIfTrue="1" operator="equal">
      <formula>"Napkin Hs"</formula>
    </cfRule>
  </conditionalFormatting>
  <conditionalFormatting sqref="C128">
    <cfRule type="cellIs" dxfId="16094" priority="585" stopIfTrue="1" operator="equal">
      <formula>"Towel"</formula>
    </cfRule>
  </conditionalFormatting>
  <conditionalFormatting sqref="C128">
    <cfRule type="cellIs" dxfId="16093" priority="583" stopIfTrue="1" operator="equal">
      <formula>"Towel"</formula>
    </cfRule>
    <cfRule type="cellIs" dxfId="16092" priority="584" stopIfTrue="1" operator="equal">
      <formula>"Napkin Hs"</formula>
    </cfRule>
  </conditionalFormatting>
  <conditionalFormatting sqref="B128:C128">
    <cfRule type="cellIs" dxfId="16091" priority="581" stopIfTrue="1" operator="equal">
      <formula>"Towel"</formula>
    </cfRule>
    <cfRule type="cellIs" dxfId="16090" priority="582" stopIfTrue="1" operator="equal">
      <formula>"Napkin Hs"</formula>
    </cfRule>
  </conditionalFormatting>
  <conditionalFormatting sqref="C128">
    <cfRule type="cellIs" dxfId="16089" priority="579" stopIfTrue="1" operator="equal">
      <formula>"Towel"</formula>
    </cfRule>
    <cfRule type="cellIs" dxfId="16088" priority="580" stopIfTrue="1" operator="equal">
      <formula>"Napkin Hs"</formula>
    </cfRule>
  </conditionalFormatting>
  <conditionalFormatting sqref="C128">
    <cfRule type="cellIs" dxfId="16087" priority="577" stopIfTrue="1" operator="equal">
      <formula>"Towel"</formula>
    </cfRule>
    <cfRule type="cellIs" dxfId="16086" priority="578" stopIfTrue="1" operator="equal">
      <formula>"Napkin Hs"</formula>
    </cfRule>
  </conditionalFormatting>
  <conditionalFormatting sqref="B128:C128">
    <cfRule type="cellIs" dxfId="16085" priority="575" stopIfTrue="1" operator="equal">
      <formula>"Towel"</formula>
    </cfRule>
    <cfRule type="cellIs" dxfId="16084" priority="576" stopIfTrue="1" operator="equal">
      <formula>"Napkin Hs"</formula>
    </cfRule>
  </conditionalFormatting>
  <conditionalFormatting sqref="C128">
    <cfRule type="cellIs" dxfId="16083" priority="573" stopIfTrue="1" operator="equal">
      <formula>"Towel"</formula>
    </cfRule>
    <cfRule type="cellIs" dxfId="16082" priority="574" stopIfTrue="1" operator="equal">
      <formula>"Napkin Hs"</formula>
    </cfRule>
  </conditionalFormatting>
  <conditionalFormatting sqref="C128">
    <cfRule type="cellIs" dxfId="16081" priority="571" stopIfTrue="1" operator="equal">
      <formula>"Towel"</formula>
    </cfRule>
    <cfRule type="cellIs" dxfId="16080" priority="572" stopIfTrue="1" operator="equal">
      <formula>"Napkin Hs"</formula>
    </cfRule>
  </conditionalFormatting>
  <conditionalFormatting sqref="B128:C128">
    <cfRule type="cellIs" dxfId="16079" priority="569" stopIfTrue="1" operator="equal">
      <formula>"Towel"</formula>
    </cfRule>
    <cfRule type="cellIs" dxfId="16078" priority="570" stopIfTrue="1" operator="equal">
      <formula>"Napkin Hs"</formula>
    </cfRule>
  </conditionalFormatting>
  <conditionalFormatting sqref="C128">
    <cfRule type="cellIs" dxfId="16077" priority="567" stopIfTrue="1" operator="equal">
      <formula>"Towel"</formula>
    </cfRule>
    <cfRule type="cellIs" dxfId="16076" priority="568" stopIfTrue="1" operator="equal">
      <formula>"Napkin Hs"</formula>
    </cfRule>
  </conditionalFormatting>
  <conditionalFormatting sqref="C128">
    <cfRule type="cellIs" dxfId="16075" priority="565" stopIfTrue="1" operator="equal">
      <formula>"Towel"</formula>
    </cfRule>
    <cfRule type="cellIs" dxfId="16074" priority="566" stopIfTrue="1" operator="equal">
      <formula>"Napkin Hs"</formula>
    </cfRule>
  </conditionalFormatting>
  <conditionalFormatting sqref="B128:C128">
    <cfRule type="cellIs" dxfId="16073" priority="563" stopIfTrue="1" operator="equal">
      <formula>"Towel"</formula>
    </cfRule>
    <cfRule type="cellIs" dxfId="16072" priority="564" stopIfTrue="1" operator="equal">
      <formula>"Napkin Hs"</formula>
    </cfRule>
  </conditionalFormatting>
  <conditionalFormatting sqref="C128">
    <cfRule type="cellIs" dxfId="16071" priority="561" stopIfTrue="1" operator="equal">
      <formula>"Towel"</formula>
    </cfRule>
    <cfRule type="cellIs" dxfId="16070" priority="562" stopIfTrue="1" operator="equal">
      <formula>"Napkin Hs"</formula>
    </cfRule>
  </conditionalFormatting>
  <conditionalFormatting sqref="C128">
    <cfRule type="cellIs" dxfId="16069" priority="559" stopIfTrue="1" operator="equal">
      <formula>"Towel"</formula>
    </cfRule>
    <cfRule type="cellIs" dxfId="16068" priority="560" stopIfTrue="1" operator="equal">
      <formula>"Napkin Hs"</formula>
    </cfRule>
  </conditionalFormatting>
  <conditionalFormatting sqref="B128:C128">
    <cfRule type="cellIs" dxfId="16067" priority="557" stopIfTrue="1" operator="equal">
      <formula>"Towel"</formula>
    </cfRule>
    <cfRule type="cellIs" dxfId="16066" priority="558" stopIfTrue="1" operator="equal">
      <formula>"Napkin Hs"</formula>
    </cfRule>
  </conditionalFormatting>
  <conditionalFormatting sqref="C128">
    <cfRule type="cellIs" dxfId="16065" priority="555" stopIfTrue="1" operator="equal">
      <formula>"Towel"</formula>
    </cfRule>
    <cfRule type="cellIs" dxfId="16064" priority="556" stopIfTrue="1" operator="equal">
      <formula>"Napkin Hs"</formula>
    </cfRule>
  </conditionalFormatting>
  <conditionalFormatting sqref="C128">
    <cfRule type="cellIs" dxfId="16063" priority="553" stopIfTrue="1" operator="equal">
      <formula>"Towel"</formula>
    </cfRule>
    <cfRule type="cellIs" dxfId="16062" priority="554" stopIfTrue="1" operator="equal">
      <formula>"Napkin Hs"</formula>
    </cfRule>
  </conditionalFormatting>
  <conditionalFormatting sqref="B128:C128">
    <cfRule type="cellIs" dxfId="16061" priority="552" stopIfTrue="1" operator="equal">
      <formula>"Napkin Hs"</formula>
    </cfRule>
  </conditionalFormatting>
  <conditionalFormatting sqref="B128:C128">
    <cfRule type="cellIs" dxfId="16060" priority="551" stopIfTrue="1" operator="equal">
      <formula>"Towel"</formula>
    </cfRule>
  </conditionalFormatting>
  <conditionalFormatting sqref="C128">
    <cfRule type="cellIs" dxfId="16059" priority="550" stopIfTrue="1" operator="equal">
      <formula>"Napkin Hs"</formula>
    </cfRule>
  </conditionalFormatting>
  <conditionalFormatting sqref="C128">
    <cfRule type="cellIs" dxfId="16058" priority="547" stopIfTrue="1" operator="equal">
      <formula>"Towel"</formula>
    </cfRule>
    <cfRule type="cellIs" dxfId="16057" priority="548" stopIfTrue="1" operator="equal">
      <formula>"Napkin Hs"</formula>
    </cfRule>
  </conditionalFormatting>
  <conditionalFormatting sqref="C128">
    <cfRule type="cellIs" dxfId="16056" priority="549" stopIfTrue="1" operator="equal">
      <formula>"Towel"</formula>
    </cfRule>
  </conditionalFormatting>
  <conditionalFormatting sqref="B128:C128">
    <cfRule type="cellIs" dxfId="16055" priority="543" stopIfTrue="1" operator="equal">
      <formula>"Towel"</formula>
    </cfRule>
    <cfRule type="cellIs" dxfId="16054" priority="544" stopIfTrue="1" operator="equal">
      <formula>"Napkin Hs"</formula>
    </cfRule>
  </conditionalFormatting>
  <conditionalFormatting sqref="C128">
    <cfRule type="cellIs" dxfId="16053" priority="545" stopIfTrue="1" operator="equal">
      <formula>"Towel"</formula>
    </cfRule>
    <cfRule type="cellIs" dxfId="16052" priority="546" stopIfTrue="1" operator="equal">
      <formula>"Napkin Hs"</formula>
    </cfRule>
  </conditionalFormatting>
  <conditionalFormatting sqref="C128">
    <cfRule type="cellIs" dxfId="16051" priority="541" stopIfTrue="1" operator="equal">
      <formula>"Towel"</formula>
    </cfRule>
    <cfRule type="cellIs" dxfId="16050" priority="542" stopIfTrue="1" operator="equal">
      <formula>"Napkin Hs"</formula>
    </cfRule>
  </conditionalFormatting>
  <conditionalFormatting sqref="B128:C128">
    <cfRule type="cellIs" dxfId="16049" priority="539" stopIfTrue="1" operator="equal">
      <formula>"Towel"</formula>
    </cfRule>
    <cfRule type="cellIs" dxfId="16048" priority="540" stopIfTrue="1" operator="equal">
      <formula>"Napkin Hs"</formula>
    </cfRule>
  </conditionalFormatting>
  <conditionalFormatting sqref="C128">
    <cfRule type="cellIs" dxfId="16047" priority="535" stopIfTrue="1" operator="equal">
      <formula>"Towel"</formula>
    </cfRule>
    <cfRule type="cellIs" dxfId="16046" priority="536" stopIfTrue="1" operator="equal">
      <formula>"Napkin Hs"</formula>
    </cfRule>
  </conditionalFormatting>
  <conditionalFormatting sqref="C128">
    <cfRule type="cellIs" dxfId="16045" priority="537" stopIfTrue="1" operator="equal">
      <formula>"Towel"</formula>
    </cfRule>
    <cfRule type="cellIs" dxfId="16044" priority="538" stopIfTrue="1" operator="equal">
      <formula>"Napkin Hs"</formula>
    </cfRule>
  </conditionalFormatting>
  <conditionalFormatting sqref="B128:C128">
    <cfRule type="cellIs" dxfId="16043" priority="533" stopIfTrue="1" operator="equal">
      <formula>"Towel"</formula>
    </cfRule>
    <cfRule type="cellIs" dxfId="16042" priority="534" stopIfTrue="1" operator="equal">
      <formula>"Napkin Hs"</formula>
    </cfRule>
  </conditionalFormatting>
  <conditionalFormatting sqref="C128">
    <cfRule type="cellIs" dxfId="16041" priority="529" stopIfTrue="1" operator="equal">
      <formula>"Towel"</formula>
    </cfRule>
    <cfRule type="cellIs" dxfId="16040" priority="530" stopIfTrue="1" operator="equal">
      <formula>"Napkin Hs"</formula>
    </cfRule>
  </conditionalFormatting>
  <conditionalFormatting sqref="C128">
    <cfRule type="cellIs" dxfId="16039" priority="531" stopIfTrue="1" operator="equal">
      <formula>"Towel"</formula>
    </cfRule>
    <cfRule type="cellIs" dxfId="16038" priority="532" stopIfTrue="1" operator="equal">
      <formula>"Napkin Hs"</formula>
    </cfRule>
  </conditionalFormatting>
  <conditionalFormatting sqref="B128:C128">
    <cfRule type="cellIs" dxfId="16037" priority="527" stopIfTrue="1" operator="equal">
      <formula>"Towel"</formula>
    </cfRule>
    <cfRule type="cellIs" dxfId="16036" priority="528" stopIfTrue="1" operator="equal">
      <formula>"Napkin Hs"</formula>
    </cfRule>
  </conditionalFormatting>
  <conditionalFormatting sqref="C128">
    <cfRule type="cellIs" dxfId="16035" priority="525" stopIfTrue="1" operator="equal">
      <formula>"Towel"</formula>
    </cfRule>
    <cfRule type="cellIs" dxfId="16034" priority="526" stopIfTrue="1" operator="equal">
      <formula>"Napkin Hs"</formula>
    </cfRule>
  </conditionalFormatting>
  <conditionalFormatting sqref="C128">
    <cfRule type="cellIs" dxfId="16033" priority="523" stopIfTrue="1" operator="equal">
      <formula>"Towel"</formula>
    </cfRule>
    <cfRule type="cellIs" dxfId="16032" priority="524" stopIfTrue="1" operator="equal">
      <formula>"Napkin Hs"</formula>
    </cfRule>
  </conditionalFormatting>
  <conditionalFormatting sqref="B128:C128">
    <cfRule type="cellIs" dxfId="16031" priority="521" stopIfTrue="1" operator="equal">
      <formula>"Towel"</formula>
    </cfRule>
    <cfRule type="cellIs" dxfId="16030" priority="522" stopIfTrue="1" operator="equal">
      <formula>"Napkin Hs"</formula>
    </cfRule>
  </conditionalFormatting>
  <conditionalFormatting sqref="C128">
    <cfRule type="cellIs" dxfId="16029" priority="519" stopIfTrue="1" operator="equal">
      <formula>"Towel"</formula>
    </cfRule>
    <cfRule type="cellIs" dxfId="16028" priority="520" stopIfTrue="1" operator="equal">
      <formula>"Napkin Hs"</formula>
    </cfRule>
  </conditionalFormatting>
  <conditionalFormatting sqref="C128">
    <cfRule type="cellIs" dxfId="16027" priority="517" stopIfTrue="1" operator="equal">
      <formula>"Towel"</formula>
    </cfRule>
    <cfRule type="cellIs" dxfId="16026" priority="518" stopIfTrue="1" operator="equal">
      <formula>"Napkin Hs"</formula>
    </cfRule>
  </conditionalFormatting>
  <conditionalFormatting sqref="B128:C128">
    <cfRule type="cellIs" dxfId="16025" priority="515" stopIfTrue="1" operator="equal">
      <formula>"Towel"</formula>
    </cfRule>
    <cfRule type="cellIs" dxfId="16024" priority="516" stopIfTrue="1" operator="equal">
      <formula>"Napkin Hs"</formula>
    </cfRule>
  </conditionalFormatting>
  <conditionalFormatting sqref="C128">
    <cfRule type="cellIs" dxfId="16023" priority="513" stopIfTrue="1" operator="equal">
      <formula>"Towel"</formula>
    </cfRule>
    <cfRule type="cellIs" dxfId="16022" priority="514" stopIfTrue="1" operator="equal">
      <formula>"Napkin Hs"</formula>
    </cfRule>
  </conditionalFormatting>
  <conditionalFormatting sqref="C128">
    <cfRule type="cellIs" dxfId="16021" priority="511" stopIfTrue="1" operator="equal">
      <formula>"Towel"</formula>
    </cfRule>
    <cfRule type="cellIs" dxfId="16020" priority="512" stopIfTrue="1" operator="equal">
      <formula>"Napkin Hs"</formula>
    </cfRule>
  </conditionalFormatting>
  <conditionalFormatting sqref="B128:C128">
    <cfRule type="cellIs" dxfId="16019" priority="510" stopIfTrue="1" operator="equal">
      <formula>"Napkin Hs"</formula>
    </cfRule>
  </conditionalFormatting>
  <conditionalFormatting sqref="B128:C128">
    <cfRule type="cellIs" dxfId="16018" priority="509" stopIfTrue="1" operator="equal">
      <formula>"Towel"</formula>
    </cfRule>
  </conditionalFormatting>
  <conditionalFormatting sqref="C128">
    <cfRule type="cellIs" dxfId="16017" priority="508" stopIfTrue="1" operator="equal">
      <formula>"Napkin Hs"</formula>
    </cfRule>
  </conditionalFormatting>
  <conditionalFormatting sqref="C128">
    <cfRule type="cellIs" dxfId="16016" priority="505" stopIfTrue="1" operator="equal">
      <formula>"Towel"</formula>
    </cfRule>
    <cfRule type="cellIs" dxfId="16015" priority="506" stopIfTrue="1" operator="equal">
      <formula>"Napkin Hs"</formula>
    </cfRule>
  </conditionalFormatting>
  <conditionalFormatting sqref="C128">
    <cfRule type="cellIs" dxfId="16014" priority="507" stopIfTrue="1" operator="equal">
      <formula>"Towel"</formula>
    </cfRule>
  </conditionalFormatting>
  <conditionalFormatting sqref="C133">
    <cfRule type="cellIs" dxfId="16013" priority="501" stopIfTrue="1" operator="equal">
      <formula>"Towel"</formula>
    </cfRule>
    <cfRule type="cellIs" dxfId="16012" priority="502" stopIfTrue="1" operator="equal">
      <formula>"Napkin Hs"</formula>
    </cfRule>
  </conditionalFormatting>
  <conditionalFormatting sqref="C133">
    <cfRule type="cellIs" dxfId="16011" priority="499" stopIfTrue="1" operator="equal">
      <formula>"Towel"</formula>
    </cfRule>
    <cfRule type="cellIs" dxfId="16010" priority="500" stopIfTrue="1" operator="equal">
      <formula>"Napkin Hs"</formula>
    </cfRule>
  </conditionalFormatting>
  <conditionalFormatting sqref="B133:C133">
    <cfRule type="cellIs" dxfId="16009" priority="450" stopIfTrue="1" operator="equal">
      <formula>"Napkin Hs"</formula>
    </cfRule>
  </conditionalFormatting>
  <conditionalFormatting sqref="B133:C133">
    <cfRule type="cellIs" dxfId="16008" priority="449" stopIfTrue="1" operator="equal">
      <formula>"Towel"</formula>
    </cfRule>
  </conditionalFormatting>
  <conditionalFormatting sqref="B133:C133">
    <cfRule type="cellIs" dxfId="16007" priority="503" stopIfTrue="1" operator="equal">
      <formula>"Towel"</formula>
    </cfRule>
    <cfRule type="cellIs" dxfId="16006" priority="504" stopIfTrue="1" operator="equal">
      <formula>"Napkin Hs"</formula>
    </cfRule>
  </conditionalFormatting>
  <conditionalFormatting sqref="C133">
    <cfRule type="cellIs" dxfId="16005" priority="448" stopIfTrue="1" operator="equal">
      <formula>"Napkin Hs"</formula>
    </cfRule>
  </conditionalFormatting>
  <conditionalFormatting sqref="C133">
    <cfRule type="cellIs" dxfId="16004" priority="447" stopIfTrue="1" operator="equal">
      <formula>"Towel"</formula>
    </cfRule>
  </conditionalFormatting>
  <conditionalFormatting sqref="C133">
    <cfRule type="cellIs" dxfId="16003" priority="445" stopIfTrue="1" operator="equal">
      <formula>"Towel"</formula>
    </cfRule>
    <cfRule type="cellIs" dxfId="16002" priority="446" stopIfTrue="1" operator="equal">
      <formula>"Napkin Hs"</formula>
    </cfRule>
  </conditionalFormatting>
  <conditionalFormatting sqref="B133:C133">
    <cfRule type="cellIs" dxfId="16001" priority="498" stopIfTrue="1" operator="equal">
      <formula>"Napkin Hs"</formula>
    </cfRule>
  </conditionalFormatting>
  <conditionalFormatting sqref="B133:C133">
    <cfRule type="cellIs" dxfId="16000" priority="497" stopIfTrue="1" operator="equal">
      <formula>"Towel"</formula>
    </cfRule>
  </conditionalFormatting>
  <conditionalFormatting sqref="C133">
    <cfRule type="cellIs" dxfId="15999" priority="496" stopIfTrue="1" operator="equal">
      <formula>"Napkin Hs"</formula>
    </cfRule>
  </conditionalFormatting>
  <conditionalFormatting sqref="C133">
    <cfRule type="cellIs" dxfId="15998" priority="495" stopIfTrue="1" operator="equal">
      <formula>"Towel"</formula>
    </cfRule>
  </conditionalFormatting>
  <conditionalFormatting sqref="C133">
    <cfRule type="cellIs" dxfId="15997" priority="493" stopIfTrue="1" operator="equal">
      <formula>"Towel"</formula>
    </cfRule>
    <cfRule type="cellIs" dxfId="15996" priority="494" stopIfTrue="1" operator="equal">
      <formula>"Napkin Hs"</formula>
    </cfRule>
  </conditionalFormatting>
  <conditionalFormatting sqref="B133:C133">
    <cfRule type="cellIs" dxfId="15995" priority="491" stopIfTrue="1" operator="equal">
      <formula>"Towel"</formula>
    </cfRule>
    <cfRule type="cellIs" dxfId="15994" priority="492" stopIfTrue="1" operator="equal">
      <formula>"Napkin Hs"</formula>
    </cfRule>
  </conditionalFormatting>
  <conditionalFormatting sqref="C133">
    <cfRule type="cellIs" dxfId="15993" priority="487" stopIfTrue="1" operator="equal">
      <formula>"Towel"</formula>
    </cfRule>
    <cfRule type="cellIs" dxfId="15992" priority="488" stopIfTrue="1" operator="equal">
      <formula>"Napkin Hs"</formula>
    </cfRule>
  </conditionalFormatting>
  <conditionalFormatting sqref="C133">
    <cfRule type="cellIs" dxfId="15991" priority="489" stopIfTrue="1" operator="equal">
      <formula>"Towel"</formula>
    </cfRule>
    <cfRule type="cellIs" dxfId="15990" priority="490" stopIfTrue="1" operator="equal">
      <formula>"Napkin Hs"</formula>
    </cfRule>
  </conditionalFormatting>
  <conditionalFormatting sqref="B133:C133">
    <cfRule type="cellIs" dxfId="15989" priority="486" stopIfTrue="1" operator="equal">
      <formula>"Napkin Hs"</formula>
    </cfRule>
  </conditionalFormatting>
  <conditionalFormatting sqref="B133:C133">
    <cfRule type="cellIs" dxfId="15988" priority="485" stopIfTrue="1" operator="equal">
      <formula>"Towel"</formula>
    </cfRule>
  </conditionalFormatting>
  <conditionalFormatting sqref="C133">
    <cfRule type="cellIs" dxfId="15987" priority="484" stopIfTrue="1" operator="equal">
      <formula>"Napkin Hs"</formula>
    </cfRule>
  </conditionalFormatting>
  <conditionalFormatting sqref="C133">
    <cfRule type="cellIs" dxfId="15986" priority="483" stopIfTrue="1" operator="equal">
      <formula>"Towel"</formula>
    </cfRule>
  </conditionalFormatting>
  <conditionalFormatting sqref="C133">
    <cfRule type="cellIs" dxfId="15985" priority="481" stopIfTrue="1" operator="equal">
      <formula>"Towel"</formula>
    </cfRule>
    <cfRule type="cellIs" dxfId="15984" priority="482" stopIfTrue="1" operator="equal">
      <formula>"Napkin Hs"</formula>
    </cfRule>
  </conditionalFormatting>
  <conditionalFormatting sqref="B133:C133">
    <cfRule type="cellIs" dxfId="15983" priority="479" stopIfTrue="1" operator="equal">
      <formula>"Towel"</formula>
    </cfRule>
    <cfRule type="cellIs" dxfId="15982" priority="480" stopIfTrue="1" operator="equal">
      <formula>"Napkin Hs"</formula>
    </cfRule>
  </conditionalFormatting>
  <conditionalFormatting sqref="C133">
    <cfRule type="cellIs" dxfId="15981" priority="477" stopIfTrue="1" operator="equal">
      <formula>"Towel"</formula>
    </cfRule>
    <cfRule type="cellIs" dxfId="15980" priority="478" stopIfTrue="1" operator="equal">
      <formula>"Napkin Hs"</formula>
    </cfRule>
  </conditionalFormatting>
  <conditionalFormatting sqref="C133">
    <cfRule type="cellIs" dxfId="15979" priority="475" stopIfTrue="1" operator="equal">
      <formula>"Towel"</formula>
    </cfRule>
    <cfRule type="cellIs" dxfId="15978" priority="476" stopIfTrue="1" operator="equal">
      <formula>"Napkin Hs"</formula>
    </cfRule>
  </conditionalFormatting>
  <conditionalFormatting sqref="B133:C133">
    <cfRule type="cellIs" dxfId="15977" priority="473" stopIfTrue="1" operator="equal">
      <formula>"Towel"</formula>
    </cfRule>
    <cfRule type="cellIs" dxfId="15976" priority="474" stopIfTrue="1" operator="equal">
      <formula>"Napkin Hs"</formula>
    </cfRule>
  </conditionalFormatting>
  <conditionalFormatting sqref="C133">
    <cfRule type="cellIs" dxfId="15975" priority="471" stopIfTrue="1" operator="equal">
      <formula>"Towel"</formula>
    </cfRule>
    <cfRule type="cellIs" dxfId="15974" priority="472" stopIfTrue="1" operator="equal">
      <formula>"Napkin Hs"</formula>
    </cfRule>
  </conditionalFormatting>
  <conditionalFormatting sqref="C133">
    <cfRule type="cellIs" dxfId="15973" priority="469" stopIfTrue="1" operator="equal">
      <formula>"Towel"</formula>
    </cfRule>
    <cfRule type="cellIs" dxfId="15972" priority="470" stopIfTrue="1" operator="equal">
      <formula>"Napkin Hs"</formula>
    </cfRule>
  </conditionalFormatting>
  <conditionalFormatting sqref="B133:C133">
    <cfRule type="cellIs" dxfId="15971" priority="467" stopIfTrue="1" operator="equal">
      <formula>"Towel"</formula>
    </cfRule>
    <cfRule type="cellIs" dxfId="15970" priority="468" stopIfTrue="1" operator="equal">
      <formula>"Napkin Hs"</formula>
    </cfRule>
  </conditionalFormatting>
  <conditionalFormatting sqref="C133">
    <cfRule type="cellIs" dxfId="15969" priority="465" stopIfTrue="1" operator="equal">
      <formula>"Towel"</formula>
    </cfRule>
    <cfRule type="cellIs" dxfId="15968" priority="466" stopIfTrue="1" operator="equal">
      <formula>"Napkin Hs"</formula>
    </cfRule>
  </conditionalFormatting>
  <conditionalFormatting sqref="C133">
    <cfRule type="cellIs" dxfId="15967" priority="463" stopIfTrue="1" operator="equal">
      <formula>"Towel"</formula>
    </cfRule>
    <cfRule type="cellIs" dxfId="15966" priority="464" stopIfTrue="1" operator="equal">
      <formula>"Napkin Hs"</formula>
    </cfRule>
  </conditionalFormatting>
  <conditionalFormatting sqref="B133:C133">
    <cfRule type="cellIs" dxfId="15965" priority="461" stopIfTrue="1" operator="equal">
      <formula>"Towel"</formula>
    </cfRule>
    <cfRule type="cellIs" dxfId="15964" priority="462" stopIfTrue="1" operator="equal">
      <formula>"Napkin Hs"</formula>
    </cfRule>
  </conditionalFormatting>
  <conditionalFormatting sqref="C133">
    <cfRule type="cellIs" dxfId="15963" priority="459" stopIfTrue="1" operator="equal">
      <formula>"Towel"</formula>
    </cfRule>
    <cfRule type="cellIs" dxfId="15962" priority="460" stopIfTrue="1" operator="equal">
      <formula>"Napkin Hs"</formula>
    </cfRule>
  </conditionalFormatting>
  <conditionalFormatting sqref="C133">
    <cfRule type="cellIs" dxfId="15961" priority="457" stopIfTrue="1" operator="equal">
      <formula>"Towel"</formula>
    </cfRule>
    <cfRule type="cellIs" dxfId="15960" priority="458" stopIfTrue="1" operator="equal">
      <formula>"Napkin Hs"</formula>
    </cfRule>
  </conditionalFormatting>
  <conditionalFormatting sqref="B133:C133">
    <cfRule type="cellIs" dxfId="15959" priority="455" stopIfTrue="1" operator="equal">
      <formula>"Towel"</formula>
    </cfRule>
    <cfRule type="cellIs" dxfId="15958" priority="456" stopIfTrue="1" operator="equal">
      <formula>"Napkin Hs"</formula>
    </cfRule>
  </conditionalFormatting>
  <conditionalFormatting sqref="C133">
    <cfRule type="cellIs" dxfId="15957" priority="453" stopIfTrue="1" operator="equal">
      <formula>"Towel"</formula>
    </cfRule>
    <cfRule type="cellIs" dxfId="15956" priority="454" stopIfTrue="1" operator="equal">
      <formula>"Napkin Hs"</formula>
    </cfRule>
  </conditionalFormatting>
  <conditionalFormatting sqref="C133">
    <cfRule type="cellIs" dxfId="15955" priority="451" stopIfTrue="1" operator="equal">
      <formula>"Towel"</formula>
    </cfRule>
    <cfRule type="cellIs" dxfId="15954" priority="452" stopIfTrue="1" operator="equal">
      <formula>"Napkin Hs"</formula>
    </cfRule>
  </conditionalFormatting>
  <conditionalFormatting sqref="C138">
    <cfRule type="cellIs" dxfId="15953" priority="441" stopIfTrue="1" operator="equal">
      <formula>"Towel"</formula>
    </cfRule>
    <cfRule type="cellIs" dxfId="15952" priority="442" stopIfTrue="1" operator="equal">
      <formula>"Napkin Hs"</formula>
    </cfRule>
  </conditionalFormatting>
  <conditionalFormatting sqref="C138">
    <cfRule type="cellIs" dxfId="15951" priority="439" stopIfTrue="1" operator="equal">
      <formula>"Towel"</formula>
    </cfRule>
    <cfRule type="cellIs" dxfId="15950" priority="440" stopIfTrue="1" operator="equal">
      <formula>"Napkin Hs"</formula>
    </cfRule>
  </conditionalFormatting>
  <conditionalFormatting sqref="B138:C138">
    <cfRule type="cellIs" dxfId="15949" priority="390" stopIfTrue="1" operator="equal">
      <formula>"Napkin Hs"</formula>
    </cfRule>
  </conditionalFormatting>
  <conditionalFormatting sqref="B138:C138">
    <cfRule type="cellIs" dxfId="15948" priority="389" stopIfTrue="1" operator="equal">
      <formula>"Towel"</formula>
    </cfRule>
  </conditionalFormatting>
  <conditionalFormatting sqref="B138:C138">
    <cfRule type="cellIs" dxfId="15947" priority="443" stopIfTrue="1" operator="equal">
      <formula>"Towel"</formula>
    </cfRule>
    <cfRule type="cellIs" dxfId="15946" priority="444" stopIfTrue="1" operator="equal">
      <formula>"Napkin Hs"</formula>
    </cfRule>
  </conditionalFormatting>
  <conditionalFormatting sqref="C138">
    <cfRule type="cellIs" dxfId="15945" priority="388" stopIfTrue="1" operator="equal">
      <formula>"Napkin Hs"</formula>
    </cfRule>
  </conditionalFormatting>
  <conditionalFormatting sqref="C138">
    <cfRule type="cellIs" dxfId="15944" priority="387" stopIfTrue="1" operator="equal">
      <formula>"Towel"</formula>
    </cfRule>
  </conditionalFormatting>
  <conditionalFormatting sqref="C138">
    <cfRule type="cellIs" dxfId="15943" priority="385" stopIfTrue="1" operator="equal">
      <formula>"Towel"</formula>
    </cfRule>
    <cfRule type="cellIs" dxfId="15942" priority="386" stopIfTrue="1" operator="equal">
      <formula>"Napkin Hs"</formula>
    </cfRule>
  </conditionalFormatting>
  <conditionalFormatting sqref="B138:C138">
    <cfRule type="cellIs" dxfId="15941" priority="438" stopIfTrue="1" operator="equal">
      <formula>"Napkin Hs"</formula>
    </cfRule>
  </conditionalFormatting>
  <conditionalFormatting sqref="B138:C138">
    <cfRule type="cellIs" dxfId="15940" priority="437" stopIfTrue="1" operator="equal">
      <formula>"Towel"</formula>
    </cfRule>
  </conditionalFormatting>
  <conditionalFormatting sqref="C138">
    <cfRule type="cellIs" dxfId="15939" priority="436" stopIfTrue="1" operator="equal">
      <formula>"Napkin Hs"</formula>
    </cfRule>
  </conditionalFormatting>
  <conditionalFormatting sqref="C138">
    <cfRule type="cellIs" dxfId="15938" priority="435" stopIfTrue="1" operator="equal">
      <formula>"Towel"</formula>
    </cfRule>
  </conditionalFormatting>
  <conditionalFormatting sqref="C138">
    <cfRule type="cellIs" dxfId="15937" priority="433" stopIfTrue="1" operator="equal">
      <formula>"Towel"</formula>
    </cfRule>
    <cfRule type="cellIs" dxfId="15936" priority="434" stopIfTrue="1" operator="equal">
      <formula>"Napkin Hs"</formula>
    </cfRule>
  </conditionalFormatting>
  <conditionalFormatting sqref="B138:C138">
    <cfRule type="cellIs" dxfId="15935" priority="431" stopIfTrue="1" operator="equal">
      <formula>"Towel"</formula>
    </cfRule>
    <cfRule type="cellIs" dxfId="15934" priority="432" stopIfTrue="1" operator="equal">
      <formula>"Napkin Hs"</formula>
    </cfRule>
  </conditionalFormatting>
  <conditionalFormatting sqref="C138">
    <cfRule type="cellIs" dxfId="15933" priority="427" stopIfTrue="1" operator="equal">
      <formula>"Towel"</formula>
    </cfRule>
    <cfRule type="cellIs" dxfId="15932" priority="428" stopIfTrue="1" operator="equal">
      <formula>"Napkin Hs"</formula>
    </cfRule>
  </conditionalFormatting>
  <conditionalFormatting sqref="C138">
    <cfRule type="cellIs" dxfId="15931" priority="429" stopIfTrue="1" operator="equal">
      <formula>"Towel"</formula>
    </cfRule>
    <cfRule type="cellIs" dxfId="15930" priority="430" stopIfTrue="1" operator="equal">
      <formula>"Napkin Hs"</formula>
    </cfRule>
  </conditionalFormatting>
  <conditionalFormatting sqref="B138:C138">
    <cfRule type="cellIs" dxfId="15929" priority="426" stopIfTrue="1" operator="equal">
      <formula>"Napkin Hs"</formula>
    </cfRule>
  </conditionalFormatting>
  <conditionalFormatting sqref="B138:C138">
    <cfRule type="cellIs" dxfId="15928" priority="425" stopIfTrue="1" operator="equal">
      <formula>"Towel"</formula>
    </cfRule>
  </conditionalFormatting>
  <conditionalFormatting sqref="C138">
    <cfRule type="cellIs" dxfId="15927" priority="424" stopIfTrue="1" operator="equal">
      <formula>"Napkin Hs"</formula>
    </cfRule>
  </conditionalFormatting>
  <conditionalFormatting sqref="C138">
    <cfRule type="cellIs" dxfId="15926" priority="423" stopIfTrue="1" operator="equal">
      <formula>"Towel"</formula>
    </cfRule>
  </conditionalFormatting>
  <conditionalFormatting sqref="C138">
    <cfRule type="cellIs" dxfId="15925" priority="421" stopIfTrue="1" operator="equal">
      <formula>"Towel"</formula>
    </cfRule>
    <cfRule type="cellIs" dxfId="15924" priority="422" stopIfTrue="1" operator="equal">
      <formula>"Napkin Hs"</formula>
    </cfRule>
  </conditionalFormatting>
  <conditionalFormatting sqref="B138:C138">
    <cfRule type="cellIs" dxfId="15923" priority="419" stopIfTrue="1" operator="equal">
      <formula>"Towel"</formula>
    </cfRule>
    <cfRule type="cellIs" dxfId="15922" priority="420" stopIfTrue="1" operator="equal">
      <formula>"Napkin Hs"</formula>
    </cfRule>
  </conditionalFormatting>
  <conditionalFormatting sqref="C138">
    <cfRule type="cellIs" dxfId="15921" priority="417" stopIfTrue="1" operator="equal">
      <formula>"Towel"</formula>
    </cfRule>
    <cfRule type="cellIs" dxfId="15920" priority="418" stopIfTrue="1" operator="equal">
      <formula>"Napkin Hs"</formula>
    </cfRule>
  </conditionalFormatting>
  <conditionalFormatting sqref="C138">
    <cfRule type="cellIs" dxfId="15919" priority="415" stopIfTrue="1" operator="equal">
      <formula>"Towel"</formula>
    </cfRule>
    <cfRule type="cellIs" dxfId="15918" priority="416" stopIfTrue="1" operator="equal">
      <formula>"Napkin Hs"</formula>
    </cfRule>
  </conditionalFormatting>
  <conditionalFormatting sqref="B138:C138">
    <cfRule type="cellIs" dxfId="15917" priority="413" stopIfTrue="1" operator="equal">
      <formula>"Towel"</formula>
    </cfRule>
    <cfRule type="cellIs" dxfId="15916" priority="414" stopIfTrue="1" operator="equal">
      <formula>"Napkin Hs"</formula>
    </cfRule>
  </conditionalFormatting>
  <conditionalFormatting sqref="C138">
    <cfRule type="cellIs" dxfId="15915" priority="411" stopIfTrue="1" operator="equal">
      <formula>"Towel"</formula>
    </cfRule>
    <cfRule type="cellIs" dxfId="15914" priority="412" stopIfTrue="1" operator="equal">
      <formula>"Napkin Hs"</formula>
    </cfRule>
  </conditionalFormatting>
  <conditionalFormatting sqref="C138">
    <cfRule type="cellIs" dxfId="15913" priority="409" stopIfTrue="1" operator="equal">
      <formula>"Towel"</formula>
    </cfRule>
    <cfRule type="cellIs" dxfId="15912" priority="410" stopIfTrue="1" operator="equal">
      <formula>"Napkin Hs"</formula>
    </cfRule>
  </conditionalFormatting>
  <conditionalFormatting sqref="B138:C138">
    <cfRule type="cellIs" dxfId="15911" priority="407" stopIfTrue="1" operator="equal">
      <formula>"Towel"</formula>
    </cfRule>
    <cfRule type="cellIs" dxfId="15910" priority="408" stopIfTrue="1" operator="equal">
      <formula>"Napkin Hs"</formula>
    </cfRule>
  </conditionalFormatting>
  <conditionalFormatting sqref="C138">
    <cfRule type="cellIs" dxfId="15909" priority="405" stopIfTrue="1" operator="equal">
      <formula>"Towel"</formula>
    </cfRule>
    <cfRule type="cellIs" dxfId="15908" priority="406" stopIfTrue="1" operator="equal">
      <formula>"Napkin Hs"</formula>
    </cfRule>
  </conditionalFormatting>
  <conditionalFormatting sqref="C138">
    <cfRule type="cellIs" dxfId="15907" priority="403" stopIfTrue="1" operator="equal">
      <formula>"Towel"</formula>
    </cfRule>
    <cfRule type="cellIs" dxfId="15906" priority="404" stopIfTrue="1" operator="equal">
      <formula>"Napkin Hs"</formula>
    </cfRule>
  </conditionalFormatting>
  <conditionalFormatting sqref="B138:C138">
    <cfRule type="cellIs" dxfId="15905" priority="401" stopIfTrue="1" operator="equal">
      <formula>"Towel"</formula>
    </cfRule>
    <cfRule type="cellIs" dxfId="15904" priority="402" stopIfTrue="1" operator="equal">
      <formula>"Napkin Hs"</formula>
    </cfRule>
  </conditionalFormatting>
  <conditionalFormatting sqref="C138">
    <cfRule type="cellIs" dxfId="15903" priority="399" stopIfTrue="1" operator="equal">
      <formula>"Towel"</formula>
    </cfRule>
    <cfRule type="cellIs" dxfId="15902" priority="400" stopIfTrue="1" operator="equal">
      <formula>"Napkin Hs"</formula>
    </cfRule>
  </conditionalFormatting>
  <conditionalFormatting sqref="C138">
    <cfRule type="cellIs" dxfId="15901" priority="397" stopIfTrue="1" operator="equal">
      <formula>"Towel"</formula>
    </cfRule>
    <cfRule type="cellIs" dxfId="15900" priority="398" stopIfTrue="1" operator="equal">
      <formula>"Napkin Hs"</formula>
    </cfRule>
  </conditionalFormatting>
  <conditionalFormatting sqref="B138:C138">
    <cfRule type="cellIs" dxfId="15899" priority="395" stopIfTrue="1" operator="equal">
      <formula>"Towel"</formula>
    </cfRule>
    <cfRule type="cellIs" dxfId="15898" priority="396" stopIfTrue="1" operator="equal">
      <formula>"Napkin Hs"</formula>
    </cfRule>
  </conditionalFormatting>
  <conditionalFormatting sqref="C138">
    <cfRule type="cellIs" dxfId="15897" priority="393" stopIfTrue="1" operator="equal">
      <formula>"Towel"</formula>
    </cfRule>
    <cfRule type="cellIs" dxfId="15896" priority="394" stopIfTrue="1" operator="equal">
      <formula>"Napkin Hs"</formula>
    </cfRule>
  </conditionalFormatting>
  <conditionalFormatting sqref="C138">
    <cfRule type="cellIs" dxfId="15895" priority="391" stopIfTrue="1" operator="equal">
      <formula>"Towel"</formula>
    </cfRule>
    <cfRule type="cellIs" dxfId="15894" priority="392" stopIfTrue="1" operator="equal">
      <formula>"Napkin Hs"</formula>
    </cfRule>
  </conditionalFormatting>
  <conditionalFormatting sqref="C142">
    <cfRule type="cellIs" dxfId="15893" priority="381" stopIfTrue="1" operator="equal">
      <formula>"Towel"</formula>
    </cfRule>
    <cfRule type="cellIs" dxfId="15892" priority="382" stopIfTrue="1" operator="equal">
      <formula>"Napkin Hs"</formula>
    </cfRule>
  </conditionalFormatting>
  <conditionalFormatting sqref="C142">
    <cfRule type="cellIs" dxfId="15891" priority="379" stopIfTrue="1" operator="equal">
      <formula>"Towel"</formula>
    </cfRule>
    <cfRule type="cellIs" dxfId="15890" priority="380" stopIfTrue="1" operator="equal">
      <formula>"Napkin Hs"</formula>
    </cfRule>
  </conditionalFormatting>
  <conditionalFormatting sqref="B142:C142">
    <cfRule type="cellIs" dxfId="15889" priority="330" stopIfTrue="1" operator="equal">
      <formula>"Napkin Hs"</formula>
    </cfRule>
  </conditionalFormatting>
  <conditionalFormatting sqref="B142:C142">
    <cfRule type="cellIs" dxfId="15888" priority="329" stopIfTrue="1" operator="equal">
      <formula>"Towel"</formula>
    </cfRule>
  </conditionalFormatting>
  <conditionalFormatting sqref="B142:C142">
    <cfRule type="cellIs" dxfId="15887" priority="383" stopIfTrue="1" operator="equal">
      <formula>"Towel"</formula>
    </cfRule>
    <cfRule type="cellIs" dxfId="15886" priority="384" stopIfTrue="1" operator="equal">
      <formula>"Napkin Hs"</formula>
    </cfRule>
  </conditionalFormatting>
  <conditionalFormatting sqref="C142">
    <cfRule type="cellIs" dxfId="15885" priority="328" stopIfTrue="1" operator="equal">
      <formula>"Napkin Hs"</formula>
    </cfRule>
  </conditionalFormatting>
  <conditionalFormatting sqref="C142">
    <cfRule type="cellIs" dxfId="15884" priority="327" stopIfTrue="1" operator="equal">
      <formula>"Towel"</formula>
    </cfRule>
  </conditionalFormatting>
  <conditionalFormatting sqref="C142">
    <cfRule type="cellIs" dxfId="15883" priority="325" stopIfTrue="1" operator="equal">
      <formula>"Towel"</formula>
    </cfRule>
    <cfRule type="cellIs" dxfId="15882" priority="326" stopIfTrue="1" operator="equal">
      <formula>"Napkin Hs"</formula>
    </cfRule>
  </conditionalFormatting>
  <conditionalFormatting sqref="B142:C142">
    <cfRule type="cellIs" dxfId="15881" priority="378" stopIfTrue="1" operator="equal">
      <formula>"Napkin Hs"</formula>
    </cfRule>
  </conditionalFormatting>
  <conditionalFormatting sqref="B142:C142">
    <cfRule type="cellIs" dxfId="15880" priority="377" stopIfTrue="1" operator="equal">
      <formula>"Towel"</formula>
    </cfRule>
  </conditionalFormatting>
  <conditionalFormatting sqref="C142">
    <cfRule type="cellIs" dxfId="15879" priority="376" stopIfTrue="1" operator="equal">
      <formula>"Napkin Hs"</formula>
    </cfRule>
  </conditionalFormatting>
  <conditionalFormatting sqref="C142">
    <cfRule type="cellIs" dxfId="15878" priority="375" stopIfTrue="1" operator="equal">
      <formula>"Towel"</formula>
    </cfRule>
  </conditionalFormatting>
  <conditionalFormatting sqref="C142">
    <cfRule type="cellIs" dxfId="15877" priority="373" stopIfTrue="1" operator="equal">
      <formula>"Towel"</formula>
    </cfRule>
    <cfRule type="cellIs" dxfId="15876" priority="374" stopIfTrue="1" operator="equal">
      <formula>"Napkin Hs"</formula>
    </cfRule>
  </conditionalFormatting>
  <conditionalFormatting sqref="B142:C142">
    <cfRule type="cellIs" dxfId="15875" priority="371" stopIfTrue="1" operator="equal">
      <formula>"Towel"</formula>
    </cfRule>
    <cfRule type="cellIs" dxfId="15874" priority="372" stopIfTrue="1" operator="equal">
      <formula>"Napkin Hs"</formula>
    </cfRule>
  </conditionalFormatting>
  <conditionalFormatting sqref="C142">
    <cfRule type="cellIs" dxfId="15873" priority="367" stopIfTrue="1" operator="equal">
      <formula>"Towel"</formula>
    </cfRule>
    <cfRule type="cellIs" dxfId="15872" priority="368" stopIfTrue="1" operator="equal">
      <formula>"Napkin Hs"</formula>
    </cfRule>
  </conditionalFormatting>
  <conditionalFormatting sqref="C142">
    <cfRule type="cellIs" dxfId="15871" priority="369" stopIfTrue="1" operator="equal">
      <formula>"Towel"</formula>
    </cfRule>
    <cfRule type="cellIs" dxfId="15870" priority="370" stopIfTrue="1" operator="equal">
      <formula>"Napkin Hs"</formula>
    </cfRule>
  </conditionalFormatting>
  <conditionalFormatting sqref="B142:C142">
    <cfRule type="cellIs" dxfId="15869" priority="366" stopIfTrue="1" operator="equal">
      <formula>"Napkin Hs"</formula>
    </cfRule>
  </conditionalFormatting>
  <conditionalFormatting sqref="B142:C142">
    <cfRule type="cellIs" dxfId="15868" priority="365" stopIfTrue="1" operator="equal">
      <formula>"Towel"</formula>
    </cfRule>
  </conditionalFormatting>
  <conditionalFormatting sqref="C142">
    <cfRule type="cellIs" dxfId="15867" priority="364" stopIfTrue="1" operator="equal">
      <formula>"Napkin Hs"</formula>
    </cfRule>
  </conditionalFormatting>
  <conditionalFormatting sqref="C142">
    <cfRule type="cellIs" dxfId="15866" priority="363" stopIfTrue="1" operator="equal">
      <formula>"Towel"</formula>
    </cfRule>
  </conditionalFormatting>
  <conditionalFormatting sqref="C142">
    <cfRule type="cellIs" dxfId="15865" priority="361" stopIfTrue="1" operator="equal">
      <formula>"Towel"</formula>
    </cfRule>
    <cfRule type="cellIs" dxfId="15864" priority="362" stopIfTrue="1" operator="equal">
      <formula>"Napkin Hs"</formula>
    </cfRule>
  </conditionalFormatting>
  <conditionalFormatting sqref="B142:C142">
    <cfRule type="cellIs" dxfId="15863" priority="359" stopIfTrue="1" operator="equal">
      <formula>"Towel"</formula>
    </cfRule>
    <cfRule type="cellIs" dxfId="15862" priority="360" stopIfTrue="1" operator="equal">
      <formula>"Napkin Hs"</formula>
    </cfRule>
  </conditionalFormatting>
  <conditionalFormatting sqref="C142">
    <cfRule type="cellIs" dxfId="15861" priority="357" stopIfTrue="1" operator="equal">
      <formula>"Towel"</formula>
    </cfRule>
    <cfRule type="cellIs" dxfId="15860" priority="358" stopIfTrue="1" operator="equal">
      <formula>"Napkin Hs"</formula>
    </cfRule>
  </conditionalFormatting>
  <conditionalFormatting sqref="C142">
    <cfRule type="cellIs" dxfId="15859" priority="355" stopIfTrue="1" operator="equal">
      <formula>"Towel"</formula>
    </cfRule>
    <cfRule type="cellIs" dxfId="15858" priority="356" stopIfTrue="1" operator="equal">
      <formula>"Napkin Hs"</formula>
    </cfRule>
  </conditionalFormatting>
  <conditionalFormatting sqref="B142:C142">
    <cfRule type="cellIs" dxfId="15857" priority="353" stopIfTrue="1" operator="equal">
      <formula>"Towel"</formula>
    </cfRule>
    <cfRule type="cellIs" dxfId="15856" priority="354" stopIfTrue="1" operator="equal">
      <formula>"Napkin Hs"</formula>
    </cfRule>
  </conditionalFormatting>
  <conditionalFormatting sqref="C142">
    <cfRule type="cellIs" dxfId="15855" priority="351" stopIfTrue="1" operator="equal">
      <formula>"Towel"</formula>
    </cfRule>
    <cfRule type="cellIs" dxfId="15854" priority="352" stopIfTrue="1" operator="equal">
      <formula>"Napkin Hs"</formula>
    </cfRule>
  </conditionalFormatting>
  <conditionalFormatting sqref="C142">
    <cfRule type="cellIs" dxfId="15853" priority="349" stopIfTrue="1" operator="equal">
      <formula>"Towel"</formula>
    </cfRule>
    <cfRule type="cellIs" dxfId="15852" priority="350" stopIfTrue="1" operator="equal">
      <formula>"Napkin Hs"</formula>
    </cfRule>
  </conditionalFormatting>
  <conditionalFormatting sqref="B142:C142">
    <cfRule type="cellIs" dxfId="15851" priority="347" stopIfTrue="1" operator="equal">
      <formula>"Towel"</formula>
    </cfRule>
    <cfRule type="cellIs" dxfId="15850" priority="348" stopIfTrue="1" operator="equal">
      <formula>"Napkin Hs"</formula>
    </cfRule>
  </conditionalFormatting>
  <conditionalFormatting sqref="C142">
    <cfRule type="cellIs" dxfId="15849" priority="345" stopIfTrue="1" operator="equal">
      <formula>"Towel"</formula>
    </cfRule>
    <cfRule type="cellIs" dxfId="15848" priority="346" stopIfTrue="1" operator="equal">
      <formula>"Napkin Hs"</formula>
    </cfRule>
  </conditionalFormatting>
  <conditionalFormatting sqref="C142">
    <cfRule type="cellIs" dxfId="15847" priority="343" stopIfTrue="1" operator="equal">
      <formula>"Towel"</formula>
    </cfRule>
    <cfRule type="cellIs" dxfId="15846" priority="344" stopIfTrue="1" operator="equal">
      <formula>"Napkin Hs"</formula>
    </cfRule>
  </conditionalFormatting>
  <conditionalFormatting sqref="B142:C142">
    <cfRule type="cellIs" dxfId="15845" priority="341" stopIfTrue="1" operator="equal">
      <formula>"Towel"</formula>
    </cfRule>
    <cfRule type="cellIs" dxfId="15844" priority="342" stopIfTrue="1" operator="equal">
      <formula>"Napkin Hs"</formula>
    </cfRule>
  </conditionalFormatting>
  <conditionalFormatting sqref="C142">
    <cfRule type="cellIs" dxfId="15843" priority="339" stopIfTrue="1" operator="equal">
      <formula>"Towel"</formula>
    </cfRule>
    <cfRule type="cellIs" dxfId="15842" priority="340" stopIfTrue="1" operator="equal">
      <formula>"Napkin Hs"</formula>
    </cfRule>
  </conditionalFormatting>
  <conditionalFormatting sqref="C142">
    <cfRule type="cellIs" dxfId="15841" priority="337" stopIfTrue="1" operator="equal">
      <formula>"Towel"</formula>
    </cfRule>
    <cfRule type="cellIs" dxfId="15840" priority="338" stopIfTrue="1" operator="equal">
      <formula>"Napkin Hs"</formula>
    </cfRule>
  </conditionalFormatting>
  <conditionalFormatting sqref="B142:C142">
    <cfRule type="cellIs" dxfId="15839" priority="335" stopIfTrue="1" operator="equal">
      <formula>"Towel"</formula>
    </cfRule>
    <cfRule type="cellIs" dxfId="15838" priority="336" stopIfTrue="1" operator="equal">
      <formula>"Napkin Hs"</formula>
    </cfRule>
  </conditionalFormatting>
  <conditionalFormatting sqref="C142">
    <cfRule type="cellIs" dxfId="15837" priority="333" stopIfTrue="1" operator="equal">
      <formula>"Towel"</formula>
    </cfRule>
    <cfRule type="cellIs" dxfId="15836" priority="334" stopIfTrue="1" operator="equal">
      <formula>"Napkin Hs"</formula>
    </cfRule>
  </conditionalFormatting>
  <conditionalFormatting sqref="C142">
    <cfRule type="cellIs" dxfId="15835" priority="331" stopIfTrue="1" operator="equal">
      <formula>"Towel"</formula>
    </cfRule>
    <cfRule type="cellIs" dxfId="15834" priority="332" stopIfTrue="1" operator="equal">
      <formula>"Napkin Hs"</formula>
    </cfRule>
  </conditionalFormatting>
  <conditionalFormatting sqref="B141:C141">
    <cfRule type="cellIs" dxfId="15833" priority="324" stopIfTrue="1" operator="equal">
      <formula>"Napkin Hs"</formula>
    </cfRule>
  </conditionalFormatting>
  <conditionalFormatting sqref="B141:C141">
    <cfRule type="cellIs" dxfId="15832" priority="323" stopIfTrue="1" operator="equal">
      <formula>"Towel"</formula>
    </cfRule>
  </conditionalFormatting>
  <conditionalFormatting sqref="C141">
    <cfRule type="cellIs" dxfId="15831" priority="322" stopIfTrue="1" operator="equal">
      <formula>"Napkin Hs"</formula>
    </cfRule>
  </conditionalFormatting>
  <conditionalFormatting sqref="C141">
    <cfRule type="cellIs" dxfId="15830" priority="319" stopIfTrue="1" operator="equal">
      <formula>"Towel"</formula>
    </cfRule>
    <cfRule type="cellIs" dxfId="15829" priority="320" stopIfTrue="1" operator="equal">
      <formula>"Napkin Hs"</formula>
    </cfRule>
  </conditionalFormatting>
  <conditionalFormatting sqref="C141">
    <cfRule type="cellIs" dxfId="15828" priority="321" stopIfTrue="1" operator="equal">
      <formula>"Towel"</formula>
    </cfRule>
  </conditionalFormatting>
  <conditionalFormatting sqref="B140:C140">
    <cfRule type="cellIs" dxfId="15827" priority="318" stopIfTrue="1" operator="equal">
      <formula>"Napkin Hs"</formula>
    </cfRule>
  </conditionalFormatting>
  <conditionalFormatting sqref="B140:C140">
    <cfRule type="cellIs" dxfId="15826" priority="317" stopIfTrue="1" operator="equal">
      <formula>"Towel"</formula>
    </cfRule>
  </conditionalFormatting>
  <conditionalFormatting sqref="C140">
    <cfRule type="cellIs" dxfId="15825" priority="316" stopIfTrue="1" operator="equal">
      <formula>"Napkin Hs"</formula>
    </cfRule>
  </conditionalFormatting>
  <conditionalFormatting sqref="C140">
    <cfRule type="cellIs" dxfId="15824" priority="313" stopIfTrue="1" operator="equal">
      <formula>"Towel"</formula>
    </cfRule>
    <cfRule type="cellIs" dxfId="15823" priority="314" stopIfTrue="1" operator="equal">
      <formula>"Napkin Hs"</formula>
    </cfRule>
  </conditionalFormatting>
  <conditionalFormatting sqref="C140">
    <cfRule type="cellIs" dxfId="15822" priority="315" stopIfTrue="1" operator="equal">
      <formula>"Towel"</formula>
    </cfRule>
  </conditionalFormatting>
  <conditionalFormatting sqref="C137">
    <cfRule type="cellIs" dxfId="15821" priority="309" stopIfTrue="1" operator="equal">
      <formula>"Towel"</formula>
    </cfRule>
    <cfRule type="cellIs" dxfId="15820" priority="310" stopIfTrue="1" operator="equal">
      <formula>"Napkin Hs"</formula>
    </cfRule>
  </conditionalFormatting>
  <conditionalFormatting sqref="C137">
    <cfRule type="cellIs" dxfId="15819" priority="307" stopIfTrue="1" operator="equal">
      <formula>"Towel"</formula>
    </cfRule>
    <cfRule type="cellIs" dxfId="15818" priority="308" stopIfTrue="1" operator="equal">
      <formula>"Napkin Hs"</formula>
    </cfRule>
  </conditionalFormatting>
  <conditionalFormatting sqref="B137:C137">
    <cfRule type="cellIs" dxfId="15817" priority="258" stopIfTrue="1" operator="equal">
      <formula>"Napkin Hs"</formula>
    </cfRule>
  </conditionalFormatting>
  <conditionalFormatting sqref="B137:C137">
    <cfRule type="cellIs" dxfId="15816" priority="257" stopIfTrue="1" operator="equal">
      <formula>"Towel"</formula>
    </cfRule>
  </conditionalFormatting>
  <conditionalFormatting sqref="B137:C137">
    <cfRule type="cellIs" dxfId="15815" priority="311" stopIfTrue="1" operator="equal">
      <formula>"Towel"</formula>
    </cfRule>
    <cfRule type="cellIs" dxfId="15814" priority="312" stopIfTrue="1" operator="equal">
      <formula>"Napkin Hs"</formula>
    </cfRule>
  </conditionalFormatting>
  <conditionalFormatting sqref="C137">
    <cfRule type="cellIs" dxfId="15813" priority="256" stopIfTrue="1" operator="equal">
      <formula>"Napkin Hs"</formula>
    </cfRule>
  </conditionalFormatting>
  <conditionalFormatting sqref="C137">
    <cfRule type="cellIs" dxfId="15812" priority="255" stopIfTrue="1" operator="equal">
      <formula>"Towel"</formula>
    </cfRule>
  </conditionalFormatting>
  <conditionalFormatting sqref="C137">
    <cfRule type="cellIs" dxfId="15811" priority="253" stopIfTrue="1" operator="equal">
      <formula>"Towel"</formula>
    </cfRule>
    <cfRule type="cellIs" dxfId="15810" priority="254" stopIfTrue="1" operator="equal">
      <formula>"Napkin Hs"</formula>
    </cfRule>
  </conditionalFormatting>
  <conditionalFormatting sqref="B137:C137">
    <cfRule type="cellIs" dxfId="15809" priority="306" stopIfTrue="1" operator="equal">
      <formula>"Napkin Hs"</formula>
    </cfRule>
  </conditionalFormatting>
  <conditionalFormatting sqref="B137:C137">
    <cfRule type="cellIs" dxfId="15808" priority="305" stopIfTrue="1" operator="equal">
      <formula>"Towel"</formula>
    </cfRule>
  </conditionalFormatting>
  <conditionalFormatting sqref="C137">
    <cfRule type="cellIs" dxfId="15807" priority="304" stopIfTrue="1" operator="equal">
      <formula>"Napkin Hs"</formula>
    </cfRule>
  </conditionalFormatting>
  <conditionalFormatting sqref="C137">
    <cfRule type="cellIs" dxfId="15806" priority="303" stopIfTrue="1" operator="equal">
      <formula>"Towel"</formula>
    </cfRule>
  </conditionalFormatting>
  <conditionalFormatting sqref="C137">
    <cfRule type="cellIs" dxfId="15805" priority="301" stopIfTrue="1" operator="equal">
      <formula>"Towel"</formula>
    </cfRule>
    <cfRule type="cellIs" dxfId="15804" priority="302" stopIfTrue="1" operator="equal">
      <formula>"Napkin Hs"</formula>
    </cfRule>
  </conditionalFormatting>
  <conditionalFormatting sqref="B137:C137">
    <cfRule type="cellIs" dxfId="15803" priority="299" stopIfTrue="1" operator="equal">
      <formula>"Towel"</formula>
    </cfRule>
    <cfRule type="cellIs" dxfId="15802" priority="300" stopIfTrue="1" operator="equal">
      <formula>"Napkin Hs"</formula>
    </cfRule>
  </conditionalFormatting>
  <conditionalFormatting sqref="C137">
    <cfRule type="cellIs" dxfId="15801" priority="295" stopIfTrue="1" operator="equal">
      <formula>"Towel"</formula>
    </cfRule>
    <cfRule type="cellIs" dxfId="15800" priority="296" stopIfTrue="1" operator="equal">
      <formula>"Napkin Hs"</formula>
    </cfRule>
  </conditionalFormatting>
  <conditionalFormatting sqref="C137">
    <cfRule type="cellIs" dxfId="15799" priority="297" stopIfTrue="1" operator="equal">
      <formula>"Towel"</formula>
    </cfRule>
    <cfRule type="cellIs" dxfId="15798" priority="298" stopIfTrue="1" operator="equal">
      <formula>"Napkin Hs"</formula>
    </cfRule>
  </conditionalFormatting>
  <conditionalFormatting sqref="B137:C137">
    <cfRule type="cellIs" dxfId="15797" priority="294" stopIfTrue="1" operator="equal">
      <formula>"Napkin Hs"</formula>
    </cfRule>
  </conditionalFormatting>
  <conditionalFormatting sqref="B137:C137">
    <cfRule type="cellIs" dxfId="15796" priority="293" stopIfTrue="1" operator="equal">
      <formula>"Towel"</formula>
    </cfRule>
  </conditionalFormatting>
  <conditionalFormatting sqref="C137">
    <cfRule type="cellIs" dxfId="15795" priority="292" stopIfTrue="1" operator="equal">
      <formula>"Napkin Hs"</formula>
    </cfRule>
  </conditionalFormatting>
  <conditionalFormatting sqref="C137">
    <cfRule type="cellIs" dxfId="15794" priority="291" stopIfTrue="1" operator="equal">
      <formula>"Towel"</formula>
    </cfRule>
  </conditionalFormatting>
  <conditionalFormatting sqref="C137">
    <cfRule type="cellIs" dxfId="15793" priority="289" stopIfTrue="1" operator="equal">
      <formula>"Towel"</formula>
    </cfRule>
    <cfRule type="cellIs" dxfId="15792" priority="290" stopIfTrue="1" operator="equal">
      <formula>"Napkin Hs"</formula>
    </cfRule>
  </conditionalFormatting>
  <conditionalFormatting sqref="B137:C137">
    <cfRule type="cellIs" dxfId="15791" priority="287" stopIfTrue="1" operator="equal">
      <formula>"Towel"</formula>
    </cfRule>
    <cfRule type="cellIs" dxfId="15790" priority="288" stopIfTrue="1" operator="equal">
      <formula>"Napkin Hs"</formula>
    </cfRule>
  </conditionalFormatting>
  <conditionalFormatting sqref="C137">
    <cfRule type="cellIs" dxfId="15789" priority="285" stopIfTrue="1" operator="equal">
      <formula>"Towel"</formula>
    </cfRule>
    <cfRule type="cellIs" dxfId="15788" priority="286" stopIfTrue="1" operator="equal">
      <formula>"Napkin Hs"</formula>
    </cfRule>
  </conditionalFormatting>
  <conditionalFormatting sqref="C137">
    <cfRule type="cellIs" dxfId="15787" priority="283" stopIfTrue="1" operator="equal">
      <formula>"Towel"</formula>
    </cfRule>
    <cfRule type="cellIs" dxfId="15786" priority="284" stopIfTrue="1" operator="equal">
      <formula>"Napkin Hs"</formula>
    </cfRule>
  </conditionalFormatting>
  <conditionalFormatting sqref="B137:C137">
    <cfRule type="cellIs" dxfId="15785" priority="281" stopIfTrue="1" operator="equal">
      <formula>"Towel"</formula>
    </cfRule>
    <cfRule type="cellIs" dxfId="15784" priority="282" stopIfTrue="1" operator="equal">
      <formula>"Napkin Hs"</formula>
    </cfRule>
  </conditionalFormatting>
  <conditionalFormatting sqref="C137">
    <cfRule type="cellIs" dxfId="15783" priority="279" stopIfTrue="1" operator="equal">
      <formula>"Towel"</formula>
    </cfRule>
    <cfRule type="cellIs" dxfId="15782" priority="280" stopIfTrue="1" operator="equal">
      <formula>"Napkin Hs"</formula>
    </cfRule>
  </conditionalFormatting>
  <conditionalFormatting sqref="C137">
    <cfRule type="cellIs" dxfId="15781" priority="277" stopIfTrue="1" operator="equal">
      <formula>"Towel"</formula>
    </cfRule>
    <cfRule type="cellIs" dxfId="15780" priority="278" stopIfTrue="1" operator="equal">
      <formula>"Napkin Hs"</formula>
    </cfRule>
  </conditionalFormatting>
  <conditionalFormatting sqref="B137:C137">
    <cfRule type="cellIs" dxfId="15779" priority="275" stopIfTrue="1" operator="equal">
      <formula>"Towel"</formula>
    </cfRule>
    <cfRule type="cellIs" dxfId="15778" priority="276" stopIfTrue="1" operator="equal">
      <formula>"Napkin Hs"</formula>
    </cfRule>
  </conditionalFormatting>
  <conditionalFormatting sqref="C137">
    <cfRule type="cellIs" dxfId="15777" priority="273" stopIfTrue="1" operator="equal">
      <formula>"Towel"</formula>
    </cfRule>
    <cfRule type="cellIs" dxfId="15776" priority="274" stopIfTrue="1" operator="equal">
      <formula>"Napkin Hs"</formula>
    </cfRule>
  </conditionalFormatting>
  <conditionalFormatting sqref="C137">
    <cfRule type="cellIs" dxfId="15775" priority="271" stopIfTrue="1" operator="equal">
      <formula>"Towel"</formula>
    </cfRule>
    <cfRule type="cellIs" dxfId="15774" priority="272" stopIfTrue="1" operator="equal">
      <formula>"Napkin Hs"</formula>
    </cfRule>
  </conditionalFormatting>
  <conditionalFormatting sqref="B137:C137">
    <cfRule type="cellIs" dxfId="15773" priority="269" stopIfTrue="1" operator="equal">
      <formula>"Towel"</formula>
    </cfRule>
    <cfRule type="cellIs" dxfId="15772" priority="270" stopIfTrue="1" operator="equal">
      <formula>"Napkin Hs"</formula>
    </cfRule>
  </conditionalFormatting>
  <conditionalFormatting sqref="C137">
    <cfRule type="cellIs" dxfId="15771" priority="267" stopIfTrue="1" operator="equal">
      <formula>"Towel"</formula>
    </cfRule>
    <cfRule type="cellIs" dxfId="15770" priority="268" stopIfTrue="1" operator="equal">
      <formula>"Napkin Hs"</formula>
    </cfRule>
  </conditionalFormatting>
  <conditionalFormatting sqref="C137">
    <cfRule type="cellIs" dxfId="15769" priority="265" stopIfTrue="1" operator="equal">
      <formula>"Towel"</formula>
    </cfRule>
    <cfRule type="cellIs" dxfId="15768" priority="266" stopIfTrue="1" operator="equal">
      <formula>"Napkin Hs"</formula>
    </cfRule>
  </conditionalFormatting>
  <conditionalFormatting sqref="B137:C137">
    <cfRule type="cellIs" dxfId="15767" priority="263" stopIfTrue="1" operator="equal">
      <formula>"Towel"</formula>
    </cfRule>
    <cfRule type="cellIs" dxfId="15766" priority="264" stopIfTrue="1" operator="equal">
      <formula>"Napkin Hs"</formula>
    </cfRule>
  </conditionalFormatting>
  <conditionalFormatting sqref="C137">
    <cfRule type="cellIs" dxfId="15765" priority="261" stopIfTrue="1" operator="equal">
      <formula>"Towel"</formula>
    </cfRule>
    <cfRule type="cellIs" dxfId="15764" priority="262" stopIfTrue="1" operator="equal">
      <formula>"Napkin Hs"</formula>
    </cfRule>
  </conditionalFormatting>
  <conditionalFormatting sqref="C137">
    <cfRule type="cellIs" dxfId="15763" priority="259" stopIfTrue="1" operator="equal">
      <formula>"Towel"</formula>
    </cfRule>
    <cfRule type="cellIs" dxfId="15762" priority="260" stopIfTrue="1" operator="equal">
      <formula>"Napkin Hs"</formula>
    </cfRule>
  </conditionalFormatting>
  <conditionalFormatting sqref="B159:C159">
    <cfRule type="cellIs" dxfId="15761" priority="186" stopIfTrue="1" operator="equal">
      <formula>"Napkin Hs"</formula>
    </cfRule>
  </conditionalFormatting>
  <conditionalFormatting sqref="B159:C159">
    <cfRule type="cellIs" dxfId="15760" priority="185" stopIfTrue="1" operator="equal">
      <formula>"Towel"</formula>
    </cfRule>
  </conditionalFormatting>
  <conditionalFormatting sqref="C159">
    <cfRule type="cellIs" dxfId="15759" priority="184" stopIfTrue="1" operator="equal">
      <formula>"Napkin Hs"</formula>
    </cfRule>
  </conditionalFormatting>
  <conditionalFormatting sqref="C159">
    <cfRule type="cellIs" dxfId="15758" priority="183" stopIfTrue="1" operator="equal">
      <formula>"Towel"</formula>
    </cfRule>
  </conditionalFormatting>
  <conditionalFormatting sqref="C159">
    <cfRule type="cellIs" dxfId="15757" priority="181" stopIfTrue="1" operator="equal">
      <formula>"Towel"</formula>
    </cfRule>
    <cfRule type="cellIs" dxfId="15756" priority="182" stopIfTrue="1" operator="equal">
      <formula>"Napkin Hs"</formula>
    </cfRule>
  </conditionalFormatting>
  <conditionalFormatting sqref="B158:C158">
    <cfRule type="cellIs" dxfId="15755" priority="102" stopIfTrue="1" operator="equal">
      <formula>"Napkin Hs"</formula>
    </cfRule>
  </conditionalFormatting>
  <conditionalFormatting sqref="B158:C158">
    <cfRule type="cellIs" dxfId="15754" priority="101" stopIfTrue="1" operator="equal">
      <formula>"Towel"</formula>
    </cfRule>
  </conditionalFormatting>
  <conditionalFormatting sqref="C158">
    <cfRule type="cellIs" dxfId="15753" priority="100" stopIfTrue="1" operator="equal">
      <formula>"Napkin Hs"</formula>
    </cfRule>
  </conditionalFormatting>
  <conditionalFormatting sqref="C158">
    <cfRule type="cellIs" dxfId="15752" priority="99" stopIfTrue="1" operator="equal">
      <formula>"Towel"</formula>
    </cfRule>
  </conditionalFormatting>
  <conditionalFormatting sqref="C158">
    <cfRule type="cellIs" dxfId="15751" priority="97" stopIfTrue="1" operator="equal">
      <formula>"Towel"</formula>
    </cfRule>
    <cfRule type="cellIs" dxfId="15750" priority="98" stopIfTrue="1" operator="equal">
      <formula>"Napkin Hs"</formula>
    </cfRule>
  </conditionalFormatting>
  <conditionalFormatting sqref="B150:C151">
    <cfRule type="cellIs" dxfId="15749" priority="96" stopIfTrue="1" operator="equal">
      <formula>"Napkin Hs"</formula>
    </cfRule>
  </conditionalFormatting>
  <conditionalFormatting sqref="B150:C151">
    <cfRule type="cellIs" dxfId="15748" priority="95" stopIfTrue="1" operator="equal">
      <formula>"Towel"</formula>
    </cfRule>
  </conditionalFormatting>
  <conditionalFormatting sqref="C150:C151">
    <cfRule type="cellIs" dxfId="15747" priority="94" stopIfTrue="1" operator="equal">
      <formula>"Napkin Hs"</formula>
    </cfRule>
  </conditionalFormatting>
  <conditionalFormatting sqref="C150:C151">
    <cfRule type="cellIs" dxfId="15746" priority="93" stopIfTrue="1" operator="equal">
      <formula>"Towel"</formula>
    </cfRule>
  </conditionalFormatting>
  <conditionalFormatting sqref="C150:C151">
    <cfRule type="cellIs" dxfId="15745" priority="91" stopIfTrue="1" operator="equal">
      <formula>"Towel"</formula>
    </cfRule>
    <cfRule type="cellIs" dxfId="15744" priority="92" stopIfTrue="1" operator="equal">
      <formula>"Napkin Hs"</formula>
    </cfRule>
  </conditionalFormatting>
  <conditionalFormatting sqref="B146:C149">
    <cfRule type="cellIs" dxfId="15743" priority="90" stopIfTrue="1" operator="equal">
      <formula>"Napkin Hs"</formula>
    </cfRule>
  </conditionalFormatting>
  <conditionalFormatting sqref="B146:C149">
    <cfRule type="cellIs" dxfId="15742" priority="89" stopIfTrue="1" operator="equal">
      <formula>"Towel"</formula>
    </cfRule>
  </conditionalFormatting>
  <conditionalFormatting sqref="C146:C149">
    <cfRule type="cellIs" dxfId="15741" priority="88" stopIfTrue="1" operator="equal">
      <formula>"Napkin Hs"</formula>
    </cfRule>
  </conditionalFormatting>
  <conditionalFormatting sqref="C146:C149">
    <cfRule type="cellIs" dxfId="15740" priority="87" stopIfTrue="1" operator="equal">
      <formula>"Towel"</formula>
    </cfRule>
  </conditionalFormatting>
  <conditionalFormatting sqref="C146:C149">
    <cfRule type="cellIs" dxfId="15739" priority="85" stopIfTrue="1" operator="equal">
      <formula>"Towel"</formula>
    </cfRule>
    <cfRule type="cellIs" dxfId="15738" priority="86" stopIfTrue="1" operator="equal">
      <formula>"Napkin Hs"</formula>
    </cfRule>
  </conditionalFormatting>
  <conditionalFormatting sqref="C146">
    <cfRule type="cellIs" dxfId="15737" priority="81" stopIfTrue="1" operator="equal">
      <formula>"Towel"</formula>
    </cfRule>
    <cfRule type="cellIs" dxfId="15736" priority="82" stopIfTrue="1" operator="equal">
      <formula>"Napkin Hs"</formula>
    </cfRule>
  </conditionalFormatting>
  <conditionalFormatting sqref="C146">
    <cfRule type="cellIs" dxfId="15735" priority="79" stopIfTrue="1" operator="equal">
      <formula>"Towel"</formula>
    </cfRule>
    <cfRule type="cellIs" dxfId="15734" priority="80" stopIfTrue="1" operator="equal">
      <formula>"Napkin Hs"</formula>
    </cfRule>
  </conditionalFormatting>
  <conditionalFormatting sqref="B146:C146">
    <cfRule type="cellIs" dxfId="15733" priority="30" stopIfTrue="1" operator="equal">
      <formula>"Napkin Hs"</formula>
    </cfRule>
  </conditionalFormatting>
  <conditionalFormatting sqref="B146:C146">
    <cfRule type="cellIs" dxfId="15732" priority="29" stopIfTrue="1" operator="equal">
      <formula>"Towel"</formula>
    </cfRule>
  </conditionalFormatting>
  <conditionalFormatting sqref="B146:C146">
    <cfRule type="cellIs" dxfId="15731" priority="83" stopIfTrue="1" operator="equal">
      <formula>"Towel"</formula>
    </cfRule>
    <cfRule type="cellIs" dxfId="15730" priority="84" stopIfTrue="1" operator="equal">
      <formula>"Napkin Hs"</formula>
    </cfRule>
  </conditionalFormatting>
  <conditionalFormatting sqref="C146">
    <cfRule type="cellIs" dxfId="15729" priority="28" stopIfTrue="1" operator="equal">
      <formula>"Napkin Hs"</formula>
    </cfRule>
  </conditionalFormatting>
  <conditionalFormatting sqref="C146">
    <cfRule type="cellIs" dxfId="15728" priority="27" stopIfTrue="1" operator="equal">
      <formula>"Towel"</formula>
    </cfRule>
  </conditionalFormatting>
  <conditionalFormatting sqref="C146">
    <cfRule type="cellIs" dxfId="15727" priority="25" stopIfTrue="1" operator="equal">
      <formula>"Towel"</formula>
    </cfRule>
    <cfRule type="cellIs" dxfId="15726" priority="26" stopIfTrue="1" operator="equal">
      <formula>"Napkin Hs"</formula>
    </cfRule>
  </conditionalFormatting>
  <conditionalFormatting sqref="B146:C146">
    <cfRule type="cellIs" dxfId="15725" priority="78" stopIfTrue="1" operator="equal">
      <formula>"Napkin Hs"</formula>
    </cfRule>
  </conditionalFormatting>
  <conditionalFormatting sqref="B146:C146">
    <cfRule type="cellIs" dxfId="15724" priority="77" stopIfTrue="1" operator="equal">
      <formula>"Towel"</formula>
    </cfRule>
  </conditionalFormatting>
  <conditionalFormatting sqref="C146">
    <cfRule type="cellIs" dxfId="15723" priority="76" stopIfTrue="1" operator="equal">
      <formula>"Napkin Hs"</formula>
    </cfRule>
  </conditionalFormatting>
  <conditionalFormatting sqref="C146">
    <cfRule type="cellIs" dxfId="15722" priority="75" stopIfTrue="1" operator="equal">
      <formula>"Towel"</formula>
    </cfRule>
  </conditionalFormatting>
  <conditionalFormatting sqref="C146">
    <cfRule type="cellIs" dxfId="15721" priority="73" stopIfTrue="1" operator="equal">
      <formula>"Towel"</formula>
    </cfRule>
    <cfRule type="cellIs" dxfId="15720" priority="74" stopIfTrue="1" operator="equal">
      <formula>"Napkin Hs"</formula>
    </cfRule>
  </conditionalFormatting>
  <conditionalFormatting sqref="B146:C146">
    <cfRule type="cellIs" dxfId="15719" priority="71" stopIfTrue="1" operator="equal">
      <formula>"Towel"</formula>
    </cfRule>
    <cfRule type="cellIs" dxfId="15718" priority="72" stopIfTrue="1" operator="equal">
      <formula>"Napkin Hs"</formula>
    </cfRule>
  </conditionalFormatting>
  <conditionalFormatting sqref="C146">
    <cfRule type="cellIs" dxfId="15717" priority="67" stopIfTrue="1" operator="equal">
      <formula>"Towel"</formula>
    </cfRule>
    <cfRule type="cellIs" dxfId="15716" priority="68" stopIfTrue="1" operator="equal">
      <formula>"Napkin Hs"</formula>
    </cfRule>
  </conditionalFormatting>
  <conditionalFormatting sqref="C146">
    <cfRule type="cellIs" dxfId="15715" priority="69" stopIfTrue="1" operator="equal">
      <formula>"Towel"</formula>
    </cfRule>
    <cfRule type="cellIs" dxfId="15714" priority="70" stopIfTrue="1" operator="equal">
      <formula>"Napkin Hs"</formula>
    </cfRule>
  </conditionalFormatting>
  <conditionalFormatting sqref="B146:C146">
    <cfRule type="cellIs" dxfId="15713" priority="66" stopIfTrue="1" operator="equal">
      <formula>"Napkin Hs"</formula>
    </cfRule>
  </conditionalFormatting>
  <conditionalFormatting sqref="B146:C146">
    <cfRule type="cellIs" dxfId="15712" priority="65" stopIfTrue="1" operator="equal">
      <formula>"Towel"</formula>
    </cfRule>
  </conditionalFormatting>
  <conditionalFormatting sqref="C146">
    <cfRule type="cellIs" dxfId="15711" priority="64" stopIfTrue="1" operator="equal">
      <formula>"Napkin Hs"</formula>
    </cfRule>
  </conditionalFormatting>
  <conditionalFormatting sqref="C146">
    <cfRule type="cellIs" dxfId="15710" priority="63" stopIfTrue="1" operator="equal">
      <formula>"Towel"</formula>
    </cfRule>
  </conditionalFormatting>
  <conditionalFormatting sqref="C146">
    <cfRule type="cellIs" dxfId="15709" priority="61" stopIfTrue="1" operator="equal">
      <formula>"Towel"</formula>
    </cfRule>
    <cfRule type="cellIs" dxfId="15708" priority="62" stopIfTrue="1" operator="equal">
      <formula>"Napkin Hs"</formula>
    </cfRule>
  </conditionalFormatting>
  <conditionalFormatting sqref="B146:C146">
    <cfRule type="cellIs" dxfId="15707" priority="59" stopIfTrue="1" operator="equal">
      <formula>"Towel"</formula>
    </cfRule>
    <cfRule type="cellIs" dxfId="15706" priority="60" stopIfTrue="1" operator="equal">
      <formula>"Napkin Hs"</formula>
    </cfRule>
  </conditionalFormatting>
  <conditionalFormatting sqref="C146">
    <cfRule type="cellIs" dxfId="15705" priority="57" stopIfTrue="1" operator="equal">
      <formula>"Towel"</formula>
    </cfRule>
    <cfRule type="cellIs" dxfId="15704" priority="58" stopIfTrue="1" operator="equal">
      <formula>"Napkin Hs"</formula>
    </cfRule>
  </conditionalFormatting>
  <conditionalFormatting sqref="C146">
    <cfRule type="cellIs" dxfId="15703" priority="55" stopIfTrue="1" operator="equal">
      <formula>"Towel"</formula>
    </cfRule>
    <cfRule type="cellIs" dxfId="15702" priority="56" stopIfTrue="1" operator="equal">
      <formula>"Napkin Hs"</formula>
    </cfRule>
  </conditionalFormatting>
  <conditionalFormatting sqref="B146:C146">
    <cfRule type="cellIs" dxfId="15701" priority="53" stopIfTrue="1" operator="equal">
      <formula>"Towel"</formula>
    </cfRule>
    <cfRule type="cellIs" dxfId="15700" priority="54" stopIfTrue="1" operator="equal">
      <formula>"Napkin Hs"</formula>
    </cfRule>
  </conditionalFormatting>
  <conditionalFormatting sqref="C146">
    <cfRule type="cellIs" dxfId="15699" priority="51" stopIfTrue="1" operator="equal">
      <formula>"Towel"</formula>
    </cfRule>
    <cfRule type="cellIs" dxfId="15698" priority="52" stopIfTrue="1" operator="equal">
      <formula>"Napkin Hs"</formula>
    </cfRule>
  </conditionalFormatting>
  <conditionalFormatting sqref="C146">
    <cfRule type="cellIs" dxfId="15697" priority="49" stopIfTrue="1" operator="equal">
      <formula>"Towel"</formula>
    </cfRule>
    <cfRule type="cellIs" dxfId="15696" priority="50" stopIfTrue="1" operator="equal">
      <formula>"Napkin Hs"</formula>
    </cfRule>
  </conditionalFormatting>
  <conditionalFormatting sqref="B146:C146">
    <cfRule type="cellIs" dxfId="15695" priority="47" stopIfTrue="1" operator="equal">
      <formula>"Towel"</formula>
    </cfRule>
    <cfRule type="cellIs" dxfId="15694" priority="48" stopIfTrue="1" operator="equal">
      <formula>"Napkin Hs"</formula>
    </cfRule>
  </conditionalFormatting>
  <conditionalFormatting sqref="C146">
    <cfRule type="cellIs" dxfId="15693" priority="45" stopIfTrue="1" operator="equal">
      <formula>"Towel"</formula>
    </cfRule>
    <cfRule type="cellIs" dxfId="15692" priority="46" stopIfTrue="1" operator="equal">
      <formula>"Napkin Hs"</formula>
    </cfRule>
  </conditionalFormatting>
  <conditionalFormatting sqref="C146">
    <cfRule type="cellIs" dxfId="15691" priority="43" stopIfTrue="1" operator="equal">
      <formula>"Towel"</formula>
    </cfRule>
    <cfRule type="cellIs" dxfId="15690" priority="44" stopIfTrue="1" operator="equal">
      <formula>"Napkin Hs"</formula>
    </cfRule>
  </conditionalFormatting>
  <conditionalFormatting sqref="B146:C146">
    <cfRule type="cellIs" dxfId="15689" priority="41" stopIfTrue="1" operator="equal">
      <formula>"Towel"</formula>
    </cfRule>
    <cfRule type="cellIs" dxfId="15688" priority="42" stopIfTrue="1" operator="equal">
      <formula>"Napkin Hs"</formula>
    </cfRule>
  </conditionalFormatting>
  <conditionalFormatting sqref="C146">
    <cfRule type="cellIs" dxfId="15687" priority="39" stopIfTrue="1" operator="equal">
      <formula>"Towel"</formula>
    </cfRule>
    <cfRule type="cellIs" dxfId="15686" priority="40" stopIfTrue="1" operator="equal">
      <formula>"Napkin Hs"</formula>
    </cfRule>
  </conditionalFormatting>
  <conditionalFormatting sqref="C146">
    <cfRule type="cellIs" dxfId="15685" priority="37" stopIfTrue="1" operator="equal">
      <formula>"Towel"</formula>
    </cfRule>
    <cfRule type="cellIs" dxfId="15684" priority="38" stopIfTrue="1" operator="equal">
      <formula>"Napkin Hs"</formula>
    </cfRule>
  </conditionalFormatting>
  <conditionalFormatting sqref="B146:C146">
    <cfRule type="cellIs" dxfId="15683" priority="35" stopIfTrue="1" operator="equal">
      <formula>"Towel"</formula>
    </cfRule>
    <cfRule type="cellIs" dxfId="15682" priority="36" stopIfTrue="1" operator="equal">
      <formula>"Napkin Hs"</formula>
    </cfRule>
  </conditionalFormatting>
  <conditionalFormatting sqref="C146">
    <cfRule type="cellIs" dxfId="15681" priority="33" stopIfTrue="1" operator="equal">
      <formula>"Towel"</formula>
    </cfRule>
    <cfRule type="cellIs" dxfId="15680" priority="34" stopIfTrue="1" operator="equal">
      <formula>"Napkin Hs"</formula>
    </cfRule>
  </conditionalFormatting>
  <conditionalFormatting sqref="C146">
    <cfRule type="cellIs" dxfId="15679" priority="31" stopIfTrue="1" operator="equal">
      <formula>"Towel"</formula>
    </cfRule>
    <cfRule type="cellIs" dxfId="15678" priority="32" stopIfTrue="1" operator="equal">
      <formula>"Napkin Hs"</formula>
    </cfRule>
  </conditionalFormatting>
  <conditionalFormatting sqref="B153:C153">
    <cfRule type="cellIs" dxfId="15677" priority="24" stopIfTrue="1" operator="equal">
      <formula>"Napkin Hs"</formula>
    </cfRule>
  </conditionalFormatting>
  <conditionalFormatting sqref="B153:C153">
    <cfRule type="cellIs" dxfId="15676" priority="23" stopIfTrue="1" operator="equal">
      <formula>"Towel"</formula>
    </cfRule>
  </conditionalFormatting>
  <conditionalFormatting sqref="C153">
    <cfRule type="cellIs" dxfId="15675" priority="22" stopIfTrue="1" operator="equal">
      <formula>"Napkin Hs"</formula>
    </cfRule>
  </conditionalFormatting>
  <conditionalFormatting sqref="C153">
    <cfRule type="cellIs" dxfId="15674" priority="21" stopIfTrue="1" operator="equal">
      <formula>"Towel"</formula>
    </cfRule>
  </conditionalFormatting>
  <conditionalFormatting sqref="C153">
    <cfRule type="cellIs" dxfId="15673" priority="19" stopIfTrue="1" operator="equal">
      <formula>"Towel"</formula>
    </cfRule>
    <cfRule type="cellIs" dxfId="15672" priority="20" stopIfTrue="1" operator="equal">
      <formula>"Napkin Hs"</formula>
    </cfRule>
  </conditionalFormatting>
  <conditionalFormatting sqref="B152:C152">
    <cfRule type="cellIs" dxfId="15671" priority="18" stopIfTrue="1" operator="equal">
      <formula>"Napkin Hs"</formula>
    </cfRule>
  </conditionalFormatting>
  <conditionalFormatting sqref="B152:C152">
    <cfRule type="cellIs" dxfId="15670" priority="17" stopIfTrue="1" operator="equal">
      <formula>"Towel"</formula>
    </cfRule>
  </conditionalFormatting>
  <conditionalFormatting sqref="C152">
    <cfRule type="cellIs" dxfId="15669" priority="16" stopIfTrue="1" operator="equal">
      <formula>"Napkin Hs"</formula>
    </cfRule>
  </conditionalFormatting>
  <conditionalFormatting sqref="C152">
    <cfRule type="cellIs" dxfId="15668" priority="15" stopIfTrue="1" operator="equal">
      <formula>"Towel"</formula>
    </cfRule>
  </conditionalFormatting>
  <conditionalFormatting sqref="C152">
    <cfRule type="cellIs" dxfId="15667" priority="13" stopIfTrue="1" operator="equal">
      <formula>"Towel"</formula>
    </cfRule>
    <cfRule type="cellIs" dxfId="15666" priority="14" stopIfTrue="1" operator="equal">
      <formula>"Napkin Hs"</formula>
    </cfRule>
  </conditionalFormatting>
  <conditionalFormatting sqref="B156:C157">
    <cfRule type="cellIs" dxfId="15665" priority="12" stopIfTrue="1" operator="equal">
      <formula>"Napkin Hs"</formula>
    </cfRule>
  </conditionalFormatting>
  <conditionalFormatting sqref="B156:C157">
    <cfRule type="cellIs" dxfId="15664" priority="11" stopIfTrue="1" operator="equal">
      <formula>"Towel"</formula>
    </cfRule>
  </conditionalFormatting>
  <conditionalFormatting sqref="C156:C157">
    <cfRule type="cellIs" dxfId="15663" priority="10" stopIfTrue="1" operator="equal">
      <formula>"Napkin Hs"</formula>
    </cfRule>
  </conditionalFormatting>
  <conditionalFormatting sqref="C156:C157">
    <cfRule type="cellIs" dxfId="15662" priority="9" stopIfTrue="1" operator="equal">
      <formula>"Towel"</formula>
    </cfRule>
  </conditionalFormatting>
  <conditionalFormatting sqref="C156:C157">
    <cfRule type="cellIs" dxfId="15661" priority="7" stopIfTrue="1" operator="equal">
      <formula>"Towel"</formula>
    </cfRule>
    <cfRule type="cellIs" dxfId="15660" priority="8" stopIfTrue="1" operator="equal">
      <formula>"Napkin Hs"</formula>
    </cfRule>
  </conditionalFormatting>
  <conditionalFormatting sqref="B154:C155">
    <cfRule type="cellIs" dxfId="15659" priority="6" stopIfTrue="1" operator="equal">
      <formula>"Napkin Hs"</formula>
    </cfRule>
  </conditionalFormatting>
  <conditionalFormatting sqref="B154:C155">
    <cfRule type="cellIs" dxfId="15658" priority="5" stopIfTrue="1" operator="equal">
      <formula>"Towel"</formula>
    </cfRule>
  </conditionalFormatting>
  <conditionalFormatting sqref="C154:C155">
    <cfRule type="cellIs" dxfId="15657" priority="4" stopIfTrue="1" operator="equal">
      <formula>"Napkin Hs"</formula>
    </cfRule>
  </conditionalFormatting>
  <conditionalFormatting sqref="C154:C155">
    <cfRule type="cellIs" dxfId="15656" priority="3" stopIfTrue="1" operator="equal">
      <formula>"Towel"</formula>
    </cfRule>
  </conditionalFormatting>
  <conditionalFormatting sqref="C154:C155">
    <cfRule type="cellIs" dxfId="15655" priority="1" stopIfTrue="1" operator="equal">
      <formula>"Towel"</formula>
    </cfRule>
    <cfRule type="cellIs" dxfId="15654" priority="2" stopIfTrue="1" operator="equal">
      <formula>"Napkin Hs"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39"/>
  <sheetViews>
    <sheetView zoomScale="90" zoomScaleNormal="90" workbookViewId="0">
      <pane xSplit="6" ySplit="6" topLeftCell="T157" activePane="bottomRight" state="frozen"/>
      <selection pane="topRight" activeCell="F1" sqref="F1"/>
      <selection pane="bottomLeft" activeCell="A7" sqref="A7"/>
      <selection pane="bottomRight" activeCell="X163" sqref="X163"/>
    </sheetView>
  </sheetViews>
  <sheetFormatPr defaultColWidth="10.28515625" defaultRowHeight="12"/>
  <cols>
    <col min="1" max="1" width="12.28515625" style="33" customWidth="1"/>
    <col min="2" max="3" width="14.140625" style="33" customWidth="1"/>
    <col min="4" max="4" width="10.28515625" style="33" customWidth="1"/>
    <col min="5" max="5" width="7.5703125" style="33" bestFit="1" customWidth="1"/>
    <col min="6" max="6" width="7" style="63" customWidth="1"/>
    <col min="7" max="9" width="10.28515625" style="33" customWidth="1"/>
    <col min="10" max="11" width="10.28515625" style="92" customWidth="1"/>
    <col min="12" max="13" width="12.7109375" style="64" customWidth="1"/>
    <col min="14" max="15" width="10.28515625" style="33" customWidth="1"/>
    <col min="16" max="16" width="16.85546875" style="33" bestFit="1" customWidth="1"/>
    <col min="17" max="17" width="12.7109375" style="352" customWidth="1"/>
    <col min="18" max="19" width="10.28515625" style="33" customWidth="1"/>
    <col min="20" max="20" width="10.7109375" style="33" customWidth="1"/>
    <col min="21" max="21" width="10.28515625" style="33" customWidth="1"/>
    <col min="22" max="22" width="12.28515625" style="33" customWidth="1"/>
    <col min="23" max="23" width="13" style="33" customWidth="1"/>
    <col min="24" max="24" width="10.28515625" style="33" customWidth="1"/>
    <col min="25" max="25" width="10.140625" style="33" customWidth="1"/>
    <col min="26" max="28" width="10.28515625" style="33" customWidth="1"/>
    <col min="29" max="29" width="12" style="33" customWidth="1"/>
    <col min="30" max="30" width="11.42578125" style="33" bestFit="1" customWidth="1"/>
    <col min="31" max="31" width="41.42578125" style="33" customWidth="1"/>
    <col min="32" max="38" width="10.28515625" style="33" customWidth="1"/>
    <col min="39" max="39" width="11.7109375" style="33" customWidth="1"/>
    <col min="40" max="41" width="10.28515625" style="33" customWidth="1"/>
    <col min="42" max="43" width="12.42578125" style="33" customWidth="1"/>
    <col min="44" max="44" width="29.7109375" style="33" bestFit="1" customWidth="1"/>
    <col min="45" max="16384" width="10.28515625" style="33"/>
  </cols>
  <sheetData>
    <row r="1" spans="1:58" s="24" customFormat="1" ht="15.75">
      <c r="A1" s="23" t="s">
        <v>151</v>
      </c>
      <c r="G1" s="25"/>
      <c r="H1" s="25"/>
      <c r="I1" s="25"/>
      <c r="J1" s="89"/>
      <c r="K1" s="89"/>
      <c r="L1" s="26"/>
      <c r="M1" s="26"/>
      <c r="O1" s="25"/>
      <c r="P1" s="27"/>
      <c r="Q1" s="25"/>
      <c r="R1" s="27"/>
      <c r="S1" s="27"/>
      <c r="W1" s="27"/>
      <c r="X1" s="28"/>
      <c r="Y1" s="28"/>
      <c r="Z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8" s="24" customFormat="1">
      <c r="A2" s="103"/>
      <c r="G2" s="25"/>
      <c r="H2" s="25"/>
      <c r="I2" s="25"/>
      <c r="J2" s="89"/>
      <c r="K2" s="89"/>
      <c r="L2" s="26"/>
      <c r="M2" s="26"/>
      <c r="O2" s="25"/>
      <c r="P2" s="27"/>
      <c r="Q2" s="25"/>
      <c r="R2" s="27"/>
      <c r="S2" s="27"/>
      <c r="W2" s="27"/>
      <c r="X2" s="28"/>
      <c r="Y2" s="28"/>
      <c r="Z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8" ht="24" customHeight="1">
      <c r="A3" s="886" t="s">
        <v>8</v>
      </c>
      <c r="B3" s="886" t="s">
        <v>9</v>
      </c>
      <c r="C3" s="886" t="s">
        <v>203</v>
      </c>
      <c r="D3" s="886" t="s">
        <v>93</v>
      </c>
      <c r="E3" s="886" t="s">
        <v>94</v>
      </c>
      <c r="F3" s="886" t="s">
        <v>95</v>
      </c>
      <c r="G3" s="939" t="s">
        <v>96</v>
      </c>
      <c r="H3" s="940"/>
      <c r="I3" s="940"/>
      <c r="J3" s="940"/>
      <c r="K3" s="941"/>
      <c r="L3" s="925" t="s">
        <v>97</v>
      </c>
      <c r="M3" s="926"/>
      <c r="N3" s="927"/>
      <c r="O3" s="931" t="s">
        <v>98</v>
      </c>
      <c r="P3" s="888" t="s">
        <v>110</v>
      </c>
      <c r="Q3" s="931" t="s">
        <v>99</v>
      </c>
      <c r="R3" s="890" t="s">
        <v>100</v>
      </c>
      <c r="S3" s="890" t="s">
        <v>101</v>
      </c>
      <c r="T3" s="886" t="s">
        <v>160</v>
      </c>
      <c r="U3" s="886" t="s">
        <v>159</v>
      </c>
      <c r="V3" s="886" t="s">
        <v>161</v>
      </c>
      <c r="W3" s="890" t="s">
        <v>145</v>
      </c>
      <c r="X3" s="915" t="s">
        <v>103</v>
      </c>
      <c r="Y3" s="915" t="s">
        <v>332</v>
      </c>
      <c r="Z3" s="890" t="s">
        <v>104</v>
      </c>
      <c r="AA3" s="886" t="s">
        <v>162</v>
      </c>
      <c r="AB3" s="886" t="s">
        <v>173</v>
      </c>
      <c r="AC3" s="886" t="s">
        <v>171</v>
      </c>
      <c r="AD3" s="886" t="s">
        <v>128</v>
      </c>
      <c r="AE3" s="908" t="s">
        <v>129</v>
      </c>
      <c r="AF3" s="911" t="s">
        <v>130</v>
      </c>
      <c r="AG3" s="911"/>
      <c r="AH3" s="911"/>
      <c r="AI3" s="911"/>
      <c r="AJ3" s="911"/>
      <c r="AK3" s="911"/>
      <c r="AL3" s="911"/>
      <c r="AM3" s="933" t="s">
        <v>131</v>
      </c>
      <c r="AN3" s="891" t="s">
        <v>105</v>
      </c>
      <c r="AO3" s="891"/>
      <c r="AP3" s="891"/>
      <c r="AQ3" s="891"/>
      <c r="AR3" s="891"/>
      <c r="AS3" s="892" t="s">
        <v>106</v>
      </c>
      <c r="AT3" s="894" t="s">
        <v>251</v>
      </c>
      <c r="AU3" s="895"/>
      <c r="AV3" s="898" t="s">
        <v>132</v>
      </c>
      <c r="AW3" s="899"/>
      <c r="AX3" s="900" t="s">
        <v>132</v>
      </c>
      <c r="AY3" s="901"/>
      <c r="AZ3" s="902" t="s">
        <v>338</v>
      </c>
      <c r="BA3" s="889" t="s">
        <v>107</v>
      </c>
      <c r="BB3" s="923" t="s">
        <v>108</v>
      </c>
      <c r="BC3" s="923" t="s">
        <v>109</v>
      </c>
      <c r="BD3" s="917" t="s">
        <v>415</v>
      </c>
      <c r="BE3" s="920" t="s">
        <v>416</v>
      </c>
      <c r="BF3" s="886" t="s">
        <v>417</v>
      </c>
    </row>
    <row r="4" spans="1:58" ht="12" customHeight="1">
      <c r="A4" s="907"/>
      <c r="B4" s="907"/>
      <c r="C4" s="907"/>
      <c r="D4" s="907"/>
      <c r="E4" s="907"/>
      <c r="F4" s="907"/>
      <c r="G4" s="942"/>
      <c r="H4" s="943"/>
      <c r="I4" s="943"/>
      <c r="J4" s="943"/>
      <c r="K4" s="944"/>
      <c r="L4" s="928"/>
      <c r="M4" s="929"/>
      <c r="N4" s="930"/>
      <c r="O4" s="932"/>
      <c r="P4" s="912"/>
      <c r="Q4" s="932"/>
      <c r="R4" s="914"/>
      <c r="S4" s="914"/>
      <c r="T4" s="907"/>
      <c r="U4" s="907"/>
      <c r="V4" s="907"/>
      <c r="W4" s="914"/>
      <c r="X4" s="916"/>
      <c r="Y4" s="916"/>
      <c r="Z4" s="914"/>
      <c r="AA4" s="907"/>
      <c r="AB4" s="907"/>
      <c r="AC4" s="907"/>
      <c r="AD4" s="907"/>
      <c r="AE4" s="909"/>
      <c r="AF4" s="936" t="s">
        <v>133</v>
      </c>
      <c r="AG4" s="937"/>
      <c r="AH4" s="938"/>
      <c r="AI4" s="912" t="s">
        <v>204</v>
      </c>
      <c r="AJ4" s="912" t="s">
        <v>15</v>
      </c>
      <c r="AK4" s="912" t="s">
        <v>134</v>
      </c>
      <c r="AL4" s="912" t="s">
        <v>18</v>
      </c>
      <c r="AM4" s="934"/>
      <c r="AN4" s="887" t="s">
        <v>111</v>
      </c>
      <c r="AO4" s="887" t="s">
        <v>15</v>
      </c>
      <c r="AP4" s="887" t="s">
        <v>112</v>
      </c>
      <c r="AQ4" s="887" t="s">
        <v>18</v>
      </c>
      <c r="AR4" s="889" t="s">
        <v>113</v>
      </c>
      <c r="AS4" s="892"/>
      <c r="AT4" s="896"/>
      <c r="AU4" s="897"/>
      <c r="AV4" s="527" t="s">
        <v>6</v>
      </c>
      <c r="AW4" s="527" t="s">
        <v>135</v>
      </c>
      <c r="AX4" s="528" t="s">
        <v>6</v>
      </c>
      <c r="AY4" s="529" t="s">
        <v>135</v>
      </c>
      <c r="AZ4" s="903"/>
      <c r="BA4" s="889"/>
      <c r="BB4" s="907"/>
      <c r="BC4" s="907"/>
      <c r="BD4" s="918"/>
      <c r="BE4" s="921"/>
      <c r="BF4" s="907"/>
    </row>
    <row r="5" spans="1:58" s="36" customFormat="1" ht="48">
      <c r="A5" s="907"/>
      <c r="B5" s="907"/>
      <c r="C5" s="910"/>
      <c r="D5" s="907"/>
      <c r="E5" s="907"/>
      <c r="F5" s="907"/>
      <c r="G5" s="617" t="s">
        <v>114</v>
      </c>
      <c r="H5" s="616" t="s">
        <v>115</v>
      </c>
      <c r="I5" s="34" t="s">
        <v>116</v>
      </c>
      <c r="J5" s="90" t="s">
        <v>117</v>
      </c>
      <c r="K5" s="90" t="s">
        <v>102</v>
      </c>
      <c r="L5" s="35" t="s">
        <v>118</v>
      </c>
      <c r="M5" s="35" t="s">
        <v>119</v>
      </c>
      <c r="N5" s="610" t="s">
        <v>120</v>
      </c>
      <c r="O5" s="932"/>
      <c r="P5" s="913"/>
      <c r="Q5" s="932"/>
      <c r="R5" s="914"/>
      <c r="S5" s="914"/>
      <c r="T5" s="907"/>
      <c r="U5" s="907"/>
      <c r="V5" s="907"/>
      <c r="W5" s="914"/>
      <c r="X5" s="916"/>
      <c r="Y5" s="924"/>
      <c r="Z5" s="914"/>
      <c r="AA5" s="907"/>
      <c r="AB5" s="910"/>
      <c r="AC5" s="907"/>
      <c r="AD5" s="910"/>
      <c r="AE5" s="909"/>
      <c r="AF5" s="460" t="s">
        <v>205</v>
      </c>
      <c r="AG5" s="543" t="s">
        <v>206</v>
      </c>
      <c r="AH5" s="543" t="s">
        <v>207</v>
      </c>
      <c r="AI5" s="913"/>
      <c r="AJ5" s="913"/>
      <c r="AK5" s="913"/>
      <c r="AL5" s="913"/>
      <c r="AM5" s="935"/>
      <c r="AN5" s="888"/>
      <c r="AO5" s="888"/>
      <c r="AP5" s="888"/>
      <c r="AQ5" s="888"/>
      <c r="AR5" s="890"/>
      <c r="AS5" s="893"/>
      <c r="AT5" s="542" t="s">
        <v>330</v>
      </c>
      <c r="AU5" s="542" t="s">
        <v>331</v>
      </c>
      <c r="AV5" s="530" t="s">
        <v>329</v>
      </c>
      <c r="AW5" s="530" t="s">
        <v>329</v>
      </c>
      <c r="AX5" s="528" t="s">
        <v>17</v>
      </c>
      <c r="AY5" s="528" t="s">
        <v>17</v>
      </c>
      <c r="AZ5" s="904"/>
      <c r="BA5" s="890"/>
      <c r="BB5" s="910"/>
      <c r="BC5" s="910"/>
      <c r="BD5" s="919"/>
      <c r="BE5" s="922"/>
      <c r="BF5" s="910"/>
    </row>
    <row r="6" spans="1:58" ht="12.75" customHeight="1">
      <c r="A6" s="44">
        <f>+Report1!A9</f>
        <v>45931</v>
      </c>
      <c r="B6" s="45" t="s">
        <v>7</v>
      </c>
      <c r="C6" s="452">
        <f>(M6*E6*O6*Q6)/100000000</f>
        <v>42.131830334653465</v>
      </c>
      <c r="D6" s="45" t="s">
        <v>411</v>
      </c>
      <c r="E6" s="46">
        <v>13</v>
      </c>
      <c r="F6" s="46">
        <v>1</v>
      </c>
      <c r="G6" s="465">
        <v>1700</v>
      </c>
      <c r="H6" s="608">
        <f>+N6</f>
        <v>0.24</v>
      </c>
      <c r="I6" s="49">
        <v>0.88</v>
      </c>
      <c r="J6" s="91">
        <f>E6*G6*(1-H6)*1440/1000000*2.77</f>
        <v>66.995884799999999</v>
      </c>
      <c r="K6" s="91">
        <f>(IF(G6&lt;L6,L6,G6)*(1-IF(H6&lt;N6,H6,N6))*E6*O6*Q6)/100000000</f>
        <v>43.3370392</v>
      </c>
      <c r="L6" s="39">
        <v>1652.7227722772277</v>
      </c>
      <c r="M6" s="39">
        <v>1256.0693069306931</v>
      </c>
      <c r="N6" s="50">
        <f>1-(M6/L6)</f>
        <v>0.24</v>
      </c>
      <c r="O6" s="51">
        <f>+'Trim Rwd'!H4</f>
        <v>266</v>
      </c>
      <c r="P6" s="52">
        <f>O6*(Q6-R6-S6)</f>
        <v>147364</v>
      </c>
      <c r="Q6" s="51">
        <f>1402-432</f>
        <v>970</v>
      </c>
      <c r="R6" s="422">
        <v>343</v>
      </c>
      <c r="S6" s="422">
        <v>73</v>
      </c>
      <c r="T6" s="41">
        <f>E6*M6*O6*Q6/100000000</f>
        <v>42.131830334653465</v>
      </c>
      <c r="U6" s="41">
        <f>E6*M6*O6*(Q6-R6-S6)/100000000</f>
        <v>24.062921655049504</v>
      </c>
      <c r="V6" s="41">
        <f>E6*G6*(1-N6)*O6/100*(R6+S6)/1000000</f>
        <v>18.585781760000003</v>
      </c>
      <c r="W6" s="41">
        <f>+'1'!K7/1000</f>
        <v>15.436999999999999</v>
      </c>
      <c r="X6" s="419">
        <f>SUM(W6:W9)/SUM(K6:K9)</f>
        <v>0.40002229122110805</v>
      </c>
      <c r="Y6" s="223">
        <v>0</v>
      </c>
      <c r="Z6" s="41">
        <v>0</v>
      </c>
      <c r="AA6" s="53">
        <f>SUM(U6:U9)-SUM(W6:W9)-SUM(Z6:Z9)-SUM(Y6:Y9)</f>
        <v>7.5736649606495057</v>
      </c>
      <c r="AB6" s="53">
        <f>(SUM(K6:K9)-SUM(W6:W9)-SUM(Y6:Y9)-SUM(Z6:Z9)-SUM(AC6:AC9)-SUM(V6:V9))-AA6</f>
        <v>-0.51687308039604218</v>
      </c>
      <c r="AC6" s="41">
        <f>K6-T6</f>
        <v>1.2052088653465347</v>
      </c>
      <c r="AD6" s="41">
        <f t="shared" ref="AD6:AD11" si="0">+AM6+BA6</f>
        <v>20</v>
      </c>
      <c r="AE6" s="241" t="s">
        <v>280</v>
      </c>
      <c r="AF6" s="41">
        <v>20</v>
      </c>
      <c r="AG6" s="41"/>
      <c r="AH6" s="41"/>
      <c r="AI6" s="609"/>
      <c r="AJ6" s="41"/>
      <c r="AK6" s="41"/>
      <c r="AL6" s="41"/>
      <c r="AM6" s="41">
        <f t="shared" ref="AM6:AM11" si="1">SUM(AF6:AL6)+AT6+AV6+AX6</f>
        <v>20</v>
      </c>
      <c r="AN6" s="41"/>
      <c r="AO6" s="41"/>
      <c r="AP6" s="41"/>
      <c r="AQ6" s="41"/>
      <c r="AR6" s="41">
        <f t="shared" ref="AR6:AR11" si="2">SUM(AN6:AQ6)</f>
        <v>0</v>
      </c>
      <c r="AS6" s="41"/>
      <c r="AT6" s="41"/>
      <c r="AU6" s="41"/>
      <c r="AV6" s="41"/>
      <c r="AW6" s="41"/>
      <c r="AX6" s="41"/>
      <c r="AY6" s="41"/>
      <c r="AZ6" s="41"/>
      <c r="BA6" s="41">
        <f t="shared" ref="BA6:BA11" si="3">+AR6+AS6+AU6+AW6+AY6+AZ6</f>
        <v>0</v>
      </c>
      <c r="BB6" s="37">
        <v>0</v>
      </c>
      <c r="BC6" s="55"/>
      <c r="BD6" s="55"/>
      <c r="BE6" s="37"/>
      <c r="BF6" s="55"/>
    </row>
    <row r="7" spans="1:58" ht="12.95" customHeight="1">
      <c r="A7" s="44"/>
      <c r="B7" s="45" t="s">
        <v>7</v>
      </c>
      <c r="C7" s="452">
        <f>(M7*E7*O7*Q7)/100000000</f>
        <v>1.4517433056000004</v>
      </c>
      <c r="D7" s="45" t="s">
        <v>411</v>
      </c>
      <c r="E7" s="46">
        <v>10.3</v>
      </c>
      <c r="F7" s="46">
        <v>1</v>
      </c>
      <c r="G7" s="465">
        <v>1730</v>
      </c>
      <c r="H7" s="48">
        <v>0.16</v>
      </c>
      <c r="I7" s="49">
        <v>0.88</v>
      </c>
      <c r="J7" s="91">
        <f>E7*G7*(1-H7)*1440/1000000*2.77</f>
        <v>59.704198847999997</v>
      </c>
      <c r="K7" s="91">
        <f>(IF(G7&lt;L7,L7,G7)*(1-IF(H7&lt;N7,H7,N7))*E7*O7*Q7)/100000000</f>
        <v>1.5129613968</v>
      </c>
      <c r="L7" s="39">
        <v>1660</v>
      </c>
      <c r="M7" s="39">
        <f>+L7-L7*0.16</f>
        <v>1394.4</v>
      </c>
      <c r="N7" s="50">
        <f>1-(M7/L7)</f>
        <v>0.15999999999999992</v>
      </c>
      <c r="O7" s="51">
        <f>+'Trim Rwd'!H5</f>
        <v>266</v>
      </c>
      <c r="P7" s="52">
        <f>O7*(Q7-R7-S7)</f>
        <v>10108</v>
      </c>
      <c r="Q7" s="51">
        <v>38</v>
      </c>
      <c r="R7" s="422">
        <v>0</v>
      </c>
      <c r="S7" s="422">
        <v>0</v>
      </c>
      <c r="T7" s="41">
        <f>E7*M7*O7*Q7/100000000</f>
        <v>1.4517433056000004</v>
      </c>
      <c r="U7" s="41">
        <f>E7*M7*O7*(Q7-R7-S7)/100000000</f>
        <v>1.4517433056000004</v>
      </c>
      <c r="V7" s="41">
        <f>E7*G7*(1-N7)*O7/100*(R7+S7)/1000000</f>
        <v>0</v>
      </c>
      <c r="W7" s="41">
        <f>+'1'!K8/1000</f>
        <v>0</v>
      </c>
      <c r="X7" s="42"/>
      <c r="Y7" s="223"/>
      <c r="Z7" s="41"/>
      <c r="AA7" s="41"/>
      <c r="AB7" s="41"/>
      <c r="AC7" s="41">
        <f>K7-T7</f>
        <v>6.1218091199999547E-2</v>
      </c>
      <c r="AD7" s="41">
        <f t="shared" si="0"/>
        <v>13</v>
      </c>
      <c r="AE7" s="241" t="s">
        <v>456</v>
      </c>
      <c r="AF7" s="41"/>
      <c r="AG7" s="41">
        <v>13</v>
      </c>
      <c r="AH7" s="41"/>
      <c r="AI7" s="609"/>
      <c r="AJ7" s="41"/>
      <c r="AK7" s="41"/>
      <c r="AL7" s="41"/>
      <c r="AM7" s="41">
        <f t="shared" si="1"/>
        <v>13</v>
      </c>
      <c r="AN7" s="92"/>
      <c r="AO7" s="41"/>
      <c r="AP7" s="41"/>
      <c r="AQ7" s="41"/>
      <c r="AR7" s="41">
        <f t="shared" si="2"/>
        <v>0</v>
      </c>
      <c r="AS7" s="41"/>
      <c r="AT7" s="41"/>
      <c r="AU7" s="41"/>
      <c r="AV7" s="41"/>
      <c r="AW7" s="41"/>
      <c r="AX7" s="41"/>
      <c r="AY7" s="41"/>
      <c r="AZ7" s="41"/>
      <c r="BA7" s="41">
        <f t="shared" si="3"/>
        <v>0</v>
      </c>
      <c r="BB7" s="54"/>
      <c r="BC7" s="55">
        <v>6</v>
      </c>
      <c r="BD7" s="55"/>
      <c r="BE7" s="54"/>
      <c r="BF7" s="55"/>
    </row>
    <row r="8" spans="1:58" ht="12.95" customHeight="1">
      <c r="A8" s="44"/>
      <c r="B8" s="45" t="s">
        <v>473</v>
      </c>
      <c r="C8" s="452"/>
      <c r="D8" s="45"/>
      <c r="E8" s="46">
        <v>15</v>
      </c>
      <c r="F8" s="46"/>
      <c r="G8" s="465"/>
      <c r="H8" s="48"/>
      <c r="I8" s="49"/>
      <c r="J8" s="91"/>
      <c r="K8" s="91"/>
      <c r="L8" s="39"/>
      <c r="M8" s="39"/>
      <c r="N8" s="50"/>
      <c r="O8" s="51"/>
      <c r="P8" s="52"/>
      <c r="Q8" s="51"/>
      <c r="R8" s="422"/>
      <c r="S8" s="422"/>
      <c r="T8" s="41"/>
      <c r="U8" s="41"/>
      <c r="V8" s="41"/>
      <c r="W8" s="41">
        <f>+'1'!K9/1000</f>
        <v>2.504</v>
      </c>
      <c r="X8" s="42"/>
      <c r="Y8" s="223"/>
      <c r="Z8" s="41"/>
      <c r="AA8" s="41"/>
      <c r="AB8" s="41"/>
      <c r="AC8" s="41"/>
      <c r="AD8" s="41">
        <f t="shared" si="0"/>
        <v>30</v>
      </c>
      <c r="AE8" s="241" t="s">
        <v>422</v>
      </c>
      <c r="AF8" s="37"/>
      <c r="AG8" s="37"/>
      <c r="AH8" s="37">
        <v>30</v>
      </c>
      <c r="AI8" s="609"/>
      <c r="AJ8" s="41"/>
      <c r="AK8" s="41"/>
      <c r="AL8" s="41"/>
      <c r="AM8" s="41">
        <f t="shared" si="1"/>
        <v>30</v>
      </c>
      <c r="AN8" s="41"/>
      <c r="AO8" s="41"/>
      <c r="AP8" s="41"/>
      <c r="AQ8" s="41"/>
      <c r="AR8" s="41">
        <f t="shared" si="2"/>
        <v>0</v>
      </c>
      <c r="AS8" s="41"/>
      <c r="AT8" s="41"/>
      <c r="AU8" s="41"/>
      <c r="AV8" s="41"/>
      <c r="AW8" s="41"/>
      <c r="AX8" s="41"/>
      <c r="AY8" s="41"/>
      <c r="AZ8" s="41"/>
      <c r="BA8" s="41">
        <f t="shared" si="3"/>
        <v>0</v>
      </c>
      <c r="BB8" s="37"/>
      <c r="BC8" s="57"/>
      <c r="BD8" s="57"/>
      <c r="BE8" s="37"/>
      <c r="BF8" s="57"/>
    </row>
    <row r="9" spans="1:58" ht="12.95" customHeight="1">
      <c r="A9" s="44"/>
      <c r="B9" s="45"/>
      <c r="C9" s="452"/>
      <c r="D9" s="45"/>
      <c r="E9" s="46"/>
      <c r="F9" s="46"/>
      <c r="G9" s="465"/>
      <c r="H9" s="48"/>
      <c r="I9" s="49"/>
      <c r="J9" s="91"/>
      <c r="K9" s="91"/>
      <c r="L9" s="39"/>
      <c r="M9" s="39"/>
      <c r="N9" s="50"/>
      <c r="O9" s="51"/>
      <c r="P9" s="52"/>
      <c r="Q9" s="51"/>
      <c r="R9" s="422"/>
      <c r="S9" s="422"/>
      <c r="T9" s="41"/>
      <c r="U9" s="41"/>
      <c r="V9" s="41"/>
      <c r="W9" s="41"/>
      <c r="X9" s="42"/>
      <c r="Y9" s="223"/>
      <c r="Z9" s="41"/>
      <c r="AA9" s="41"/>
      <c r="AB9" s="41"/>
      <c r="AC9" s="41"/>
      <c r="AD9" s="41">
        <f t="shared" si="0"/>
        <v>10</v>
      </c>
      <c r="AE9" s="241" t="s">
        <v>424</v>
      </c>
      <c r="AF9" s="37"/>
      <c r="AG9" s="37"/>
      <c r="AH9" s="37"/>
      <c r="AI9" s="609">
        <v>10</v>
      </c>
      <c r="AJ9" s="41"/>
      <c r="AK9" s="41"/>
      <c r="AL9" s="41"/>
      <c r="AM9" s="41">
        <f t="shared" si="1"/>
        <v>10</v>
      </c>
      <c r="AN9" s="41"/>
      <c r="AO9" s="41"/>
      <c r="AP9" s="41"/>
      <c r="AQ9" s="41"/>
      <c r="AR9" s="41">
        <f t="shared" si="2"/>
        <v>0</v>
      </c>
      <c r="AS9" s="41"/>
      <c r="AT9" s="41"/>
      <c r="AU9" s="41"/>
      <c r="AV9" s="41"/>
      <c r="AW9" s="41"/>
      <c r="AX9" s="41"/>
      <c r="AY9" s="41"/>
      <c r="AZ9" s="41"/>
      <c r="BA9" s="41">
        <f t="shared" si="3"/>
        <v>0</v>
      </c>
      <c r="BB9" s="37"/>
      <c r="BC9" s="57"/>
      <c r="BD9" s="57"/>
      <c r="BE9" s="37"/>
      <c r="BF9" s="57"/>
    </row>
    <row r="10" spans="1:58" ht="12.95" customHeight="1">
      <c r="A10" s="44"/>
      <c r="B10" s="586"/>
      <c r="C10" s="452"/>
      <c r="D10" s="45"/>
      <c r="E10" s="258"/>
      <c r="F10" s="46"/>
      <c r="G10" s="47"/>
      <c r="H10" s="48"/>
      <c r="I10" s="49"/>
      <c r="J10" s="91"/>
      <c r="K10" s="91"/>
      <c r="L10" s="39"/>
      <c r="M10" s="39"/>
      <c r="N10" s="50"/>
      <c r="O10" s="51"/>
      <c r="P10" s="52"/>
      <c r="Q10" s="351"/>
      <c r="R10" s="54"/>
      <c r="S10" s="54"/>
      <c r="T10" s="41"/>
      <c r="U10" s="41"/>
      <c r="V10" s="41"/>
      <c r="W10" s="37"/>
      <c r="X10" s="42"/>
      <c r="Y10" s="42"/>
      <c r="Z10" s="37"/>
      <c r="AA10" s="53"/>
      <c r="AB10" s="53"/>
      <c r="AC10" s="41"/>
      <c r="AD10" s="41">
        <f t="shared" si="0"/>
        <v>223</v>
      </c>
      <c r="AE10" s="21" t="s">
        <v>461</v>
      </c>
      <c r="AF10" s="41"/>
      <c r="AG10" s="41"/>
      <c r="AH10" s="41"/>
      <c r="AI10" s="41"/>
      <c r="AJ10" s="41"/>
      <c r="AK10" s="41"/>
      <c r="AL10" s="41"/>
      <c r="AM10" s="41">
        <f t="shared" si="1"/>
        <v>0</v>
      </c>
      <c r="AN10" s="41"/>
      <c r="AO10" s="41"/>
      <c r="AP10" s="41"/>
      <c r="AQ10" s="41"/>
      <c r="AR10" s="41">
        <f t="shared" si="2"/>
        <v>0</v>
      </c>
      <c r="AS10" s="41"/>
      <c r="AT10" s="41"/>
      <c r="AU10" s="41"/>
      <c r="AV10" s="41"/>
      <c r="AW10" s="41">
        <f>878-655</f>
        <v>223</v>
      </c>
      <c r="AX10" s="41"/>
      <c r="AY10" s="41"/>
      <c r="AZ10" s="41"/>
      <c r="BA10" s="41">
        <f t="shared" si="3"/>
        <v>223</v>
      </c>
      <c r="BB10" s="37"/>
      <c r="BC10" s="57"/>
      <c r="BD10" s="57"/>
      <c r="BE10" s="37"/>
      <c r="BF10" s="57"/>
    </row>
    <row r="11" spans="1:58" ht="12.95" customHeight="1">
      <c r="A11" s="44"/>
      <c r="B11" s="586"/>
      <c r="C11" s="452"/>
      <c r="D11" s="45"/>
      <c r="E11" s="258"/>
      <c r="F11" s="46"/>
      <c r="G11" s="47"/>
      <c r="H11" s="48"/>
      <c r="I11" s="49"/>
      <c r="J11" s="91"/>
      <c r="K11" s="91"/>
      <c r="L11" s="39"/>
      <c r="M11" s="39"/>
      <c r="N11" s="50"/>
      <c r="O11" s="51"/>
      <c r="P11" s="52"/>
      <c r="Q11" s="351"/>
      <c r="R11" s="54"/>
      <c r="S11" s="54"/>
      <c r="T11" s="41"/>
      <c r="U11" s="41"/>
      <c r="V11" s="41"/>
      <c r="W11" s="37"/>
      <c r="X11" s="42"/>
      <c r="Y11" s="42"/>
      <c r="Z11" s="37"/>
      <c r="AA11" s="53"/>
      <c r="AB11" s="53"/>
      <c r="AC11" s="41"/>
      <c r="AD11" s="41">
        <f t="shared" si="0"/>
        <v>120</v>
      </c>
      <c r="AE11" s="598" t="s">
        <v>462</v>
      </c>
      <c r="AF11" s="41"/>
      <c r="AG11" s="41"/>
      <c r="AH11" s="41"/>
      <c r="AI11" s="41"/>
      <c r="AJ11" s="41"/>
      <c r="AK11" s="41"/>
      <c r="AL11" s="41"/>
      <c r="AM11" s="41">
        <f t="shared" si="1"/>
        <v>0</v>
      </c>
      <c r="AN11" s="41"/>
      <c r="AO11" s="41"/>
      <c r="AP11" s="41">
        <v>120</v>
      </c>
      <c r="AQ11" s="41"/>
      <c r="AR11" s="41">
        <f t="shared" si="2"/>
        <v>120</v>
      </c>
      <c r="AS11" s="41"/>
      <c r="AT11" s="41"/>
      <c r="AU11" s="41"/>
      <c r="AV11" s="41"/>
      <c r="AW11" s="41"/>
      <c r="AX11" s="41"/>
      <c r="AY11" s="41"/>
      <c r="AZ11" s="41"/>
      <c r="BA11" s="41">
        <f t="shared" si="3"/>
        <v>120</v>
      </c>
      <c r="BB11" s="37"/>
      <c r="BC11" s="57"/>
      <c r="BD11" s="57"/>
      <c r="BE11" s="37"/>
      <c r="BF11" s="57"/>
    </row>
    <row r="12" spans="1:58" ht="12.95" customHeight="1">
      <c r="A12" s="346"/>
      <c r="B12" s="45"/>
      <c r="C12" s="452"/>
      <c r="D12" s="45"/>
      <c r="E12" s="46"/>
      <c r="F12" s="46"/>
      <c r="G12" s="465"/>
      <c r="H12" s="48"/>
      <c r="I12" s="49"/>
      <c r="J12" s="91"/>
      <c r="K12" s="91"/>
      <c r="L12" s="39"/>
      <c r="M12" s="39"/>
      <c r="N12" s="50"/>
      <c r="O12" s="51"/>
      <c r="P12" s="52"/>
      <c r="Q12" s="51"/>
      <c r="R12" s="422"/>
      <c r="S12" s="422"/>
      <c r="T12" s="41"/>
      <c r="U12" s="41"/>
      <c r="V12" s="41"/>
      <c r="W12" s="41"/>
      <c r="X12" s="42"/>
      <c r="Y12" s="223"/>
      <c r="Z12" s="41"/>
      <c r="AA12" s="41"/>
      <c r="AB12" s="41"/>
      <c r="AC12" s="41"/>
      <c r="AD12" s="41"/>
      <c r="AE12" s="241"/>
      <c r="AF12" s="41"/>
      <c r="AG12" s="41"/>
      <c r="AH12" s="41"/>
      <c r="AI12" s="461"/>
      <c r="AJ12" s="41"/>
      <c r="AK12" s="41"/>
      <c r="AL12" s="41"/>
      <c r="AM12" s="41"/>
      <c r="AN12" s="92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54"/>
      <c r="BC12" s="55"/>
      <c r="BD12" s="55"/>
      <c r="BE12" s="54"/>
      <c r="BF12" s="55"/>
    </row>
    <row r="13" spans="1:58" ht="12.75" customHeight="1">
      <c r="A13" s="44">
        <v>45932</v>
      </c>
      <c r="B13" s="45" t="s">
        <v>7</v>
      </c>
      <c r="C13" s="452">
        <f>(M13*E13*O13*Q13)/100000000</f>
        <v>10.315018224000003</v>
      </c>
      <c r="D13" s="45" t="s">
        <v>411</v>
      </c>
      <c r="E13" s="46">
        <v>10.3</v>
      </c>
      <c r="F13" s="46">
        <v>1</v>
      </c>
      <c r="G13" s="465">
        <v>1730</v>
      </c>
      <c r="H13" s="48">
        <v>0.16</v>
      </c>
      <c r="I13" s="49">
        <v>0.88</v>
      </c>
      <c r="J13" s="91">
        <f>E13*G13*(1-H13)*1440/1000000*2.77</f>
        <v>59.704198847999997</v>
      </c>
      <c r="K13" s="91">
        <f>(IF(G13&lt;L13,L13,G13)*(1-IF(H13&lt;N13,H13,N13))*E13*O13*Q13)/100000000</f>
        <v>10.749988872000001</v>
      </c>
      <c r="L13" s="39">
        <v>1660</v>
      </c>
      <c r="M13" s="39">
        <f>+L13-L13*0.16</f>
        <v>1394.4</v>
      </c>
      <c r="N13" s="50">
        <f>1-(M13/L13)</f>
        <v>0.15999999999999992</v>
      </c>
      <c r="O13" s="51">
        <f>+'Trim Rwd'!H8</f>
        <v>266</v>
      </c>
      <c r="P13" s="52">
        <f>O13*(Q13-R13-S13)</f>
        <v>65702</v>
      </c>
      <c r="Q13" s="51">
        <f>240+30</f>
        <v>270</v>
      </c>
      <c r="R13" s="422">
        <v>0</v>
      </c>
      <c r="S13" s="422">
        <v>23</v>
      </c>
      <c r="T13" s="41">
        <f>E13*M13*O13*Q13/100000000</f>
        <v>10.315018224000003</v>
      </c>
      <c r="U13" s="41">
        <f>E13*M13*O13*(Q13-R13-S13)/100000000</f>
        <v>9.4363314864000003</v>
      </c>
      <c r="V13" s="41">
        <f>E13*G13*(1-N13)*O13/100*(R13+S13)/1000000</f>
        <v>0.91573979280000006</v>
      </c>
      <c r="W13" s="41">
        <f>+'2'!K8/1000</f>
        <v>9.6280000000000001</v>
      </c>
      <c r="X13" s="419">
        <f>SUM(W13:W16)/SUM(K13:K16)</f>
        <v>0.7590810231266012</v>
      </c>
      <c r="Y13" s="223">
        <v>0</v>
      </c>
      <c r="Z13" s="41">
        <v>0</v>
      </c>
      <c r="AA13" s="53">
        <f>SUM(U13:U16)-SUM(W13:W16)-SUM(Z13:Z16)-SUM(Y13:Y16)</f>
        <v>12.019120443899997</v>
      </c>
      <c r="AB13" s="53">
        <f>(SUM(K13:K16)-SUM(W13:W16)-SUM(Y13:Y16)-SUM(Z13:Z16)-SUM(AC13:AC16)-SUM(V13:V16))-AA13</f>
        <v>-2.3636179200005714E-2</v>
      </c>
      <c r="AC13" s="41">
        <f>K13-T13</f>
        <v>0.43497064799999841</v>
      </c>
      <c r="AD13" s="41">
        <f>+AM13+BA13</f>
        <v>30</v>
      </c>
      <c r="AE13" s="241" t="s">
        <v>483</v>
      </c>
      <c r="AF13" s="41">
        <v>30</v>
      </c>
      <c r="AG13" s="41"/>
      <c r="AH13" s="41"/>
      <c r="AI13" s="609"/>
      <c r="AJ13" s="41"/>
      <c r="AK13" s="41"/>
      <c r="AL13" s="41"/>
      <c r="AM13" s="41">
        <f>SUM(AF13:AL13)+AT13+AV13+AX13</f>
        <v>30</v>
      </c>
      <c r="AN13" s="41"/>
      <c r="AO13" s="41"/>
      <c r="AP13" s="41"/>
      <c r="AQ13" s="41"/>
      <c r="AR13" s="41">
        <f>SUM(AN13:AQ13)</f>
        <v>0</v>
      </c>
      <c r="AS13" s="41"/>
      <c r="AT13" s="41"/>
      <c r="AU13" s="41"/>
      <c r="AV13" s="41"/>
      <c r="AW13" s="41"/>
      <c r="AX13" s="41"/>
      <c r="AY13" s="41"/>
      <c r="AZ13" s="41"/>
      <c r="BA13" s="41">
        <f>+AR13+AS13+AU13+AW13+AY13+AZ13</f>
        <v>0</v>
      </c>
      <c r="BB13" s="37">
        <v>6</v>
      </c>
      <c r="BC13" s="55"/>
      <c r="BD13" s="55"/>
      <c r="BE13" s="37"/>
      <c r="BF13" s="55"/>
    </row>
    <row r="14" spans="1:58" ht="12.95" customHeight="1">
      <c r="A14" s="44"/>
      <c r="B14" s="45" t="s">
        <v>234</v>
      </c>
      <c r="C14" s="452">
        <f>(M14*E14*O14*Q14)/100000000</f>
        <v>53.222409302999999</v>
      </c>
      <c r="D14" s="45" t="s">
        <v>411</v>
      </c>
      <c r="E14" s="46">
        <v>15.5</v>
      </c>
      <c r="F14" s="46">
        <v>1</v>
      </c>
      <c r="G14" s="465">
        <v>1270</v>
      </c>
      <c r="H14" s="48">
        <v>0</v>
      </c>
      <c r="I14" s="49">
        <v>0.88</v>
      </c>
      <c r="J14" s="91">
        <f>E14*G14*(1-H14)*1440/1000000*2.77</f>
        <v>78.519527999999994</v>
      </c>
      <c r="K14" s="91">
        <f>(IF(G14&lt;L14,L14,G14)*(1-IF(H14&lt;N14,H14,N14))*E14*O14*Q14)/100000000</f>
        <v>53.409342000000002</v>
      </c>
      <c r="L14" s="39">
        <v>1270</v>
      </c>
      <c r="M14" s="39">
        <f>+L14-L14*0.0035</f>
        <v>1265.5550000000001</v>
      </c>
      <c r="N14" s="50">
        <f>1-(M14/L14)</f>
        <v>3.4999999999999476E-3</v>
      </c>
      <c r="O14" s="51">
        <f>+'Trim Rwd'!H11</f>
        <v>266</v>
      </c>
      <c r="P14" s="52">
        <f>O14*(Q14-R14-S14)</f>
        <v>263340</v>
      </c>
      <c r="Q14" s="51">
        <f>210+480+330</f>
        <v>1020</v>
      </c>
      <c r="R14" s="422">
        <v>0</v>
      </c>
      <c r="S14" s="422">
        <v>30</v>
      </c>
      <c r="T14" s="41">
        <f>E14*M14*O14*Q14/100000000</f>
        <v>53.222409302999999</v>
      </c>
      <c r="U14" s="41">
        <f>E14*M14*O14*(Q14-R14-S14)/100000000</f>
        <v>51.657044323500003</v>
      </c>
      <c r="V14" s="41">
        <f>E14*G14*(1-N14)*O14/100*(R14+S14)/1000000</f>
        <v>1.5653649795000002</v>
      </c>
      <c r="W14" s="41">
        <f>+'2'!K9/1000</f>
        <v>0</v>
      </c>
      <c r="X14" s="42"/>
      <c r="Y14" s="223"/>
      <c r="Z14" s="41">
        <f>+'2'!D34/1000</f>
        <v>1.55</v>
      </c>
      <c r="AA14" s="41"/>
      <c r="AB14" s="41"/>
      <c r="AC14" s="41">
        <f>K14-T14</f>
        <v>0.18693269700000315</v>
      </c>
      <c r="AD14" s="41">
        <f>+AM14+BA14</f>
        <v>1</v>
      </c>
      <c r="AE14" s="241" t="s">
        <v>481</v>
      </c>
      <c r="AF14" s="41"/>
      <c r="AG14" s="41">
        <v>1</v>
      </c>
      <c r="AH14" s="41"/>
      <c r="AI14" s="609"/>
      <c r="AJ14" s="41"/>
      <c r="AK14" s="41"/>
      <c r="AL14" s="41"/>
      <c r="AM14" s="41">
        <f>SUM(AF14:AL14)+AT14+AV14+AX14</f>
        <v>1</v>
      </c>
      <c r="AN14" s="92"/>
      <c r="AO14" s="41"/>
      <c r="AP14" s="41"/>
      <c r="AQ14" s="41"/>
      <c r="AR14" s="41">
        <f>SUM(AN14:AQ14)</f>
        <v>0</v>
      </c>
      <c r="AS14" s="41"/>
      <c r="AT14" s="41"/>
      <c r="AU14" s="41"/>
      <c r="AV14" s="41"/>
      <c r="AW14" s="41"/>
      <c r="AX14" s="41"/>
      <c r="AY14" s="41"/>
      <c r="AZ14" s="41"/>
      <c r="BA14" s="41">
        <f>+AR14+AS14+AU14+AW14+AY14+AZ14</f>
        <v>0</v>
      </c>
      <c r="BB14" s="54"/>
      <c r="BC14" s="55">
        <v>1</v>
      </c>
      <c r="BD14" s="55"/>
      <c r="BE14" s="54"/>
      <c r="BF14" s="55"/>
    </row>
    <row r="15" spans="1:58" ht="12.95" customHeight="1">
      <c r="A15" s="44"/>
      <c r="B15" s="45" t="s">
        <v>234</v>
      </c>
      <c r="C15" s="452">
        <f>(M15*E15*O15*Q15)/100000000</f>
        <v>8.5197162599999992</v>
      </c>
      <c r="D15" s="45" t="s">
        <v>411</v>
      </c>
      <c r="E15" s="46">
        <v>16.5</v>
      </c>
      <c r="F15" s="46">
        <v>1</v>
      </c>
      <c r="G15" s="465">
        <v>1250</v>
      </c>
      <c r="H15" s="48">
        <v>0</v>
      </c>
      <c r="I15" s="49">
        <v>0.88</v>
      </c>
      <c r="J15" s="91">
        <f>E15*G15*(1-H15)*1440/1000000*2.77</f>
        <v>82.269000000000005</v>
      </c>
      <c r="K15" s="91">
        <f>(IF(G15&lt;L15,L15,G15)*(1-IF(H15&lt;N15,H15,N15))*E15*O15*Q15)/100000000</f>
        <v>8.5496400000000001</v>
      </c>
      <c r="L15" s="39">
        <v>1270</v>
      </c>
      <c r="M15" s="39">
        <f>+L15-L15*0.0035</f>
        <v>1265.5550000000001</v>
      </c>
      <c r="N15" s="50">
        <f>1-(M15/L15)</f>
        <v>3.4999999999999476E-3</v>
      </c>
      <c r="O15" s="51">
        <f>+'Trim Rwd'!H12</f>
        <v>272</v>
      </c>
      <c r="P15" s="52">
        <f>O15*(Q15-R15-S15)</f>
        <v>36720</v>
      </c>
      <c r="Q15" s="51">
        <f>30+120</f>
        <v>150</v>
      </c>
      <c r="R15" s="422">
        <v>0</v>
      </c>
      <c r="S15" s="422">
        <v>15</v>
      </c>
      <c r="T15" s="41">
        <f>E15*M15*O15*Q15/100000000</f>
        <v>8.5197162599999992</v>
      </c>
      <c r="U15" s="41">
        <f>E15*M15*O15*(Q15-R15-S15)/100000000</f>
        <v>7.6677446339999999</v>
      </c>
      <c r="V15" s="41">
        <f>E15*G15*(1-N15)*O15/100*(R15+S15)/1000000</f>
        <v>0.83855475000000002</v>
      </c>
      <c r="W15" s="41">
        <f>+'2'!K10/1000</f>
        <v>41.311</v>
      </c>
      <c r="X15" s="42"/>
      <c r="Y15" s="223"/>
      <c r="Z15" s="41"/>
      <c r="AA15" s="41"/>
      <c r="AB15" s="41"/>
      <c r="AC15" s="41">
        <f>K15-T15</f>
        <v>2.9923740000000976E-2</v>
      </c>
      <c r="AD15" s="41">
        <f>+AM15+BA15</f>
        <v>23</v>
      </c>
      <c r="AE15" s="241" t="s">
        <v>484</v>
      </c>
      <c r="AF15" s="37"/>
      <c r="AG15" s="37"/>
      <c r="AH15" s="37">
        <v>23</v>
      </c>
      <c r="AI15" s="609"/>
      <c r="AJ15" s="41"/>
      <c r="AK15" s="41"/>
      <c r="AL15" s="41"/>
      <c r="AM15" s="41">
        <f>SUM(AF15:AL15)+AT15+AV15+AX15</f>
        <v>23</v>
      </c>
      <c r="AN15" s="41"/>
      <c r="AO15" s="41"/>
      <c r="AP15" s="41"/>
      <c r="AQ15" s="41"/>
      <c r="AR15" s="41">
        <f>SUM(AN15:AQ15)</f>
        <v>0</v>
      </c>
      <c r="AS15" s="41"/>
      <c r="AT15" s="41"/>
      <c r="AU15" s="41"/>
      <c r="AV15" s="41"/>
      <c r="AW15" s="41"/>
      <c r="AX15" s="41"/>
      <c r="AY15" s="41"/>
      <c r="AZ15" s="41"/>
      <c r="BA15" s="41">
        <f>+AR15+AS15+AU15+AW15+AY15+AZ15</f>
        <v>0</v>
      </c>
      <c r="BB15" s="37"/>
      <c r="BC15" s="57"/>
      <c r="BD15" s="57"/>
      <c r="BE15" s="37"/>
      <c r="BF15" s="57"/>
    </row>
    <row r="16" spans="1:58" ht="12.95" customHeight="1">
      <c r="A16" s="346"/>
      <c r="B16" s="45" t="s">
        <v>7</v>
      </c>
      <c r="C16" s="452"/>
      <c r="D16" s="45"/>
      <c r="E16" s="46">
        <v>13</v>
      </c>
      <c r="F16" s="46"/>
      <c r="G16" s="465"/>
      <c r="H16" s="48"/>
      <c r="I16" s="49"/>
      <c r="J16" s="91"/>
      <c r="K16" s="91"/>
      <c r="L16" s="39"/>
      <c r="M16" s="39"/>
      <c r="N16" s="50"/>
      <c r="O16" s="51"/>
      <c r="P16" s="52"/>
      <c r="Q16" s="51"/>
      <c r="R16" s="422"/>
      <c r="S16" s="422"/>
      <c r="T16" s="41"/>
      <c r="U16" s="41"/>
      <c r="V16" s="41"/>
      <c r="W16" s="41">
        <f>+'2'!K7/1000</f>
        <v>4.2530000000000001</v>
      </c>
      <c r="X16" s="419"/>
      <c r="Y16" s="223"/>
      <c r="Z16" s="41"/>
      <c r="AA16" s="53"/>
      <c r="AB16" s="53"/>
      <c r="AC16" s="41"/>
      <c r="AD16" s="41">
        <f>+AM16+BA16</f>
        <v>14</v>
      </c>
      <c r="AE16" s="241" t="s">
        <v>424</v>
      </c>
      <c r="AF16" s="37"/>
      <c r="AG16" s="37"/>
      <c r="AH16" s="37"/>
      <c r="AI16" s="609">
        <v>14</v>
      </c>
      <c r="AJ16" s="41"/>
      <c r="AK16" s="41"/>
      <c r="AL16" s="41"/>
      <c r="AM16" s="41">
        <f>SUM(AF16:AL16)+AT16+AV16+AX16</f>
        <v>14</v>
      </c>
      <c r="AN16" s="41"/>
      <c r="AO16" s="41"/>
      <c r="AP16" s="41"/>
      <c r="AQ16" s="41"/>
      <c r="AR16" s="41">
        <f>SUM(AN16:AQ16)</f>
        <v>0</v>
      </c>
      <c r="AS16" s="41"/>
      <c r="AT16" s="41"/>
      <c r="AU16" s="41"/>
      <c r="AV16" s="41"/>
      <c r="AW16" s="41"/>
      <c r="AX16" s="41"/>
      <c r="AY16" s="41"/>
      <c r="AZ16" s="41"/>
      <c r="BA16" s="41">
        <f>+AR16+AS16+AU16+AW16+AY16+AZ16</f>
        <v>0</v>
      </c>
      <c r="BB16" s="37"/>
      <c r="BC16" s="57"/>
      <c r="BD16" s="57"/>
      <c r="BE16" s="37"/>
      <c r="BF16" s="57"/>
    </row>
    <row r="17" spans="1:58" ht="12.95" customHeight="1">
      <c r="A17" s="346"/>
      <c r="B17" s="45"/>
      <c r="C17" s="452"/>
      <c r="D17" s="45"/>
      <c r="E17" s="46"/>
      <c r="F17" s="46"/>
      <c r="G17" s="465"/>
      <c r="H17" s="48"/>
      <c r="I17" s="49"/>
      <c r="J17" s="91"/>
      <c r="K17" s="91"/>
      <c r="L17" s="39"/>
      <c r="M17" s="39"/>
      <c r="N17" s="50"/>
      <c r="O17" s="51"/>
      <c r="P17" s="52"/>
      <c r="Q17" s="51"/>
      <c r="R17" s="422"/>
      <c r="S17" s="422"/>
      <c r="T17" s="41"/>
      <c r="U17" s="41"/>
      <c r="V17" s="41"/>
      <c r="W17" s="41"/>
      <c r="X17" s="419"/>
      <c r="Y17" s="223"/>
      <c r="Z17" s="41"/>
      <c r="AA17" s="53"/>
      <c r="AB17" s="53"/>
      <c r="AC17" s="41"/>
      <c r="AD17" s="41"/>
      <c r="AE17" s="241"/>
      <c r="AF17" s="41"/>
      <c r="AG17" s="41"/>
      <c r="AH17" s="41"/>
      <c r="AI17" s="46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37"/>
      <c r="BC17" s="55"/>
      <c r="BD17" s="55"/>
      <c r="BE17" s="37"/>
      <c r="BF17" s="55"/>
    </row>
    <row r="18" spans="1:58" ht="12.75" customHeight="1">
      <c r="A18" s="44">
        <v>45933</v>
      </c>
      <c r="B18" s="45" t="s">
        <v>234</v>
      </c>
      <c r="C18" s="452">
        <f>(M18*E18*O18*Q18)/100000000</f>
        <v>24.444068269500004</v>
      </c>
      <c r="D18" s="45" t="s">
        <v>411</v>
      </c>
      <c r="E18" s="46">
        <v>16.5</v>
      </c>
      <c r="F18" s="46">
        <v>1</v>
      </c>
      <c r="G18" s="465">
        <v>1250</v>
      </c>
      <c r="H18" s="48">
        <v>0</v>
      </c>
      <c r="I18" s="49">
        <v>0.88</v>
      </c>
      <c r="J18" s="91">
        <f>E18*G18*(1-H18)*1440/1000000*2.77</f>
        <v>82.269000000000005</v>
      </c>
      <c r="K18" s="91">
        <f>(IF(G18&lt;L18,L18,G18)*(1-IF(H18&lt;N18,H18,N18))*E18*O18*Q18)/100000000</f>
        <v>24.529923000000004</v>
      </c>
      <c r="L18" s="39">
        <v>1270</v>
      </c>
      <c r="M18" s="39">
        <v>1265.5550000000001</v>
      </c>
      <c r="N18" s="50">
        <f>1-(M18/L18)</f>
        <v>3.4999999999999476E-3</v>
      </c>
      <c r="O18" s="51">
        <f>+'Trim Rwd'!H15</f>
        <v>269.10344827586209</v>
      </c>
      <c r="P18" s="52">
        <f>O18*(Q18-R18-S18)</f>
        <v>113292.55172413794</v>
      </c>
      <c r="Q18" s="51">
        <v>435</v>
      </c>
      <c r="R18" s="422">
        <v>0</v>
      </c>
      <c r="S18" s="422">
        <v>14</v>
      </c>
      <c r="T18" s="41">
        <f>E18*M18*O18*Q18/100000000</f>
        <v>24.444068269500004</v>
      </c>
      <c r="U18" s="41">
        <f>E18*M18*O18*(Q18-R18-S18)/100000000</f>
        <v>23.657362624044829</v>
      </c>
      <c r="V18" s="41">
        <f>E18*G18*(1-N18)*O18/100*(R18+S18)/1000000</f>
        <v>0.77431658017241389</v>
      </c>
      <c r="W18" s="41">
        <f>+'3'!K11/1000</f>
        <v>16.068999999999999</v>
      </c>
      <c r="X18" s="419">
        <f>SUM(W18:W21)/SUM(K18:K21)</f>
        <v>1.0496100485747695</v>
      </c>
      <c r="Y18" s="223">
        <v>0</v>
      </c>
      <c r="Z18" s="41">
        <v>0</v>
      </c>
      <c r="AA18" s="53">
        <f>SUM(U18:U21)-SUM(W18:W21)-SUM(Z18:Z21)-SUM(Y18:Y21)</f>
        <v>-6.0510003915551795</v>
      </c>
      <c r="AB18" s="53">
        <f>(SUM(K18:K21)-SUM(W18:W21)-SUM(Y18:Y21)-SUM(Z18:Z21)-SUM(AC18:AC21)-SUM(V18:V21))-AA18</f>
        <v>3.8907126082758481E-2</v>
      </c>
      <c r="AC18" s="41">
        <f>K18-T18</f>
        <v>8.5854730499999476E-2</v>
      </c>
      <c r="AD18" s="41">
        <f>+AM18+BA18</f>
        <v>0</v>
      </c>
      <c r="AE18" s="241" t="s">
        <v>280</v>
      </c>
      <c r="AF18" s="41">
        <v>0</v>
      </c>
      <c r="AG18" s="41"/>
      <c r="AH18" s="41"/>
      <c r="AI18" s="609"/>
      <c r="AJ18" s="41"/>
      <c r="AK18" s="41"/>
      <c r="AL18" s="41"/>
      <c r="AM18" s="41">
        <f>SUM(AF18:AL18)+AT18+AV18+AX18</f>
        <v>0</v>
      </c>
      <c r="AN18" s="41"/>
      <c r="AO18" s="41"/>
      <c r="AP18" s="41"/>
      <c r="AQ18" s="41"/>
      <c r="AR18" s="41">
        <f>SUM(AN18:AQ18)</f>
        <v>0</v>
      </c>
      <c r="AS18" s="41"/>
      <c r="AT18" s="41"/>
      <c r="AU18" s="41"/>
      <c r="AV18" s="41"/>
      <c r="AW18" s="41"/>
      <c r="AX18" s="41"/>
      <c r="AY18" s="41"/>
      <c r="AZ18" s="41"/>
      <c r="BA18" s="41">
        <f>+AR18+AS18+AU18+AW18+AY18+AZ18</f>
        <v>0</v>
      </c>
      <c r="BB18" s="37">
        <v>0</v>
      </c>
      <c r="BC18" s="55"/>
      <c r="BD18" s="55"/>
      <c r="BE18" s="37"/>
      <c r="BF18" s="55"/>
    </row>
    <row r="19" spans="1:58" ht="12.95" customHeight="1">
      <c r="A19" s="44"/>
      <c r="B19" s="45" t="s">
        <v>234</v>
      </c>
      <c r="C19" s="452">
        <f>(M19*E19*O19*Q19)/100000000</f>
        <v>56.077411697999999</v>
      </c>
      <c r="D19" s="45" t="s">
        <v>411</v>
      </c>
      <c r="E19" s="46">
        <v>21</v>
      </c>
      <c r="F19" s="46">
        <v>1</v>
      </c>
      <c r="G19" s="465">
        <v>980</v>
      </c>
      <c r="H19" s="48">
        <v>0</v>
      </c>
      <c r="I19" s="49">
        <v>0.88</v>
      </c>
      <c r="J19" s="91">
        <f>E19*G19*(1-H19)*1440/1000000*2.77</f>
        <v>82.089504000000005</v>
      </c>
      <c r="K19" s="91">
        <f>(IF(G19&lt;L19,L19,G19)*(1-IF(H19&lt;N19,H19,N19))*E19*O19*Q19)/100000000</f>
        <v>56.274372</v>
      </c>
      <c r="L19" s="39">
        <v>1010</v>
      </c>
      <c r="M19" s="39">
        <v>1006.465</v>
      </c>
      <c r="N19" s="50">
        <f>1-(M19/L19)</f>
        <v>3.4999999999999476E-3</v>
      </c>
      <c r="O19" s="51">
        <f>+'Trim Rwd'!H17</f>
        <v>264</v>
      </c>
      <c r="P19" s="52">
        <f>O19*(Q19-R19-S19)</f>
        <v>261096</v>
      </c>
      <c r="Q19" s="51">
        <v>1005</v>
      </c>
      <c r="R19" s="422">
        <v>0</v>
      </c>
      <c r="S19" s="422">
        <v>16</v>
      </c>
      <c r="T19" s="41">
        <f>E19*M19*O19*Q19/100000000</f>
        <v>56.077411697999999</v>
      </c>
      <c r="U19" s="41">
        <f>E19*M19*O19*(Q19-R19-S19)/100000000</f>
        <v>55.184636984399994</v>
      </c>
      <c r="V19" s="41">
        <f>E19*G19*(1-N19)*O19/100*(R19+S19)/1000000</f>
        <v>0.86625665280000008</v>
      </c>
      <c r="W19" s="41">
        <f>+'3'!K12/1000</f>
        <v>47.55</v>
      </c>
      <c r="X19" s="42"/>
      <c r="Y19" s="223"/>
      <c r="Z19" s="41">
        <f>+'3'!D16/1000</f>
        <v>0.08</v>
      </c>
      <c r="AA19" s="41"/>
      <c r="AB19" s="41"/>
      <c r="AC19" s="41">
        <f>K19-T19</f>
        <v>0.19696030200000081</v>
      </c>
      <c r="AD19" s="41">
        <f>+AM19+BA19</f>
        <v>0</v>
      </c>
      <c r="AE19" s="241" t="s">
        <v>458</v>
      </c>
      <c r="AF19" s="41"/>
      <c r="AG19" s="41">
        <v>0</v>
      </c>
      <c r="AH19" s="41"/>
      <c r="AI19" s="609"/>
      <c r="AJ19" s="41"/>
      <c r="AK19" s="41"/>
      <c r="AL19" s="41"/>
      <c r="AM19" s="41">
        <f>SUM(AF19:AL19)+AT19+AV19+AX19</f>
        <v>0</v>
      </c>
      <c r="AN19" s="92"/>
      <c r="AO19" s="41"/>
      <c r="AP19" s="41"/>
      <c r="AQ19" s="41"/>
      <c r="AR19" s="41">
        <f>SUM(AN19:AQ19)</f>
        <v>0</v>
      </c>
      <c r="AS19" s="41"/>
      <c r="AT19" s="41"/>
      <c r="AU19" s="41"/>
      <c r="AV19" s="41"/>
      <c r="AW19" s="41"/>
      <c r="AX19" s="41"/>
      <c r="AY19" s="41"/>
      <c r="AZ19" s="41"/>
      <c r="BA19" s="41">
        <f>+AR19+AS19+AU19+AW19+AY19+AZ19</f>
        <v>0</v>
      </c>
      <c r="BB19" s="54"/>
      <c r="BC19" s="55">
        <v>0</v>
      </c>
      <c r="BD19" s="55"/>
      <c r="BE19" s="54"/>
      <c r="BF19" s="55"/>
    </row>
    <row r="20" spans="1:58" ht="12.95" customHeight="1">
      <c r="A20" s="44"/>
      <c r="B20" s="45" t="s">
        <v>234</v>
      </c>
      <c r="C20" s="452"/>
      <c r="D20" s="45"/>
      <c r="E20" s="46">
        <v>15.5</v>
      </c>
      <c r="F20" s="46"/>
      <c r="G20" s="465"/>
      <c r="H20" s="48"/>
      <c r="I20" s="49"/>
      <c r="J20" s="91"/>
      <c r="K20" s="91"/>
      <c r="L20" s="39"/>
      <c r="M20" s="39"/>
      <c r="N20" s="50"/>
      <c r="O20" s="51"/>
      <c r="P20" s="52"/>
      <c r="Q20" s="51"/>
      <c r="R20" s="422"/>
      <c r="S20" s="422"/>
      <c r="T20" s="41"/>
      <c r="U20" s="41"/>
      <c r="V20" s="41"/>
      <c r="W20" s="41">
        <f>+'3'!K10/1000</f>
        <v>21.193999999999999</v>
      </c>
      <c r="X20" s="42"/>
      <c r="Y20" s="223"/>
      <c r="Z20" s="41">
        <v>0</v>
      </c>
      <c r="AA20" s="41"/>
      <c r="AB20" s="41"/>
      <c r="AC20" s="41"/>
      <c r="AD20" s="41">
        <f>+AM20+BA20</f>
        <v>14</v>
      </c>
      <c r="AE20" s="241" t="s">
        <v>505</v>
      </c>
      <c r="AF20" s="37"/>
      <c r="AG20" s="37"/>
      <c r="AH20" s="37">
        <v>14</v>
      </c>
      <c r="AI20" s="609"/>
      <c r="AJ20" s="41"/>
      <c r="AK20" s="41"/>
      <c r="AL20" s="41"/>
      <c r="AM20" s="41">
        <f>SUM(AF20:AL20)+AT20+AV20+AX20</f>
        <v>14</v>
      </c>
      <c r="AN20" s="41"/>
      <c r="AO20" s="41"/>
      <c r="AP20" s="41"/>
      <c r="AQ20" s="41"/>
      <c r="AR20" s="41">
        <f>SUM(AN20:AQ20)</f>
        <v>0</v>
      </c>
      <c r="AS20" s="41"/>
      <c r="AT20" s="41"/>
      <c r="AU20" s="41"/>
      <c r="AV20" s="41"/>
      <c r="AW20" s="41"/>
      <c r="AX20" s="41"/>
      <c r="AY20" s="41"/>
      <c r="AZ20" s="41"/>
      <c r="BA20" s="41">
        <f>+AR20+AS20+AU20+AW20+AY20+AZ20</f>
        <v>0</v>
      </c>
      <c r="BB20" s="37"/>
      <c r="BC20" s="57"/>
      <c r="BD20" s="57"/>
      <c r="BE20" s="37"/>
      <c r="BF20" s="57"/>
    </row>
    <row r="21" spans="1:58" ht="12.95" customHeight="1">
      <c r="A21" s="346"/>
      <c r="B21" s="45"/>
      <c r="C21" s="452"/>
      <c r="D21" s="45"/>
      <c r="E21" s="46"/>
      <c r="F21" s="46"/>
      <c r="G21" s="465"/>
      <c r="H21" s="48"/>
      <c r="I21" s="49"/>
      <c r="J21" s="91"/>
      <c r="K21" s="91"/>
      <c r="L21" s="39"/>
      <c r="M21" s="39"/>
      <c r="N21" s="50"/>
      <c r="O21" s="51"/>
      <c r="P21" s="52"/>
      <c r="Q21" s="51"/>
      <c r="R21" s="422"/>
      <c r="S21" s="422"/>
      <c r="T21" s="41"/>
      <c r="U21" s="41"/>
      <c r="V21" s="41"/>
      <c r="W21" s="41"/>
      <c r="X21" s="419"/>
      <c r="Y21" s="223"/>
      <c r="Z21" s="41"/>
      <c r="AA21" s="53"/>
      <c r="AB21" s="53"/>
      <c r="AC21" s="41"/>
      <c r="AD21" s="41">
        <f>+AM21+BA21</f>
        <v>10</v>
      </c>
      <c r="AE21" s="241" t="s">
        <v>424</v>
      </c>
      <c r="AF21" s="37"/>
      <c r="AG21" s="37"/>
      <c r="AH21" s="37"/>
      <c r="AI21" s="609">
        <v>10</v>
      </c>
      <c r="AJ21" s="41"/>
      <c r="AK21" s="41"/>
      <c r="AL21" s="41"/>
      <c r="AM21" s="41">
        <f>SUM(AF21:AL21)+AT21+AV21+AX21</f>
        <v>10</v>
      </c>
      <c r="AN21" s="41"/>
      <c r="AO21" s="41"/>
      <c r="AP21" s="41"/>
      <c r="AQ21" s="41"/>
      <c r="AR21" s="41">
        <f>SUM(AN21:AQ21)</f>
        <v>0</v>
      </c>
      <c r="AS21" s="41"/>
      <c r="AT21" s="41"/>
      <c r="AU21" s="41"/>
      <c r="AV21" s="41"/>
      <c r="AW21" s="41"/>
      <c r="AX21" s="41"/>
      <c r="AY21" s="41"/>
      <c r="AZ21" s="41"/>
      <c r="BA21" s="41">
        <f>+AR21+AS21+AU21+AW21+AY21+AZ21</f>
        <v>0</v>
      </c>
      <c r="BB21" s="37"/>
      <c r="BC21" s="57"/>
      <c r="BD21" s="57"/>
      <c r="BE21" s="37"/>
      <c r="BF21" s="57"/>
    </row>
    <row r="22" spans="1:58" ht="12.95" customHeight="1">
      <c r="A22" s="346"/>
      <c r="B22" s="45"/>
      <c r="C22" s="452"/>
      <c r="D22" s="45"/>
      <c r="E22" s="46"/>
      <c r="F22" s="46"/>
      <c r="G22" s="465"/>
      <c r="H22" s="48"/>
      <c r="I22" s="49"/>
      <c r="J22" s="91"/>
      <c r="K22" s="91"/>
      <c r="L22" s="39"/>
      <c r="M22" s="39"/>
      <c r="N22" s="50"/>
      <c r="O22" s="51"/>
      <c r="P22" s="52"/>
      <c r="Q22" s="51"/>
      <c r="R22" s="422"/>
      <c r="S22" s="422"/>
      <c r="T22" s="41"/>
      <c r="U22" s="41"/>
      <c r="V22" s="41"/>
      <c r="W22" s="41"/>
      <c r="X22" s="419"/>
      <c r="Y22" s="223"/>
      <c r="Z22" s="41"/>
      <c r="AA22" s="53"/>
      <c r="AB22" s="53"/>
      <c r="AC22" s="41"/>
      <c r="AD22" s="41">
        <f>+AM22+BA22</f>
        <v>6</v>
      </c>
      <c r="AE22" s="244" t="s">
        <v>500</v>
      </c>
      <c r="AF22" s="41"/>
      <c r="AG22" s="41"/>
      <c r="AH22" s="41"/>
      <c r="AI22" s="461"/>
      <c r="AJ22" s="41"/>
      <c r="AK22" s="41">
        <v>6</v>
      </c>
      <c r="AL22" s="41"/>
      <c r="AM22" s="41">
        <f>SUM(AF22:AL22)+AT22+AV22+AX22</f>
        <v>6</v>
      </c>
      <c r="AN22" s="41"/>
      <c r="AO22" s="41"/>
      <c r="AP22" s="41"/>
      <c r="AQ22" s="41"/>
      <c r="AR22" s="41">
        <f>SUM(AN22:AQ22)</f>
        <v>0</v>
      </c>
      <c r="AS22" s="41"/>
      <c r="AT22" s="41"/>
      <c r="AU22" s="41"/>
      <c r="AV22" s="41"/>
      <c r="AW22" s="41"/>
      <c r="AX22" s="41"/>
      <c r="AY22" s="41"/>
      <c r="AZ22" s="41"/>
      <c r="BA22" s="41">
        <f>+AR22+AS22+AU22+AW22+AY22+AZ22</f>
        <v>0</v>
      </c>
      <c r="BB22" s="37"/>
      <c r="BC22" s="57"/>
      <c r="BD22" s="57"/>
      <c r="BE22" s="37"/>
      <c r="BF22" s="57"/>
    </row>
    <row r="23" spans="1:58" ht="12.95" customHeight="1">
      <c r="A23" s="44"/>
      <c r="B23" s="45"/>
      <c r="C23" s="452"/>
      <c r="D23" s="45"/>
      <c r="E23" s="46"/>
      <c r="F23" s="46"/>
      <c r="G23" s="47"/>
      <c r="H23" s="48"/>
      <c r="I23" s="49"/>
      <c r="J23" s="91"/>
      <c r="K23" s="91"/>
      <c r="L23" s="39"/>
      <c r="M23" s="39"/>
      <c r="N23" s="50"/>
      <c r="O23" s="51"/>
      <c r="P23" s="52"/>
      <c r="Q23" s="51"/>
      <c r="R23" s="422"/>
      <c r="S23" s="422"/>
      <c r="T23" s="41"/>
      <c r="U23" s="41"/>
      <c r="V23" s="41"/>
      <c r="W23" s="41"/>
      <c r="X23" s="42"/>
      <c r="Y23" s="223"/>
      <c r="Z23" s="41"/>
      <c r="AA23" s="41"/>
      <c r="AB23" s="41"/>
      <c r="AC23" s="41"/>
      <c r="AD23" s="41"/>
      <c r="AE23" s="241"/>
      <c r="AF23" s="37"/>
      <c r="AG23" s="37"/>
      <c r="AH23" s="37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37"/>
      <c r="BC23" s="57"/>
      <c r="BD23" s="57"/>
      <c r="BE23" s="37"/>
      <c r="BF23" s="57"/>
    </row>
    <row r="24" spans="1:58" ht="12.75" customHeight="1">
      <c r="A24" s="44">
        <v>45934</v>
      </c>
      <c r="B24" s="45" t="s">
        <v>234</v>
      </c>
      <c r="C24" s="452">
        <f>(M24*E24*O24*Q24)/100000000</f>
        <v>73.54933507018869</v>
      </c>
      <c r="D24" s="45" t="s">
        <v>411</v>
      </c>
      <c r="E24" s="46">
        <v>21</v>
      </c>
      <c r="F24" s="46">
        <v>1</v>
      </c>
      <c r="G24" s="465">
        <v>980</v>
      </c>
      <c r="H24" s="48">
        <v>0</v>
      </c>
      <c r="I24" s="49">
        <v>0.88</v>
      </c>
      <c r="J24" s="91">
        <f>E24*G24*(1-H24)*1440/1000000*2.77</f>
        <v>82.089504000000005</v>
      </c>
      <c r="K24" s="91">
        <f>(IF(G24&lt;L24,L24,G24)*(1-IF(H24&lt;N24,H24,N24))*E24*O24*Q24)/100000000</f>
        <v>78.550054641509433</v>
      </c>
      <c r="L24" s="39">
        <v>920.83333333333337</v>
      </c>
      <c r="M24" s="39">
        <v>917.61041666666665</v>
      </c>
      <c r="N24" s="50">
        <f>1-(M24/L24)</f>
        <v>3.5000000000000586E-3</v>
      </c>
      <c r="O24" s="51">
        <f>+'Trim Rwd'!H19</f>
        <v>265.05660377358492</v>
      </c>
      <c r="P24" s="52">
        <f>O24*(Q24-R24-S24)</f>
        <v>375055.09433962265</v>
      </c>
      <c r="Q24" s="51">
        <v>1440</v>
      </c>
      <c r="R24" s="422">
        <v>0</v>
      </c>
      <c r="S24" s="422">
        <v>25</v>
      </c>
      <c r="T24" s="41">
        <f>E24*M24*O24*Q24/100000000</f>
        <v>73.54933507018869</v>
      </c>
      <c r="U24" s="41">
        <f>E24*M24*O24*(Q24-R24-S24)/100000000</f>
        <v>72.272436891886798</v>
      </c>
      <c r="V24" s="41">
        <f>E24*G24*(1-N24)*O24/100*(R24+S24)/1000000</f>
        <v>1.3589432196226414</v>
      </c>
      <c r="W24" s="41">
        <f>+'4'!K34/1000</f>
        <v>60.372999999999998</v>
      </c>
      <c r="X24" s="419">
        <f>SUM(W24:W27)/SUM(K24:K27)</f>
        <v>0.76859271805135254</v>
      </c>
      <c r="Y24" s="223">
        <v>0</v>
      </c>
      <c r="Z24" s="41">
        <f>+'4'!D34/1000</f>
        <v>10.263</v>
      </c>
      <c r="AA24" s="53">
        <f>SUM(U24:U27)-SUM(W24:W27)-SUM(Z24:Z27)-SUM(Y24:Y27)</f>
        <v>1.6364368918868006</v>
      </c>
      <c r="AB24" s="53">
        <f>(SUM(K24:K27)-SUM(W24:W27)-SUM(Y24:Y27)-SUM(Z24:Z27)-SUM(AC24:AC27)-SUM(V24:V27))-AA24</f>
        <v>-8.2045041320749856E-2</v>
      </c>
      <c r="AC24" s="41">
        <f>K24-T24</f>
        <v>5.0007195713207437</v>
      </c>
      <c r="AD24" s="41">
        <f>+AM24+BA24</f>
        <v>0</v>
      </c>
      <c r="AE24" s="241" t="s">
        <v>280</v>
      </c>
      <c r="AF24" s="41">
        <v>0</v>
      </c>
      <c r="AG24" s="41"/>
      <c r="AH24" s="41"/>
      <c r="AI24" s="609"/>
      <c r="AJ24" s="41"/>
      <c r="AK24" s="41"/>
      <c r="AL24" s="41"/>
      <c r="AM24" s="41">
        <f>SUM(AF24:AL24)+AT24+AV24+AX24</f>
        <v>0</v>
      </c>
      <c r="AN24" s="41"/>
      <c r="AO24" s="41"/>
      <c r="AP24" s="41"/>
      <c r="AQ24" s="41"/>
      <c r="AR24" s="41">
        <f>SUM(AN24:AQ24)</f>
        <v>0</v>
      </c>
      <c r="AS24" s="41"/>
      <c r="AT24" s="41"/>
      <c r="AU24" s="41"/>
      <c r="AV24" s="41"/>
      <c r="AW24" s="41"/>
      <c r="AX24" s="41"/>
      <c r="AY24" s="41"/>
      <c r="AZ24" s="41"/>
      <c r="BA24" s="41">
        <f>+AR24+AS24+AU24+AW24+AY24+AZ24</f>
        <v>0</v>
      </c>
      <c r="BB24" s="37">
        <v>0</v>
      </c>
      <c r="BC24" s="55"/>
      <c r="BD24" s="55"/>
      <c r="BE24" s="37"/>
      <c r="BF24" s="55"/>
    </row>
    <row r="25" spans="1:58" ht="12.95" customHeight="1">
      <c r="A25" s="44"/>
      <c r="B25" s="45"/>
      <c r="C25" s="452"/>
      <c r="D25" s="45"/>
      <c r="E25" s="46"/>
      <c r="F25" s="46"/>
      <c r="G25" s="465"/>
      <c r="H25" s="48"/>
      <c r="I25" s="49"/>
      <c r="J25" s="91"/>
      <c r="K25" s="91"/>
      <c r="L25" s="39"/>
      <c r="M25" s="39"/>
      <c r="N25" s="50"/>
      <c r="O25" s="51"/>
      <c r="P25" s="52"/>
      <c r="Q25" s="51"/>
      <c r="R25" s="422"/>
      <c r="S25" s="422"/>
      <c r="T25" s="41"/>
      <c r="U25" s="41"/>
      <c r="V25" s="41"/>
      <c r="W25" s="41"/>
      <c r="X25" s="42"/>
      <c r="Y25" s="223"/>
      <c r="Z25" s="41"/>
      <c r="AA25" s="41"/>
      <c r="AB25" s="41"/>
      <c r="AC25" s="41"/>
      <c r="AD25" s="41">
        <f>+AM25+BA25</f>
        <v>0</v>
      </c>
      <c r="AE25" s="241" t="s">
        <v>458</v>
      </c>
      <c r="AF25" s="41"/>
      <c r="AG25" s="41">
        <v>0</v>
      </c>
      <c r="AH25" s="41"/>
      <c r="AI25" s="609"/>
      <c r="AJ25" s="41"/>
      <c r="AK25" s="41"/>
      <c r="AL25" s="41"/>
      <c r="AM25" s="41">
        <f>SUM(AF25:AL25)+AT25+AV25+AX25</f>
        <v>0</v>
      </c>
      <c r="AN25" s="92"/>
      <c r="AO25" s="41"/>
      <c r="AP25" s="41"/>
      <c r="AQ25" s="41"/>
      <c r="AR25" s="41">
        <f>SUM(AN25:AQ25)</f>
        <v>0</v>
      </c>
      <c r="AS25" s="41"/>
      <c r="AT25" s="41"/>
      <c r="AU25" s="41"/>
      <c r="AV25" s="41"/>
      <c r="AW25" s="41"/>
      <c r="AX25" s="41"/>
      <c r="AY25" s="41"/>
      <c r="AZ25" s="41"/>
      <c r="BA25" s="41">
        <f>+AR25+AS25+AU25+AW25+AY25+AZ25</f>
        <v>0</v>
      </c>
      <c r="BB25" s="54"/>
      <c r="BC25" s="55">
        <v>0</v>
      </c>
      <c r="BD25" s="55"/>
      <c r="BE25" s="54"/>
      <c r="BF25" s="55"/>
    </row>
    <row r="26" spans="1:58" ht="12.95" customHeight="1">
      <c r="A26" s="44"/>
      <c r="B26" s="45"/>
      <c r="C26" s="452"/>
      <c r="D26" s="45"/>
      <c r="E26" s="46"/>
      <c r="F26" s="46"/>
      <c r="G26" s="465"/>
      <c r="H26" s="48"/>
      <c r="I26" s="49"/>
      <c r="J26" s="91"/>
      <c r="K26" s="91"/>
      <c r="L26" s="39"/>
      <c r="M26" s="39"/>
      <c r="N26" s="50"/>
      <c r="O26" s="51"/>
      <c r="P26" s="52"/>
      <c r="Q26" s="51"/>
      <c r="R26" s="422"/>
      <c r="S26" s="422"/>
      <c r="T26" s="41"/>
      <c r="U26" s="41"/>
      <c r="V26" s="41"/>
      <c r="W26" s="41"/>
      <c r="X26" s="42"/>
      <c r="Y26" s="223"/>
      <c r="Z26" s="41"/>
      <c r="AA26" s="41"/>
      <c r="AB26" s="41"/>
      <c r="AC26" s="41"/>
      <c r="AD26" s="41">
        <f>+AM26+BA26</f>
        <v>19</v>
      </c>
      <c r="AE26" s="241" t="s">
        <v>534</v>
      </c>
      <c r="AF26" s="37"/>
      <c r="AG26" s="37"/>
      <c r="AH26" s="37">
        <v>19</v>
      </c>
      <c r="AI26" s="609"/>
      <c r="AJ26" s="41"/>
      <c r="AK26" s="41"/>
      <c r="AL26" s="41"/>
      <c r="AM26" s="41">
        <f>SUM(AF26:AL26)+AT26+AV26+AX26</f>
        <v>19</v>
      </c>
      <c r="AN26" s="41"/>
      <c r="AO26" s="41"/>
      <c r="AP26" s="41"/>
      <c r="AQ26" s="41"/>
      <c r="AR26" s="41">
        <f>SUM(AN26:AQ26)</f>
        <v>0</v>
      </c>
      <c r="AS26" s="41"/>
      <c r="AT26" s="41"/>
      <c r="AU26" s="41"/>
      <c r="AV26" s="41"/>
      <c r="AW26" s="41"/>
      <c r="AX26" s="41"/>
      <c r="AY26" s="41"/>
      <c r="AZ26" s="41"/>
      <c r="BA26" s="41">
        <f>+AR26+AS26+AU26+AW26+AY26+AZ26</f>
        <v>0</v>
      </c>
      <c r="BB26" s="37"/>
      <c r="BC26" s="57"/>
      <c r="BD26" s="57"/>
      <c r="BE26" s="37"/>
      <c r="BF26" s="57"/>
    </row>
    <row r="27" spans="1:58" ht="12.95" customHeight="1">
      <c r="A27" s="346"/>
      <c r="B27" s="45"/>
      <c r="C27" s="452"/>
      <c r="D27" s="45"/>
      <c r="E27" s="46"/>
      <c r="F27" s="46"/>
      <c r="G27" s="465"/>
      <c r="H27" s="48"/>
      <c r="I27" s="49"/>
      <c r="J27" s="91"/>
      <c r="K27" s="91"/>
      <c r="L27" s="39"/>
      <c r="M27" s="39"/>
      <c r="N27" s="50"/>
      <c r="O27" s="51"/>
      <c r="P27" s="52"/>
      <c r="Q27" s="51"/>
      <c r="R27" s="422"/>
      <c r="S27" s="422"/>
      <c r="T27" s="41"/>
      <c r="U27" s="41"/>
      <c r="V27" s="41"/>
      <c r="W27" s="41"/>
      <c r="X27" s="419"/>
      <c r="Y27" s="223"/>
      <c r="Z27" s="41"/>
      <c r="AA27" s="53"/>
      <c r="AB27" s="53"/>
      <c r="AC27" s="41"/>
      <c r="AD27" s="41">
        <f>+AM27+BA27</f>
        <v>6</v>
      </c>
      <c r="AE27" s="583" t="s">
        <v>518</v>
      </c>
      <c r="AF27" s="37"/>
      <c r="AG27" s="37"/>
      <c r="AH27" s="37"/>
      <c r="AI27" s="609"/>
      <c r="AJ27" s="41"/>
      <c r="AK27" s="41">
        <v>6</v>
      </c>
      <c r="AL27" s="41"/>
      <c r="AM27" s="41">
        <f>SUM(AF27:AL27)+AT27+AV27+AX27</f>
        <v>6</v>
      </c>
      <c r="AN27" s="41"/>
      <c r="AO27" s="41"/>
      <c r="AP27" s="41"/>
      <c r="AQ27" s="41"/>
      <c r="AR27" s="41">
        <f>SUM(AN27:AQ27)</f>
        <v>0</v>
      </c>
      <c r="AS27" s="41"/>
      <c r="AT27" s="41"/>
      <c r="AU27" s="41"/>
      <c r="AV27" s="41"/>
      <c r="AW27" s="41"/>
      <c r="AX27" s="41"/>
      <c r="AY27" s="41"/>
      <c r="AZ27" s="41"/>
      <c r="BA27" s="41">
        <f>+AR27+AS27+AU27+AW27+AY27+AZ27</f>
        <v>0</v>
      </c>
      <c r="BB27" s="37"/>
      <c r="BC27" s="57"/>
      <c r="BD27" s="57"/>
      <c r="BE27" s="37"/>
      <c r="BF27" s="57"/>
    </row>
    <row r="28" spans="1:58" ht="12.95" customHeight="1">
      <c r="A28" s="44"/>
      <c r="B28" s="45"/>
      <c r="C28" s="452"/>
      <c r="D28" s="45"/>
      <c r="E28" s="46"/>
      <c r="F28" s="46"/>
      <c r="G28" s="47"/>
      <c r="H28" s="48"/>
      <c r="I28" s="49"/>
      <c r="J28" s="91"/>
      <c r="K28" s="91"/>
      <c r="L28" s="39"/>
      <c r="M28" s="39"/>
      <c r="N28" s="50"/>
      <c r="O28" s="51"/>
      <c r="P28" s="52"/>
      <c r="Q28" s="51"/>
      <c r="R28" s="422"/>
      <c r="S28" s="422"/>
      <c r="T28" s="41"/>
      <c r="U28" s="41"/>
      <c r="V28" s="41"/>
      <c r="W28" s="41"/>
      <c r="X28" s="42"/>
      <c r="Y28" s="223"/>
      <c r="Z28" s="41"/>
      <c r="AA28" s="41"/>
      <c r="AB28" s="41"/>
      <c r="AC28" s="41"/>
      <c r="AD28" s="41"/>
      <c r="AE28" s="583"/>
      <c r="AF28" s="37"/>
      <c r="AG28" s="37"/>
      <c r="AH28" s="37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37"/>
      <c r="BC28" s="57"/>
      <c r="BD28" s="57"/>
      <c r="BE28" s="37"/>
      <c r="BF28" s="57"/>
    </row>
    <row r="29" spans="1:58" ht="12.75" customHeight="1">
      <c r="A29" s="44">
        <v>45935</v>
      </c>
      <c r="B29" s="45" t="s">
        <v>234</v>
      </c>
      <c r="C29" s="452">
        <f>(M29*E29*O29*Q29)/100000000</f>
        <v>73.255640724000003</v>
      </c>
      <c r="D29" s="45" t="s">
        <v>411</v>
      </c>
      <c r="E29" s="46">
        <v>21</v>
      </c>
      <c r="F29" s="46">
        <v>1</v>
      </c>
      <c r="G29" s="465">
        <v>980</v>
      </c>
      <c r="H29" s="48">
        <v>0</v>
      </c>
      <c r="I29" s="49">
        <v>0.88</v>
      </c>
      <c r="J29" s="91">
        <f>E29*G29*(1-H29)*1440/1000000*2.77</f>
        <v>82.089504000000005</v>
      </c>
      <c r="K29" s="91">
        <f>(IF(G29&lt;L29,L29,G29)*(1-IF(H29&lt;N29,H29,N29))*E29*O29*Q29)/100000000</f>
        <v>79.422336000000001</v>
      </c>
      <c r="L29" s="39">
        <v>907.08333333333337</v>
      </c>
      <c r="M29" s="39">
        <v>903.90854166666668</v>
      </c>
      <c r="N29" s="50">
        <f>1-(M29/L29)</f>
        <v>3.5000000000000586E-3</v>
      </c>
      <c r="O29" s="51">
        <f>+'Trim Rwd'!H22</f>
        <v>268</v>
      </c>
      <c r="P29" s="52">
        <f>O29*(Q29-R29-S29)</f>
        <v>381364</v>
      </c>
      <c r="Q29" s="51">
        <v>1440</v>
      </c>
      <c r="R29" s="422">
        <v>0</v>
      </c>
      <c r="S29" s="422">
        <v>17</v>
      </c>
      <c r="T29" s="41">
        <f>E29*M29*O29*Q29/100000000</f>
        <v>73.255640724000003</v>
      </c>
      <c r="U29" s="41">
        <f>E29*M29*O29*(Q29-R29-S29)/100000000</f>
        <v>72.390817187674998</v>
      </c>
      <c r="V29" s="41">
        <f>E29*G29*(1-N29)*O29/100*(R29+S29)/1000000</f>
        <v>0.93434311319999974</v>
      </c>
      <c r="W29" s="41">
        <f>+'5'!K34/1000</f>
        <v>70.710999999999999</v>
      </c>
      <c r="X29" s="419">
        <f>SUM(W29:W32)/SUM(K29:K32)</f>
        <v>0.89031629590950334</v>
      </c>
      <c r="Y29" s="223">
        <v>0</v>
      </c>
      <c r="Z29" s="41">
        <f>+'5'!D34/1000</f>
        <v>2.76</v>
      </c>
      <c r="AA29" s="53">
        <f>SUM(U29:U32)-SUM(W29:W32)-SUM(Z29:Z32)-SUM(Y29:Y32)</f>
        <v>-1.0801828123250008</v>
      </c>
      <c r="AB29" s="53">
        <f>(SUM(K29:K32)-SUM(W29:W32)-SUM(Y29:Y32)-SUM(Z29:Z32)-SUM(AC29:AC32)-SUM(V29:V32))-AA29</f>
        <v>-6.9519576874994549E-2</v>
      </c>
      <c r="AC29" s="41">
        <f>K29-T29</f>
        <v>6.1666952759999987</v>
      </c>
      <c r="AD29" s="41">
        <f>+AM29+BA29</f>
        <v>0</v>
      </c>
      <c r="AE29" s="241" t="s">
        <v>280</v>
      </c>
      <c r="AF29" s="41">
        <v>0</v>
      </c>
      <c r="AG29" s="41"/>
      <c r="AH29" s="41"/>
      <c r="AI29" s="609"/>
      <c r="AJ29" s="41"/>
      <c r="AK29" s="41"/>
      <c r="AL29" s="41"/>
      <c r="AM29" s="41">
        <f>SUM(AF29:AL29)+AT29+AV29+AX29</f>
        <v>0</v>
      </c>
      <c r="AN29" s="41"/>
      <c r="AO29" s="41"/>
      <c r="AP29" s="41"/>
      <c r="AQ29" s="41"/>
      <c r="AR29" s="41">
        <f>SUM(AN29:AQ29)</f>
        <v>0</v>
      </c>
      <c r="AS29" s="41"/>
      <c r="AT29" s="41"/>
      <c r="AU29" s="41"/>
      <c r="AV29" s="41"/>
      <c r="AW29" s="41"/>
      <c r="AX29" s="41"/>
      <c r="AY29" s="41"/>
      <c r="AZ29" s="41"/>
      <c r="BA29" s="41">
        <f>+AR29+AS29+AU29+AW29+AY29+AZ29</f>
        <v>0</v>
      </c>
      <c r="BB29" s="37">
        <v>0</v>
      </c>
      <c r="BC29" s="55"/>
      <c r="BD29" s="55"/>
      <c r="BE29" s="37"/>
      <c r="BF29" s="55"/>
    </row>
    <row r="30" spans="1:58" ht="12.95" customHeight="1">
      <c r="A30" s="44"/>
      <c r="B30" s="45"/>
      <c r="C30" s="452"/>
      <c r="D30" s="45"/>
      <c r="E30" s="46"/>
      <c r="F30" s="46"/>
      <c r="G30" s="465"/>
      <c r="H30" s="48"/>
      <c r="I30" s="49"/>
      <c r="J30" s="91"/>
      <c r="K30" s="91"/>
      <c r="L30" s="39"/>
      <c r="M30" s="39"/>
      <c r="N30" s="50"/>
      <c r="O30" s="51"/>
      <c r="P30" s="52"/>
      <c r="Q30" s="51"/>
      <c r="R30" s="422"/>
      <c r="S30" s="422"/>
      <c r="T30" s="41"/>
      <c r="U30" s="41"/>
      <c r="V30" s="41"/>
      <c r="W30" s="41"/>
      <c r="X30" s="42"/>
      <c r="Y30" s="223"/>
      <c r="Z30" s="41"/>
      <c r="AA30" s="41"/>
      <c r="AB30" s="41"/>
      <c r="AC30" s="41"/>
      <c r="AD30" s="41">
        <f>+AM30+BA30</f>
        <v>0</v>
      </c>
      <c r="AE30" s="241" t="s">
        <v>458</v>
      </c>
      <c r="AF30" s="41"/>
      <c r="AG30" s="41">
        <v>0</v>
      </c>
      <c r="AH30" s="41"/>
      <c r="AI30" s="609"/>
      <c r="AJ30" s="41"/>
      <c r="AK30" s="41"/>
      <c r="AL30" s="41"/>
      <c r="AM30" s="41">
        <f>SUM(AF30:AL30)+AT30+AV30+AX30</f>
        <v>0</v>
      </c>
      <c r="AN30" s="92"/>
      <c r="AO30" s="41"/>
      <c r="AP30" s="41"/>
      <c r="AQ30" s="41"/>
      <c r="AR30" s="41">
        <f>SUM(AN30:AQ30)</f>
        <v>0</v>
      </c>
      <c r="AS30" s="41"/>
      <c r="AT30" s="41"/>
      <c r="AU30" s="41"/>
      <c r="AV30" s="41"/>
      <c r="AW30" s="41"/>
      <c r="AX30" s="41"/>
      <c r="AY30" s="41"/>
      <c r="AZ30" s="41"/>
      <c r="BA30" s="41">
        <f>+AR30+AS30+AU30+AW30+AY30+AZ30</f>
        <v>0</v>
      </c>
      <c r="BB30" s="54"/>
      <c r="BC30" s="55">
        <v>0</v>
      </c>
      <c r="BD30" s="55"/>
      <c r="BE30" s="54"/>
      <c r="BF30" s="55"/>
    </row>
    <row r="31" spans="1:58" ht="12.95" customHeight="1">
      <c r="A31" s="44"/>
      <c r="B31" s="45"/>
      <c r="C31" s="452"/>
      <c r="D31" s="45"/>
      <c r="E31" s="46"/>
      <c r="F31" s="46"/>
      <c r="G31" s="465"/>
      <c r="H31" s="48"/>
      <c r="I31" s="49"/>
      <c r="J31" s="91"/>
      <c r="K31" s="91"/>
      <c r="L31" s="39"/>
      <c r="M31" s="39"/>
      <c r="N31" s="50"/>
      <c r="O31" s="51"/>
      <c r="P31" s="52"/>
      <c r="Q31" s="51"/>
      <c r="R31" s="422"/>
      <c r="S31" s="422"/>
      <c r="T31" s="41"/>
      <c r="U31" s="41"/>
      <c r="V31" s="41"/>
      <c r="W31" s="41"/>
      <c r="X31" s="42"/>
      <c r="Y31" s="223"/>
      <c r="Z31" s="41"/>
      <c r="AA31" s="41"/>
      <c r="AB31" s="41"/>
      <c r="AC31" s="41"/>
      <c r="AD31" s="41">
        <f>+AM31+BA31</f>
        <v>17</v>
      </c>
      <c r="AE31" s="241" t="s">
        <v>505</v>
      </c>
      <c r="AF31" s="37"/>
      <c r="AG31" s="37"/>
      <c r="AH31" s="37">
        <v>17</v>
      </c>
      <c r="AI31" s="609"/>
      <c r="AJ31" s="41"/>
      <c r="AK31" s="41"/>
      <c r="AL31" s="41"/>
      <c r="AM31" s="41">
        <f>SUM(AF31:AL31)+AT31+AV31+AX31</f>
        <v>17</v>
      </c>
      <c r="AN31" s="41"/>
      <c r="AO31" s="41"/>
      <c r="AP31" s="41"/>
      <c r="AQ31" s="41"/>
      <c r="AR31" s="41">
        <f>SUM(AN31:AQ31)</f>
        <v>0</v>
      </c>
      <c r="AS31" s="41"/>
      <c r="AT31" s="41"/>
      <c r="AU31" s="41"/>
      <c r="AV31" s="41"/>
      <c r="AW31" s="41"/>
      <c r="AX31" s="41"/>
      <c r="AY31" s="41"/>
      <c r="AZ31" s="41"/>
      <c r="BA31" s="41">
        <f>+AR31+AS31+AU31+AW31+AY31+AZ31</f>
        <v>0</v>
      </c>
      <c r="BB31" s="37"/>
      <c r="BC31" s="57"/>
      <c r="BD31" s="57"/>
      <c r="BE31" s="37"/>
      <c r="BF31" s="57"/>
    </row>
    <row r="32" spans="1:58" ht="12.95" customHeight="1">
      <c r="A32" s="44"/>
      <c r="B32" s="45"/>
      <c r="C32" s="452"/>
      <c r="D32" s="45"/>
      <c r="E32" s="46"/>
      <c r="F32" s="46"/>
      <c r="G32" s="47"/>
      <c r="H32" s="48"/>
      <c r="I32" s="49"/>
      <c r="J32" s="91"/>
      <c r="K32" s="91"/>
      <c r="L32" s="39"/>
      <c r="M32" s="39"/>
      <c r="N32" s="50"/>
      <c r="O32" s="51"/>
      <c r="P32" s="52"/>
      <c r="Q32" s="51"/>
      <c r="R32" s="422"/>
      <c r="S32" s="422"/>
      <c r="T32" s="41"/>
      <c r="U32" s="41"/>
      <c r="V32" s="41"/>
      <c r="W32" s="41"/>
      <c r="X32" s="42"/>
      <c r="Y32" s="223"/>
      <c r="Z32" s="41"/>
      <c r="AA32" s="41"/>
      <c r="AB32" s="41"/>
      <c r="AC32" s="41"/>
      <c r="AD32" s="41"/>
      <c r="AE32" s="241"/>
      <c r="AF32" s="37"/>
      <c r="AG32" s="37"/>
      <c r="AH32" s="37"/>
      <c r="AI32" s="46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37"/>
      <c r="BC32" s="57"/>
      <c r="BD32" s="57"/>
      <c r="BE32" s="37"/>
      <c r="BF32" s="57"/>
    </row>
    <row r="33" spans="1:58" ht="12.75" customHeight="1">
      <c r="A33" s="44">
        <v>45936</v>
      </c>
      <c r="B33" s="45" t="s">
        <v>234</v>
      </c>
      <c r="C33" s="452">
        <f>(M33*E33*O33*Q33)/100000000</f>
        <v>26.53725683942308</v>
      </c>
      <c r="D33" s="45" t="s">
        <v>411</v>
      </c>
      <c r="E33" s="46">
        <v>21</v>
      </c>
      <c r="F33" s="46">
        <v>1</v>
      </c>
      <c r="G33" s="465">
        <v>980</v>
      </c>
      <c r="H33" s="48">
        <v>0</v>
      </c>
      <c r="I33" s="49">
        <v>0.88</v>
      </c>
      <c r="J33" s="91">
        <f>E33*G33*(1-H33)*1440/1000000*2.77</f>
        <v>82.089504000000005</v>
      </c>
      <c r="K33" s="91">
        <f>(IF(G33&lt;L33,L33,G33)*(1-IF(H33&lt;N33,H33,N33))*E33*O33*Q33)/100000000</f>
        <v>28.997615769230766</v>
      </c>
      <c r="L33" s="39">
        <v>900</v>
      </c>
      <c r="M33" s="39">
        <f>+L33-L33*0.0035</f>
        <v>896.85</v>
      </c>
      <c r="N33" s="50">
        <f>1-(M33/L33)</f>
        <v>3.4999999999999476E-3</v>
      </c>
      <c r="O33" s="51">
        <f>+'Trim Rwd'!H24</f>
        <v>268.38461538461536</v>
      </c>
      <c r="P33" s="52">
        <f>O33*(Q33-R33-S33)</f>
        <v>134192.30769230769</v>
      </c>
      <c r="Q33" s="51">
        <v>525</v>
      </c>
      <c r="R33" s="422">
        <v>0</v>
      </c>
      <c r="S33" s="422">
        <v>25</v>
      </c>
      <c r="T33" s="41">
        <f>E33*M33*O33*Q33/100000000</f>
        <v>26.53725683942308</v>
      </c>
      <c r="U33" s="41">
        <f>E33*M33*O33*(Q33-R33-S33)/100000000</f>
        <v>25.273577942307693</v>
      </c>
      <c r="V33" s="41">
        <f>E33*G33*(1-N33)*O33/100*(R33+S33)/1000000</f>
        <v>1.3760059101923074</v>
      </c>
      <c r="W33" s="41">
        <f>+'6'!K12/1000</f>
        <v>27.527000000000001</v>
      </c>
      <c r="X33" s="419">
        <f>SUM(W33:W36)/SUM(K33:K36)</f>
        <v>0.82304458553932547</v>
      </c>
      <c r="Y33" s="223">
        <v>0</v>
      </c>
      <c r="Z33" s="41">
        <f>+'6'!D7/1000</f>
        <v>1.9750000000000001</v>
      </c>
      <c r="AA33" s="53">
        <f>SUM(U33:U36)-SUM(W33:W36)-SUM(Z33:Z36)-SUM(Y33:Y36)</f>
        <v>1.9428202818076827</v>
      </c>
      <c r="AB33" s="53">
        <f>(SUM(K33:K36)-SUM(W33:W36)-SUM(Y33:Y36)-SUM(Z33:Z36)-SUM(AC33:AC36)-SUM(V33:V36))-AA33</f>
        <v>-0.23657571522690324</v>
      </c>
      <c r="AC33" s="41">
        <f>K33-T33</f>
        <v>2.4603589298076862</v>
      </c>
      <c r="AD33" s="41">
        <f>+AM33+BA33</f>
        <v>25</v>
      </c>
      <c r="AE33" s="241" t="s">
        <v>547</v>
      </c>
      <c r="AF33" s="41">
        <v>25</v>
      </c>
      <c r="AG33" s="41"/>
      <c r="AH33" s="41"/>
      <c r="AI33" s="609"/>
      <c r="AJ33" s="41"/>
      <c r="AK33" s="41"/>
      <c r="AL33" s="41"/>
      <c r="AM33" s="41">
        <f>SUM(AF33:AL33)+AT33+AV33+AX33</f>
        <v>25</v>
      </c>
      <c r="AN33" s="41"/>
      <c r="AO33" s="41"/>
      <c r="AP33" s="41"/>
      <c r="AQ33" s="41"/>
      <c r="AR33" s="41">
        <f>SUM(AN33:AQ33)</f>
        <v>0</v>
      </c>
      <c r="AS33" s="41"/>
      <c r="AT33" s="41"/>
      <c r="AU33" s="41"/>
      <c r="AV33" s="41"/>
      <c r="AW33" s="41"/>
      <c r="AX33" s="41"/>
      <c r="AY33" s="41"/>
      <c r="AZ33" s="41"/>
      <c r="BA33" s="41">
        <f>+AR33+AS33+AU33+AW33+AY33+AZ33</f>
        <v>0</v>
      </c>
      <c r="BB33" s="37">
        <v>5</v>
      </c>
      <c r="BC33" s="55"/>
      <c r="BD33" s="55"/>
      <c r="BE33" s="37"/>
      <c r="BF33" s="55"/>
    </row>
    <row r="34" spans="1:58" ht="12.95" customHeight="1">
      <c r="A34" s="44"/>
      <c r="B34" s="45" t="s">
        <v>234</v>
      </c>
      <c r="C34" s="452">
        <f>(M34*E34*O34*Q34)/100000000</f>
        <v>11.621469992</v>
      </c>
      <c r="D34" s="45" t="s">
        <v>411</v>
      </c>
      <c r="E34" s="46">
        <v>22</v>
      </c>
      <c r="F34" s="46">
        <v>1</v>
      </c>
      <c r="G34" s="465">
        <v>935</v>
      </c>
      <c r="H34" s="48">
        <v>0</v>
      </c>
      <c r="I34" s="49">
        <v>0.88</v>
      </c>
      <c r="J34" s="91">
        <f>E34*G34*(1-H34)*1440/1000000*2.77</f>
        <v>82.049616</v>
      </c>
      <c r="K34" s="91">
        <f>(IF(G34&lt;L34,L34,G34)*(1-IF(H34&lt;N34,H34,N34))*E34*O34*Q34)/100000000</f>
        <v>11.852434000000001</v>
      </c>
      <c r="L34" s="39">
        <v>920</v>
      </c>
      <c r="M34" s="39">
        <f>+L34-L34*0.0035</f>
        <v>916.78</v>
      </c>
      <c r="N34" s="50">
        <f>1-(M34/L34)</f>
        <v>3.5000000000000586E-3</v>
      </c>
      <c r="O34" s="51">
        <f>+'Trim Rwd'!H27</f>
        <v>268</v>
      </c>
      <c r="P34" s="52">
        <f>O34*(Q34-R34-S34)</f>
        <v>53600</v>
      </c>
      <c r="Q34" s="51">
        <v>215</v>
      </c>
      <c r="R34" s="422">
        <v>0</v>
      </c>
      <c r="S34" s="422">
        <v>15</v>
      </c>
      <c r="T34" s="41">
        <f>E34*M34*O34*Q34/100000000</f>
        <v>11.621469992</v>
      </c>
      <c r="U34" s="41">
        <f>E34*M34*O34*(Q34-R34-S34)/100000000</f>
        <v>10.81066976</v>
      </c>
      <c r="V34" s="41">
        <f>E34*G34*(1-N34)*O34/100*(R34+S34)/1000000</f>
        <v>0.82401980099999983</v>
      </c>
      <c r="W34" s="41">
        <f>+'6'!K13/1000</f>
        <v>10.130000000000001</v>
      </c>
      <c r="X34" s="42"/>
      <c r="Y34" s="223"/>
      <c r="Z34" s="41">
        <f>+'6'!D17/1000</f>
        <v>1.056</v>
      </c>
      <c r="AA34" s="41"/>
      <c r="AB34" s="41"/>
      <c r="AC34" s="41">
        <f>K34-T34</f>
        <v>0.23096400800000083</v>
      </c>
      <c r="AD34" s="41">
        <f>+AM34+BA34</f>
        <v>0</v>
      </c>
      <c r="AE34" s="241" t="s">
        <v>458</v>
      </c>
      <c r="AF34" s="41"/>
      <c r="AG34" s="41">
        <v>0</v>
      </c>
      <c r="AH34" s="41"/>
      <c r="AI34" s="609"/>
      <c r="AJ34" s="41"/>
      <c r="AK34" s="41"/>
      <c r="AL34" s="41"/>
      <c r="AM34" s="41">
        <f>SUM(AF34:AL34)+AT34+AV34+AX34</f>
        <v>0</v>
      </c>
      <c r="AN34" s="92"/>
      <c r="AO34" s="41"/>
      <c r="AP34" s="41"/>
      <c r="AQ34" s="41"/>
      <c r="AR34" s="41">
        <f>SUM(AN34:AQ34)</f>
        <v>0</v>
      </c>
      <c r="AS34" s="41"/>
      <c r="AT34" s="41"/>
      <c r="AU34" s="41"/>
      <c r="AV34" s="41"/>
      <c r="AW34" s="41"/>
      <c r="AX34" s="41"/>
      <c r="AY34" s="41"/>
      <c r="AZ34" s="41"/>
      <c r="BA34" s="41">
        <f>+AR34+AS34+AU34+AW34+AY34+AZ34</f>
        <v>0</v>
      </c>
      <c r="BB34" s="54"/>
      <c r="BC34" s="55">
        <v>0</v>
      </c>
      <c r="BD34" s="55"/>
      <c r="BE34" s="54"/>
      <c r="BF34" s="55"/>
    </row>
    <row r="35" spans="1:58" ht="12.95" customHeight="1">
      <c r="A35" s="44"/>
      <c r="B35" s="45" t="s">
        <v>234</v>
      </c>
      <c r="C35" s="452">
        <f>(M35*E35*O35*Q35)/100000000</f>
        <v>23.374984953375002</v>
      </c>
      <c r="D35" s="45" t="s">
        <v>411</v>
      </c>
      <c r="E35" s="46">
        <v>16.5</v>
      </c>
      <c r="F35" s="46">
        <v>1</v>
      </c>
      <c r="G35" s="465">
        <v>1210</v>
      </c>
      <c r="H35" s="48">
        <v>0</v>
      </c>
      <c r="I35" s="49">
        <v>0.88</v>
      </c>
      <c r="J35" s="91">
        <f>E35*G35*(1-H35)*1440/1000000*2.77</f>
        <v>79.636392000000001</v>
      </c>
      <c r="K35" s="91">
        <f>(IF(G35&lt;L35,L35,G35)*(1-IF(H35&lt;N35,H35,N35))*E35*O35*Q35)/100000000</f>
        <v>24.680932649999999</v>
      </c>
      <c r="L35" s="39">
        <v>1150</v>
      </c>
      <c r="M35" s="39">
        <f>+L35-L35*0.0035</f>
        <v>1145.9749999999999</v>
      </c>
      <c r="N35" s="50">
        <f>1-(M35/L35)</f>
        <v>3.5000000000000586E-3</v>
      </c>
      <c r="O35" s="51">
        <f>+'Trim Rwd'!H28</f>
        <v>267</v>
      </c>
      <c r="P35" s="52">
        <f>O35*(Q35-R35-S35)</f>
        <v>119616</v>
      </c>
      <c r="Q35" s="51">
        <f>243+220</f>
        <v>463</v>
      </c>
      <c r="R35" s="422">
        <v>0</v>
      </c>
      <c r="S35" s="422">
        <v>15</v>
      </c>
      <c r="T35" s="41">
        <f>E35*M35*O35*Q35/100000000</f>
        <v>23.374984953375002</v>
      </c>
      <c r="U35" s="41">
        <f>E35*M35*O35*(Q35-R35-S35)/100000000</f>
        <v>22.617696024000001</v>
      </c>
      <c r="V35" s="41">
        <f>E35*G35*(1-N35)*O35/100*(R35+S35)/1000000</f>
        <v>0.79679965612500003</v>
      </c>
      <c r="W35" s="41">
        <f>+'6'!K11/1000</f>
        <v>21.565999999999999</v>
      </c>
      <c r="X35" s="42"/>
      <c r="Y35" s="223"/>
      <c r="Z35" s="41"/>
      <c r="AA35" s="41"/>
      <c r="AB35" s="41"/>
      <c r="AC35" s="41">
        <f>K35-T35</f>
        <v>1.3059476966249974</v>
      </c>
      <c r="AD35" s="41">
        <f>+AM35+BA35</f>
        <v>31</v>
      </c>
      <c r="AE35" s="241" t="s">
        <v>484</v>
      </c>
      <c r="AF35" s="37"/>
      <c r="AG35" s="37"/>
      <c r="AH35" s="37">
        <v>31</v>
      </c>
      <c r="AI35" s="609"/>
      <c r="AJ35" s="41"/>
      <c r="AK35" s="41"/>
      <c r="AL35" s="41"/>
      <c r="AM35" s="41">
        <f>SUM(AF35:AL35)+AT35+AV35+AX35</f>
        <v>31</v>
      </c>
      <c r="AN35" s="41"/>
      <c r="AO35" s="41"/>
      <c r="AP35" s="41"/>
      <c r="AQ35" s="41"/>
      <c r="AR35" s="41">
        <f>SUM(AN35:AQ35)</f>
        <v>0</v>
      </c>
      <c r="AS35" s="41"/>
      <c r="AT35" s="41"/>
      <c r="AU35" s="41"/>
      <c r="AV35" s="41"/>
      <c r="AW35" s="41"/>
      <c r="AX35" s="41"/>
      <c r="AY35" s="41"/>
      <c r="AZ35" s="41"/>
      <c r="BA35" s="41">
        <f>+AR35+AS35+AU35+AW35+AY35+AZ35</f>
        <v>0</v>
      </c>
      <c r="BB35" s="37"/>
      <c r="BC35" s="57"/>
      <c r="BD35" s="57"/>
      <c r="BE35" s="37"/>
      <c r="BF35" s="57"/>
    </row>
    <row r="36" spans="1:58" ht="12.95" customHeight="1">
      <c r="A36" s="44"/>
      <c r="B36" s="45" t="s">
        <v>234</v>
      </c>
      <c r="C36" s="452">
        <f>(M36*E36*O36*Q36)/100000000</f>
        <v>10.1522612835</v>
      </c>
      <c r="D36" s="45" t="s">
        <v>411</v>
      </c>
      <c r="E36" s="46">
        <v>14</v>
      </c>
      <c r="F36" s="46">
        <v>1</v>
      </c>
      <c r="G36" s="465">
        <v>1270</v>
      </c>
      <c r="H36" s="48">
        <v>0</v>
      </c>
      <c r="I36" s="49">
        <v>0.88</v>
      </c>
      <c r="J36" s="91">
        <f>E36*G36*(1-H36)*1440/1000000*2.77</f>
        <v>70.920864000000009</v>
      </c>
      <c r="K36" s="91">
        <f>(IF(G36&lt;L36,L36,G36)*(1-IF(H36&lt;N36,H36,N36))*E36*O36*Q36)/100000000</f>
        <v>11.251006200000001</v>
      </c>
      <c r="L36" s="39">
        <v>1150</v>
      </c>
      <c r="M36" s="39">
        <f>+L36-L36*0.0035</f>
        <v>1145.9749999999999</v>
      </c>
      <c r="N36" s="50">
        <f>1-(M36/L36)</f>
        <v>3.5000000000000586E-3</v>
      </c>
      <c r="O36" s="51">
        <f>+'Trim Rwd'!H29</f>
        <v>267</v>
      </c>
      <c r="P36" s="52">
        <f>O36*(Q36-R36-S36)</f>
        <v>59007</v>
      </c>
      <c r="Q36" s="51">
        <v>237</v>
      </c>
      <c r="R36" s="422">
        <v>0</v>
      </c>
      <c r="S36" s="422">
        <v>16</v>
      </c>
      <c r="T36" s="41">
        <f>E36*M36*O36*Q36/100000000</f>
        <v>10.1522612835</v>
      </c>
      <c r="U36" s="41">
        <f>E36*M36*O36*(Q36-R36-S36)/100000000</f>
        <v>9.466876555499999</v>
      </c>
      <c r="V36" s="41">
        <f>E36*G36*(1-N36)*O36/100*(R36+S36)/1000000</f>
        <v>0.75690313440000001</v>
      </c>
      <c r="W36" s="41">
        <f>+'6'!K15/1000</f>
        <v>3.972</v>
      </c>
      <c r="X36" s="42"/>
      <c r="Y36" s="223"/>
      <c r="Z36" s="41"/>
      <c r="AA36" s="41"/>
      <c r="AB36" s="41"/>
      <c r="AC36" s="41">
        <f>K36-T36</f>
        <v>1.0987449165000012</v>
      </c>
      <c r="AD36" s="41">
        <f>+AM36+BA36</f>
        <v>15</v>
      </c>
      <c r="AE36" s="241" t="s">
        <v>424</v>
      </c>
      <c r="AF36" s="37"/>
      <c r="AG36" s="37"/>
      <c r="AH36" s="37"/>
      <c r="AI36" s="461">
        <v>15</v>
      </c>
      <c r="AJ36" s="41"/>
      <c r="AK36" s="41"/>
      <c r="AL36" s="41"/>
      <c r="AM36" s="41">
        <f>SUM(AF36:AL36)+AT36+AV36+AX36</f>
        <v>15</v>
      </c>
      <c r="AN36" s="41"/>
      <c r="AO36" s="41"/>
      <c r="AP36" s="41"/>
      <c r="AQ36" s="41"/>
      <c r="AR36" s="41">
        <f>SUM(AN36:AQ36)</f>
        <v>0</v>
      </c>
      <c r="AS36" s="41"/>
      <c r="AT36" s="41"/>
      <c r="AU36" s="41"/>
      <c r="AV36" s="41"/>
      <c r="AW36" s="41"/>
      <c r="AX36" s="41"/>
      <c r="AY36" s="41"/>
      <c r="AZ36" s="41"/>
      <c r="BA36" s="41">
        <f>+AR36+AS36+AU36+AW36+AY36+AZ36</f>
        <v>0</v>
      </c>
      <c r="BB36" s="37"/>
      <c r="BC36" s="57"/>
      <c r="BD36" s="57"/>
      <c r="BE36" s="37"/>
      <c r="BF36" s="57"/>
    </row>
    <row r="37" spans="1:58" ht="12.95" customHeight="1">
      <c r="A37" s="44"/>
      <c r="B37" s="45"/>
      <c r="C37" s="452"/>
      <c r="D37" s="45"/>
      <c r="E37" s="46"/>
      <c r="F37" s="46"/>
      <c r="G37" s="47"/>
      <c r="H37" s="48"/>
      <c r="I37" s="49"/>
      <c r="J37" s="91"/>
      <c r="K37" s="91"/>
      <c r="L37" s="39"/>
      <c r="M37" s="39"/>
      <c r="N37" s="50"/>
      <c r="O37" s="51"/>
      <c r="P37" s="52"/>
      <c r="Q37" s="51"/>
      <c r="R37" s="422"/>
      <c r="S37" s="422"/>
      <c r="T37" s="41"/>
      <c r="U37" s="41"/>
      <c r="V37" s="41"/>
      <c r="W37" s="41"/>
      <c r="X37" s="42"/>
      <c r="Y37" s="223"/>
      <c r="Z37" s="41"/>
      <c r="AA37" s="41"/>
      <c r="AB37" s="41"/>
      <c r="AC37" s="41"/>
      <c r="AD37" s="41"/>
      <c r="AE37" s="241"/>
      <c r="AF37" s="37"/>
      <c r="AG37" s="37"/>
      <c r="AH37" s="37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37"/>
      <c r="BC37" s="57"/>
      <c r="BD37" s="55"/>
      <c r="BE37" s="55"/>
      <c r="BF37" s="55"/>
    </row>
    <row r="38" spans="1:58" ht="12.75" customHeight="1">
      <c r="A38" s="44">
        <v>45937</v>
      </c>
      <c r="B38" s="45" t="s">
        <v>234</v>
      </c>
      <c r="C38" s="452">
        <f>(M38*E38*O38*Q38)/100000000</f>
        <v>37.696160040000002</v>
      </c>
      <c r="D38" s="45" t="s">
        <v>572</v>
      </c>
      <c r="E38" s="46">
        <v>14</v>
      </c>
      <c r="F38" s="46">
        <v>1</v>
      </c>
      <c r="G38" s="465">
        <v>1270</v>
      </c>
      <c r="H38" s="48">
        <v>0</v>
      </c>
      <c r="I38" s="49">
        <v>0.88</v>
      </c>
      <c r="J38" s="91">
        <f>E38*G38*(1-H38)*1440/1000000*2.77</f>
        <v>70.920864000000009</v>
      </c>
      <c r="K38" s="91">
        <f>(IF(G38&lt;L38,L38,G38)*(1-IF(H38&lt;N38,H38,N38))*E38*O38*Q38)/100000000</f>
        <v>41.775888000000002</v>
      </c>
      <c r="L38" s="39">
        <v>1150</v>
      </c>
      <c r="M38" s="39">
        <f>+L38-L38*0.0035</f>
        <v>1145.9749999999999</v>
      </c>
      <c r="N38" s="50">
        <f>1-(M38/L38)</f>
        <v>3.5000000000000586E-3</v>
      </c>
      <c r="O38" s="51">
        <f>+'Trim Rwd'!H31</f>
        <v>267</v>
      </c>
      <c r="P38" s="52">
        <f>O38*(Q38-R38-S38)</f>
        <v>226950</v>
      </c>
      <c r="Q38" s="51">
        <f>480+400</f>
        <v>880</v>
      </c>
      <c r="R38" s="422">
        <v>0</v>
      </c>
      <c r="S38" s="422">
        <v>30</v>
      </c>
      <c r="T38" s="41">
        <f>E38*M38*O38*Q38/100000000</f>
        <v>37.696160040000002</v>
      </c>
      <c r="U38" s="41">
        <f>E38*M38*O38*(Q38-R38-S38)/100000000</f>
        <v>36.411063675000001</v>
      </c>
      <c r="V38" s="41">
        <f>E38*G38*(1-N38)*O38/100*(R38+S38)/1000000</f>
        <v>1.4191933769999998</v>
      </c>
      <c r="W38" s="41">
        <f>+'7'!K15/1000</f>
        <v>43.146000000000001</v>
      </c>
      <c r="X38" s="419">
        <f>SUM(W38:W41)/SUM(K38:K41)</f>
        <v>0.851429032019965</v>
      </c>
      <c r="Y38" s="223">
        <v>0</v>
      </c>
      <c r="Z38" s="41">
        <v>0</v>
      </c>
      <c r="AA38" s="53">
        <f>SUM(U38:U41)-SUM(W38:W41)-SUM(Z38:Z41)-SUM(Y38:Y41)</f>
        <v>2.0523732924000093</v>
      </c>
      <c r="AB38" s="53">
        <f>(SUM(K38:K41)-SUM(W38:W41)-SUM(Y38:Y41)-SUM(Z38:Z41)-SUM(AC38:AC41)-SUM(V38:V41))-AA38</f>
        <v>-0.16543028100000878</v>
      </c>
      <c r="AC38" s="41">
        <f>K38-T38</f>
        <v>4.0797279599999996</v>
      </c>
      <c r="AD38" s="41">
        <f>+AM38+BA38</f>
        <v>20</v>
      </c>
      <c r="AE38" s="241" t="s">
        <v>540</v>
      </c>
      <c r="AF38" s="41">
        <v>20</v>
      </c>
      <c r="AG38" s="41"/>
      <c r="AH38" s="41"/>
      <c r="AI38" s="609"/>
      <c r="AJ38" s="41"/>
      <c r="AK38" s="41"/>
      <c r="AL38" s="41"/>
      <c r="AM38" s="41">
        <f>SUM(AF38:AL38)+AT38+AV38+AX38</f>
        <v>20</v>
      </c>
      <c r="AN38" s="41"/>
      <c r="AO38" s="41"/>
      <c r="AP38" s="41"/>
      <c r="AQ38" s="41"/>
      <c r="AR38" s="41">
        <f>SUM(AN38:AQ38)</f>
        <v>0</v>
      </c>
      <c r="AS38" s="41"/>
      <c r="AT38" s="41"/>
      <c r="AU38" s="41"/>
      <c r="AV38" s="41"/>
      <c r="AW38" s="41"/>
      <c r="AX38" s="41"/>
      <c r="AY38" s="41"/>
      <c r="AZ38" s="41"/>
      <c r="BA38" s="41">
        <f>+AR38+AS38+AU38+AW38+AY38+AZ38</f>
        <v>0</v>
      </c>
      <c r="BB38" s="37">
        <v>4</v>
      </c>
      <c r="BC38" s="55"/>
      <c r="BD38" s="55"/>
      <c r="BE38" s="37"/>
      <c r="BF38" s="55"/>
    </row>
    <row r="39" spans="1:58" ht="12.95" customHeight="1">
      <c r="A39" s="44"/>
      <c r="B39" s="45" t="s">
        <v>234</v>
      </c>
      <c r="C39" s="452">
        <f>(M39*E39*O39*Q39)/100000000</f>
        <v>7.9598462874000004</v>
      </c>
      <c r="D39" s="45" t="s">
        <v>572</v>
      </c>
      <c r="E39" s="46">
        <v>17</v>
      </c>
      <c r="F39" s="46">
        <v>1</v>
      </c>
      <c r="G39" s="465">
        <v>1210</v>
      </c>
      <c r="H39" s="48">
        <v>0</v>
      </c>
      <c r="I39" s="49">
        <v>0.88</v>
      </c>
      <c r="J39" s="91">
        <f>E39*G39*(1-H39)*1440/1000000*2.77</f>
        <v>82.049616</v>
      </c>
      <c r="K39" s="91">
        <f>(IF(G39&lt;L39,L39,G39)*(1-IF(H39&lt;N39,H39,N39))*E39*O39*Q39)/100000000</f>
        <v>7.9878036000000003</v>
      </c>
      <c r="L39" s="39">
        <v>1220</v>
      </c>
      <c r="M39" s="39">
        <f>+L39-L39*0.0035</f>
        <v>1215.73</v>
      </c>
      <c r="N39" s="50">
        <f>1-(M39/L39)</f>
        <v>3.4999999999999476E-3</v>
      </c>
      <c r="O39" s="51">
        <f>+'Trim Rwd'!H32</f>
        <v>262</v>
      </c>
      <c r="P39" s="52">
        <f>O39*(Q39-R39-S39)</f>
        <v>35894</v>
      </c>
      <c r="Q39" s="51">
        <f>80+67</f>
        <v>147</v>
      </c>
      <c r="R39" s="422">
        <v>0</v>
      </c>
      <c r="S39" s="422">
        <v>10</v>
      </c>
      <c r="T39" s="41">
        <f>E39*M39*O39*Q39/100000000</f>
        <v>7.9598462874000004</v>
      </c>
      <c r="U39" s="41">
        <f>E39*M39*O39*(Q39-R39-S39)/100000000</f>
        <v>7.4183601453999994</v>
      </c>
      <c r="V39" s="41">
        <f>E39*G39*(1-N39)*O39/100*(R39+S39)/1000000</f>
        <v>0.53704773100000003</v>
      </c>
      <c r="W39" s="41">
        <f>+'7'!K14/1000</f>
        <v>7.375</v>
      </c>
      <c r="X39" s="42"/>
      <c r="Y39" s="223"/>
      <c r="Z39" s="41">
        <f>+'7'!D26/1000</f>
        <v>0.34</v>
      </c>
      <c r="AA39" s="41"/>
      <c r="AB39" s="41"/>
      <c r="AC39" s="41">
        <f>K39-T39</f>
        <v>2.7957312599999895E-2</v>
      </c>
      <c r="AD39" s="41">
        <f>+AM39+BA39</f>
        <v>10</v>
      </c>
      <c r="AE39" s="241" t="s">
        <v>570</v>
      </c>
      <c r="AF39" s="41"/>
      <c r="AG39" s="41">
        <v>10</v>
      </c>
      <c r="AH39" s="41"/>
      <c r="AI39" s="609"/>
      <c r="AJ39" s="41"/>
      <c r="AK39" s="41"/>
      <c r="AL39" s="41"/>
      <c r="AM39" s="41">
        <f>SUM(AF39:AL39)+AT39+AV39+AX39</f>
        <v>10</v>
      </c>
      <c r="AN39" s="92"/>
      <c r="AO39" s="41"/>
      <c r="AP39" s="41"/>
      <c r="AQ39" s="41"/>
      <c r="AR39" s="41">
        <f>SUM(AN39:AQ39)</f>
        <v>0</v>
      </c>
      <c r="AS39" s="41"/>
      <c r="AT39" s="41"/>
      <c r="AU39" s="41"/>
      <c r="AV39" s="41"/>
      <c r="AW39" s="41"/>
      <c r="AX39" s="41"/>
      <c r="AY39" s="41"/>
      <c r="AZ39" s="41"/>
      <c r="BA39" s="41">
        <f>+AR39+AS39+AU39+AW39+AY39+AZ39</f>
        <v>0</v>
      </c>
      <c r="BB39" s="54"/>
      <c r="BC39" s="55">
        <v>5</v>
      </c>
      <c r="BD39" s="55"/>
      <c r="BE39" s="54"/>
      <c r="BF39" s="55"/>
    </row>
    <row r="40" spans="1:58" ht="12.95" customHeight="1">
      <c r="A40" s="44"/>
      <c r="B40" s="45" t="s">
        <v>7</v>
      </c>
      <c r="C40" s="452">
        <f>(M40*E40*O40*Q40)/100000000</f>
        <v>2.6560717120000001</v>
      </c>
      <c r="D40" s="45" t="s">
        <v>411</v>
      </c>
      <c r="E40" s="46">
        <v>10.3</v>
      </c>
      <c r="F40" s="46">
        <v>1</v>
      </c>
      <c r="G40" s="465">
        <v>1730</v>
      </c>
      <c r="H40" s="48">
        <v>0.2</v>
      </c>
      <c r="I40" s="49">
        <v>0.88</v>
      </c>
      <c r="J40" s="91">
        <f>E40*G40*(1-H40)*1440/1000000*2.77</f>
        <v>56.861141760000002</v>
      </c>
      <c r="K40" s="91">
        <f>(IF(G40&lt;L40,L40,G40)*(1-IF(H40&lt;N40,H40,N40))*E40*O40*Q40)/100000000</f>
        <v>2.7680747360000004</v>
      </c>
      <c r="L40" s="39">
        <v>1660</v>
      </c>
      <c r="M40" s="39">
        <f>+L40-L40*0.2</f>
        <v>1328</v>
      </c>
      <c r="N40" s="50">
        <f>1-(M40/L40)</f>
        <v>0.19999999999999996</v>
      </c>
      <c r="O40" s="51">
        <f>+'Trim Rwd'!H33</f>
        <v>266</v>
      </c>
      <c r="P40" s="52">
        <f>O40*(Q40-R40-S40)</f>
        <v>16758</v>
      </c>
      <c r="Q40" s="51">
        <v>73</v>
      </c>
      <c r="R40" s="422">
        <v>0</v>
      </c>
      <c r="S40" s="422">
        <v>10</v>
      </c>
      <c r="T40" s="41">
        <f>E40*M40*O40*Q40/100000000</f>
        <v>2.6560717120000001</v>
      </c>
      <c r="U40" s="41">
        <f>E40*M40*O40*(Q40-R40-S40)/100000000</f>
        <v>2.2922262720000002</v>
      </c>
      <c r="V40" s="41">
        <f>E40*G40*(1-N40)*O40/100*(R40+S40)/1000000</f>
        <v>0.37918832000000002</v>
      </c>
      <c r="W40" s="41">
        <f>+'7'!K8/1000</f>
        <v>0</v>
      </c>
      <c r="X40" s="42"/>
      <c r="Y40" s="223"/>
      <c r="Z40" s="41"/>
      <c r="AA40" s="41"/>
      <c r="AB40" s="41"/>
      <c r="AC40" s="41">
        <f>K40-T40</f>
        <v>0.11200302400000028</v>
      </c>
      <c r="AD40" s="41">
        <f>+AM40+BA40</f>
        <v>30</v>
      </c>
      <c r="AE40" s="241" t="s">
        <v>484</v>
      </c>
      <c r="AF40" s="37"/>
      <c r="AG40" s="37"/>
      <c r="AH40" s="37">
        <v>30</v>
      </c>
      <c r="AI40" s="609"/>
      <c r="AJ40" s="41"/>
      <c r="AK40" s="41"/>
      <c r="AL40" s="41"/>
      <c r="AM40" s="41">
        <f>SUM(AF40:AL40)+AT40+AV40+AX40</f>
        <v>30</v>
      </c>
      <c r="AN40" s="41"/>
      <c r="AO40" s="41"/>
      <c r="AP40" s="41"/>
      <c r="AQ40" s="41"/>
      <c r="AR40" s="41">
        <f>SUM(AN40:AQ40)</f>
        <v>0</v>
      </c>
      <c r="AS40" s="41"/>
      <c r="AT40" s="41"/>
      <c r="AU40" s="41"/>
      <c r="AV40" s="41"/>
      <c r="AW40" s="41"/>
      <c r="AX40" s="41"/>
      <c r="AY40" s="41"/>
      <c r="AZ40" s="41"/>
      <c r="BA40" s="41">
        <f>+AR40+AS40+AU40+AW40+AY40+AZ40</f>
        <v>0</v>
      </c>
      <c r="BB40" s="37"/>
      <c r="BC40" s="57"/>
      <c r="BD40" s="57"/>
      <c r="BE40" s="37"/>
      <c r="BF40" s="57"/>
    </row>
    <row r="41" spans="1:58" ht="12.95" customHeight="1">
      <c r="A41" s="44"/>
      <c r="B41" s="45" t="s">
        <v>7</v>
      </c>
      <c r="C41" s="452">
        <f>(M41*E41*O41*Q41)/100000000</f>
        <v>14.4125184</v>
      </c>
      <c r="D41" s="45" t="s">
        <v>411</v>
      </c>
      <c r="E41" s="46">
        <v>12</v>
      </c>
      <c r="F41" s="46">
        <v>1</v>
      </c>
      <c r="G41" s="465">
        <v>1700</v>
      </c>
      <c r="H41" s="48">
        <v>0.2</v>
      </c>
      <c r="I41" s="49">
        <v>0.88</v>
      </c>
      <c r="J41" s="91">
        <f>E41*G41*(1-H41)*1440/1000000*2.77</f>
        <v>65.097216000000003</v>
      </c>
      <c r="K41" s="91">
        <f>(IF(G41&lt;L41,L41,G41)*(1-IF(H41&lt;N41,H41,N41))*E41*O41*Q41)/100000000</f>
        <v>14.759808</v>
      </c>
      <c r="L41" s="39">
        <v>1660</v>
      </c>
      <c r="M41" s="39">
        <f>+L41-L41*0.2</f>
        <v>1328</v>
      </c>
      <c r="N41" s="50">
        <f>1-(M41/L41)</f>
        <v>0.19999999999999996</v>
      </c>
      <c r="O41" s="51">
        <f>+'Trim Rwd'!H34</f>
        <v>266</v>
      </c>
      <c r="P41" s="52">
        <f>O41*(Q41-R41-S41)</f>
        <v>85120</v>
      </c>
      <c r="Q41" s="51">
        <v>340</v>
      </c>
      <c r="R41" s="422">
        <v>0</v>
      </c>
      <c r="S41" s="422">
        <v>20</v>
      </c>
      <c r="T41" s="41">
        <f>E41*M41*O41*Q41/100000000</f>
        <v>14.4125184</v>
      </c>
      <c r="U41" s="41">
        <f>E41*M41*O41*(Q41-R41-S41)/100000000</f>
        <v>13.5647232</v>
      </c>
      <c r="V41" s="41">
        <f>E41*G41*(1-N41)*O41/100*(R41+S41)/1000000</f>
        <v>0.868224</v>
      </c>
      <c r="W41" s="41">
        <f>+'7'!K16/1000</f>
        <v>6.7729999999999997</v>
      </c>
      <c r="X41" s="42"/>
      <c r="Y41" s="223"/>
      <c r="Z41" s="41"/>
      <c r="AA41" s="41"/>
      <c r="AB41" s="41"/>
      <c r="AC41" s="41">
        <f>K41-T41</f>
        <v>0.34728959999999987</v>
      </c>
      <c r="AD41" s="41">
        <f>+AM41+BA41</f>
        <v>10</v>
      </c>
      <c r="AE41" s="241" t="s">
        <v>424</v>
      </c>
      <c r="AF41" s="37"/>
      <c r="AG41" s="37"/>
      <c r="AH41" s="37"/>
      <c r="AI41" s="461">
        <v>10</v>
      </c>
      <c r="AJ41" s="41"/>
      <c r="AK41" s="41"/>
      <c r="AL41" s="41"/>
      <c r="AM41" s="41">
        <f>SUM(AF41:AL41)+AT41+AV41+AX41</f>
        <v>10</v>
      </c>
      <c r="AN41" s="41"/>
      <c r="AO41" s="41"/>
      <c r="AP41" s="41"/>
      <c r="AQ41" s="41"/>
      <c r="AR41" s="41">
        <f>SUM(AN41:AQ41)</f>
        <v>0</v>
      </c>
      <c r="AS41" s="41"/>
      <c r="AT41" s="41"/>
      <c r="AU41" s="41"/>
      <c r="AV41" s="41"/>
      <c r="AW41" s="41"/>
      <c r="AX41" s="41"/>
      <c r="AY41" s="41"/>
      <c r="AZ41" s="41"/>
      <c r="BA41" s="41">
        <f>+AR41+AS41+AU41+AW41+AY41+AZ41</f>
        <v>0</v>
      </c>
      <c r="BB41" s="37"/>
      <c r="BC41" s="57"/>
      <c r="BD41" s="57"/>
      <c r="BE41" s="37"/>
      <c r="BF41" s="57"/>
    </row>
    <row r="42" spans="1:58" ht="12.95" customHeight="1">
      <c r="A42" s="44"/>
      <c r="B42" s="45"/>
      <c r="C42" s="452"/>
      <c r="D42" s="45"/>
      <c r="E42" s="46"/>
      <c r="F42" s="46"/>
      <c r="G42" s="47"/>
      <c r="H42" s="48"/>
      <c r="I42" s="49"/>
      <c r="J42" s="91"/>
      <c r="K42" s="91"/>
      <c r="L42" s="39"/>
      <c r="M42" s="39"/>
      <c r="N42" s="50"/>
      <c r="O42" s="51"/>
      <c r="P42" s="52"/>
      <c r="Q42" s="51"/>
      <c r="R42" s="422"/>
      <c r="S42" s="422"/>
      <c r="T42" s="41"/>
      <c r="U42" s="41"/>
      <c r="V42" s="41"/>
      <c r="W42" s="41"/>
      <c r="X42" s="42"/>
      <c r="Y42" s="223"/>
      <c r="Z42" s="41"/>
      <c r="AA42" s="41"/>
      <c r="AB42" s="41"/>
      <c r="AC42" s="41"/>
      <c r="AD42" s="41"/>
      <c r="AE42" s="241"/>
      <c r="AF42" s="37"/>
      <c r="AG42" s="37"/>
      <c r="AH42" s="37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37"/>
      <c r="BC42" s="57"/>
      <c r="BD42" s="55"/>
      <c r="BE42" s="55"/>
      <c r="BF42" s="55"/>
    </row>
    <row r="43" spans="1:58" ht="12.75" customHeight="1">
      <c r="A43" s="44">
        <v>45938</v>
      </c>
      <c r="B43" s="45" t="s">
        <v>7</v>
      </c>
      <c r="C43" s="452">
        <f>(M43*E43*O43*Q43)/100000000</f>
        <v>61.776691200000002</v>
      </c>
      <c r="D43" s="45" t="s">
        <v>411</v>
      </c>
      <c r="E43" s="46">
        <v>12</v>
      </c>
      <c r="F43" s="46">
        <v>1</v>
      </c>
      <c r="G43" s="465">
        <v>1700</v>
      </c>
      <c r="H43" s="48">
        <v>0.2</v>
      </c>
      <c r="I43" s="49">
        <v>0.88</v>
      </c>
      <c r="J43" s="91">
        <f>E43*G43*(1-H43)*1440/1000000*2.77</f>
        <v>65.097216000000003</v>
      </c>
      <c r="K43" s="91">
        <f>(IF(G43&lt;L43,L43,G43)*(1-IF(H43&lt;N43,H43,N43))*E43*O43*Q43)/100000000</f>
        <v>62.512127999999997</v>
      </c>
      <c r="L43" s="39">
        <v>1680</v>
      </c>
      <c r="M43" s="39">
        <v>1344</v>
      </c>
      <c r="N43" s="50">
        <f>1-(M43/L43)</f>
        <v>0.19999999999999996</v>
      </c>
      <c r="O43" s="51">
        <f>+'Trim Rwd'!H36</f>
        <v>266</v>
      </c>
      <c r="P43" s="52">
        <f>O43*(Q43-R43-S43)</f>
        <v>366548</v>
      </c>
      <c r="Q43" s="51">
        <v>1440</v>
      </c>
      <c r="R43" s="422">
        <v>0</v>
      </c>
      <c r="S43" s="422">
        <v>62</v>
      </c>
      <c r="T43" s="41">
        <f>E43*M43*O43*Q43/100000000</f>
        <v>61.776691200000002</v>
      </c>
      <c r="U43" s="41">
        <f>E43*M43*O43*(Q43-R43-S43)/100000000</f>
        <v>59.116861440000001</v>
      </c>
      <c r="V43" s="41">
        <f>E43*G43*(1-N43)*O43/100*(R43+S43)/1000000</f>
        <v>2.6914943999999998</v>
      </c>
      <c r="W43" s="41">
        <f>+'8'!K34/1000</f>
        <v>61.23</v>
      </c>
      <c r="X43" s="419">
        <f>SUM(W43:W46)/SUM(K43:K46)</f>
        <v>0.9794899319376873</v>
      </c>
      <c r="Y43" s="223">
        <v>0</v>
      </c>
      <c r="Z43" s="41">
        <f>+'8'!D34/1000</f>
        <v>0.38700000000000001</v>
      </c>
      <c r="AA43" s="53">
        <f>SUM(U43:U46)-SUM(W43:W46)-SUM(Z43:Z46)-SUM(Y43:Y46)</f>
        <v>-2.5001385599999959</v>
      </c>
      <c r="AB43" s="53">
        <f>(SUM(K43:K46)-SUM(W43:W46)-SUM(Y43:Y46)-SUM(Z43:Z46)-SUM(AC43:AC46)-SUM(V43:V46))-AA43</f>
        <v>-3.1664639999998911E-2</v>
      </c>
      <c r="AC43" s="41">
        <f>K43-T43</f>
        <v>0.73543679999999512</v>
      </c>
      <c r="AD43" s="41">
        <f>+AM43+BA43</f>
        <v>20</v>
      </c>
      <c r="AE43" s="241" t="s">
        <v>540</v>
      </c>
      <c r="AF43" s="41">
        <v>20</v>
      </c>
      <c r="AG43" s="41"/>
      <c r="AH43" s="41"/>
      <c r="AI43" s="609"/>
      <c r="AJ43" s="41"/>
      <c r="AK43" s="41"/>
      <c r="AL43" s="41"/>
      <c r="AM43" s="41">
        <f>SUM(AF43:AL43)+AT43+AV43+AX43</f>
        <v>20</v>
      </c>
      <c r="AN43" s="41"/>
      <c r="AO43" s="41"/>
      <c r="AP43" s="41"/>
      <c r="AQ43" s="41"/>
      <c r="AR43" s="41">
        <f>SUM(AN43:AQ43)</f>
        <v>0</v>
      </c>
      <c r="AS43" s="41"/>
      <c r="AT43" s="41"/>
      <c r="AU43" s="41"/>
      <c r="AV43" s="41"/>
      <c r="AW43" s="41"/>
      <c r="AX43" s="41"/>
      <c r="AY43" s="41"/>
      <c r="AZ43" s="41"/>
      <c r="BA43" s="41">
        <f>+AR43+AS43+AU43+AW43+AY43+AZ43</f>
        <v>0</v>
      </c>
      <c r="BB43" s="37">
        <v>4</v>
      </c>
      <c r="BC43" s="55"/>
      <c r="BD43" s="55"/>
      <c r="BE43" s="37"/>
      <c r="BF43" s="55"/>
    </row>
    <row r="44" spans="1:58" ht="12.95" customHeight="1">
      <c r="A44" s="44"/>
      <c r="B44" s="45"/>
      <c r="C44" s="452"/>
      <c r="D44" s="45"/>
      <c r="E44" s="46"/>
      <c r="F44" s="46"/>
      <c r="G44" s="465"/>
      <c r="H44" s="48"/>
      <c r="I44" s="49"/>
      <c r="J44" s="91"/>
      <c r="K44" s="91"/>
      <c r="L44" s="39"/>
      <c r="M44" s="39"/>
      <c r="N44" s="50"/>
      <c r="O44" s="51"/>
      <c r="P44" s="52"/>
      <c r="Q44" s="51"/>
      <c r="R44" s="422"/>
      <c r="S44" s="422"/>
      <c r="T44" s="41"/>
      <c r="U44" s="41"/>
      <c r="V44" s="41"/>
      <c r="W44" s="41"/>
      <c r="X44" s="42"/>
      <c r="Y44" s="223"/>
      <c r="Z44" s="41"/>
      <c r="AA44" s="41"/>
      <c r="AB44" s="41"/>
      <c r="AC44" s="41"/>
      <c r="AD44" s="41">
        <f>+AM44+BA44</f>
        <v>12</v>
      </c>
      <c r="AE44" s="241" t="s">
        <v>588</v>
      </c>
      <c r="AF44" s="41"/>
      <c r="AG44" s="41">
        <v>12</v>
      </c>
      <c r="AH44" s="41"/>
      <c r="AI44" s="609"/>
      <c r="AJ44" s="41"/>
      <c r="AK44" s="41"/>
      <c r="AL44" s="41"/>
      <c r="AM44" s="41">
        <f>SUM(AF44:AL44)+AT44+AV44+AX44</f>
        <v>12</v>
      </c>
      <c r="AN44" s="92"/>
      <c r="AO44" s="41"/>
      <c r="AP44" s="41"/>
      <c r="AQ44" s="41"/>
      <c r="AR44" s="41">
        <f>SUM(AN44:AQ44)</f>
        <v>0</v>
      </c>
      <c r="AS44" s="41"/>
      <c r="AT44" s="41"/>
      <c r="AU44" s="41"/>
      <c r="AV44" s="41"/>
      <c r="AW44" s="41"/>
      <c r="AX44" s="41"/>
      <c r="AY44" s="41"/>
      <c r="AZ44" s="41"/>
      <c r="BA44" s="41">
        <f>+AR44+AS44+AU44+AW44+AY44+AZ44</f>
        <v>0</v>
      </c>
      <c r="BB44" s="54"/>
      <c r="BC44" s="55">
        <v>11</v>
      </c>
      <c r="BD44" s="55"/>
      <c r="BE44" s="54"/>
      <c r="BF44" s="55"/>
    </row>
    <row r="45" spans="1:58" ht="12.95" customHeight="1">
      <c r="A45" s="44"/>
      <c r="B45" s="45"/>
      <c r="C45" s="452"/>
      <c r="D45" s="45"/>
      <c r="E45" s="46"/>
      <c r="F45" s="46"/>
      <c r="G45" s="465"/>
      <c r="H45" s="48"/>
      <c r="I45" s="49"/>
      <c r="J45" s="91"/>
      <c r="K45" s="91"/>
      <c r="L45" s="39"/>
      <c r="M45" s="39"/>
      <c r="N45" s="50"/>
      <c r="O45" s="51"/>
      <c r="P45" s="52"/>
      <c r="Q45" s="51"/>
      <c r="R45" s="422"/>
      <c r="S45" s="422"/>
      <c r="T45" s="41"/>
      <c r="U45" s="41"/>
      <c r="V45" s="41"/>
      <c r="W45" s="41"/>
      <c r="X45" s="42"/>
      <c r="Y45" s="223"/>
      <c r="Z45" s="41"/>
      <c r="AA45" s="41"/>
      <c r="AB45" s="41"/>
      <c r="AC45" s="41"/>
      <c r="AD45" s="41">
        <f>+AM45+BA45</f>
        <v>30</v>
      </c>
      <c r="AE45" s="241" t="s">
        <v>484</v>
      </c>
      <c r="AF45" s="37"/>
      <c r="AG45" s="37"/>
      <c r="AH45" s="37">
        <v>30</v>
      </c>
      <c r="AI45" s="609"/>
      <c r="AJ45" s="41"/>
      <c r="AK45" s="41"/>
      <c r="AL45" s="41"/>
      <c r="AM45" s="41">
        <f>SUM(AF45:AL45)+AT45+AV45+AX45</f>
        <v>30</v>
      </c>
      <c r="AN45" s="41"/>
      <c r="AO45" s="41"/>
      <c r="AP45" s="41"/>
      <c r="AQ45" s="41"/>
      <c r="AR45" s="41">
        <f>SUM(AN45:AQ45)</f>
        <v>0</v>
      </c>
      <c r="AS45" s="41"/>
      <c r="AT45" s="41"/>
      <c r="AU45" s="41"/>
      <c r="AV45" s="41"/>
      <c r="AW45" s="41"/>
      <c r="AX45" s="41"/>
      <c r="AY45" s="41"/>
      <c r="AZ45" s="41"/>
      <c r="BA45" s="41">
        <f>+AR45+AS45+AU45+AW45+AY45+AZ45</f>
        <v>0</v>
      </c>
      <c r="BB45" s="37"/>
      <c r="BC45" s="57"/>
      <c r="BD45" s="57"/>
      <c r="BE45" s="37"/>
      <c r="BF45" s="57"/>
    </row>
    <row r="46" spans="1:58" ht="12.95" customHeight="1">
      <c r="A46" s="44"/>
      <c r="B46" s="45"/>
      <c r="C46" s="452"/>
      <c r="D46" s="45"/>
      <c r="E46" s="46"/>
      <c r="F46" s="46"/>
      <c r="G46" s="465"/>
      <c r="H46" s="48"/>
      <c r="I46" s="49"/>
      <c r="J46" s="91"/>
      <c r="K46" s="91"/>
      <c r="L46" s="39"/>
      <c r="M46" s="39"/>
      <c r="N46" s="50"/>
      <c r="O46" s="51"/>
      <c r="P46" s="52"/>
      <c r="Q46" s="51"/>
      <c r="R46" s="422"/>
      <c r="S46" s="422"/>
      <c r="T46" s="41"/>
      <c r="U46" s="41"/>
      <c r="V46" s="41"/>
      <c r="W46" s="41"/>
      <c r="X46" s="42"/>
      <c r="Y46" s="223"/>
      <c r="Z46" s="41"/>
      <c r="AA46" s="41"/>
      <c r="AB46" s="41"/>
      <c r="AC46" s="41"/>
      <c r="AD46" s="41"/>
      <c r="AE46" s="241"/>
      <c r="AF46" s="37"/>
      <c r="AG46" s="37"/>
      <c r="AH46" s="37"/>
      <c r="AI46" s="46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37"/>
      <c r="BC46" s="57"/>
      <c r="BD46" s="57"/>
      <c r="BE46" s="37"/>
      <c r="BF46" s="57"/>
    </row>
    <row r="47" spans="1:58" ht="12.75" customHeight="1">
      <c r="A47" s="44">
        <v>45939</v>
      </c>
      <c r="B47" s="45" t="s">
        <v>7</v>
      </c>
      <c r="C47" s="452">
        <f>(M47*E47*O47*Q47)/100000000</f>
        <v>24.14543712</v>
      </c>
      <c r="D47" s="45" t="s">
        <v>411</v>
      </c>
      <c r="E47" s="46">
        <v>12</v>
      </c>
      <c r="F47" s="46">
        <v>1</v>
      </c>
      <c r="G47" s="465">
        <v>1700</v>
      </c>
      <c r="H47" s="48">
        <v>0.2</v>
      </c>
      <c r="I47" s="49">
        <v>0.88</v>
      </c>
      <c r="J47" s="91">
        <f>E47*G47*(1-H47)*1440/1000000*2.77</f>
        <v>65.097216000000003</v>
      </c>
      <c r="K47" s="91">
        <f>(IF(G47&lt;L47,L47,G47)*(1-IF(H47&lt;N47,H47,N47))*E47*O47*Q47)/100000000</f>
        <v>24.874617600000001</v>
      </c>
      <c r="L47" s="39">
        <v>1689.1797556719023</v>
      </c>
      <c r="M47" s="39">
        <v>1320.1326352530541</v>
      </c>
      <c r="N47" s="50">
        <f>1-(M47/L47)</f>
        <v>0.21847711540448389</v>
      </c>
      <c r="O47" s="51">
        <f>+'Trim Rwd'!H38</f>
        <v>266</v>
      </c>
      <c r="P47" s="52">
        <f>O47*(Q47-R47-S47)</f>
        <v>147098</v>
      </c>
      <c r="Q47" s="51">
        <v>573</v>
      </c>
      <c r="R47" s="422">
        <v>0</v>
      </c>
      <c r="S47" s="422">
        <v>20</v>
      </c>
      <c r="T47" s="41">
        <f>E47*M47*O47*Q47/100000000</f>
        <v>24.14543712</v>
      </c>
      <c r="U47" s="41">
        <f>E47*M47*O47*(Q47-R47-S47)/100000000</f>
        <v>23.30266444565445</v>
      </c>
      <c r="V47" s="41">
        <f>E47*G47*(1-N47)*O47/100*(R47+S47)/1000000</f>
        <v>0.84817115619382166</v>
      </c>
      <c r="W47" s="41">
        <f>+'9'!K16/1000</f>
        <v>23.15</v>
      </c>
      <c r="X47" s="419">
        <f>SUM(W47:W50)/SUM(K47:K50)</f>
        <v>0.94994401801247519</v>
      </c>
      <c r="Y47" s="223">
        <v>0</v>
      </c>
      <c r="Z47" s="41">
        <f>+'9'!D34/1000</f>
        <v>0.39200000000000002</v>
      </c>
      <c r="AA47" s="53">
        <f>SUM(U47:U50)-SUM(W47:W50)-SUM(Z47:Z50)-SUM(Y47:Y50)</f>
        <v>-0.98166552314554834</v>
      </c>
      <c r="AB47" s="53">
        <f>(SUM(K47:K50)-SUM(W47:W50)-SUM(Y47:Y50)-SUM(Z47:Z50)-SUM(AC47:AC50)-SUM(V47:V50))-AA47</f>
        <v>-5.3984818482718522E-3</v>
      </c>
      <c r="AC47" s="41">
        <f>K47-T47</f>
        <v>0.72918048000000013</v>
      </c>
      <c r="AD47" s="41">
        <f>+AM47+BA47</f>
        <v>20</v>
      </c>
      <c r="AE47" s="241" t="s">
        <v>540</v>
      </c>
      <c r="AF47" s="41">
        <v>20</v>
      </c>
      <c r="AG47" s="41"/>
      <c r="AH47" s="41"/>
      <c r="AI47" s="609"/>
      <c r="AJ47" s="41"/>
      <c r="AK47" s="41"/>
      <c r="AL47" s="41"/>
      <c r="AM47" s="41">
        <f>SUM(AF47:AL47)+AT47+AV47+AX47</f>
        <v>20</v>
      </c>
      <c r="AN47" s="41"/>
      <c r="AO47" s="41"/>
      <c r="AP47" s="41"/>
      <c r="AQ47" s="41"/>
      <c r="AR47" s="41">
        <f>SUM(AN47:AQ47)</f>
        <v>0</v>
      </c>
      <c r="AS47" s="41"/>
      <c r="AT47" s="41"/>
      <c r="AU47" s="41"/>
      <c r="AV47" s="41"/>
      <c r="AW47" s="41"/>
      <c r="AX47" s="41"/>
      <c r="AY47" s="41"/>
      <c r="AZ47" s="41"/>
      <c r="BA47" s="41">
        <f>+AR47+AS47+AU47+AW47+AY47+AZ47</f>
        <v>0</v>
      </c>
      <c r="BB47" s="37">
        <v>4</v>
      </c>
      <c r="BC47" s="55"/>
      <c r="BD47" s="55"/>
      <c r="BE47" s="37"/>
      <c r="BF47" s="55"/>
    </row>
    <row r="48" spans="1:58" ht="12.95" customHeight="1">
      <c r="A48" s="44"/>
      <c r="B48" s="45" t="s">
        <v>7</v>
      </c>
      <c r="C48" s="452">
        <f>(M48*E48*O48*Q48)/100000000</f>
        <v>34.519408711200001</v>
      </c>
      <c r="D48" s="45" t="s">
        <v>411</v>
      </c>
      <c r="E48" s="46">
        <v>10.3</v>
      </c>
      <c r="F48" s="46">
        <v>1</v>
      </c>
      <c r="G48" s="465">
        <v>1730</v>
      </c>
      <c r="H48" s="48">
        <v>0.16</v>
      </c>
      <c r="I48" s="49">
        <v>0.88</v>
      </c>
      <c r="J48" s="91">
        <f>E48*G48*(1-H48)*1440/1000000*2.77</f>
        <v>59.704198847999997</v>
      </c>
      <c r="K48" s="91">
        <f>(IF(G48&lt;L48,L48,G48)*(1-IF(H48&lt;N48,H48,N48))*E48*O48*Q48)/100000000</f>
        <v>34.519408711200001</v>
      </c>
      <c r="L48" s="39">
        <v>1730</v>
      </c>
      <c r="M48" s="39">
        <f>+L48-L48*0.16</f>
        <v>1453.2</v>
      </c>
      <c r="N48" s="50">
        <f>1-(M48/L48)</f>
        <v>0.15999999999999992</v>
      </c>
      <c r="O48" s="51">
        <f>+'Trim Rwd'!H39</f>
        <v>266</v>
      </c>
      <c r="P48" s="52">
        <f>O48*(Q48-R48-S48)</f>
        <v>217322</v>
      </c>
      <c r="Q48" s="51">
        <v>867</v>
      </c>
      <c r="R48" s="422">
        <v>0</v>
      </c>
      <c r="S48" s="422">
        <v>50</v>
      </c>
      <c r="T48" s="41">
        <f>E48*M48*O48*Q48/100000000</f>
        <v>34.519408711200001</v>
      </c>
      <c r="U48" s="41">
        <f>E48*M48*O48*(Q48-R48-S48)/100000000</f>
        <v>32.528670031200001</v>
      </c>
      <c r="V48" s="41">
        <f>E48*G48*(1-N48)*O48/100*(R48+S48)/1000000</f>
        <v>1.99073868</v>
      </c>
      <c r="W48" s="41">
        <f>+'9'!K8/1000</f>
        <v>33.271000000000001</v>
      </c>
      <c r="X48" s="42"/>
      <c r="Y48" s="223"/>
      <c r="Z48" s="41"/>
      <c r="AA48" s="41"/>
      <c r="AB48" s="41"/>
      <c r="AC48" s="41">
        <f>K48-T48</f>
        <v>0</v>
      </c>
      <c r="AD48" s="41">
        <f>+AM48+BA48</f>
        <v>16</v>
      </c>
      <c r="AE48" s="241" t="s">
        <v>599</v>
      </c>
      <c r="AF48" s="41"/>
      <c r="AG48" s="41">
        <v>16</v>
      </c>
      <c r="AH48" s="41"/>
      <c r="AI48" s="609"/>
      <c r="AJ48" s="41"/>
      <c r="AK48" s="41"/>
      <c r="AL48" s="41"/>
      <c r="AM48" s="41">
        <f>SUM(AF48:AL48)+AT48+AV48+AX48</f>
        <v>16</v>
      </c>
      <c r="AN48" s="92"/>
      <c r="AO48" s="41"/>
      <c r="AP48" s="41"/>
      <c r="AQ48" s="41"/>
      <c r="AR48" s="41">
        <f>SUM(AN48:AQ48)</f>
        <v>0</v>
      </c>
      <c r="AS48" s="41"/>
      <c r="AT48" s="41"/>
      <c r="AU48" s="41"/>
      <c r="AV48" s="41"/>
      <c r="AW48" s="41"/>
      <c r="AX48" s="41"/>
      <c r="AY48" s="41"/>
      <c r="AZ48" s="41"/>
      <c r="BA48" s="41">
        <f>+AR48+AS48+AU48+AW48+AY48+AZ48</f>
        <v>0</v>
      </c>
      <c r="BB48" s="54"/>
      <c r="BC48" s="55">
        <v>15</v>
      </c>
      <c r="BD48" s="55"/>
      <c r="BE48" s="54"/>
      <c r="BF48" s="55"/>
    </row>
    <row r="49" spans="1:58" ht="12.95" customHeight="1">
      <c r="A49" s="44"/>
      <c r="B49" s="45"/>
      <c r="C49" s="452"/>
      <c r="D49" s="45"/>
      <c r="E49" s="46"/>
      <c r="F49" s="46"/>
      <c r="G49" s="465"/>
      <c r="H49" s="48"/>
      <c r="I49" s="49"/>
      <c r="J49" s="91"/>
      <c r="K49" s="91"/>
      <c r="L49" s="39"/>
      <c r="M49" s="39"/>
      <c r="N49" s="50"/>
      <c r="O49" s="51"/>
      <c r="P49" s="52"/>
      <c r="Q49" s="51"/>
      <c r="R49" s="422"/>
      <c r="S49" s="422"/>
      <c r="T49" s="41"/>
      <c r="U49" s="41"/>
      <c r="V49" s="41"/>
      <c r="W49" s="41"/>
      <c r="X49" s="42"/>
      <c r="Y49" s="223"/>
      <c r="Z49" s="41"/>
      <c r="AA49" s="41"/>
      <c r="AB49" s="41"/>
      <c r="AC49" s="41"/>
      <c r="AD49" s="41">
        <f>+AM49+BA49</f>
        <v>26</v>
      </c>
      <c r="AE49" s="241" t="s">
        <v>600</v>
      </c>
      <c r="AF49" s="37"/>
      <c r="AG49" s="37"/>
      <c r="AH49" s="37">
        <v>26</v>
      </c>
      <c r="AI49" s="609"/>
      <c r="AJ49" s="41"/>
      <c r="AK49" s="41"/>
      <c r="AL49" s="41"/>
      <c r="AM49" s="41">
        <f>SUM(AF49:AL49)+AT49+AV49+AX49</f>
        <v>26</v>
      </c>
      <c r="AN49" s="41"/>
      <c r="AO49" s="41"/>
      <c r="AP49" s="41"/>
      <c r="AQ49" s="41"/>
      <c r="AR49" s="41">
        <f>SUM(AN49:AQ49)</f>
        <v>0</v>
      </c>
      <c r="AS49" s="41"/>
      <c r="AT49" s="41"/>
      <c r="AU49" s="41"/>
      <c r="AV49" s="41"/>
      <c r="AW49" s="41"/>
      <c r="AX49" s="41"/>
      <c r="AY49" s="41"/>
      <c r="AZ49" s="41"/>
      <c r="BA49" s="41">
        <f>+AR49+AS49+AU49+AW49+AY49+AZ49</f>
        <v>0</v>
      </c>
      <c r="BB49" s="37"/>
      <c r="BC49" s="57"/>
      <c r="BD49" s="57"/>
      <c r="BE49" s="37"/>
      <c r="BF49" s="57"/>
    </row>
    <row r="50" spans="1:58" ht="12.95" customHeight="1">
      <c r="A50" s="44"/>
      <c r="B50" s="45"/>
      <c r="C50" s="452"/>
      <c r="D50" s="45"/>
      <c r="E50" s="46"/>
      <c r="F50" s="46"/>
      <c r="G50" s="465"/>
      <c r="H50" s="48"/>
      <c r="I50" s="49"/>
      <c r="J50" s="91"/>
      <c r="K50" s="91"/>
      <c r="L50" s="39"/>
      <c r="M50" s="39"/>
      <c r="N50" s="50"/>
      <c r="O50" s="51"/>
      <c r="P50" s="52"/>
      <c r="Q50" s="51"/>
      <c r="R50" s="422"/>
      <c r="S50" s="422"/>
      <c r="T50" s="41"/>
      <c r="U50" s="41"/>
      <c r="V50" s="41"/>
      <c r="W50" s="41"/>
      <c r="X50" s="42"/>
      <c r="Y50" s="223"/>
      <c r="Z50" s="41"/>
      <c r="AA50" s="41"/>
      <c r="AB50" s="41"/>
      <c r="AC50" s="41"/>
      <c r="AD50" s="41">
        <f>+AM50+BA50</f>
        <v>8</v>
      </c>
      <c r="AE50" s="241" t="s">
        <v>424</v>
      </c>
      <c r="AF50" s="37"/>
      <c r="AG50" s="37"/>
      <c r="AH50" s="37"/>
      <c r="AI50" s="461">
        <v>8</v>
      </c>
      <c r="AJ50" s="41"/>
      <c r="AK50" s="41"/>
      <c r="AL50" s="41"/>
      <c r="AM50" s="41">
        <f>SUM(AF50:AL50)+AT50+AV50+AX50</f>
        <v>8</v>
      </c>
      <c r="AN50" s="41"/>
      <c r="AO50" s="41"/>
      <c r="AP50" s="41"/>
      <c r="AQ50" s="41"/>
      <c r="AR50" s="41">
        <f>SUM(AN50:AQ50)</f>
        <v>0</v>
      </c>
      <c r="AS50" s="41"/>
      <c r="AT50" s="41"/>
      <c r="AU50" s="41"/>
      <c r="AV50" s="41"/>
      <c r="AW50" s="41"/>
      <c r="AX50" s="41"/>
      <c r="AY50" s="41"/>
      <c r="AZ50" s="41"/>
      <c r="BA50" s="41">
        <f>+AR50+AS50+AU50+AW50+AY50+AZ50</f>
        <v>0</v>
      </c>
      <c r="BB50" s="37"/>
      <c r="BC50" s="57"/>
      <c r="BD50" s="57"/>
      <c r="BE50" s="37"/>
      <c r="BF50" s="57"/>
    </row>
    <row r="51" spans="1:58" ht="12.95" customHeight="1">
      <c r="A51" s="44"/>
      <c r="B51" s="45"/>
      <c r="C51" s="452"/>
      <c r="D51" s="45"/>
      <c r="E51" s="46"/>
      <c r="F51" s="46"/>
      <c r="G51" s="47"/>
      <c r="H51" s="48"/>
      <c r="I51" s="49"/>
      <c r="J51" s="91"/>
      <c r="K51" s="91"/>
      <c r="L51" s="39"/>
      <c r="M51" s="39"/>
      <c r="N51" s="50"/>
      <c r="O51" s="51"/>
      <c r="P51" s="52"/>
      <c r="Q51" s="51"/>
      <c r="R51" s="422"/>
      <c r="S51" s="422"/>
      <c r="T51" s="41"/>
      <c r="U51" s="41"/>
      <c r="V51" s="41"/>
      <c r="W51" s="41"/>
      <c r="X51" s="42"/>
      <c r="Y51" s="223"/>
      <c r="Z51" s="41"/>
      <c r="AA51" s="41"/>
      <c r="AB51" s="41"/>
      <c r="AC51" s="41"/>
      <c r="AD51" s="41"/>
      <c r="AE51" s="2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37"/>
      <c r="BC51" s="55"/>
      <c r="BD51" s="55"/>
      <c r="BE51" s="55"/>
      <c r="BF51" s="55"/>
    </row>
    <row r="52" spans="1:58" ht="12.75" customHeight="1">
      <c r="A52" s="44">
        <v>45940</v>
      </c>
      <c r="B52" s="45" t="s">
        <v>7</v>
      </c>
      <c r="C52" s="452">
        <f>(M52*E52*O52*Q52)/100000000</f>
        <v>48.528103680000001</v>
      </c>
      <c r="D52" s="45" t="s">
        <v>411</v>
      </c>
      <c r="E52" s="46">
        <v>12</v>
      </c>
      <c r="F52" s="46">
        <v>1</v>
      </c>
      <c r="G52" s="465">
        <v>1700</v>
      </c>
      <c r="H52" s="48">
        <v>0.2</v>
      </c>
      <c r="I52" s="49">
        <v>0.88</v>
      </c>
      <c r="J52" s="91">
        <f>E52*G52*(1-H52)*1440/1000000*2.77</f>
        <v>65.097216000000003</v>
      </c>
      <c r="K52" s="91">
        <f>(IF(G52&lt;L52,L52,G52)*(1-IF(H52&lt;N52,H52,N52))*E52*O52*Q52)/100000000</f>
        <v>51.442272000000003</v>
      </c>
      <c r="L52" s="39">
        <v>1688.1012658227849</v>
      </c>
      <c r="M52" s="39">
        <v>1282.9569620253164</v>
      </c>
      <c r="N52" s="50">
        <f>1-(M52/L52)</f>
        <v>0.24</v>
      </c>
      <c r="O52" s="51">
        <f>+'Trim Rwd'!H42</f>
        <v>266</v>
      </c>
      <c r="P52" s="52">
        <f>O52*(Q52-R52-S52)</f>
        <v>296590</v>
      </c>
      <c r="Q52" s="51">
        <v>1185</v>
      </c>
      <c r="R52" s="422">
        <v>0</v>
      </c>
      <c r="S52" s="422">
        <v>70</v>
      </c>
      <c r="T52" s="41">
        <f>E52*M52*O52*Q52/100000000</f>
        <v>48.528103680000001</v>
      </c>
      <c r="U52" s="41">
        <f>E52*M52*O52*(Q52-R52-S52)/100000000</f>
        <v>45.661464644050639</v>
      </c>
      <c r="V52" s="41">
        <f>E52*G52*(1-N52)*O52/100*(R52+S52)/1000000</f>
        <v>2.8868448</v>
      </c>
      <c r="W52" s="41">
        <f>+'10'!K16/1000</f>
        <v>45.844999999999999</v>
      </c>
      <c r="X52" s="419">
        <f>SUM(W52:W55)/SUM(K52:K55)</f>
        <v>0.80516096591570163</v>
      </c>
      <c r="Y52" s="223">
        <v>0</v>
      </c>
      <c r="Z52" s="41">
        <f>+'10'!D34/1000</f>
        <v>0.68899999999999995</v>
      </c>
      <c r="AA52" s="53">
        <f>SUM(U52:U55)-SUM(W52:W55)-SUM(Z52:Z55)-SUM(Y52:Y55)</f>
        <v>3.8285064652271146</v>
      </c>
      <c r="AB52" s="53">
        <f>(SUM(K52:K55)-SUM(W52:W55)-SUM(Y52:Y55)-SUM(Z52:Z55)-SUM(AC52:AC55)-SUM(V52:V55))-AA52</f>
        <v>-7.3880433227107467E-2</v>
      </c>
      <c r="AC52" s="41">
        <f>K52-T52</f>
        <v>2.9141683200000017</v>
      </c>
      <c r="AD52" s="41">
        <f>+AM52+BA52</f>
        <v>55</v>
      </c>
      <c r="AE52" s="241" t="s">
        <v>617</v>
      </c>
      <c r="AF52" s="41">
        <v>55</v>
      </c>
      <c r="AG52" s="41"/>
      <c r="AH52" s="41"/>
      <c r="AI52" s="609"/>
      <c r="AJ52" s="41"/>
      <c r="AK52" s="41"/>
      <c r="AL52" s="41"/>
      <c r="AM52" s="41">
        <f>SUM(AF52:AL52)+AT52+AV52+AX52</f>
        <v>55</v>
      </c>
      <c r="AN52" s="41"/>
      <c r="AO52" s="41"/>
      <c r="AP52" s="41"/>
      <c r="AQ52" s="41"/>
      <c r="AR52" s="41">
        <f>SUM(AN52:AQ52)</f>
        <v>0</v>
      </c>
      <c r="AS52" s="41"/>
      <c r="AT52" s="41"/>
      <c r="AU52" s="41"/>
      <c r="AV52" s="41"/>
      <c r="AW52" s="41"/>
      <c r="AX52" s="41"/>
      <c r="AY52" s="41"/>
      <c r="AZ52" s="41"/>
      <c r="BA52" s="41">
        <f>+AR52+AS52+AU52+AW52+AY52+AZ52</f>
        <v>0</v>
      </c>
      <c r="BB52" s="37">
        <v>11</v>
      </c>
      <c r="BC52" s="55"/>
      <c r="BD52" s="55"/>
      <c r="BE52" s="37"/>
      <c r="BF52" s="55"/>
    </row>
    <row r="53" spans="1:58" ht="12.95" customHeight="1">
      <c r="A53" s="44"/>
      <c r="B53" s="45" t="s">
        <v>7</v>
      </c>
      <c r="C53" s="452">
        <f>(M53*E53*O53*Q53)/100000000</f>
        <v>8.9364827999999985</v>
      </c>
      <c r="D53" s="45" t="s">
        <v>411</v>
      </c>
      <c r="E53" s="46">
        <v>10.5</v>
      </c>
      <c r="F53" s="46">
        <v>1</v>
      </c>
      <c r="G53" s="465">
        <v>1730</v>
      </c>
      <c r="H53" s="608">
        <v>0.24</v>
      </c>
      <c r="I53" s="49">
        <v>0.88</v>
      </c>
      <c r="J53" s="91">
        <f>E53*G53*(1-H53)*1440/1000000*2.77</f>
        <v>55.066979519999997</v>
      </c>
      <c r="K53" s="91">
        <f>(IF(G53&lt;L53,L53,G53)*(1-IF(H53&lt;N53,H53,N53))*E53*O53*Q53)/100000000</f>
        <v>9.3642028199999992</v>
      </c>
      <c r="L53" s="39">
        <v>1650.9803921568628</v>
      </c>
      <c r="M53" s="39">
        <v>1254.7450980392157</v>
      </c>
      <c r="N53" s="50">
        <f>1-(M53/L53)</f>
        <v>0.24</v>
      </c>
      <c r="O53" s="51">
        <f>+'Trim Rwd'!H43</f>
        <v>266</v>
      </c>
      <c r="P53" s="52">
        <f>O53*(Q53-R53-S53)</f>
        <v>59318</v>
      </c>
      <c r="Q53" s="51">
        <v>255</v>
      </c>
      <c r="R53" s="422">
        <v>0</v>
      </c>
      <c r="S53" s="422">
        <v>32</v>
      </c>
      <c r="T53" s="41">
        <f>E53*M53*O53*Q53/100000000</f>
        <v>8.9364827999999985</v>
      </c>
      <c r="U53" s="41">
        <f>E53*M53*O53*(Q53-R53-S53)/100000000</f>
        <v>7.8150418211764707</v>
      </c>
      <c r="V53" s="41">
        <f>E53*G53*(1-N53)*O53/100*(R53+S53)/1000000</f>
        <v>1.175115648</v>
      </c>
      <c r="W53" s="41">
        <f>+'10'!K17/1000</f>
        <v>3.1139999999999999</v>
      </c>
      <c r="X53" s="42"/>
      <c r="Y53" s="223"/>
      <c r="Z53" s="41"/>
      <c r="AA53" s="41"/>
      <c r="AB53" s="41"/>
      <c r="AC53" s="41">
        <f>K53-T53</f>
        <v>0.42772002000000064</v>
      </c>
      <c r="AD53" s="41">
        <f>+AM53+BA53</f>
        <v>16</v>
      </c>
      <c r="AE53" s="241" t="s">
        <v>618</v>
      </c>
      <c r="AF53" s="41"/>
      <c r="AG53" s="41">
        <v>16</v>
      </c>
      <c r="AH53" s="41"/>
      <c r="AI53" s="609"/>
      <c r="AJ53" s="41"/>
      <c r="AK53" s="41"/>
      <c r="AL53" s="41"/>
      <c r="AM53" s="41">
        <f>SUM(AF53:AL53)+AT53+AV53+AX53</f>
        <v>16</v>
      </c>
      <c r="AN53" s="92"/>
      <c r="AO53" s="41"/>
      <c r="AP53" s="41"/>
      <c r="AQ53" s="41"/>
      <c r="AR53" s="41">
        <f>SUM(AN53:AQ53)</f>
        <v>0</v>
      </c>
      <c r="AS53" s="41"/>
      <c r="AT53" s="41"/>
      <c r="AU53" s="41"/>
      <c r="AV53" s="41"/>
      <c r="AW53" s="41"/>
      <c r="AX53" s="41"/>
      <c r="AY53" s="41"/>
      <c r="AZ53" s="41"/>
      <c r="BA53" s="41">
        <f>+AR53+AS53+AU53+AW53+AY53+AZ53</f>
        <v>0</v>
      </c>
      <c r="BB53" s="54"/>
      <c r="BC53" s="55">
        <v>12</v>
      </c>
      <c r="BD53" s="55"/>
      <c r="BE53" s="54"/>
      <c r="BF53" s="55"/>
    </row>
    <row r="54" spans="1:58" ht="12.95" customHeight="1">
      <c r="A54" s="44"/>
      <c r="B54" s="45"/>
      <c r="C54" s="452"/>
      <c r="D54" s="45"/>
      <c r="E54" s="46"/>
      <c r="F54" s="46"/>
      <c r="G54" s="465"/>
      <c r="H54" s="48"/>
      <c r="I54" s="49"/>
      <c r="J54" s="91"/>
      <c r="K54" s="91"/>
      <c r="L54" s="39"/>
      <c r="M54" s="39"/>
      <c r="N54" s="50"/>
      <c r="O54" s="51"/>
      <c r="P54" s="52"/>
      <c r="Q54" s="51"/>
      <c r="R54" s="422"/>
      <c r="S54" s="422"/>
      <c r="T54" s="41"/>
      <c r="U54" s="41"/>
      <c r="V54" s="41"/>
      <c r="W54" s="41"/>
      <c r="X54" s="42"/>
      <c r="Y54" s="223"/>
      <c r="Z54" s="41"/>
      <c r="AA54" s="41"/>
      <c r="AB54" s="41"/>
      <c r="AC54" s="41"/>
      <c r="AD54" s="41">
        <f>+AM54+BA54</f>
        <v>31</v>
      </c>
      <c r="AE54" s="241" t="s">
        <v>619</v>
      </c>
      <c r="AF54" s="37"/>
      <c r="AG54" s="37"/>
      <c r="AH54" s="37">
        <v>31</v>
      </c>
      <c r="AI54" s="609"/>
      <c r="AJ54" s="41"/>
      <c r="AK54" s="41"/>
      <c r="AL54" s="41"/>
      <c r="AM54" s="41">
        <f>SUM(AF54:AL54)+AT54+AV54+AX54</f>
        <v>31</v>
      </c>
      <c r="AN54" s="41"/>
      <c r="AO54" s="41"/>
      <c r="AP54" s="41"/>
      <c r="AQ54" s="41"/>
      <c r="AR54" s="41">
        <f>SUM(AN54:AQ54)</f>
        <v>0</v>
      </c>
      <c r="AS54" s="41"/>
      <c r="AT54" s="41"/>
      <c r="AU54" s="41"/>
      <c r="AV54" s="41"/>
      <c r="AW54" s="41"/>
      <c r="AX54" s="41"/>
      <c r="AY54" s="41"/>
      <c r="AZ54" s="41"/>
      <c r="BA54" s="41">
        <f>+AR54+AS54+AU54+AW54+AY54+AZ54</f>
        <v>0</v>
      </c>
      <c r="BB54" s="37"/>
      <c r="BC54" s="57"/>
      <c r="BD54" s="57"/>
      <c r="BE54" s="37"/>
      <c r="BF54" s="57"/>
    </row>
    <row r="55" spans="1:58" ht="12.95" customHeight="1">
      <c r="A55" s="44"/>
      <c r="B55" s="45"/>
      <c r="C55" s="452"/>
      <c r="D55" s="45"/>
      <c r="E55" s="46"/>
      <c r="F55" s="46"/>
      <c r="G55" s="465"/>
      <c r="H55" s="48"/>
      <c r="I55" s="49"/>
      <c r="J55" s="91"/>
      <c r="K55" s="91"/>
      <c r="L55" s="39"/>
      <c r="M55" s="39"/>
      <c r="N55" s="50"/>
      <c r="O55" s="51"/>
      <c r="P55" s="52"/>
      <c r="Q55" s="51"/>
      <c r="R55" s="422"/>
      <c r="S55" s="422"/>
      <c r="T55" s="41"/>
      <c r="U55" s="41"/>
      <c r="V55" s="41"/>
      <c r="W55" s="41"/>
      <c r="X55" s="42"/>
      <c r="Y55" s="223"/>
      <c r="Z55" s="41"/>
      <c r="AA55" s="41"/>
      <c r="AB55" s="41"/>
      <c r="AC55" s="41"/>
      <c r="AD55" s="41"/>
      <c r="AE55" s="241"/>
      <c r="AF55" s="37"/>
      <c r="AG55" s="37"/>
      <c r="AH55" s="37"/>
      <c r="AI55" s="46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37"/>
      <c r="BC55" s="57"/>
      <c r="BD55" s="57"/>
      <c r="BE55" s="37"/>
      <c r="BF55" s="57"/>
    </row>
    <row r="56" spans="1:58" ht="12.75" customHeight="1">
      <c r="A56" s="44">
        <v>45941</v>
      </c>
      <c r="B56" s="45" t="s">
        <v>7</v>
      </c>
      <c r="C56" s="452">
        <f>(M56*E56*O56*Q56)/100000000</f>
        <v>29.751482880000001</v>
      </c>
      <c r="D56" s="45" t="s">
        <v>411</v>
      </c>
      <c r="E56" s="46">
        <v>10.5</v>
      </c>
      <c r="F56" s="46">
        <v>1</v>
      </c>
      <c r="G56" s="465">
        <v>1730</v>
      </c>
      <c r="H56" s="608">
        <v>0.24</v>
      </c>
      <c r="I56" s="49">
        <v>0.88</v>
      </c>
      <c r="J56" s="91">
        <f>E56*G56*(1-H56)*1440/1000000*2.77</f>
        <v>55.066979519999997</v>
      </c>
      <c r="K56" s="91">
        <f>(IF(G56&lt;L56,L56,G56)*(1-IF(H56&lt;N56,H56,N56))*E56*O56*Q56)/100000000</f>
        <v>30.846785759999996</v>
      </c>
      <c r="L56" s="39">
        <v>1668.5714285714287</v>
      </c>
      <c r="M56" s="39">
        <v>1268.1142857142856</v>
      </c>
      <c r="N56" s="50">
        <f>1-(M56/L56)</f>
        <v>0.2400000000000001</v>
      </c>
      <c r="O56" s="51">
        <f>+'Trim Rwd'!H45</f>
        <v>266</v>
      </c>
      <c r="P56" s="52">
        <f>O56*(Q56-R56-S56)</f>
        <v>212534</v>
      </c>
      <c r="Q56" s="51">
        <v>840</v>
      </c>
      <c r="R56" s="422">
        <v>0</v>
      </c>
      <c r="S56" s="422">
        <f>15+26</f>
        <v>41</v>
      </c>
      <c r="T56" s="41">
        <f>E56*M56*O56*Q56/100000000</f>
        <v>29.751482880000001</v>
      </c>
      <c r="U56" s="41">
        <f>E56*M56*O56*(Q56-R56-S56)/100000000</f>
        <v>28.299327167999998</v>
      </c>
      <c r="V56" s="41">
        <f>E56*G56*(1-N56)*O56/100*(R56+S56)/1000000</f>
        <v>1.5056169239999997</v>
      </c>
      <c r="W56" s="41">
        <f>+'11'!K17/1000</f>
        <v>32.396999999999998</v>
      </c>
      <c r="X56" s="419">
        <f>SUM(W56:W59)/SUM(K56:K59)</f>
        <v>0.89387041756401464</v>
      </c>
      <c r="Y56" s="223">
        <v>0</v>
      </c>
      <c r="Z56" s="41">
        <v>0</v>
      </c>
      <c r="AA56" s="53">
        <f>SUM(U56:U59)-SUM(W56:W59)-SUM(Z56:Z59)-SUM(Y56:Y59)</f>
        <v>1.71977768</v>
      </c>
      <c r="AB56" s="53">
        <f>(SUM(K56:K59)-SUM(W56:W59)-SUM(Y56:Y59)-SUM(Z56:Z59)-SUM(AC56:AC59)-SUM(V56:V59))-AA56</f>
        <v>6.6210698400005707E-2</v>
      </c>
      <c r="AC56" s="41">
        <f>K56-T56</f>
        <v>1.0953028799999949</v>
      </c>
      <c r="AD56" s="41">
        <f>+AM56+BA56</f>
        <v>15</v>
      </c>
      <c r="AE56" s="241" t="s">
        <v>614</v>
      </c>
      <c r="AF56" s="41">
        <v>15</v>
      </c>
      <c r="AG56" s="41"/>
      <c r="AH56" s="41"/>
      <c r="AI56" s="609"/>
      <c r="AJ56" s="41"/>
      <c r="AK56" s="41"/>
      <c r="AL56" s="41"/>
      <c r="AM56" s="41">
        <f>SUM(AF56:AL56)+AT56+AV56+AX56</f>
        <v>15</v>
      </c>
      <c r="AN56" s="41"/>
      <c r="AO56" s="41"/>
      <c r="AP56" s="41"/>
      <c r="AQ56" s="41"/>
      <c r="AR56" s="41">
        <f>SUM(AN56:AQ56)</f>
        <v>0</v>
      </c>
      <c r="AS56" s="41"/>
      <c r="AT56" s="41"/>
      <c r="AU56" s="41"/>
      <c r="AV56" s="41"/>
      <c r="AW56" s="41"/>
      <c r="AX56" s="41"/>
      <c r="AY56" s="41"/>
      <c r="AZ56" s="41"/>
      <c r="BA56" s="41">
        <f>+AR56+AS56+AU56+AW56+AY56+AZ56</f>
        <v>0</v>
      </c>
      <c r="BB56" s="37">
        <v>3</v>
      </c>
      <c r="BC56" s="55"/>
      <c r="BD56" s="55"/>
      <c r="BE56" s="37"/>
      <c r="BF56" s="55"/>
    </row>
    <row r="57" spans="1:58" ht="12.95" customHeight="1">
      <c r="A57" s="44"/>
      <c r="B57" s="45" t="s">
        <v>7</v>
      </c>
      <c r="C57" s="452">
        <f>(M57*E57*O57*Q57)/100000000</f>
        <v>11.3920884</v>
      </c>
      <c r="D57" s="45" t="s">
        <v>411</v>
      </c>
      <c r="E57" s="46">
        <v>10.3</v>
      </c>
      <c r="F57" s="46">
        <v>1</v>
      </c>
      <c r="G57" s="465">
        <v>1730</v>
      </c>
      <c r="H57" s="48">
        <v>0.16</v>
      </c>
      <c r="I57" s="49">
        <v>0.88</v>
      </c>
      <c r="J57" s="91">
        <f>E57*G57*(1-H57)*1440/1000000*2.77</f>
        <v>59.704198847999997</v>
      </c>
      <c r="K57" s="91">
        <f>(IF(G57&lt;L57,L57,G57)*(1-IF(H57&lt;N57,H57,N57))*E57*O57*Q57)/100000000</f>
        <v>11.94443208</v>
      </c>
      <c r="L57" s="39">
        <v>1650</v>
      </c>
      <c r="M57" s="39">
        <f>+L57-L57*0.16</f>
        <v>1386</v>
      </c>
      <c r="N57" s="50">
        <f>1-(M57/L57)</f>
        <v>0.16000000000000003</v>
      </c>
      <c r="O57" s="51">
        <f>+'Trim Rwd'!H46</f>
        <v>266</v>
      </c>
      <c r="P57" s="52">
        <f>O57*(Q57-R57-S57)</f>
        <v>75544</v>
      </c>
      <c r="Q57" s="51">
        <v>300</v>
      </c>
      <c r="R57" s="422">
        <v>0</v>
      </c>
      <c r="S57" s="422">
        <v>16</v>
      </c>
      <c r="T57" s="41">
        <f>E57*M57*O57*Q57/100000000</f>
        <v>11.3920884</v>
      </c>
      <c r="U57" s="41">
        <f>E57*M57*O57*(Q57-R57-S57)/100000000</f>
        <v>10.784510352</v>
      </c>
      <c r="V57" s="41">
        <f>E57*G57*(1-N57)*O57/100*(R57+S57)/1000000</f>
        <v>0.63703637759999998</v>
      </c>
      <c r="W57" s="41">
        <f>+'11'!K8/1000</f>
        <v>10.47</v>
      </c>
      <c r="X57" s="42"/>
      <c r="Y57" s="223"/>
      <c r="Z57" s="41"/>
      <c r="AA57" s="41"/>
      <c r="AB57" s="41"/>
      <c r="AC57" s="41">
        <f>K57-T57</f>
        <v>0.55234367999999989</v>
      </c>
      <c r="AD57" s="41">
        <f>+AM57+BA57</f>
        <v>16</v>
      </c>
      <c r="AE57" s="241" t="s">
        <v>639</v>
      </c>
      <c r="AF57" s="41"/>
      <c r="AG57" s="41">
        <v>16</v>
      </c>
      <c r="AH57" s="41"/>
      <c r="AI57" s="609"/>
      <c r="AJ57" s="41"/>
      <c r="AK57" s="41"/>
      <c r="AL57" s="41"/>
      <c r="AM57" s="41">
        <f>SUM(AF57:AL57)+AT57+AV57+AX57</f>
        <v>16</v>
      </c>
      <c r="AN57" s="92"/>
      <c r="AO57" s="41"/>
      <c r="AP57" s="41"/>
      <c r="AQ57" s="41"/>
      <c r="AR57" s="41">
        <f>SUM(AN57:AQ57)</f>
        <v>0</v>
      </c>
      <c r="AS57" s="41"/>
      <c r="AT57" s="41"/>
      <c r="AU57" s="41"/>
      <c r="AV57" s="41"/>
      <c r="AW57" s="41"/>
      <c r="AX57" s="41"/>
      <c r="AY57" s="41"/>
      <c r="AZ57" s="41"/>
      <c r="BA57" s="41">
        <f>+AR57+AS57+AU57+AW57+AY57+AZ57</f>
        <v>0</v>
      </c>
      <c r="BB57" s="54"/>
      <c r="BC57" s="55">
        <v>17</v>
      </c>
      <c r="BD57" s="55"/>
      <c r="BE57" s="54"/>
      <c r="BF57" s="55"/>
    </row>
    <row r="58" spans="1:58" ht="12.95" customHeight="1">
      <c r="A58" s="44"/>
      <c r="B58" s="45" t="s">
        <v>7</v>
      </c>
      <c r="C58" s="452">
        <f>(M58*E58*O58*Q58)/100000000</f>
        <v>12.870144</v>
      </c>
      <c r="D58" s="45" t="s">
        <v>411</v>
      </c>
      <c r="E58" s="46">
        <v>12</v>
      </c>
      <c r="F58" s="46">
        <v>1</v>
      </c>
      <c r="G58" s="465">
        <v>1700</v>
      </c>
      <c r="H58" s="48">
        <v>0.2</v>
      </c>
      <c r="I58" s="49">
        <v>0.88</v>
      </c>
      <c r="J58" s="91">
        <f>E58*G58*(1-H58)*1440/1000000*2.77</f>
        <v>65.097216000000003</v>
      </c>
      <c r="K58" s="91">
        <f>(IF(G58&lt;L58,L58,G58)*(1-IF(H58&lt;N58,H58,N58))*E58*O58*Q58)/100000000</f>
        <v>13.02336</v>
      </c>
      <c r="L58" s="39">
        <v>1680</v>
      </c>
      <c r="M58" s="39">
        <f>+L58-L58*0.2</f>
        <v>1344</v>
      </c>
      <c r="N58" s="50">
        <f>1-(M58/L58)</f>
        <v>0.19999999999999996</v>
      </c>
      <c r="O58" s="51">
        <f>+'Trim Rwd'!H47</f>
        <v>266</v>
      </c>
      <c r="P58" s="52">
        <f>O58*(Q58-R58-S58)</f>
        <v>77672</v>
      </c>
      <c r="Q58" s="51">
        <v>300</v>
      </c>
      <c r="R58" s="422">
        <v>0</v>
      </c>
      <c r="S58" s="422">
        <v>8</v>
      </c>
      <c r="T58" s="41">
        <f>E58*M58*O58*Q58/100000000</f>
        <v>12.870144</v>
      </c>
      <c r="U58" s="41">
        <f>E58*M58*O58*(Q58-R58-S58)/100000000</f>
        <v>12.526940160000001</v>
      </c>
      <c r="V58" s="41">
        <f>E58*G58*(1-N58)*O58/100*(R58+S58)/1000000</f>
        <v>0.34728959999999998</v>
      </c>
      <c r="W58" s="41">
        <f>+'11'!K16/1000</f>
        <v>7.024</v>
      </c>
      <c r="X58" s="42"/>
      <c r="Y58" s="223"/>
      <c r="Z58" s="41"/>
      <c r="AA58" s="41"/>
      <c r="AB58" s="41"/>
      <c r="AC58" s="41"/>
      <c r="AD58" s="41">
        <f>+AM58+BA58</f>
        <v>26</v>
      </c>
      <c r="AE58" s="241" t="s">
        <v>619</v>
      </c>
      <c r="AF58" s="37"/>
      <c r="AG58" s="37"/>
      <c r="AH58" s="37">
        <v>26</v>
      </c>
      <c r="AI58" s="609"/>
      <c r="AJ58" s="41"/>
      <c r="AK58" s="41"/>
      <c r="AL58" s="41"/>
      <c r="AM58" s="41">
        <f>SUM(AF58:AL58)+AT58+AV58+AX58</f>
        <v>26</v>
      </c>
      <c r="AN58" s="41"/>
      <c r="AO58" s="41"/>
      <c r="AP58" s="41"/>
      <c r="AQ58" s="41"/>
      <c r="AR58" s="41">
        <f>SUM(AN58:AQ58)</f>
        <v>0</v>
      </c>
      <c r="AS58" s="41"/>
      <c r="AT58" s="41"/>
      <c r="AU58" s="41"/>
      <c r="AV58" s="41"/>
      <c r="AW58" s="41"/>
      <c r="AX58" s="41"/>
      <c r="AY58" s="41"/>
      <c r="AZ58" s="41"/>
      <c r="BA58" s="41">
        <f>+AR58+AS58+AU58+AW58+AY58+AZ58</f>
        <v>0</v>
      </c>
      <c r="BB58" s="37"/>
      <c r="BC58" s="57"/>
      <c r="BD58" s="57"/>
      <c r="BE58" s="37"/>
      <c r="BF58" s="57"/>
    </row>
    <row r="59" spans="1:58" ht="12.95" customHeight="1">
      <c r="A59" s="44"/>
      <c r="B59" s="45"/>
      <c r="C59" s="452"/>
      <c r="D59" s="45"/>
      <c r="E59" s="46"/>
      <c r="F59" s="46"/>
      <c r="G59" s="465"/>
      <c r="H59" s="48"/>
      <c r="I59" s="49"/>
      <c r="J59" s="91"/>
      <c r="K59" s="91"/>
      <c r="L59" s="39"/>
      <c r="M59" s="39"/>
      <c r="N59" s="50"/>
      <c r="O59" s="51"/>
      <c r="P59" s="52"/>
      <c r="Q59" s="51"/>
      <c r="R59" s="422"/>
      <c r="S59" s="422"/>
      <c r="T59" s="41"/>
      <c r="U59" s="41"/>
      <c r="V59" s="41"/>
      <c r="W59" s="41"/>
      <c r="X59" s="42"/>
      <c r="Y59" s="223"/>
      <c r="Z59" s="41"/>
      <c r="AA59" s="41"/>
      <c r="AB59" s="41"/>
      <c r="AC59" s="41"/>
      <c r="AD59" s="41">
        <f>+AM59+BA59</f>
        <v>8</v>
      </c>
      <c r="AE59" s="241" t="s">
        <v>424</v>
      </c>
      <c r="AF59" s="37"/>
      <c r="AG59" s="37"/>
      <c r="AH59" s="37"/>
      <c r="AI59" s="461">
        <v>8</v>
      </c>
      <c r="AJ59" s="41"/>
      <c r="AK59" s="41"/>
      <c r="AL59" s="41"/>
      <c r="AM59" s="41">
        <f>SUM(AF59:AL59)+AT59+AV59+AX59</f>
        <v>8</v>
      </c>
      <c r="AN59" s="41"/>
      <c r="AO59" s="41"/>
      <c r="AP59" s="41"/>
      <c r="AQ59" s="41"/>
      <c r="AR59" s="41">
        <f>SUM(AN59:AQ59)</f>
        <v>0</v>
      </c>
      <c r="AS59" s="41"/>
      <c r="AT59" s="41"/>
      <c r="AU59" s="41"/>
      <c r="AV59" s="41"/>
      <c r="AW59" s="41"/>
      <c r="AX59" s="41"/>
      <c r="AY59" s="41"/>
      <c r="AZ59" s="41"/>
      <c r="BA59" s="41">
        <f>+AR59+AS59+AU59+AW59+AY59+AZ59</f>
        <v>0</v>
      </c>
      <c r="BB59" s="37"/>
      <c r="BC59" s="57"/>
      <c r="BD59" s="57"/>
      <c r="BE59" s="37"/>
      <c r="BF59" s="57"/>
    </row>
    <row r="60" spans="1:58" ht="12.75" customHeight="1">
      <c r="A60" s="44"/>
      <c r="B60" s="45"/>
      <c r="C60" s="452"/>
      <c r="D60" s="45"/>
      <c r="E60" s="46"/>
      <c r="F60" s="46"/>
      <c r="G60" s="465"/>
      <c r="H60" s="48"/>
      <c r="I60" s="49"/>
      <c r="J60" s="91"/>
      <c r="K60" s="91"/>
      <c r="L60" s="39"/>
      <c r="M60" s="39"/>
      <c r="N60" s="50"/>
      <c r="O60" s="51"/>
      <c r="P60" s="52"/>
      <c r="Q60" s="51"/>
      <c r="R60" s="422"/>
      <c r="S60" s="422"/>
      <c r="T60" s="41"/>
      <c r="U60" s="41"/>
      <c r="V60" s="41"/>
      <c r="W60" s="41"/>
      <c r="X60" s="419"/>
      <c r="Y60" s="223"/>
      <c r="Z60" s="41"/>
      <c r="AA60" s="53"/>
      <c r="AB60" s="53"/>
      <c r="AC60" s="41"/>
      <c r="AD60" s="41"/>
      <c r="AE60" s="241"/>
      <c r="AF60" s="41"/>
      <c r="AG60" s="41"/>
      <c r="AH60" s="41"/>
      <c r="AI60" s="609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37"/>
      <c r="BC60" s="55"/>
      <c r="BD60" s="55"/>
      <c r="BE60" s="37"/>
      <c r="BF60" s="55"/>
    </row>
    <row r="61" spans="1:58" ht="12.75" customHeight="1">
      <c r="A61" s="44">
        <v>45942</v>
      </c>
      <c r="B61" s="45" t="s">
        <v>7</v>
      </c>
      <c r="C61" s="452">
        <f>(M61*E61*O61*Q61)/100000000</f>
        <v>59.764582079999997</v>
      </c>
      <c r="D61" s="45" t="s">
        <v>411</v>
      </c>
      <c r="E61" s="46">
        <v>12</v>
      </c>
      <c r="F61" s="46">
        <v>1</v>
      </c>
      <c r="G61" s="465">
        <v>1700</v>
      </c>
      <c r="H61" s="608">
        <f>+N61</f>
        <v>0.22113066267315618</v>
      </c>
      <c r="I61" s="49">
        <v>0.88</v>
      </c>
      <c r="J61" s="91">
        <f>E61*G61*(1-H61)*1440/1000000*2.77</f>
        <v>63.377781859678024</v>
      </c>
      <c r="K61" s="91">
        <f>(IF(G61&lt;L61,L61,G61)*(1-IF(H61&lt;N61,H61,N61))*E61*O61*Q61)/100000000</f>
        <v>60.860974637813548</v>
      </c>
      <c r="L61" s="39">
        <v>1669.375</v>
      </c>
      <c r="M61" s="39">
        <v>1300.2249999999999</v>
      </c>
      <c r="N61" s="50">
        <f>1-(M61/L61)</f>
        <v>0.22113066267315618</v>
      </c>
      <c r="O61" s="51">
        <f>+'Trim Rwd'!H49</f>
        <v>266</v>
      </c>
      <c r="P61" s="52">
        <f>O61*(Q61-R61-S61)</f>
        <v>351918</v>
      </c>
      <c r="Q61" s="51">
        <v>1440</v>
      </c>
      <c r="R61" s="422">
        <v>0</v>
      </c>
      <c r="S61" s="422">
        <v>117</v>
      </c>
      <c r="T61" s="41">
        <f>E61*M61*O61*Q61/100000000</f>
        <v>59.764582079999997</v>
      </c>
      <c r="U61" s="41">
        <f>E61*M61*O61*(Q61-R61-S61)/100000000</f>
        <v>54.908709785999996</v>
      </c>
      <c r="V61" s="41">
        <f>E61*G61*(1-N61)*O61/100*(R61+S61)/1000000</f>
        <v>4.9449541893223508</v>
      </c>
      <c r="W61" s="41">
        <f>+'12'!K34/1000</f>
        <v>48.902999999999999</v>
      </c>
      <c r="X61" s="419">
        <f>SUM(W61:W64)/SUM(K61:K64)</f>
        <v>0.80351983008855832</v>
      </c>
      <c r="Y61" s="223">
        <v>0</v>
      </c>
      <c r="Z61" s="41">
        <f>+'12'!D34/1000</f>
        <v>0.89</v>
      </c>
      <c r="AA61" s="53">
        <f>SUM(U61:U64)-SUM(W61:W64)-SUM(Z61:Z64)-SUM(Y61:Y64)</f>
        <v>5.1157097859999974</v>
      </c>
      <c r="AB61" s="53">
        <f>(SUM(K61:K64)-SUM(W61:W64)-SUM(Y61:Y64)-SUM(Z61:Z64)-SUM(AC61:AC64)-SUM(V61:V64))-AA61</f>
        <v>-8.9081895322350668E-2</v>
      </c>
      <c r="AC61" s="41">
        <f>K61-T61</f>
        <v>1.0963925578135516</v>
      </c>
      <c r="AD61" s="41">
        <f>+AM61+BA61</f>
        <v>65</v>
      </c>
      <c r="AE61" s="241" t="s">
        <v>643</v>
      </c>
      <c r="AF61" s="41">
        <v>65</v>
      </c>
      <c r="AG61" s="41"/>
      <c r="AH61" s="41"/>
      <c r="AI61" s="609"/>
      <c r="AJ61" s="41"/>
      <c r="AK61" s="41"/>
      <c r="AL61" s="41"/>
      <c r="AM61" s="41">
        <f>SUM(AF61:AL61)+AT61+AV61+AX61</f>
        <v>65</v>
      </c>
      <c r="AN61" s="41"/>
      <c r="AO61" s="41"/>
      <c r="AP61" s="41"/>
      <c r="AQ61" s="41"/>
      <c r="AR61" s="41">
        <f>SUM(AN61:AQ61)</f>
        <v>0</v>
      </c>
      <c r="AS61" s="41"/>
      <c r="AT61" s="41"/>
      <c r="AU61" s="41"/>
      <c r="AV61" s="41"/>
      <c r="AW61" s="41"/>
      <c r="AX61" s="41"/>
      <c r="AY61" s="41"/>
      <c r="AZ61" s="41"/>
      <c r="BA61" s="41">
        <f>+AR61+AS61+AU61+AW61+AY61+AZ61</f>
        <v>0</v>
      </c>
      <c r="BB61" s="37">
        <v>13</v>
      </c>
      <c r="BC61" s="55"/>
      <c r="BD61" s="55"/>
      <c r="BE61" s="37"/>
      <c r="BF61" s="55"/>
    </row>
    <row r="62" spans="1:58" ht="12.95" customHeight="1">
      <c r="A62" s="44"/>
      <c r="B62" s="45"/>
      <c r="C62" s="452"/>
      <c r="D62" s="45"/>
      <c r="E62" s="46"/>
      <c r="F62" s="46"/>
      <c r="G62" s="465"/>
      <c r="H62" s="48"/>
      <c r="I62" s="49"/>
      <c r="J62" s="91"/>
      <c r="K62" s="91"/>
      <c r="L62" s="39"/>
      <c r="M62" s="39"/>
      <c r="N62" s="50"/>
      <c r="O62" s="51"/>
      <c r="P62" s="52"/>
      <c r="Q62" s="51"/>
      <c r="R62" s="422"/>
      <c r="S62" s="422"/>
      <c r="T62" s="41"/>
      <c r="U62" s="41"/>
      <c r="V62" s="41"/>
      <c r="W62" s="41"/>
      <c r="X62" s="42"/>
      <c r="Y62" s="223"/>
      <c r="Z62" s="41"/>
      <c r="AA62" s="41"/>
      <c r="AB62" s="41"/>
      <c r="AC62" s="41"/>
      <c r="AD62" s="41">
        <f>+AM62+BA62</f>
        <v>22</v>
      </c>
      <c r="AE62" s="241" t="s">
        <v>644</v>
      </c>
      <c r="AF62" s="41"/>
      <c r="AG62" s="41">
        <v>22</v>
      </c>
      <c r="AH62" s="41"/>
      <c r="AI62" s="609"/>
      <c r="AJ62" s="41"/>
      <c r="AK62" s="41"/>
      <c r="AL62" s="41"/>
      <c r="AM62" s="41">
        <f>SUM(AF62:AL62)+AT62+AV62+AX62</f>
        <v>22</v>
      </c>
      <c r="AN62" s="92"/>
      <c r="AO62" s="41"/>
      <c r="AP62" s="41"/>
      <c r="AQ62" s="41"/>
      <c r="AR62" s="41">
        <f>SUM(AN62:AQ62)</f>
        <v>0</v>
      </c>
      <c r="AS62" s="41"/>
      <c r="AT62" s="41"/>
      <c r="AU62" s="41"/>
      <c r="AV62" s="41"/>
      <c r="AW62" s="41"/>
      <c r="AX62" s="41"/>
      <c r="AY62" s="41"/>
      <c r="AZ62" s="41"/>
      <c r="BA62" s="41">
        <f>+AR62+AS62+AU62+AW62+AY62+AZ62</f>
        <v>0</v>
      </c>
      <c r="BB62" s="54"/>
      <c r="BC62" s="55">
        <v>16</v>
      </c>
      <c r="BD62" s="55"/>
      <c r="BE62" s="54"/>
      <c r="BF62" s="55"/>
    </row>
    <row r="63" spans="1:58" ht="12.95" customHeight="1">
      <c r="A63" s="44"/>
      <c r="B63" s="45"/>
      <c r="C63" s="452"/>
      <c r="D63" s="45"/>
      <c r="E63" s="46"/>
      <c r="F63" s="46"/>
      <c r="G63" s="465"/>
      <c r="H63" s="48"/>
      <c r="I63" s="49"/>
      <c r="J63" s="91"/>
      <c r="K63" s="91"/>
      <c r="L63" s="39"/>
      <c r="M63" s="39"/>
      <c r="N63" s="50"/>
      <c r="O63" s="51"/>
      <c r="P63" s="52"/>
      <c r="Q63" s="51"/>
      <c r="R63" s="422"/>
      <c r="S63" s="422"/>
      <c r="T63" s="41"/>
      <c r="U63" s="41"/>
      <c r="V63" s="41"/>
      <c r="W63" s="41"/>
      <c r="X63" s="42"/>
      <c r="Y63" s="223"/>
      <c r="Z63" s="41"/>
      <c r="AA63" s="41"/>
      <c r="AB63" s="41"/>
      <c r="AC63" s="41"/>
      <c r="AD63" s="41">
        <f>+AM63+BA63</f>
        <v>30</v>
      </c>
      <c r="AE63" s="241" t="s">
        <v>645</v>
      </c>
      <c r="AF63" s="37"/>
      <c r="AG63" s="37"/>
      <c r="AH63" s="37">
        <v>30</v>
      </c>
      <c r="AI63" s="609"/>
      <c r="AJ63" s="41"/>
      <c r="AK63" s="41"/>
      <c r="AL63" s="41"/>
      <c r="AM63" s="41">
        <f>SUM(AF63:AL63)+AT63+AV63+AX63</f>
        <v>30</v>
      </c>
      <c r="AN63" s="41"/>
      <c r="AO63" s="41"/>
      <c r="AP63" s="41"/>
      <c r="AQ63" s="41"/>
      <c r="AR63" s="41">
        <f>SUM(AN63:AQ63)</f>
        <v>0</v>
      </c>
      <c r="AS63" s="41"/>
      <c r="AT63" s="41"/>
      <c r="AU63" s="41"/>
      <c r="AV63" s="41"/>
      <c r="AW63" s="41"/>
      <c r="AX63" s="41"/>
      <c r="AY63" s="41"/>
      <c r="AZ63" s="41"/>
      <c r="BA63" s="41">
        <f>+AR63+AS63+AU63+AW63+AY63+AZ63</f>
        <v>0</v>
      </c>
      <c r="BB63" s="37"/>
      <c r="BC63" s="57"/>
      <c r="BD63" s="57"/>
      <c r="BE63" s="37"/>
      <c r="BF63" s="57"/>
    </row>
    <row r="64" spans="1:58" ht="12.95" customHeight="1">
      <c r="A64" s="44"/>
      <c r="B64" s="45"/>
      <c r="C64" s="452"/>
      <c r="D64" s="45"/>
      <c r="E64" s="46"/>
      <c r="F64" s="46"/>
      <c r="G64" s="465"/>
      <c r="H64" s="48"/>
      <c r="I64" s="49"/>
      <c r="J64" s="91"/>
      <c r="K64" s="91"/>
      <c r="L64" s="39"/>
      <c r="M64" s="39"/>
      <c r="N64" s="50"/>
      <c r="O64" s="51"/>
      <c r="P64" s="52"/>
      <c r="Q64" s="51"/>
      <c r="R64" s="422"/>
      <c r="S64" s="422"/>
      <c r="T64" s="41"/>
      <c r="U64" s="41"/>
      <c r="V64" s="41"/>
      <c r="W64" s="41"/>
      <c r="X64" s="42"/>
      <c r="Y64" s="223"/>
      <c r="Z64" s="41"/>
      <c r="AA64" s="41"/>
      <c r="AB64" s="41"/>
      <c r="AC64" s="41"/>
      <c r="AD64" s="41"/>
      <c r="AE64" s="241"/>
      <c r="AF64" s="37"/>
      <c r="AG64" s="37"/>
      <c r="AH64" s="37"/>
      <c r="AI64" s="46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37"/>
      <c r="BC64" s="57"/>
      <c r="BD64" s="57"/>
      <c r="BE64" s="37"/>
      <c r="BF64" s="57"/>
    </row>
    <row r="65" spans="1:58" ht="12.75" customHeight="1">
      <c r="A65" s="44">
        <v>45943</v>
      </c>
      <c r="B65" s="45" t="s">
        <v>7</v>
      </c>
      <c r="C65" s="452">
        <f>(M65*E65*O65*Q65)/100000000</f>
        <v>58.06289454545454</v>
      </c>
      <c r="D65" s="45" t="s">
        <v>411</v>
      </c>
      <c r="E65" s="46">
        <v>12</v>
      </c>
      <c r="F65" s="46">
        <v>1</v>
      </c>
      <c r="G65" s="465">
        <v>1700</v>
      </c>
      <c r="H65" s="608">
        <v>0.24</v>
      </c>
      <c r="I65" s="49">
        <v>0.88</v>
      </c>
      <c r="J65" s="91">
        <f>E65*G65*(1-H65)*1440/1000000*2.77</f>
        <v>61.8423552</v>
      </c>
      <c r="K65" s="91">
        <f>(IF(G65&lt;L65,L65,G65)*(1-IF(H65&lt;N65,H65,N65))*E65*O65*Q65)/100000000</f>
        <v>59.224152436363632</v>
      </c>
      <c r="L65" s="39">
        <v>1666.6666666666667</v>
      </c>
      <c r="M65" s="39">
        <v>1266.6666666666667</v>
      </c>
      <c r="N65" s="50">
        <f>1-(M65/L65)</f>
        <v>0.24</v>
      </c>
      <c r="O65" s="51">
        <f>+'Trim Rwd'!H52</f>
        <v>265.27272727272725</v>
      </c>
      <c r="P65" s="52">
        <f>O65*(Q65-R65-S65)</f>
        <v>352812.72727272724</v>
      </c>
      <c r="Q65" s="51">
        <v>1440</v>
      </c>
      <c r="R65" s="422">
        <v>0</v>
      </c>
      <c r="S65" s="422">
        <v>110</v>
      </c>
      <c r="T65" s="41">
        <f>E65*M65*O65*Q65/100000000</f>
        <v>58.06289454545454</v>
      </c>
      <c r="U65" s="41">
        <f>E65*M65*O65*(Q65-R65-S65)/100000000</f>
        <v>53.627534545454537</v>
      </c>
      <c r="V65" s="41">
        <f>E65*G65*(1-N65)*O65/100*(R65+S65)/1000000</f>
        <v>4.5240672000000002</v>
      </c>
      <c r="W65" s="41">
        <f>+'13'!K34/1000</f>
        <v>55.070999999999998</v>
      </c>
      <c r="X65" s="419">
        <f>SUM(W65:W68)/SUM(K65:K68)</f>
        <v>0.92987400806071141</v>
      </c>
      <c r="Y65" s="223">
        <v>0</v>
      </c>
      <c r="Z65" s="41">
        <v>0</v>
      </c>
      <c r="AA65" s="53">
        <f>SUM(U65:U68)-SUM(W65:W68)-SUM(Z65:Z68)-SUM(Y65:Y68)</f>
        <v>-1.4434654545454606</v>
      </c>
      <c r="AB65" s="53">
        <f>(SUM(K65:K68)-SUM(W65:W68)-SUM(Y65:Y68)-SUM(Z65:Z68)-SUM(AC65:AC68)-SUM(V65:V68))-AA65</f>
        <v>-8.8707199999997322E-2</v>
      </c>
      <c r="AC65" s="41">
        <f>K65-T65</f>
        <v>1.1612578909090914</v>
      </c>
      <c r="AD65" s="41">
        <f>+AM65+BA65</f>
        <v>65</v>
      </c>
      <c r="AE65" s="241" t="s">
        <v>643</v>
      </c>
      <c r="AF65" s="41">
        <v>65</v>
      </c>
      <c r="AG65" s="41"/>
      <c r="AH65" s="41"/>
      <c r="AI65" s="609"/>
      <c r="AJ65" s="41"/>
      <c r="AK65" s="41"/>
      <c r="AL65" s="41"/>
      <c r="AM65" s="41">
        <f>SUM(AF65:AL65)+AT65+AV65+AX65</f>
        <v>65</v>
      </c>
      <c r="AN65" s="41"/>
      <c r="AO65" s="41"/>
      <c r="AP65" s="41"/>
      <c r="AQ65" s="41"/>
      <c r="AR65" s="41">
        <f>SUM(AN65:AQ65)</f>
        <v>0</v>
      </c>
      <c r="AS65" s="41"/>
      <c r="AT65" s="41"/>
      <c r="AU65" s="41"/>
      <c r="AV65" s="41"/>
      <c r="AW65" s="41"/>
      <c r="AX65" s="41"/>
      <c r="AY65" s="41"/>
      <c r="AZ65" s="41"/>
      <c r="BA65" s="41">
        <f>+AR65+AS65+AU65+AW65+AY65+AZ65</f>
        <v>0</v>
      </c>
      <c r="BB65" s="37">
        <v>13</v>
      </c>
      <c r="BC65" s="55"/>
      <c r="BD65" s="55"/>
      <c r="BE65" s="37"/>
      <c r="BF65" s="55"/>
    </row>
    <row r="66" spans="1:58" ht="12.95" customHeight="1">
      <c r="A66" s="44"/>
      <c r="B66" s="45"/>
      <c r="C66" s="452"/>
      <c r="D66" s="45"/>
      <c r="E66" s="46"/>
      <c r="F66" s="46"/>
      <c r="G66" s="465"/>
      <c r="H66" s="48"/>
      <c r="I66" s="49"/>
      <c r="J66" s="91"/>
      <c r="K66" s="91"/>
      <c r="L66" s="39"/>
      <c r="M66" s="39"/>
      <c r="N66" s="50"/>
      <c r="O66" s="51"/>
      <c r="P66" s="52"/>
      <c r="Q66" s="51"/>
      <c r="R66" s="422"/>
      <c r="S66" s="422"/>
      <c r="T66" s="41"/>
      <c r="U66" s="41"/>
      <c r="V66" s="41"/>
      <c r="W66" s="41"/>
      <c r="X66" s="42"/>
      <c r="Y66" s="223"/>
      <c r="Z66" s="41"/>
      <c r="AA66" s="41"/>
      <c r="AB66" s="41"/>
      <c r="AC66" s="41"/>
      <c r="AD66" s="41">
        <f>+AM66+BA66</f>
        <v>15</v>
      </c>
      <c r="AE66" s="241" t="s">
        <v>588</v>
      </c>
      <c r="AF66" s="41"/>
      <c r="AG66" s="41">
        <v>15</v>
      </c>
      <c r="AH66" s="41"/>
      <c r="AI66" s="609"/>
      <c r="AJ66" s="41"/>
      <c r="AK66" s="41"/>
      <c r="AL66" s="41"/>
      <c r="AM66" s="41">
        <f>SUM(AF66:AL66)+AT66+AV66+AX66</f>
        <v>15</v>
      </c>
      <c r="AN66" s="92"/>
      <c r="AO66" s="41"/>
      <c r="AP66" s="41"/>
      <c r="AQ66" s="41"/>
      <c r="AR66" s="41">
        <f>SUM(AN66:AQ66)</f>
        <v>0</v>
      </c>
      <c r="AS66" s="41"/>
      <c r="AT66" s="41"/>
      <c r="AU66" s="41"/>
      <c r="AV66" s="41"/>
      <c r="AW66" s="41"/>
      <c r="AX66" s="41"/>
      <c r="AY66" s="41"/>
      <c r="AZ66" s="41"/>
      <c r="BA66" s="41">
        <f>+AR66+AS66+AU66+AW66+AY66+AZ66</f>
        <v>0</v>
      </c>
      <c r="BB66" s="54"/>
      <c r="BC66" s="55">
        <v>11</v>
      </c>
      <c r="BD66" s="55"/>
      <c r="BE66" s="54"/>
      <c r="BF66" s="55"/>
    </row>
    <row r="67" spans="1:58" ht="12.95" customHeight="1">
      <c r="A67" s="44"/>
      <c r="B67" s="45"/>
      <c r="C67" s="452"/>
      <c r="D67" s="45"/>
      <c r="E67" s="46"/>
      <c r="F67" s="46"/>
      <c r="G67" s="465"/>
      <c r="H67" s="48"/>
      <c r="I67" s="49"/>
      <c r="J67" s="91"/>
      <c r="K67" s="91"/>
      <c r="L67" s="39"/>
      <c r="M67" s="39"/>
      <c r="N67" s="50"/>
      <c r="O67" s="51"/>
      <c r="P67" s="52"/>
      <c r="Q67" s="51"/>
      <c r="R67" s="422"/>
      <c r="S67" s="422"/>
      <c r="T67" s="41"/>
      <c r="U67" s="41"/>
      <c r="V67" s="41"/>
      <c r="W67" s="41"/>
      <c r="X67" s="42"/>
      <c r="Y67" s="223"/>
      <c r="Z67" s="41"/>
      <c r="AA67" s="41"/>
      <c r="AB67" s="41"/>
      <c r="AC67" s="41"/>
      <c r="AD67" s="41">
        <f>+AM67+BA67</f>
        <v>30</v>
      </c>
      <c r="AE67" s="241" t="s">
        <v>600</v>
      </c>
      <c r="AF67" s="37"/>
      <c r="AG67" s="37"/>
      <c r="AH67" s="37">
        <v>30</v>
      </c>
      <c r="AI67" s="609"/>
      <c r="AJ67" s="41"/>
      <c r="AK67" s="41"/>
      <c r="AL67" s="41"/>
      <c r="AM67" s="41">
        <f>SUM(AF67:AL67)+AT67+AV67+AX67</f>
        <v>30</v>
      </c>
      <c r="AN67" s="41"/>
      <c r="AO67" s="41"/>
      <c r="AP67" s="41"/>
      <c r="AQ67" s="41"/>
      <c r="AR67" s="41">
        <f>SUM(AN67:AQ67)</f>
        <v>0</v>
      </c>
      <c r="AS67" s="41"/>
      <c r="AT67" s="41"/>
      <c r="AU67" s="41"/>
      <c r="AV67" s="41"/>
      <c r="AW67" s="41"/>
      <c r="AX67" s="41"/>
      <c r="AY67" s="41"/>
      <c r="AZ67" s="41"/>
      <c r="BA67" s="41">
        <f>+AR67+AS67+AU67+AW67+AY67+AZ67</f>
        <v>0</v>
      </c>
      <c r="BB67" s="37"/>
      <c r="BC67" s="57"/>
      <c r="BD67" s="57"/>
      <c r="BE67" s="37"/>
      <c r="BF67" s="57"/>
    </row>
    <row r="68" spans="1:58" ht="12.95" customHeight="1">
      <c r="A68" s="44"/>
      <c r="B68" s="45"/>
      <c r="C68" s="452"/>
      <c r="D68" s="45"/>
      <c r="E68" s="46"/>
      <c r="F68" s="46"/>
      <c r="G68" s="465"/>
      <c r="H68" s="48"/>
      <c r="I68" s="49"/>
      <c r="J68" s="91"/>
      <c r="K68" s="91"/>
      <c r="L68" s="39"/>
      <c r="M68" s="39"/>
      <c r="N68" s="50"/>
      <c r="O68" s="51"/>
      <c r="P68" s="52"/>
      <c r="Q68" s="51"/>
      <c r="R68" s="422"/>
      <c r="S68" s="422"/>
      <c r="T68" s="41"/>
      <c r="U68" s="41"/>
      <c r="V68" s="41"/>
      <c r="W68" s="41"/>
      <c r="X68" s="42"/>
      <c r="Y68" s="223"/>
      <c r="Z68" s="41"/>
      <c r="AA68" s="41"/>
      <c r="AB68" s="41"/>
      <c r="AC68" s="41"/>
      <c r="AD68" s="41"/>
      <c r="AE68" s="241"/>
      <c r="AF68" s="37"/>
      <c r="AG68" s="37"/>
      <c r="AH68" s="37"/>
      <c r="AI68" s="46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37"/>
      <c r="BC68" s="57"/>
      <c r="BD68" s="57"/>
      <c r="BE68" s="37"/>
      <c r="BF68" s="57"/>
    </row>
    <row r="69" spans="1:58" ht="12.75" customHeight="1">
      <c r="A69" s="44">
        <v>45944</v>
      </c>
      <c r="B69" s="45" t="s">
        <v>7</v>
      </c>
      <c r="C69" s="452">
        <f>(M69*E69*O69*Q69)/100000000</f>
        <v>58.55428077714285</v>
      </c>
      <c r="D69" s="45" t="s">
        <v>411</v>
      </c>
      <c r="E69" s="46">
        <v>12</v>
      </c>
      <c r="F69" s="46">
        <v>1</v>
      </c>
      <c r="G69" s="465">
        <v>1700</v>
      </c>
      <c r="H69" s="608">
        <v>0.24</v>
      </c>
      <c r="I69" s="49">
        <v>0.88</v>
      </c>
      <c r="J69" s="91">
        <f>E69*G69*(1-H69)*1440/1000000*2.77</f>
        <v>61.8423552</v>
      </c>
      <c r="K69" s="91">
        <f>(IF(G69&lt;L69,L69,G69)*(1-IF(H69&lt;N69,H69,N69))*E69*O69*Q69)/100000000</f>
        <v>59.556622628571418</v>
      </c>
      <c r="L69" s="39">
        <v>1671.3888888888889</v>
      </c>
      <c r="M69" s="39">
        <v>1270.2555555555555</v>
      </c>
      <c r="N69" s="50">
        <f>1-(M69/L69)</f>
        <v>0.2400000000000001</v>
      </c>
      <c r="O69" s="51">
        <f>+'Trim Rwd'!H56</f>
        <v>266.76190476190476</v>
      </c>
      <c r="P69" s="52">
        <f>O69*(Q69-R69-S69)</f>
        <v>360662.09523809521</v>
      </c>
      <c r="Q69" s="51">
        <v>1440</v>
      </c>
      <c r="R69" s="422">
        <v>0</v>
      </c>
      <c r="S69" s="422">
        <v>88</v>
      </c>
      <c r="T69" s="41">
        <f>E69*M69*O69*Q69/100000000</f>
        <v>58.55428077714285</v>
      </c>
      <c r="U69" s="41">
        <f>E69*M69*O69*(Q69-R69-S69)/100000000</f>
        <v>54.97596361853968</v>
      </c>
      <c r="V69" s="41">
        <f>E69*G69*(1-N69)*O69/100*(R69+S69)/1000000</f>
        <v>3.6395713828571421</v>
      </c>
      <c r="W69" s="41">
        <f>+'14'!K34/1000</f>
        <v>60.683</v>
      </c>
      <c r="X69" s="419">
        <f>SUM(W69:W72)/SUM(K69:K72)</f>
        <v>1.0189127140142467</v>
      </c>
      <c r="Y69" s="223">
        <v>0</v>
      </c>
      <c r="Z69" s="41">
        <v>0</v>
      </c>
      <c r="AA69" s="53">
        <f>SUM(U69:U72)-SUM(W69:W72)-SUM(Z69:Z72)-SUM(Y69:Y72)</f>
        <v>-5.7070363814603198</v>
      </c>
      <c r="AB69" s="53">
        <f>(SUM(K69:K72)-SUM(W69:W72)-SUM(Y69:Y72)-SUM(Z69:Z72)-SUM(AC69:AC72)-SUM(V69:V72))-AA69</f>
        <v>-6.1254224253971756E-2</v>
      </c>
      <c r="AC69" s="41">
        <f>K69-T69</f>
        <v>1.002341851428568</v>
      </c>
      <c r="AD69" s="41">
        <f>+AM69+BA69</f>
        <v>15</v>
      </c>
      <c r="AE69" s="241" t="s">
        <v>614</v>
      </c>
      <c r="AF69" s="41">
        <v>15</v>
      </c>
      <c r="AG69" s="41"/>
      <c r="AH69" s="41"/>
      <c r="AI69" s="609"/>
      <c r="AJ69" s="41"/>
      <c r="AK69" s="41"/>
      <c r="AL69" s="41"/>
      <c r="AM69" s="41">
        <f>SUM(AF69:AL69)+AT69+AV69+AX69</f>
        <v>15</v>
      </c>
      <c r="AN69" s="41"/>
      <c r="AO69" s="41"/>
      <c r="AP69" s="41"/>
      <c r="AQ69" s="41"/>
      <c r="AR69" s="41">
        <f>SUM(AN69:AQ69)</f>
        <v>0</v>
      </c>
      <c r="AS69" s="41"/>
      <c r="AT69" s="41"/>
      <c r="AU69" s="41"/>
      <c r="AV69" s="41"/>
      <c r="AW69" s="41"/>
      <c r="AX69" s="41"/>
      <c r="AY69" s="41"/>
      <c r="AZ69" s="41"/>
      <c r="BA69" s="41">
        <f>+AR69+AS69+AU69+AW69+AY69+AZ69</f>
        <v>0</v>
      </c>
      <c r="BB69" s="37">
        <v>3</v>
      </c>
      <c r="BC69" s="55"/>
      <c r="BD69" s="55"/>
      <c r="BE69" s="37"/>
      <c r="BF69" s="55"/>
    </row>
    <row r="70" spans="1:58" ht="12.95" customHeight="1">
      <c r="A70" s="44"/>
      <c r="B70" s="45"/>
      <c r="C70" s="452"/>
      <c r="D70" s="45"/>
      <c r="E70" s="46"/>
      <c r="F70" s="46"/>
      <c r="G70" s="465"/>
      <c r="H70" s="48"/>
      <c r="I70" s="49"/>
      <c r="J70" s="91"/>
      <c r="K70" s="91"/>
      <c r="L70" s="39"/>
      <c r="M70" s="39"/>
      <c r="N70" s="50"/>
      <c r="O70" s="51"/>
      <c r="P70" s="52"/>
      <c r="Q70" s="51"/>
      <c r="R70" s="422"/>
      <c r="S70" s="422"/>
      <c r="T70" s="41"/>
      <c r="U70" s="41"/>
      <c r="V70" s="41"/>
      <c r="W70" s="41"/>
      <c r="X70" s="42"/>
      <c r="Y70" s="223"/>
      <c r="Z70" s="41"/>
      <c r="AA70" s="41"/>
      <c r="AB70" s="41"/>
      <c r="AC70" s="41"/>
      <c r="AD70" s="41">
        <f>+AM70+BA70</f>
        <v>30</v>
      </c>
      <c r="AE70" s="241" t="s">
        <v>665</v>
      </c>
      <c r="AF70" s="41"/>
      <c r="AG70" s="41">
        <v>30</v>
      </c>
      <c r="AH70" s="41"/>
      <c r="AI70" s="609"/>
      <c r="AJ70" s="41"/>
      <c r="AK70" s="41"/>
      <c r="AL70" s="41"/>
      <c r="AM70" s="41">
        <f>SUM(AF70:AL70)+AT70+AV70+AX70</f>
        <v>30</v>
      </c>
      <c r="AN70" s="92"/>
      <c r="AO70" s="41"/>
      <c r="AP70" s="41"/>
      <c r="AQ70" s="41"/>
      <c r="AR70" s="41">
        <f>SUM(AN70:AQ70)</f>
        <v>0</v>
      </c>
      <c r="AS70" s="41"/>
      <c r="AT70" s="41"/>
      <c r="AU70" s="41"/>
      <c r="AV70" s="41"/>
      <c r="AW70" s="41"/>
      <c r="AX70" s="41"/>
      <c r="AY70" s="41"/>
      <c r="AZ70" s="41"/>
      <c r="BA70" s="41">
        <f>+AR70+AS70+AU70+AW70+AY70+AZ70</f>
        <v>0</v>
      </c>
      <c r="BB70" s="54"/>
      <c r="BC70" s="55">
        <v>28</v>
      </c>
      <c r="BD70" s="55"/>
      <c r="BE70" s="54"/>
      <c r="BF70" s="55"/>
    </row>
    <row r="71" spans="1:58" ht="12.95" customHeight="1">
      <c r="A71" s="44"/>
      <c r="B71" s="45"/>
      <c r="C71" s="452"/>
      <c r="D71" s="45"/>
      <c r="E71" s="46"/>
      <c r="F71" s="46"/>
      <c r="G71" s="465"/>
      <c r="H71" s="48"/>
      <c r="I71" s="49"/>
      <c r="J71" s="91"/>
      <c r="K71" s="91"/>
      <c r="L71" s="39"/>
      <c r="M71" s="39"/>
      <c r="N71" s="50"/>
      <c r="O71" s="51"/>
      <c r="P71" s="52"/>
      <c r="Q71" s="51"/>
      <c r="R71" s="422"/>
      <c r="S71" s="422"/>
      <c r="T71" s="41"/>
      <c r="U71" s="41"/>
      <c r="V71" s="41"/>
      <c r="W71" s="41"/>
      <c r="X71" s="42"/>
      <c r="Y71" s="223"/>
      <c r="Z71" s="41"/>
      <c r="AA71" s="41"/>
      <c r="AB71" s="41"/>
      <c r="AC71" s="41"/>
      <c r="AD71" s="41">
        <f>+AM71+BA71</f>
        <v>35</v>
      </c>
      <c r="AE71" s="241" t="s">
        <v>666</v>
      </c>
      <c r="AF71" s="37"/>
      <c r="AG71" s="37"/>
      <c r="AH71" s="37">
        <v>35</v>
      </c>
      <c r="AI71" s="609"/>
      <c r="AJ71" s="41"/>
      <c r="AK71" s="41"/>
      <c r="AL71" s="41"/>
      <c r="AM71" s="41">
        <f>SUM(AF71:AL71)+AT71+AV71+AX71</f>
        <v>35</v>
      </c>
      <c r="AN71" s="41"/>
      <c r="AO71" s="41"/>
      <c r="AP71" s="41"/>
      <c r="AQ71" s="41"/>
      <c r="AR71" s="41">
        <f>SUM(AN71:AQ71)</f>
        <v>0</v>
      </c>
      <c r="AS71" s="41"/>
      <c r="AT71" s="41"/>
      <c r="AU71" s="41"/>
      <c r="AV71" s="41"/>
      <c r="AW71" s="41"/>
      <c r="AX71" s="41"/>
      <c r="AY71" s="41"/>
      <c r="AZ71" s="41"/>
      <c r="BA71" s="41">
        <f>+AR71+AS71+AU71+AW71+AY71+AZ71</f>
        <v>0</v>
      </c>
      <c r="BB71" s="37"/>
      <c r="BC71" s="57"/>
      <c r="BD71" s="57"/>
      <c r="BE71" s="37"/>
      <c r="BF71" s="57"/>
    </row>
    <row r="72" spans="1:58" ht="12.95" customHeight="1">
      <c r="A72" s="44"/>
      <c r="B72" s="45"/>
      <c r="C72" s="452"/>
      <c r="D72" s="45"/>
      <c r="E72" s="46"/>
      <c r="F72" s="46"/>
      <c r="G72" s="465"/>
      <c r="H72" s="48"/>
      <c r="I72" s="49"/>
      <c r="J72" s="91"/>
      <c r="K72" s="91"/>
      <c r="L72" s="39"/>
      <c r="M72" s="39"/>
      <c r="N72" s="50"/>
      <c r="O72" s="51"/>
      <c r="P72" s="52"/>
      <c r="Q72" s="51"/>
      <c r="R72" s="422"/>
      <c r="S72" s="422"/>
      <c r="T72" s="41"/>
      <c r="U72" s="41"/>
      <c r="V72" s="41"/>
      <c r="W72" s="41"/>
      <c r="X72" s="42"/>
      <c r="Y72" s="223"/>
      <c r="Z72" s="41"/>
      <c r="AA72" s="41"/>
      <c r="AB72" s="41"/>
      <c r="AC72" s="41"/>
      <c r="AD72" s="41">
        <f>+AM72+BA72</f>
        <v>8</v>
      </c>
      <c r="AE72" s="241" t="s">
        <v>424</v>
      </c>
      <c r="AF72" s="37"/>
      <c r="AG72" s="37"/>
      <c r="AH72" s="37"/>
      <c r="AI72" s="461">
        <v>8</v>
      </c>
      <c r="AJ72" s="41"/>
      <c r="AK72" s="41"/>
      <c r="AL72" s="41"/>
      <c r="AM72" s="41">
        <f>SUM(AF72:AL72)+AT72+AV72+AX72</f>
        <v>8</v>
      </c>
      <c r="AN72" s="41"/>
      <c r="AO72" s="41"/>
      <c r="AP72" s="41"/>
      <c r="AQ72" s="41"/>
      <c r="AR72" s="41">
        <f>SUM(AN72:AQ72)</f>
        <v>0</v>
      </c>
      <c r="AS72" s="41"/>
      <c r="AT72" s="41"/>
      <c r="AU72" s="41"/>
      <c r="AV72" s="41"/>
      <c r="AW72" s="41"/>
      <c r="AX72" s="41"/>
      <c r="AY72" s="41"/>
      <c r="AZ72" s="41"/>
      <c r="BA72" s="41">
        <f>+AR72+AS72+AU72+AW72+AY72+AZ72</f>
        <v>0</v>
      </c>
      <c r="BB72" s="37"/>
      <c r="BC72" s="57"/>
      <c r="BD72" s="57"/>
      <c r="BE72" s="37"/>
      <c r="BF72" s="57"/>
    </row>
    <row r="73" spans="1:58" ht="12.95" customHeight="1">
      <c r="A73" s="346"/>
      <c r="B73" s="45"/>
      <c r="C73" s="452"/>
      <c r="D73" s="45"/>
      <c r="E73" s="46"/>
      <c r="F73" s="46"/>
      <c r="G73" s="465"/>
      <c r="H73" s="48"/>
      <c r="I73" s="49"/>
      <c r="J73" s="91"/>
      <c r="K73" s="91"/>
      <c r="L73" s="39"/>
      <c r="M73" s="39"/>
      <c r="N73" s="50"/>
      <c r="O73" s="51"/>
      <c r="P73" s="52"/>
      <c r="Q73" s="51"/>
      <c r="R73" s="422"/>
      <c r="S73" s="422"/>
      <c r="T73" s="41"/>
      <c r="U73" s="41"/>
      <c r="V73" s="41"/>
      <c r="W73" s="41"/>
      <c r="X73" s="419"/>
      <c r="Y73" s="223"/>
      <c r="Z73" s="41"/>
      <c r="AA73" s="53"/>
      <c r="AB73" s="53"/>
      <c r="AC73" s="41"/>
      <c r="AD73" s="41"/>
      <c r="AE73" s="241"/>
      <c r="AF73" s="41"/>
      <c r="AG73" s="41"/>
      <c r="AH73" s="41"/>
      <c r="AI73" s="461"/>
      <c r="AJ73" s="41"/>
      <c r="AK73" s="41"/>
      <c r="AL73" s="41"/>
      <c r="AM73" s="41"/>
      <c r="AN73" s="92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54"/>
      <c r="BC73" s="55"/>
      <c r="BD73" s="55"/>
      <c r="BE73" s="55"/>
      <c r="BF73" s="55"/>
    </row>
    <row r="74" spans="1:58" ht="12.75" customHeight="1">
      <c r="A74" s="44">
        <v>45945</v>
      </c>
      <c r="B74" s="45" t="s">
        <v>7</v>
      </c>
      <c r="C74" s="452">
        <f>(M74*E74*O74*Q74)/100000000</f>
        <v>59.615840492307683</v>
      </c>
      <c r="D74" s="45" t="s">
        <v>411</v>
      </c>
      <c r="E74" s="46">
        <v>12</v>
      </c>
      <c r="F74" s="46">
        <v>1</v>
      </c>
      <c r="G74" s="465">
        <v>1700</v>
      </c>
      <c r="H74" s="608">
        <v>0.24</v>
      </c>
      <c r="I74" s="49">
        <v>0.88</v>
      </c>
      <c r="J74" s="91">
        <f>E74*G74*(1-H74)*1440/1000000*2.77</f>
        <v>61.8423552</v>
      </c>
      <c r="K74" s="91">
        <f>(IF(G74&lt;L74,L74,G74)*(1-IF(H74&lt;N74,H74,N74))*E74*O74*Q74)/100000000</f>
        <v>61.052366769230744</v>
      </c>
      <c r="L74" s="39">
        <v>1660</v>
      </c>
      <c r="M74" s="39">
        <v>1261.5999999999999</v>
      </c>
      <c r="N74" s="50">
        <f>1-(M74/L74)</f>
        <v>0.2400000000000001</v>
      </c>
      <c r="O74" s="51">
        <f>+'Trim Rwd'!H60</f>
        <v>273.46153846153845</v>
      </c>
      <c r="P74" s="52">
        <f>O74*(Q74-R74-S74)</f>
        <v>359328.4615384615</v>
      </c>
      <c r="Q74" s="51">
        <v>1440</v>
      </c>
      <c r="R74" s="422">
        <v>0</v>
      </c>
      <c r="S74" s="422">
        <v>126</v>
      </c>
      <c r="T74" s="41">
        <f>E74*M74*O74*Q74/100000000</f>
        <v>59.615840492307683</v>
      </c>
      <c r="U74" s="41">
        <f>E74*M74*O74*(Q74-R74-S74)/100000000</f>
        <v>54.399454449230767</v>
      </c>
      <c r="V74" s="41">
        <f>E74*G74*(1-N74)*O74/100*(R74+S74)/1000000</f>
        <v>5.3420820923076926</v>
      </c>
      <c r="W74" s="41">
        <f>+'15'!K34/1000</f>
        <v>55.631</v>
      </c>
      <c r="X74" s="419">
        <f>SUM(W74:W77)/SUM(K74:K77)</f>
        <v>0.9112013660383923</v>
      </c>
      <c r="Y74" s="223">
        <v>0</v>
      </c>
      <c r="Z74" s="41">
        <v>0</v>
      </c>
      <c r="AA74" s="53">
        <f>SUM(U74:U77)-SUM(W74:W77)-SUM(Z74:Z77)-SUM(Y74:Y77)</f>
        <v>-1.2315455507692334</v>
      </c>
      <c r="AB74" s="53">
        <f>(SUM(K74:K77)-SUM(W74:W77)-SUM(Y74:Y77)-SUM(Z74:Z77)-SUM(AC74:AC77)-SUM(V74:V77))-AA74</f>
        <v>-0.12569604923077637</v>
      </c>
      <c r="AC74" s="41">
        <f>K74-T74</f>
        <v>1.4365262769230611</v>
      </c>
      <c r="AD74" s="41">
        <f>+AM74+BA74</f>
        <v>65</v>
      </c>
      <c r="AE74" s="241" t="s">
        <v>643</v>
      </c>
      <c r="AF74" s="41">
        <v>65</v>
      </c>
      <c r="AG74" s="41"/>
      <c r="AH74" s="41"/>
      <c r="AI74" s="609"/>
      <c r="AJ74" s="41"/>
      <c r="AK74" s="41"/>
      <c r="AL74" s="41"/>
      <c r="AM74" s="41">
        <f>SUM(AF74:AL74)+AT74+AV74+AX74</f>
        <v>65</v>
      </c>
      <c r="AN74" s="41"/>
      <c r="AO74" s="41"/>
      <c r="AP74" s="41"/>
      <c r="AQ74" s="41"/>
      <c r="AR74" s="41">
        <f>SUM(AN74:AQ74)</f>
        <v>0</v>
      </c>
      <c r="AS74" s="41"/>
      <c r="AT74" s="41"/>
      <c r="AU74" s="41"/>
      <c r="AV74" s="41"/>
      <c r="AW74" s="41"/>
      <c r="AX74" s="41"/>
      <c r="AY74" s="41"/>
      <c r="AZ74" s="41"/>
      <c r="BA74" s="41">
        <f>+AR74+AS74+AU74+AW74+AY74+AZ74</f>
        <v>0</v>
      </c>
      <c r="BB74" s="37">
        <v>13</v>
      </c>
      <c r="BC74" s="55"/>
      <c r="BD74" s="55"/>
      <c r="BE74" s="37"/>
      <c r="BF74" s="55"/>
    </row>
    <row r="75" spans="1:58" ht="12.95" customHeight="1">
      <c r="A75" s="44"/>
      <c r="B75" s="45"/>
      <c r="C75" s="452"/>
      <c r="D75" s="45"/>
      <c r="E75" s="46"/>
      <c r="F75" s="46"/>
      <c r="G75" s="465"/>
      <c r="H75" s="48"/>
      <c r="I75" s="49"/>
      <c r="J75" s="91"/>
      <c r="K75" s="91"/>
      <c r="L75" s="39"/>
      <c r="M75" s="39"/>
      <c r="N75" s="50"/>
      <c r="O75" s="51"/>
      <c r="P75" s="52"/>
      <c r="Q75" s="51"/>
      <c r="R75" s="422"/>
      <c r="S75" s="422"/>
      <c r="T75" s="41"/>
      <c r="U75" s="41"/>
      <c r="V75" s="41"/>
      <c r="W75" s="41"/>
      <c r="X75" s="42"/>
      <c r="Y75" s="223"/>
      <c r="Z75" s="41"/>
      <c r="AA75" s="41"/>
      <c r="AB75" s="41"/>
      <c r="AC75" s="41"/>
      <c r="AD75" s="41">
        <f>+AM75+BA75</f>
        <v>27</v>
      </c>
      <c r="AE75" s="241" t="s">
        <v>671</v>
      </c>
      <c r="AF75" s="41"/>
      <c r="AG75" s="41">
        <v>27</v>
      </c>
      <c r="AH75" s="41"/>
      <c r="AI75" s="609"/>
      <c r="AJ75" s="41"/>
      <c r="AK75" s="41"/>
      <c r="AL75" s="41"/>
      <c r="AM75" s="41">
        <f>SUM(AF75:AL75)+AT75+AV75+AX75</f>
        <v>27</v>
      </c>
      <c r="AN75" s="92"/>
      <c r="AO75" s="41"/>
      <c r="AP75" s="41"/>
      <c r="AQ75" s="41"/>
      <c r="AR75" s="41">
        <f>SUM(AN75:AQ75)</f>
        <v>0</v>
      </c>
      <c r="AS75" s="41"/>
      <c r="AT75" s="41"/>
      <c r="AU75" s="41"/>
      <c r="AV75" s="41"/>
      <c r="AW75" s="41"/>
      <c r="AX75" s="41"/>
      <c r="AY75" s="41"/>
      <c r="AZ75" s="41"/>
      <c r="BA75" s="41">
        <f>+AR75+AS75+AU75+AW75+AY75+AZ75</f>
        <v>0</v>
      </c>
      <c r="BB75" s="54"/>
      <c r="BC75" s="55">
        <v>26</v>
      </c>
      <c r="BD75" s="55"/>
      <c r="BE75" s="54"/>
      <c r="BF75" s="55"/>
    </row>
    <row r="76" spans="1:58" ht="12.95" customHeight="1">
      <c r="A76" s="44"/>
      <c r="B76" s="45"/>
      <c r="C76" s="452"/>
      <c r="D76" s="45"/>
      <c r="E76" s="46"/>
      <c r="F76" s="46"/>
      <c r="G76" s="465"/>
      <c r="H76" s="48"/>
      <c r="I76" s="49"/>
      <c r="J76" s="91"/>
      <c r="K76" s="91"/>
      <c r="L76" s="39"/>
      <c r="M76" s="39"/>
      <c r="N76" s="50"/>
      <c r="O76" s="51"/>
      <c r="P76" s="52"/>
      <c r="Q76" s="51"/>
      <c r="R76" s="422"/>
      <c r="S76" s="422"/>
      <c r="T76" s="41"/>
      <c r="U76" s="41"/>
      <c r="V76" s="41"/>
      <c r="W76" s="41"/>
      <c r="X76" s="42"/>
      <c r="Y76" s="223"/>
      <c r="Z76" s="41"/>
      <c r="AA76" s="41"/>
      <c r="AB76" s="41"/>
      <c r="AC76" s="41"/>
      <c r="AD76" s="41">
        <f>+AM76+BA76</f>
        <v>34</v>
      </c>
      <c r="AE76" s="241" t="s">
        <v>666</v>
      </c>
      <c r="AF76" s="37"/>
      <c r="AG76" s="37"/>
      <c r="AH76" s="37">
        <v>34</v>
      </c>
      <c r="AI76" s="609"/>
      <c r="AJ76" s="41"/>
      <c r="AK76" s="41"/>
      <c r="AL76" s="41"/>
      <c r="AM76" s="41">
        <f>SUM(AF76:AL76)+AT76+AV76+AX76</f>
        <v>34</v>
      </c>
      <c r="AN76" s="41"/>
      <c r="AO76" s="41"/>
      <c r="AP76" s="41"/>
      <c r="AQ76" s="41"/>
      <c r="AR76" s="41">
        <f>SUM(AN76:AQ76)</f>
        <v>0</v>
      </c>
      <c r="AS76" s="41"/>
      <c r="AT76" s="41"/>
      <c r="AU76" s="41"/>
      <c r="AV76" s="41"/>
      <c r="AW76" s="41"/>
      <c r="AX76" s="41"/>
      <c r="AY76" s="41"/>
      <c r="AZ76" s="41"/>
      <c r="BA76" s="41">
        <f>+AR76+AS76+AU76+AW76+AY76+AZ76</f>
        <v>0</v>
      </c>
      <c r="BB76" s="37"/>
      <c r="BC76" s="57"/>
      <c r="BD76" s="57"/>
      <c r="BE76" s="37"/>
      <c r="BF76" s="57"/>
    </row>
    <row r="77" spans="1:58" ht="12.95" customHeight="1">
      <c r="A77" s="44"/>
      <c r="B77" s="45"/>
      <c r="C77" s="452"/>
      <c r="D77" s="45"/>
      <c r="E77" s="46"/>
      <c r="F77" s="46"/>
      <c r="G77" s="465"/>
      <c r="H77" s="48"/>
      <c r="I77" s="49"/>
      <c r="J77" s="91"/>
      <c r="K77" s="91"/>
      <c r="L77" s="39"/>
      <c r="M77" s="39"/>
      <c r="N77" s="50"/>
      <c r="O77" s="51"/>
      <c r="P77" s="52"/>
      <c r="Q77" s="51"/>
      <c r="R77" s="422"/>
      <c r="S77" s="422"/>
      <c r="T77" s="41"/>
      <c r="U77" s="41"/>
      <c r="V77" s="41"/>
      <c r="W77" s="41"/>
      <c r="X77" s="42"/>
      <c r="Y77" s="223"/>
      <c r="Z77" s="41"/>
      <c r="AA77" s="41"/>
      <c r="AB77" s="41"/>
      <c r="AC77" s="41"/>
      <c r="AD77" s="41"/>
      <c r="AE77" s="241"/>
      <c r="AF77" s="37"/>
      <c r="AG77" s="37"/>
      <c r="AH77" s="37"/>
      <c r="AI77" s="46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37"/>
      <c r="BC77" s="57"/>
      <c r="BD77" s="57"/>
      <c r="BE77" s="37"/>
      <c r="BF77" s="57"/>
    </row>
    <row r="78" spans="1:58" ht="12.75" customHeight="1">
      <c r="A78" s="44">
        <v>45946</v>
      </c>
      <c r="B78" s="45" t="s">
        <v>7</v>
      </c>
      <c r="C78" s="452">
        <f>(M78*E78*O78*Q78)/100000000</f>
        <v>46.156392959999998</v>
      </c>
      <c r="D78" s="45" t="s">
        <v>411</v>
      </c>
      <c r="E78" s="46">
        <v>12</v>
      </c>
      <c r="F78" s="46">
        <v>1</v>
      </c>
      <c r="G78" s="465">
        <v>1700</v>
      </c>
      <c r="H78" s="608">
        <v>0.24</v>
      </c>
      <c r="I78" s="49">
        <v>0.88</v>
      </c>
      <c r="J78" s="91">
        <f>E78*G78*(1-H78)*1440/1000000*2.77</f>
        <v>61.8423552</v>
      </c>
      <c r="K78" s="91">
        <f>(IF(G78&lt;L78,L78,G78)*(1-IF(H78&lt;N78,H78,N78))*E78*O78*Q78)/100000000</f>
        <v>47.268595199999993</v>
      </c>
      <c r="L78" s="39">
        <v>1660</v>
      </c>
      <c r="M78" s="39">
        <v>1261.5999999999999</v>
      </c>
      <c r="N78" s="50">
        <f>1-(M78/L78)</f>
        <v>0.2400000000000001</v>
      </c>
      <c r="O78" s="51">
        <f>+'Trim Rwd'!H63</f>
        <v>272.21428571428572</v>
      </c>
      <c r="P78" s="52">
        <f>O78*(Q78-R78-S78)</f>
        <v>255881.42857142858</v>
      </c>
      <c r="Q78" s="51">
        <v>1120</v>
      </c>
      <c r="R78" s="422">
        <v>0</v>
      </c>
      <c r="S78" s="422">
        <v>180</v>
      </c>
      <c r="T78" s="41">
        <f>E78*M78*O78*Q78/100000000</f>
        <v>46.156392959999998</v>
      </c>
      <c r="U78" s="41">
        <f>E78*M78*O78*(Q78-R78-S78)/100000000</f>
        <v>38.73840123428571</v>
      </c>
      <c r="V78" s="41">
        <f>E78*G78*(1-N78)*O78/100*(R78+S78)/1000000</f>
        <v>7.5967385142857138</v>
      </c>
      <c r="W78" s="41">
        <f>+'16'!K16/1000</f>
        <v>40.835999999999999</v>
      </c>
      <c r="X78" s="419">
        <f>SUM(W78:W81)/SUM(K78:K81)</f>
        <v>0.74194393845244266</v>
      </c>
      <c r="Y78" s="223">
        <v>0</v>
      </c>
      <c r="Z78" s="41">
        <f>+'16'!D34/1000</f>
        <v>1.02</v>
      </c>
      <c r="AA78" s="53">
        <f>SUM(U78:U81)-SUM(W78:W81)-SUM(Z78:Z81)-SUM(Y78:Y81)</f>
        <v>5.3070172342857127</v>
      </c>
      <c r="AB78" s="53">
        <f>(SUM(K78:K81)-SUM(W78:W81)-SUM(Y78:Y81)-SUM(Z78:Z81)-SUM(AC78:AC81)-SUM(V78:V81))-AA78</f>
        <v>-0.19060278857142876</v>
      </c>
      <c r="AC78" s="41">
        <f>K78-T78</f>
        <v>1.1122022399999949</v>
      </c>
      <c r="AD78" s="41">
        <f t="shared" ref="AD78:AD83" si="4">+AM78+BA78</f>
        <v>60</v>
      </c>
      <c r="AE78" s="241" t="s">
        <v>679</v>
      </c>
      <c r="AF78" s="41">
        <v>60</v>
      </c>
      <c r="AG78" s="41"/>
      <c r="AH78" s="41"/>
      <c r="AI78" s="609"/>
      <c r="AJ78" s="41"/>
      <c r="AK78" s="41"/>
      <c r="AL78" s="41"/>
      <c r="AM78" s="41">
        <f t="shared" ref="AM78:AM83" si="5">SUM(AF78:AL78)+AT78+AV78+AX78</f>
        <v>60</v>
      </c>
      <c r="AN78" s="41"/>
      <c r="AO78" s="41"/>
      <c r="AP78" s="41"/>
      <c r="AQ78" s="41"/>
      <c r="AR78" s="41">
        <f t="shared" ref="AR78:AR83" si="6">SUM(AN78:AQ78)</f>
        <v>0</v>
      </c>
      <c r="AS78" s="41"/>
      <c r="AT78" s="41"/>
      <c r="AU78" s="41"/>
      <c r="AV78" s="41"/>
      <c r="AW78" s="41"/>
      <c r="AX78" s="41"/>
      <c r="AY78" s="41"/>
      <c r="AZ78" s="41"/>
      <c r="BA78" s="41">
        <f t="shared" ref="BA78:BA83" si="7">+AR78+AS78+AU78+AW78+AY78+AZ78</f>
        <v>0</v>
      </c>
      <c r="BB78" s="37">
        <v>12</v>
      </c>
      <c r="BC78" s="55"/>
      <c r="BD78" s="55"/>
      <c r="BE78" s="37"/>
      <c r="BF78" s="55"/>
    </row>
    <row r="79" spans="1:58" ht="12.95" customHeight="1">
      <c r="A79" s="44"/>
      <c r="B79" s="45" t="s">
        <v>7</v>
      </c>
      <c r="C79" s="452">
        <f>(M79*E79*O79*Q79)/100000000</f>
        <v>13.120639999999998</v>
      </c>
      <c r="D79" s="45" t="s">
        <v>411</v>
      </c>
      <c r="E79" s="46">
        <v>12.5</v>
      </c>
      <c r="F79" s="46">
        <v>1</v>
      </c>
      <c r="G79" s="465">
        <v>1700</v>
      </c>
      <c r="H79" s="608">
        <v>0.24</v>
      </c>
      <c r="I79" s="49">
        <v>0.88</v>
      </c>
      <c r="J79" s="91">
        <f>E79*G79*(1-H79)*1440/1000000*2.77</f>
        <v>64.419120000000007</v>
      </c>
      <c r="K79" s="91">
        <f>(IF(G79&lt;L79,L79,G79)*(1-IF(H79&lt;N79,H79,N79))*E79*O79*Q79)/100000000</f>
        <v>13.436799999999998</v>
      </c>
      <c r="L79" s="39">
        <v>1660</v>
      </c>
      <c r="M79" s="39">
        <v>1261.5999999999999</v>
      </c>
      <c r="N79" s="50">
        <f>1-(M79/L79)</f>
        <v>0.2400000000000001</v>
      </c>
      <c r="O79" s="51">
        <f>+'Trim Rwd'!H65</f>
        <v>260</v>
      </c>
      <c r="P79" s="52">
        <f>O79*(Q79-R79-S79)</f>
        <v>80080</v>
      </c>
      <c r="Q79" s="51">
        <v>320</v>
      </c>
      <c r="R79" s="422">
        <v>0</v>
      </c>
      <c r="S79" s="422">
        <v>12</v>
      </c>
      <c r="T79" s="41">
        <f>E79*M79*O79*Q79/100000000</f>
        <v>13.120639999999998</v>
      </c>
      <c r="U79" s="41">
        <f>E79*M79*O79*(Q79-R79-S79)/100000000</f>
        <v>12.628615999999997</v>
      </c>
      <c r="V79" s="41">
        <f>E79*G79*(1-N79)*O79/100*(R79+S79)/1000000</f>
        <v>0.50387999999999988</v>
      </c>
      <c r="W79" s="41">
        <f>+'16'!K18/1000</f>
        <v>4.2039999999999997</v>
      </c>
      <c r="X79" s="42"/>
      <c r="Y79" s="223"/>
      <c r="Z79" s="41"/>
      <c r="AA79" s="41"/>
      <c r="AB79" s="41"/>
      <c r="AC79" s="41">
        <f>K79-T79</f>
        <v>0.31616</v>
      </c>
      <c r="AD79" s="41">
        <f t="shared" si="4"/>
        <v>12</v>
      </c>
      <c r="AE79" s="241" t="s">
        <v>618</v>
      </c>
      <c r="AF79" s="41"/>
      <c r="AG79" s="41">
        <v>12</v>
      </c>
      <c r="AH79" s="41"/>
      <c r="AI79" s="609"/>
      <c r="AJ79" s="41"/>
      <c r="AK79" s="41"/>
      <c r="AL79" s="41"/>
      <c r="AM79" s="41">
        <f t="shared" si="5"/>
        <v>12</v>
      </c>
      <c r="AN79" s="92"/>
      <c r="AO79" s="41"/>
      <c r="AP79" s="41"/>
      <c r="AQ79" s="41"/>
      <c r="AR79" s="41">
        <f t="shared" si="6"/>
        <v>0</v>
      </c>
      <c r="AS79" s="41"/>
      <c r="AT79" s="41"/>
      <c r="AU79" s="41"/>
      <c r="AV79" s="41"/>
      <c r="AW79" s="41"/>
      <c r="AX79" s="41"/>
      <c r="AY79" s="41"/>
      <c r="AZ79" s="41"/>
      <c r="BA79" s="41">
        <f t="shared" si="7"/>
        <v>0</v>
      </c>
      <c r="BB79" s="54"/>
      <c r="BC79" s="55">
        <v>12</v>
      </c>
      <c r="BD79" s="55"/>
      <c r="BE79" s="54"/>
      <c r="BF79" s="55"/>
    </row>
    <row r="80" spans="1:58" ht="12.95" customHeight="1">
      <c r="A80" s="44"/>
      <c r="B80" s="45"/>
      <c r="C80" s="452"/>
      <c r="D80" s="45"/>
      <c r="E80" s="46"/>
      <c r="F80" s="46"/>
      <c r="G80" s="465"/>
      <c r="H80" s="48"/>
      <c r="I80" s="49"/>
      <c r="J80" s="91"/>
      <c r="K80" s="91"/>
      <c r="L80" s="39"/>
      <c r="M80" s="39"/>
      <c r="N80" s="50"/>
      <c r="O80" s="51"/>
      <c r="P80" s="52"/>
      <c r="Q80" s="51"/>
      <c r="R80" s="422"/>
      <c r="S80" s="422"/>
      <c r="T80" s="41"/>
      <c r="U80" s="41"/>
      <c r="V80" s="41"/>
      <c r="W80" s="41"/>
      <c r="X80" s="42"/>
      <c r="Y80" s="223"/>
      <c r="Z80" s="41"/>
      <c r="AA80" s="41"/>
      <c r="AB80" s="41"/>
      <c r="AC80" s="41"/>
      <c r="AD80" s="41">
        <f t="shared" si="4"/>
        <v>30</v>
      </c>
      <c r="AE80" s="241" t="s">
        <v>645</v>
      </c>
      <c r="AF80" s="37"/>
      <c r="AG80" s="37"/>
      <c r="AH80" s="37">
        <v>30</v>
      </c>
      <c r="AI80" s="609"/>
      <c r="AJ80" s="41"/>
      <c r="AK80" s="41"/>
      <c r="AL80" s="41"/>
      <c r="AM80" s="41">
        <f t="shared" si="5"/>
        <v>30</v>
      </c>
      <c r="AN80" s="41"/>
      <c r="AO80" s="41"/>
      <c r="AP80" s="41"/>
      <c r="AQ80" s="41"/>
      <c r="AR80" s="41">
        <f t="shared" si="6"/>
        <v>0</v>
      </c>
      <c r="AS80" s="41"/>
      <c r="AT80" s="41"/>
      <c r="AU80" s="41"/>
      <c r="AV80" s="41"/>
      <c r="AW80" s="41"/>
      <c r="AX80" s="41"/>
      <c r="AY80" s="41"/>
      <c r="AZ80" s="41"/>
      <c r="BA80" s="41">
        <f t="shared" si="7"/>
        <v>0</v>
      </c>
      <c r="BB80" s="37"/>
      <c r="BC80" s="57"/>
      <c r="BD80" s="57"/>
      <c r="BE80" s="37"/>
      <c r="BF80" s="57"/>
    </row>
    <row r="81" spans="1:58" ht="12.95" customHeight="1">
      <c r="A81" s="44"/>
      <c r="B81" s="45"/>
      <c r="C81" s="452"/>
      <c r="D81" s="45"/>
      <c r="E81" s="46"/>
      <c r="F81" s="46"/>
      <c r="G81" s="465"/>
      <c r="H81" s="48"/>
      <c r="I81" s="49"/>
      <c r="J81" s="91"/>
      <c r="K81" s="91"/>
      <c r="L81" s="39"/>
      <c r="M81" s="39"/>
      <c r="N81" s="50"/>
      <c r="O81" s="51"/>
      <c r="P81" s="52"/>
      <c r="Q81" s="51"/>
      <c r="R81" s="422"/>
      <c r="S81" s="422"/>
      <c r="T81" s="41"/>
      <c r="U81" s="41"/>
      <c r="V81" s="41"/>
      <c r="W81" s="41"/>
      <c r="X81" s="42"/>
      <c r="Y81" s="223"/>
      <c r="Z81" s="41"/>
      <c r="AA81" s="41"/>
      <c r="AB81" s="41"/>
      <c r="AC81" s="41"/>
      <c r="AD81" s="41">
        <f t="shared" si="4"/>
        <v>5</v>
      </c>
      <c r="AE81" s="241" t="s">
        <v>424</v>
      </c>
      <c r="AF81" s="37"/>
      <c r="AG81" s="37"/>
      <c r="AH81" s="37"/>
      <c r="AI81" s="461">
        <v>5</v>
      </c>
      <c r="AJ81" s="41"/>
      <c r="AK81" s="41"/>
      <c r="AL81" s="41"/>
      <c r="AM81" s="41">
        <f t="shared" si="5"/>
        <v>5</v>
      </c>
      <c r="AN81" s="41"/>
      <c r="AO81" s="41"/>
      <c r="AP81" s="41"/>
      <c r="AQ81" s="41"/>
      <c r="AR81" s="41">
        <f t="shared" si="6"/>
        <v>0</v>
      </c>
      <c r="AS81" s="41"/>
      <c r="AT81" s="41"/>
      <c r="AU81" s="41"/>
      <c r="AV81" s="41"/>
      <c r="AW81" s="41"/>
      <c r="AX81" s="41"/>
      <c r="AY81" s="41"/>
      <c r="AZ81" s="41"/>
      <c r="BA81" s="41">
        <f t="shared" si="7"/>
        <v>0</v>
      </c>
      <c r="BB81" s="37"/>
      <c r="BC81" s="57"/>
      <c r="BD81" s="57"/>
      <c r="BE81" s="37"/>
      <c r="BF81" s="57"/>
    </row>
    <row r="82" spans="1:58" ht="12.95" customHeight="1">
      <c r="A82" s="346"/>
      <c r="B82" s="45"/>
      <c r="C82" s="452"/>
      <c r="D82" s="45"/>
      <c r="E82" s="46"/>
      <c r="F82" s="46"/>
      <c r="G82" s="465"/>
      <c r="H82" s="48"/>
      <c r="I82" s="49"/>
      <c r="J82" s="91"/>
      <c r="K82" s="91"/>
      <c r="L82" s="39"/>
      <c r="M82" s="39"/>
      <c r="N82" s="50"/>
      <c r="O82" s="51"/>
      <c r="P82" s="52"/>
      <c r="Q82" s="51"/>
      <c r="R82" s="422"/>
      <c r="S82" s="422"/>
      <c r="T82" s="41"/>
      <c r="U82" s="41"/>
      <c r="V82" s="41"/>
      <c r="W82" s="41"/>
      <c r="X82" s="419"/>
      <c r="Y82" s="223"/>
      <c r="Z82" s="41"/>
      <c r="AA82" s="53"/>
      <c r="AB82" s="53"/>
      <c r="AC82" s="41"/>
      <c r="AD82" s="41">
        <f t="shared" si="4"/>
        <v>15</v>
      </c>
      <c r="AE82" s="244" t="s">
        <v>678</v>
      </c>
      <c r="AF82" s="41">
        <v>15</v>
      </c>
      <c r="AG82" s="41"/>
      <c r="AH82" s="41"/>
      <c r="AI82" s="461"/>
      <c r="AJ82" s="41"/>
      <c r="AK82" s="41"/>
      <c r="AL82" s="41"/>
      <c r="AM82" s="41">
        <f t="shared" si="5"/>
        <v>15</v>
      </c>
      <c r="AN82" s="41"/>
      <c r="AO82" s="41"/>
      <c r="AP82" s="41"/>
      <c r="AQ82" s="41"/>
      <c r="AR82" s="41">
        <f t="shared" si="6"/>
        <v>0</v>
      </c>
      <c r="AS82" s="41"/>
      <c r="AT82" s="41"/>
      <c r="AU82" s="41"/>
      <c r="AV82" s="41"/>
      <c r="AW82" s="41"/>
      <c r="AX82" s="41"/>
      <c r="AY82" s="41"/>
      <c r="AZ82" s="41"/>
      <c r="BA82" s="41">
        <f t="shared" si="7"/>
        <v>0</v>
      </c>
      <c r="BB82" s="37"/>
      <c r="BC82" s="57"/>
      <c r="BD82" s="57"/>
      <c r="BE82" s="37"/>
      <c r="BF82" s="57"/>
    </row>
    <row r="83" spans="1:58" ht="12.95" customHeight="1">
      <c r="A83" s="44"/>
      <c r="B83" s="45"/>
      <c r="C83" s="452"/>
      <c r="D83" s="45"/>
      <c r="E83" s="46"/>
      <c r="F83" s="46"/>
      <c r="G83" s="47"/>
      <c r="H83" s="48"/>
      <c r="I83" s="49"/>
      <c r="J83" s="91"/>
      <c r="K83" s="91"/>
      <c r="L83" s="39"/>
      <c r="M83" s="39"/>
      <c r="N83" s="50"/>
      <c r="O83" s="51"/>
      <c r="P83" s="52"/>
      <c r="Q83" s="51"/>
      <c r="R83" s="422"/>
      <c r="S83" s="422"/>
      <c r="T83" s="41"/>
      <c r="U83" s="41"/>
      <c r="V83" s="41"/>
      <c r="W83" s="41"/>
      <c r="X83" s="42"/>
      <c r="Y83" s="223"/>
      <c r="Z83" s="41"/>
      <c r="AA83" s="41"/>
      <c r="AB83" s="41"/>
      <c r="AC83" s="41"/>
      <c r="AD83" s="41">
        <f t="shared" si="4"/>
        <v>70</v>
      </c>
      <c r="AE83" s="244" t="s">
        <v>680</v>
      </c>
      <c r="AF83" s="37"/>
      <c r="AG83" s="37"/>
      <c r="AH83" s="37"/>
      <c r="AJ83" s="41"/>
      <c r="AK83" s="41">
        <v>70</v>
      </c>
      <c r="AL83" s="41"/>
      <c r="AM83" s="41">
        <f t="shared" si="5"/>
        <v>70</v>
      </c>
      <c r="AN83" s="41"/>
      <c r="AO83" s="41"/>
      <c r="AP83" s="41"/>
      <c r="AQ83" s="41"/>
      <c r="AR83" s="41">
        <f t="shared" si="6"/>
        <v>0</v>
      </c>
      <c r="AS83" s="41"/>
      <c r="AT83" s="41"/>
      <c r="AU83" s="41"/>
      <c r="AV83" s="41"/>
      <c r="AW83" s="41"/>
      <c r="AX83" s="41"/>
      <c r="AY83" s="41"/>
      <c r="AZ83" s="41"/>
      <c r="BA83" s="41">
        <f t="shared" si="7"/>
        <v>0</v>
      </c>
      <c r="BB83" s="37"/>
      <c r="BC83" s="57"/>
      <c r="BD83" s="57"/>
      <c r="BE83" s="37"/>
      <c r="BF83" s="57"/>
    </row>
    <row r="84" spans="1:58" ht="12.95" customHeight="1">
      <c r="A84" s="346"/>
      <c r="B84" s="45"/>
      <c r="C84" s="452"/>
      <c r="D84" s="45"/>
      <c r="E84" s="46"/>
      <c r="F84" s="46"/>
      <c r="G84" s="465"/>
      <c r="H84" s="48"/>
      <c r="I84" s="49"/>
      <c r="J84" s="91"/>
      <c r="K84" s="91"/>
      <c r="L84" s="39"/>
      <c r="M84" s="39"/>
      <c r="N84" s="50"/>
      <c r="O84" s="51"/>
      <c r="P84" s="52"/>
      <c r="Q84" s="51"/>
      <c r="R84" s="422"/>
      <c r="S84" s="422"/>
      <c r="T84" s="41"/>
      <c r="U84" s="41"/>
      <c r="V84" s="41"/>
      <c r="W84" s="41"/>
      <c r="X84" s="42"/>
      <c r="Y84" s="223"/>
      <c r="Z84" s="41"/>
      <c r="AA84" s="53"/>
      <c r="AB84" s="53"/>
      <c r="AC84" s="41"/>
      <c r="AD84" s="41"/>
      <c r="AE84" s="241"/>
      <c r="AF84" s="41"/>
      <c r="AG84" s="41"/>
      <c r="AH84" s="41"/>
      <c r="AI84" s="46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37"/>
      <c r="BC84" s="55"/>
      <c r="BD84" s="55"/>
      <c r="BE84" s="55"/>
      <c r="BF84" s="55"/>
    </row>
    <row r="85" spans="1:58" ht="12.75" customHeight="1">
      <c r="A85" s="44">
        <v>45947</v>
      </c>
      <c r="B85" s="45" t="s">
        <v>7</v>
      </c>
      <c r="C85" s="452">
        <f>(M85*E85*O85*Q85)/100000000</f>
        <v>4.1001999999999992</v>
      </c>
      <c r="D85" s="45" t="s">
        <v>411</v>
      </c>
      <c r="E85" s="46">
        <v>12.5</v>
      </c>
      <c r="F85" s="46">
        <v>1</v>
      </c>
      <c r="G85" s="465">
        <v>1700</v>
      </c>
      <c r="H85" s="608">
        <v>0.24</v>
      </c>
      <c r="I85" s="49">
        <v>0.88</v>
      </c>
      <c r="J85" s="91">
        <f>E85*G85*(1-H85)*1440/1000000*2.77</f>
        <v>64.419120000000007</v>
      </c>
      <c r="K85" s="91">
        <f>(IF(G85&lt;L85,L85,G85)*(1-IF(H85&lt;N85,H85,N85))*E85*O85*Q85)/100000000</f>
        <v>4.198999999999999</v>
      </c>
      <c r="L85" s="39">
        <v>1660</v>
      </c>
      <c r="M85" s="39">
        <v>1261.5999999999999</v>
      </c>
      <c r="N85" s="50">
        <f>1-(M85/L85)</f>
        <v>0.2400000000000001</v>
      </c>
      <c r="O85" s="51">
        <f>+'Trim Rwd'!H67</f>
        <v>260</v>
      </c>
      <c r="P85" s="52">
        <f>O85*(Q85-R85-S85)</f>
        <v>24440</v>
      </c>
      <c r="Q85" s="51">
        <v>100</v>
      </c>
      <c r="R85" s="422">
        <v>0</v>
      </c>
      <c r="S85" s="422">
        <v>6</v>
      </c>
      <c r="T85" s="41">
        <f>E85*M85*O85*Q85/100000000</f>
        <v>4.1001999999999992</v>
      </c>
      <c r="U85" s="41">
        <f>E85*M85*O85*(Q85-R85-S85)/100000000</f>
        <v>3.8541879999999993</v>
      </c>
      <c r="V85" s="41">
        <f>E85*G85*(1-N85)*O85/100*(R85+S85)/1000000</f>
        <v>0.25193999999999994</v>
      </c>
      <c r="W85" s="41">
        <f>+'17'!K18/1000</f>
        <v>12.579000000000001</v>
      </c>
      <c r="X85" s="419">
        <f>SUM(W85:W88)/SUM(K85:K88)</f>
        <v>0.93396511391766379</v>
      </c>
      <c r="Y85" s="223">
        <v>0</v>
      </c>
      <c r="Z85" s="41">
        <v>0</v>
      </c>
      <c r="AA85" s="53">
        <f>SUM(U85:U88)-SUM(W85:W88)-SUM(Z85:Z88)-SUM(Y85:Y88)</f>
        <v>-0.93027979105882341</v>
      </c>
      <c r="AB85" s="53">
        <f>(SUM(K85:K88)-SUM(W85:W88)-SUM(Y85:Y88)-SUM(Z85:Z88)-SUM(AC85:AC88)-SUM(V85:V88))-AA85</f>
        <v>-6.8901492705881751E-2</v>
      </c>
      <c r="AC85" s="41">
        <f>K85-T85</f>
        <v>9.8799999999999777E-2</v>
      </c>
      <c r="AD85" s="41">
        <f>+AM85+BA85</f>
        <v>10</v>
      </c>
      <c r="AE85" s="241" t="s">
        <v>571</v>
      </c>
      <c r="AF85" s="41">
        <v>10</v>
      </c>
      <c r="AG85" s="41"/>
      <c r="AH85" s="41"/>
      <c r="AI85" s="609"/>
      <c r="AJ85" s="41"/>
      <c r="AK85" s="41"/>
      <c r="AL85" s="41"/>
      <c r="AM85" s="41">
        <f>SUM(AF85:AL85)+AT85+AV85+AX85</f>
        <v>10</v>
      </c>
      <c r="AN85" s="41"/>
      <c r="AO85" s="41"/>
      <c r="AP85" s="41"/>
      <c r="AQ85" s="41"/>
      <c r="AR85" s="41">
        <f>SUM(AN85:AQ85)</f>
        <v>0</v>
      </c>
      <c r="AS85" s="41"/>
      <c r="AT85" s="41"/>
      <c r="AU85" s="41"/>
      <c r="AV85" s="41"/>
      <c r="AW85" s="41"/>
      <c r="AX85" s="41"/>
      <c r="AY85" s="41"/>
      <c r="AZ85" s="41"/>
      <c r="BA85" s="41">
        <f>+AR85+AS85+AU85+AW85+AY85+AZ85</f>
        <v>0</v>
      </c>
      <c r="BB85" s="37">
        <v>2</v>
      </c>
      <c r="BC85" s="55"/>
      <c r="BD85" s="55"/>
      <c r="BE85" s="37"/>
      <c r="BF85" s="55"/>
    </row>
    <row r="86" spans="1:58" ht="12.95" customHeight="1">
      <c r="A86" s="44"/>
      <c r="B86" s="45" t="s">
        <v>7</v>
      </c>
      <c r="C86" s="452">
        <f>(M86*E86*O86*Q86)/100000000</f>
        <v>58.365932156235296</v>
      </c>
      <c r="D86" s="45" t="s">
        <v>411</v>
      </c>
      <c r="E86" s="46">
        <v>13</v>
      </c>
      <c r="F86" s="46">
        <v>1</v>
      </c>
      <c r="G86" s="465">
        <v>1700</v>
      </c>
      <c r="H86" s="608">
        <v>0.24</v>
      </c>
      <c r="I86" s="49">
        <v>0.88</v>
      </c>
      <c r="J86" s="91">
        <f>E86*G86*(1-H86)*1440/1000000*2.77</f>
        <v>66.995884799999999</v>
      </c>
      <c r="K86" s="91">
        <f>(IF(G86&lt;L86,L86,G86)*(1-IF(H86&lt;N86,H86,N86))*E86*O86*Q86)/100000000</f>
        <v>59.772340159999978</v>
      </c>
      <c r="L86" s="39">
        <v>1660</v>
      </c>
      <c r="M86" s="39">
        <v>1261.5999999999999</v>
      </c>
      <c r="N86" s="50">
        <f>1-(M86/L86)</f>
        <v>0.2400000000000001</v>
      </c>
      <c r="O86" s="51">
        <f>+'Trim Rwd'!H68</f>
        <v>265.57647058823528</v>
      </c>
      <c r="P86" s="52">
        <f>O86*(Q86-R86-S86)</f>
        <v>339937.88235294115</v>
      </c>
      <c r="Q86" s="51">
        <v>1340</v>
      </c>
      <c r="R86" s="422">
        <v>0</v>
      </c>
      <c r="S86" s="422">
        <v>60</v>
      </c>
      <c r="T86" s="41">
        <f>E86*M86*O86*Q86/100000000</f>
        <v>58.365932156235296</v>
      </c>
      <c r="U86" s="41">
        <f>E86*M86*O86*(Q86-R86-S86)/100000000</f>
        <v>55.752532208941176</v>
      </c>
      <c r="V86" s="41">
        <f>E86*G86*(1-N86)*O86/100*(R86+S86)/1000000</f>
        <v>2.6763734399999994</v>
      </c>
      <c r="W86" s="41">
        <f>+'17'!K7/1000</f>
        <v>47.167999999999999</v>
      </c>
      <c r="X86" s="42"/>
      <c r="Y86" s="223"/>
      <c r="Z86" s="41">
        <f>+'17'!D34/1000</f>
        <v>0.79</v>
      </c>
      <c r="AA86" s="41"/>
      <c r="AB86" s="41"/>
      <c r="AC86" s="41">
        <f>K86-T86</f>
        <v>1.4064080037646818</v>
      </c>
      <c r="AD86" s="41">
        <f>+AM86+BA86</f>
        <v>18</v>
      </c>
      <c r="AE86" s="241" t="s">
        <v>618</v>
      </c>
      <c r="AF86" s="41"/>
      <c r="AG86" s="41">
        <v>18</v>
      </c>
      <c r="AH86" s="41"/>
      <c r="AI86" s="609"/>
      <c r="AJ86" s="41"/>
      <c r="AK86" s="41"/>
      <c r="AL86" s="41"/>
      <c r="AM86" s="41">
        <f>SUM(AF86:AL86)+AT86+AV86+AX86</f>
        <v>18</v>
      </c>
      <c r="AN86" s="92"/>
      <c r="AO86" s="41"/>
      <c r="AP86" s="41"/>
      <c r="AQ86" s="41"/>
      <c r="AR86" s="41">
        <f>SUM(AN86:AQ86)</f>
        <v>0</v>
      </c>
      <c r="AS86" s="41"/>
      <c r="AT86" s="41"/>
      <c r="AU86" s="41"/>
      <c r="AV86" s="41"/>
      <c r="AW86" s="41"/>
      <c r="AX86" s="41"/>
      <c r="AY86" s="41"/>
      <c r="AZ86" s="41"/>
      <c r="BA86" s="41">
        <f>+AR86+AS86+AU86+AW86+AY86+AZ86</f>
        <v>0</v>
      </c>
      <c r="BB86" s="54"/>
      <c r="BC86" s="55">
        <v>12</v>
      </c>
      <c r="BD86" s="55"/>
      <c r="BE86" s="54"/>
      <c r="BF86" s="55"/>
    </row>
    <row r="87" spans="1:58" ht="12.95" customHeight="1">
      <c r="A87" s="44"/>
      <c r="B87" s="45"/>
      <c r="C87" s="452"/>
      <c r="D87" s="45"/>
      <c r="E87" s="46"/>
      <c r="F87" s="46"/>
      <c r="G87" s="465"/>
      <c r="H87" s="48"/>
      <c r="I87" s="49"/>
      <c r="J87" s="91"/>
      <c r="K87" s="91"/>
      <c r="L87" s="39"/>
      <c r="M87" s="39"/>
      <c r="N87" s="50"/>
      <c r="O87" s="51"/>
      <c r="P87" s="52"/>
      <c r="Q87" s="51"/>
      <c r="R87" s="422"/>
      <c r="S87" s="422"/>
      <c r="T87" s="41"/>
      <c r="U87" s="41"/>
      <c r="V87" s="41"/>
      <c r="W87" s="41"/>
      <c r="X87" s="42"/>
      <c r="Y87" s="223"/>
      <c r="Z87" s="41"/>
      <c r="AA87" s="41"/>
      <c r="AB87" s="41"/>
      <c r="AC87" s="41"/>
      <c r="AD87" s="41">
        <f>+AM87+BA87</f>
        <v>26</v>
      </c>
      <c r="AE87" s="241" t="s">
        <v>600</v>
      </c>
      <c r="AF87" s="37"/>
      <c r="AG87" s="37"/>
      <c r="AH87" s="37">
        <v>26</v>
      </c>
      <c r="AI87" s="609"/>
      <c r="AJ87" s="41"/>
      <c r="AK87" s="41"/>
      <c r="AL87" s="41"/>
      <c r="AM87" s="41">
        <f>SUM(AF87:AL87)+AT87+AV87+AX87</f>
        <v>26</v>
      </c>
      <c r="AN87" s="41"/>
      <c r="AO87" s="41"/>
      <c r="AP87" s="41"/>
      <c r="AQ87" s="41"/>
      <c r="AR87" s="41">
        <f>SUM(AN87:AQ87)</f>
        <v>0</v>
      </c>
      <c r="AS87" s="41"/>
      <c r="AT87" s="41"/>
      <c r="AU87" s="41"/>
      <c r="AV87" s="41"/>
      <c r="AW87" s="41"/>
      <c r="AX87" s="41"/>
      <c r="AY87" s="41"/>
      <c r="AZ87" s="41"/>
      <c r="BA87" s="41">
        <f>+AR87+AS87+AU87+AW87+AY87+AZ87</f>
        <v>0</v>
      </c>
      <c r="BB87" s="37"/>
      <c r="BC87" s="57"/>
      <c r="BD87" s="57"/>
      <c r="BE87" s="37"/>
      <c r="BF87" s="57"/>
    </row>
    <row r="88" spans="1:58" ht="12.95" customHeight="1">
      <c r="A88" s="44"/>
      <c r="B88" s="45"/>
      <c r="C88" s="452"/>
      <c r="D88" s="45"/>
      <c r="E88" s="46"/>
      <c r="F88" s="46"/>
      <c r="G88" s="465"/>
      <c r="H88" s="48"/>
      <c r="I88" s="49"/>
      <c r="J88" s="91"/>
      <c r="K88" s="91"/>
      <c r="L88" s="39"/>
      <c r="M88" s="39"/>
      <c r="N88" s="50"/>
      <c r="O88" s="51"/>
      <c r="P88" s="52"/>
      <c r="Q88" s="51"/>
      <c r="R88" s="422"/>
      <c r="S88" s="422"/>
      <c r="T88" s="41"/>
      <c r="U88" s="41"/>
      <c r="V88" s="41"/>
      <c r="W88" s="41"/>
      <c r="X88" s="42"/>
      <c r="Y88" s="223"/>
      <c r="Z88" s="41"/>
      <c r="AA88" s="41"/>
      <c r="AB88" s="41"/>
      <c r="AC88" s="41"/>
      <c r="AD88" s="41">
        <f>+AM88+BA88</f>
        <v>6</v>
      </c>
      <c r="AE88" s="241" t="s">
        <v>424</v>
      </c>
      <c r="AF88" s="37"/>
      <c r="AG88" s="37"/>
      <c r="AH88" s="37"/>
      <c r="AI88" s="461">
        <v>6</v>
      </c>
      <c r="AJ88" s="41"/>
      <c r="AK88" s="41"/>
      <c r="AL88" s="41"/>
      <c r="AM88" s="41">
        <f>SUM(AF88:AL88)+AT88+AV88+AX88</f>
        <v>6</v>
      </c>
      <c r="AN88" s="41"/>
      <c r="AO88" s="41"/>
      <c r="AP88" s="41"/>
      <c r="AQ88" s="41"/>
      <c r="AR88" s="41">
        <f>SUM(AN88:AQ88)</f>
        <v>0</v>
      </c>
      <c r="AS88" s="41"/>
      <c r="AT88" s="41"/>
      <c r="AU88" s="41"/>
      <c r="AV88" s="41"/>
      <c r="AW88" s="41"/>
      <c r="AX88" s="41"/>
      <c r="AY88" s="41"/>
      <c r="AZ88" s="41"/>
      <c r="BA88" s="41">
        <f>+AR88+AS88+AU88+AW88+AY88+AZ88</f>
        <v>0</v>
      </c>
      <c r="BB88" s="37"/>
      <c r="BC88" s="57"/>
      <c r="BD88" s="57"/>
      <c r="BE88" s="37"/>
      <c r="BF88" s="57"/>
    </row>
    <row r="89" spans="1:58" ht="12.95" customHeight="1">
      <c r="A89" s="346"/>
      <c r="B89" s="45"/>
      <c r="C89" s="452"/>
      <c r="D89" s="45"/>
      <c r="E89" s="46"/>
      <c r="F89" s="46"/>
      <c r="G89" s="465"/>
      <c r="H89" s="48"/>
      <c r="I89" s="49"/>
      <c r="J89" s="91"/>
      <c r="K89" s="91"/>
      <c r="L89" s="39"/>
      <c r="M89" s="39"/>
      <c r="N89" s="50"/>
      <c r="O89" s="51"/>
      <c r="P89" s="52"/>
      <c r="Q89" s="51"/>
      <c r="R89" s="422"/>
      <c r="S89" s="422"/>
      <c r="T89" s="41"/>
      <c r="U89" s="41"/>
      <c r="V89" s="41"/>
      <c r="W89" s="41"/>
      <c r="X89" s="419"/>
      <c r="Y89" s="223"/>
      <c r="Z89" s="41"/>
      <c r="AA89" s="53"/>
      <c r="AB89" s="53"/>
      <c r="AC89" s="41"/>
      <c r="AD89" s="41">
        <f>+AM89+BA89</f>
        <v>6</v>
      </c>
      <c r="AE89" s="244" t="s">
        <v>688</v>
      </c>
      <c r="AF89" s="41"/>
      <c r="AG89" s="41"/>
      <c r="AH89" s="41"/>
      <c r="AI89" s="461"/>
      <c r="AJ89" s="41"/>
      <c r="AK89" s="41">
        <v>6</v>
      </c>
      <c r="AL89" s="41"/>
      <c r="AM89" s="41">
        <f>SUM(AF89:AL89)+AT89+AV89+AX89</f>
        <v>6</v>
      </c>
      <c r="AN89" s="41"/>
      <c r="AO89" s="41"/>
      <c r="AP89" s="41"/>
      <c r="AQ89" s="41"/>
      <c r="AR89" s="41">
        <f>SUM(AN89:AQ89)</f>
        <v>0</v>
      </c>
      <c r="AS89" s="41"/>
      <c r="AT89" s="41"/>
      <c r="AU89" s="41"/>
      <c r="AV89" s="41"/>
      <c r="AW89" s="41"/>
      <c r="AX89" s="41"/>
      <c r="AY89" s="41"/>
      <c r="AZ89" s="41"/>
      <c r="BA89" s="41">
        <f>+AR89+AS89+AU89+AW89+AY89+AZ89</f>
        <v>0</v>
      </c>
      <c r="BB89" s="37"/>
      <c r="BC89" s="57"/>
      <c r="BD89" s="57"/>
      <c r="BE89" s="37"/>
      <c r="BF89" s="57"/>
    </row>
    <row r="90" spans="1:58" ht="12.95" customHeight="1">
      <c r="A90" s="346"/>
      <c r="B90" s="45"/>
      <c r="C90" s="452"/>
      <c r="D90" s="45"/>
      <c r="E90" s="46"/>
      <c r="F90" s="46"/>
      <c r="G90" s="465"/>
      <c r="H90" s="48"/>
      <c r="I90" s="49"/>
      <c r="J90" s="91"/>
      <c r="K90" s="91"/>
      <c r="L90" s="39"/>
      <c r="M90" s="39"/>
      <c r="N90" s="50"/>
      <c r="O90" s="51"/>
      <c r="P90" s="52"/>
      <c r="Q90" s="51"/>
      <c r="R90" s="422"/>
      <c r="S90" s="422"/>
      <c r="T90" s="41"/>
      <c r="U90" s="41"/>
      <c r="V90" s="41"/>
      <c r="W90" s="41"/>
      <c r="X90" s="42"/>
      <c r="Y90" s="223"/>
      <c r="Z90" s="41"/>
      <c r="AA90" s="53"/>
      <c r="AB90" s="53"/>
      <c r="AC90" s="41"/>
      <c r="AD90" s="41"/>
      <c r="AE90" s="241"/>
      <c r="AF90" s="41"/>
      <c r="AG90" s="41"/>
      <c r="AH90" s="41"/>
      <c r="AI90" s="461"/>
      <c r="AJ90" s="41"/>
      <c r="AK90" s="41"/>
      <c r="AL90" s="41"/>
      <c r="AM90" s="41"/>
      <c r="AN90" s="92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54"/>
      <c r="BC90" s="55"/>
      <c r="BD90" s="55"/>
      <c r="BE90" s="55"/>
      <c r="BF90" s="55"/>
    </row>
    <row r="91" spans="1:58" ht="12.95" customHeight="1">
      <c r="A91" s="44">
        <v>45948</v>
      </c>
      <c r="B91" s="45" t="s">
        <v>7</v>
      </c>
      <c r="C91" s="452">
        <f>(M91*E91*O91*Q91)/100000000</f>
        <v>15.930753392432432</v>
      </c>
      <c r="D91" s="45" t="s">
        <v>411</v>
      </c>
      <c r="E91" s="46">
        <v>13</v>
      </c>
      <c r="F91" s="46">
        <v>1</v>
      </c>
      <c r="G91" s="47">
        <v>1700</v>
      </c>
      <c r="H91" s="48">
        <v>0.24</v>
      </c>
      <c r="I91" s="49">
        <v>0.88</v>
      </c>
      <c r="J91" s="91">
        <f>E91*G91*(1-H91)*1440/1000000*2.77</f>
        <v>66.995884799999999</v>
      </c>
      <c r="K91" s="91">
        <f>(IF(G91&lt;L91,L91,G91)*(1-IF(H91&lt;N91,H91,N91))*E91*O91*Q91)/100000000</f>
        <v>16.025018205405406</v>
      </c>
      <c r="L91" s="39">
        <v>1690</v>
      </c>
      <c r="M91" s="39">
        <f>+L91-L91*0.24</f>
        <v>1284.4000000000001</v>
      </c>
      <c r="N91" s="50">
        <f>1-(M91/L91)</f>
        <v>0.24</v>
      </c>
      <c r="O91" s="51">
        <f>+'Trim Rwd'!H71</f>
        <v>265.02702702702703</v>
      </c>
      <c r="P91" s="52">
        <f>O91*(Q91-R91-S91)</f>
        <v>87723.945945945947</v>
      </c>
      <c r="Q91" s="51">
        <v>360</v>
      </c>
      <c r="R91" s="422">
        <v>0</v>
      </c>
      <c r="S91" s="422">
        <v>29</v>
      </c>
      <c r="T91" s="41">
        <f>E91*M91*O91*Q91/100000000</f>
        <v>15.930753392432432</v>
      </c>
      <c r="U91" s="41">
        <f>E91*M91*O91*(Q91-R91-S91)/100000000</f>
        <v>14.647442702486487</v>
      </c>
      <c r="V91" s="41">
        <f>E91*G91*(1-N91)*O91/100*(R91+S91)/1000000</f>
        <v>1.2909042443243242</v>
      </c>
      <c r="W91" s="41">
        <f>+'18'!K7/1000</f>
        <v>19.631</v>
      </c>
      <c r="X91" s="419">
        <f>SUM(W91:W94)/SUM(K91:K94)</f>
        <v>0.87887573724610002</v>
      </c>
      <c r="Y91" s="223">
        <v>0</v>
      </c>
      <c r="Z91" s="41">
        <f>+'18'!D7/1000</f>
        <v>0.25</v>
      </c>
      <c r="AA91" s="41">
        <f>SUM(U91:U94)-SUM(W91:W94)-SUM(Z91:Z94)-SUM(Y91:Y94)</f>
        <v>3.1494620304864895</v>
      </c>
      <c r="AB91" s="41">
        <f>(SUM(K91:K94)-SUM(W91:W94)-SUM(Y91:Y94)-SUM(Z91:Z94)-SUM(AC91:AC94)-SUM(V91:V94))-AA91</f>
        <v>-4.0338002378383031E-2</v>
      </c>
      <c r="AC91" s="41">
        <f>K91-T91</f>
        <v>9.4264812972973289E-2</v>
      </c>
      <c r="AD91" s="41">
        <f>+AM91+BA91</f>
        <v>0</v>
      </c>
      <c r="AE91" s="241" t="s">
        <v>280</v>
      </c>
      <c r="AF91" s="37">
        <v>0</v>
      </c>
      <c r="AG91" s="37"/>
      <c r="AH91" s="37"/>
      <c r="AJ91" s="41"/>
      <c r="AK91" s="41"/>
      <c r="AL91" s="41"/>
      <c r="AM91" s="41">
        <f>SUM(AF91:AL91)+AT91+AV91+AX91</f>
        <v>0</v>
      </c>
      <c r="AN91" s="41"/>
      <c r="AO91" s="41"/>
      <c r="AP91" s="41"/>
      <c r="AQ91" s="41"/>
      <c r="AR91" s="41">
        <f>SUM(AN91:AQ91)</f>
        <v>0</v>
      </c>
      <c r="AS91" s="41"/>
      <c r="AT91" s="41"/>
      <c r="AU91" s="41"/>
      <c r="AV91" s="41"/>
      <c r="AW91" s="41"/>
      <c r="AX91" s="41"/>
      <c r="AY91" s="41"/>
      <c r="AZ91" s="41"/>
      <c r="BA91" s="41">
        <f>+AR91+AS91+AU91+AW91+AY91+AZ91</f>
        <v>0</v>
      </c>
      <c r="BB91" s="37">
        <v>0</v>
      </c>
      <c r="BC91" s="57"/>
      <c r="BD91" s="55"/>
      <c r="BE91" s="55"/>
      <c r="BF91" s="55"/>
    </row>
    <row r="92" spans="1:58" ht="12.95" customHeight="1">
      <c r="A92" s="44"/>
      <c r="B92" s="45" t="s">
        <v>7</v>
      </c>
      <c r="C92" s="452">
        <f>(M92*E92*O92*Q92)/100000000</f>
        <v>44.472913920000003</v>
      </c>
      <c r="D92" s="45" t="s">
        <v>411</v>
      </c>
      <c r="E92" s="46">
        <v>12</v>
      </c>
      <c r="F92" s="46">
        <v>1</v>
      </c>
      <c r="G92" s="465">
        <v>1700</v>
      </c>
      <c r="H92" s="48">
        <v>0.24</v>
      </c>
      <c r="I92" s="49">
        <v>0.88</v>
      </c>
      <c r="J92" s="91">
        <f>E92*G92*(1-H92)*1440/1000000*2.77</f>
        <v>61.8423552</v>
      </c>
      <c r="K92" s="91">
        <f>(IF(G92&lt;L92,L92,G92)*(1-IF(H92&lt;N92,H92,N92))*E92*O92*Q92)/100000000</f>
        <v>45.544550399999991</v>
      </c>
      <c r="L92" s="39">
        <v>1660</v>
      </c>
      <c r="M92" s="39">
        <f>+L92-L92*0.24</f>
        <v>1261.5999999999999</v>
      </c>
      <c r="N92" s="50">
        <f>1-(M92/L92)</f>
        <v>0.2400000000000001</v>
      </c>
      <c r="O92" s="51">
        <f>+'Trim Rwd'!H73</f>
        <v>272</v>
      </c>
      <c r="P92" s="52">
        <f>O92*(Q92-R92-S92)</f>
        <v>284784</v>
      </c>
      <c r="Q92" s="51">
        <v>1080</v>
      </c>
      <c r="R92" s="422">
        <v>0</v>
      </c>
      <c r="S92" s="422">
        <v>33</v>
      </c>
      <c r="T92" s="41">
        <f>E92*M92*O92*Q92/100000000</f>
        <v>44.472913920000003</v>
      </c>
      <c r="U92" s="41">
        <f>E92*M92*O92*(Q92-R92-S92)/100000000</f>
        <v>43.114019328000005</v>
      </c>
      <c r="V92" s="41">
        <f>E92*G92*(1-N92)*O92/100*(R92+S92)/1000000</f>
        <v>1.3916390399999996</v>
      </c>
      <c r="W92" s="41">
        <f>+'18'!K16/1000</f>
        <v>34.481000000000002</v>
      </c>
      <c r="X92" s="42"/>
      <c r="Y92" s="223"/>
      <c r="Z92" s="41">
        <f>+'18'!D25/1000</f>
        <v>0.25</v>
      </c>
      <c r="AA92" s="41"/>
      <c r="AB92" s="41"/>
      <c r="AC92" s="41">
        <f>K92-T92</f>
        <v>1.071636479999988</v>
      </c>
      <c r="AD92" s="41">
        <f>+AM92+BA92</f>
        <v>21</v>
      </c>
      <c r="AE92" s="244" t="s">
        <v>644</v>
      </c>
      <c r="AF92" s="41"/>
      <c r="AG92" s="41">
        <v>21</v>
      </c>
      <c r="AH92" s="41"/>
      <c r="AI92" s="41"/>
      <c r="AJ92" s="41"/>
      <c r="AK92" s="41"/>
      <c r="AL92" s="41"/>
      <c r="AM92" s="41">
        <f>SUM(AF92:AL92)+AT92+AV92+AX92</f>
        <v>21</v>
      </c>
      <c r="AN92" s="60"/>
      <c r="AO92" s="41"/>
      <c r="AP92" s="41"/>
      <c r="AQ92" s="41"/>
      <c r="AR92" s="41">
        <f>SUM(AN92:AQ92)</f>
        <v>0</v>
      </c>
      <c r="AS92" s="41"/>
      <c r="AT92" s="41"/>
      <c r="AU92" s="41"/>
      <c r="AV92" s="41"/>
      <c r="AW92" s="41"/>
      <c r="AX92" s="41"/>
      <c r="AY92" s="41"/>
      <c r="AZ92" s="41"/>
      <c r="BA92" s="41">
        <f>+AR92+AS92+AU92+AW92+AY92+AZ92</f>
        <v>0</v>
      </c>
      <c r="BB92" s="37"/>
      <c r="BC92" s="55">
        <v>16</v>
      </c>
      <c r="BD92" s="55"/>
      <c r="BE92" s="55"/>
      <c r="BF92" s="55"/>
    </row>
    <row r="93" spans="1:58" ht="12.95" customHeight="1">
      <c r="A93" s="44"/>
      <c r="B93" s="45"/>
      <c r="C93" s="452"/>
      <c r="D93" s="45"/>
      <c r="E93" s="46"/>
      <c r="F93" s="46"/>
      <c r="G93" s="47"/>
      <c r="H93" s="48"/>
      <c r="I93" s="49"/>
      <c r="J93" s="91"/>
      <c r="K93" s="91"/>
      <c r="L93" s="39"/>
      <c r="M93" s="39"/>
      <c r="N93" s="50"/>
      <c r="O93" s="51"/>
      <c r="P93" s="52"/>
      <c r="Q93" s="51"/>
      <c r="R93" s="422"/>
      <c r="S93" s="422"/>
      <c r="T93" s="41"/>
      <c r="U93" s="41"/>
      <c r="V93" s="41"/>
      <c r="W93" s="41"/>
      <c r="X93" s="42"/>
      <c r="Y93" s="223"/>
      <c r="Z93" s="41"/>
      <c r="AA93" s="41"/>
      <c r="AB93" s="41"/>
      <c r="AC93" s="41"/>
      <c r="AD93" s="41">
        <f>+AM93+BA93</f>
        <v>33</v>
      </c>
      <c r="AE93" s="241" t="s">
        <v>703</v>
      </c>
      <c r="AF93" s="41"/>
      <c r="AG93" s="41"/>
      <c r="AH93" s="41">
        <v>33</v>
      </c>
      <c r="AI93" s="41"/>
      <c r="AJ93" s="41"/>
      <c r="AK93" s="41"/>
      <c r="AL93" s="41"/>
      <c r="AM93" s="41">
        <f>SUM(AF93:AL93)+AT93+AV93+AX93</f>
        <v>33</v>
      </c>
      <c r="AN93" s="41"/>
      <c r="AO93" s="41"/>
      <c r="AP93" s="41"/>
      <c r="AQ93" s="41"/>
      <c r="AR93" s="41">
        <f>SUM(AN93:AQ93)</f>
        <v>0</v>
      </c>
      <c r="AS93" s="41"/>
      <c r="AT93" s="41"/>
      <c r="AU93" s="41"/>
      <c r="AV93" s="41"/>
      <c r="AW93" s="41"/>
      <c r="AX93" s="41"/>
      <c r="AY93" s="41"/>
      <c r="AZ93" s="41"/>
      <c r="BA93" s="41">
        <f>+AR93+AS93+AU93+AW93+AY93+AZ93</f>
        <v>0</v>
      </c>
      <c r="BB93" s="37"/>
      <c r="BC93" s="55"/>
      <c r="BD93" s="55"/>
      <c r="BE93" s="55"/>
      <c r="BF93" s="55"/>
    </row>
    <row r="94" spans="1:58" ht="12.95" customHeight="1">
      <c r="A94" s="346"/>
      <c r="B94" s="45"/>
      <c r="C94" s="452"/>
      <c r="D94" s="45"/>
      <c r="E94" s="46"/>
      <c r="F94" s="46"/>
      <c r="G94" s="465"/>
      <c r="H94" s="48"/>
      <c r="I94" s="49"/>
      <c r="J94" s="91"/>
      <c r="K94" s="91"/>
      <c r="L94" s="39"/>
      <c r="M94" s="39"/>
      <c r="N94" s="50"/>
      <c r="O94" s="51"/>
      <c r="P94" s="52"/>
      <c r="Q94" s="51"/>
      <c r="R94" s="422"/>
      <c r="S94" s="422"/>
      <c r="T94" s="41"/>
      <c r="U94" s="41"/>
      <c r="V94" s="41"/>
      <c r="W94" s="41"/>
      <c r="X94" s="42"/>
      <c r="Y94" s="223"/>
      <c r="Z94" s="41"/>
      <c r="AA94" s="53"/>
      <c r="AB94" s="53"/>
      <c r="AC94" s="41"/>
      <c r="AD94" s="41">
        <f>+AM94+BA94</f>
        <v>8</v>
      </c>
      <c r="AE94" s="241" t="s">
        <v>424</v>
      </c>
      <c r="AF94" s="41"/>
      <c r="AG94" s="41"/>
      <c r="AH94" s="41"/>
      <c r="AI94" s="461">
        <v>8</v>
      </c>
      <c r="AJ94" s="41"/>
      <c r="AK94" s="41"/>
      <c r="AL94" s="41"/>
      <c r="AM94" s="41">
        <f>SUM(AF94:AL94)+AT94+AV94+AX94</f>
        <v>8</v>
      </c>
      <c r="AN94" s="41"/>
      <c r="AO94" s="41"/>
      <c r="AP94" s="41"/>
      <c r="AQ94" s="41"/>
      <c r="AR94" s="41">
        <f>SUM(AN94:AQ94)</f>
        <v>0</v>
      </c>
      <c r="AS94" s="41"/>
      <c r="AT94" s="41"/>
      <c r="AU94" s="41"/>
      <c r="AV94" s="41"/>
      <c r="AW94" s="41"/>
      <c r="AX94" s="41"/>
      <c r="AY94" s="41"/>
      <c r="AZ94" s="41"/>
      <c r="BA94" s="41">
        <f>+AR94+AS94+AU94+AW94+AY94+AZ94</f>
        <v>0</v>
      </c>
      <c r="BB94" s="37"/>
      <c r="BC94" s="55"/>
      <c r="BD94" s="55"/>
      <c r="BE94" s="55"/>
      <c r="BF94" s="55"/>
    </row>
    <row r="95" spans="1:58" ht="12.95" customHeight="1">
      <c r="A95" s="346"/>
      <c r="B95" s="45"/>
      <c r="C95" s="452"/>
      <c r="D95" s="45"/>
      <c r="E95" s="46"/>
      <c r="F95" s="46"/>
      <c r="G95" s="465"/>
      <c r="H95" s="48"/>
      <c r="I95" s="49"/>
      <c r="J95" s="91"/>
      <c r="K95" s="91"/>
      <c r="L95" s="39"/>
      <c r="M95" s="39"/>
      <c r="N95" s="50"/>
      <c r="O95" s="51"/>
      <c r="P95" s="52"/>
      <c r="Q95" s="51"/>
      <c r="R95" s="422"/>
      <c r="S95" s="422"/>
      <c r="T95" s="41"/>
      <c r="U95" s="41"/>
      <c r="V95" s="41"/>
      <c r="W95" s="41"/>
      <c r="X95" s="419"/>
      <c r="Y95" s="223"/>
      <c r="Z95" s="41"/>
      <c r="AA95" s="53"/>
      <c r="AB95" s="53"/>
      <c r="AC95" s="41"/>
      <c r="AD95" s="41"/>
      <c r="AE95" s="241"/>
      <c r="AF95" s="41"/>
      <c r="AG95" s="41"/>
      <c r="AH95" s="41"/>
      <c r="AI95" s="461"/>
      <c r="AJ95" s="41"/>
      <c r="AK95" s="41"/>
      <c r="AL95" s="41"/>
      <c r="AM95" s="41"/>
      <c r="AN95" s="92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54"/>
      <c r="BC95" s="55"/>
      <c r="BD95" s="55"/>
      <c r="BE95" s="55"/>
      <c r="BF95" s="55"/>
    </row>
    <row r="96" spans="1:58" ht="12.95" customHeight="1">
      <c r="A96" s="44">
        <v>45949</v>
      </c>
      <c r="B96" s="45" t="s">
        <v>7</v>
      </c>
      <c r="C96" s="452">
        <f>(M96*E96*O96*Q96)/100000000</f>
        <v>59.547125881422907</v>
      </c>
      <c r="D96" s="45" t="s">
        <v>411</v>
      </c>
      <c r="E96" s="46">
        <v>12</v>
      </c>
      <c r="F96" s="46">
        <v>1</v>
      </c>
      <c r="G96" s="47">
        <v>1700</v>
      </c>
      <c r="H96" s="48">
        <v>0.24</v>
      </c>
      <c r="I96" s="49">
        <v>0.88</v>
      </c>
      <c r="J96" s="91">
        <f>E96*G96*(1-H96)*1440/1000000*2.77</f>
        <v>61.8423552</v>
      </c>
      <c r="K96" s="91">
        <f>(IF(G96&lt;L96,L96,G96)*(1-IF(H96&lt;N96,H96,N96))*E96*O96*Q96)/100000000</f>
        <v>60.726067200000003</v>
      </c>
      <c r="L96" s="39">
        <v>1666.99604743083</v>
      </c>
      <c r="M96" s="39">
        <v>1266.9169960474308</v>
      </c>
      <c r="N96" s="50">
        <f>1-(M96/L96)</f>
        <v>0.24</v>
      </c>
      <c r="O96" s="51">
        <f>+'Trim Rwd'!H75</f>
        <v>272</v>
      </c>
      <c r="P96" s="52">
        <f>O96*(Q96-R96-S96)</f>
        <v>366928</v>
      </c>
      <c r="Q96" s="51">
        <v>1440</v>
      </c>
      <c r="R96" s="422">
        <v>0</v>
      </c>
      <c r="S96" s="422">
        <v>91</v>
      </c>
      <c r="T96" s="41">
        <f>E96*M96*O96*Q96/100000000</f>
        <v>59.547125881422907</v>
      </c>
      <c r="U96" s="41">
        <f>E96*M96*O96*(Q96-R96-S96)/100000000</f>
        <v>55.784078343082989</v>
      </c>
      <c r="V96" s="41">
        <f>E96*G96*(1-N96)*O96/100*(R96+S96)/1000000</f>
        <v>3.8375500799999998</v>
      </c>
      <c r="W96" s="41">
        <f>+'19'!K34/1000</f>
        <v>53.927</v>
      </c>
      <c r="X96" s="42">
        <f>SUM(W96:W99)/SUM(K96:K99)</f>
        <v>0.88803708994347652</v>
      </c>
      <c r="Y96" s="223">
        <v>0</v>
      </c>
      <c r="Z96" s="41">
        <f>+'19'!D34/1000</f>
        <v>0.54300000000000004</v>
      </c>
      <c r="AA96" s="41">
        <f>SUM(U96:U99)-SUM(W96:W99)-SUM(Z96:Z99)-SUM(Y96:Y99)</f>
        <v>1.314078343082989</v>
      </c>
      <c r="AB96" s="41">
        <f>(SUM(K96:K99)-SUM(W96:W99)-SUM(Y96:Y99)-SUM(Z96:Z99)-SUM(AC96:AC99)-SUM(V96:V99))-AA96</f>
        <v>-7.4502541660081079E-2</v>
      </c>
      <c r="AC96" s="41">
        <f>K96-T96</f>
        <v>1.1789413185770954</v>
      </c>
      <c r="AD96" s="41">
        <f>+AM96+BA96</f>
        <v>45</v>
      </c>
      <c r="AE96" s="241" t="s">
        <v>704</v>
      </c>
      <c r="AF96" s="37">
        <v>45</v>
      </c>
      <c r="AG96" s="37"/>
      <c r="AH96" s="37"/>
      <c r="AJ96" s="41"/>
      <c r="AK96" s="41"/>
      <c r="AL96" s="41"/>
      <c r="AM96" s="41">
        <f>SUM(AF96:AL96)+AT96+AV96+AX96</f>
        <v>45</v>
      </c>
      <c r="AN96" s="41"/>
      <c r="AO96" s="41"/>
      <c r="AP96" s="41"/>
      <c r="AQ96" s="41"/>
      <c r="AR96" s="41">
        <f>SUM(AN96:AQ96)</f>
        <v>0</v>
      </c>
      <c r="AS96" s="41"/>
      <c r="AT96" s="41"/>
      <c r="AU96" s="41"/>
      <c r="AV96" s="41"/>
      <c r="AW96" s="41"/>
      <c r="AX96" s="41"/>
      <c r="AY96" s="41"/>
      <c r="AZ96" s="41"/>
      <c r="BA96" s="41">
        <f>+AR96+AS96+AU96+AW96+AY96+AZ96</f>
        <v>0</v>
      </c>
      <c r="BB96" s="37">
        <v>9</v>
      </c>
      <c r="BC96" s="57"/>
      <c r="BD96" s="55"/>
      <c r="BE96" s="55"/>
      <c r="BF96" s="55"/>
    </row>
    <row r="97" spans="1:58" ht="12.95" customHeight="1">
      <c r="A97" s="44"/>
      <c r="B97" s="45"/>
      <c r="C97" s="452"/>
      <c r="D97" s="45"/>
      <c r="E97" s="46"/>
      <c r="F97" s="46"/>
      <c r="G97" s="465"/>
      <c r="H97" s="48"/>
      <c r="I97" s="49"/>
      <c r="J97" s="91"/>
      <c r="K97" s="91"/>
      <c r="L97" s="39"/>
      <c r="M97" s="39"/>
      <c r="N97" s="50"/>
      <c r="O97" s="51"/>
      <c r="P97" s="52"/>
      <c r="Q97" s="51"/>
      <c r="R97" s="422"/>
      <c r="S97" s="422"/>
      <c r="T97" s="41"/>
      <c r="U97" s="41"/>
      <c r="V97" s="41"/>
      <c r="W97" s="41"/>
      <c r="X97" s="42"/>
      <c r="Y97" s="223"/>
      <c r="Z97" s="41"/>
      <c r="AA97" s="41"/>
      <c r="AB97" s="41"/>
      <c r="AC97" s="41"/>
      <c r="AD97" s="41">
        <f>+AM97+BA97</f>
        <v>19</v>
      </c>
      <c r="AE97" s="241" t="s">
        <v>705</v>
      </c>
      <c r="AF97" s="41"/>
      <c r="AG97" s="41">
        <v>19</v>
      </c>
      <c r="AH97" s="41"/>
      <c r="AI97" s="41"/>
      <c r="AJ97" s="41"/>
      <c r="AK97" s="41"/>
      <c r="AL97" s="41"/>
      <c r="AM97" s="41">
        <f>SUM(AF97:AL97)+AT97+AV97+AX97</f>
        <v>19</v>
      </c>
      <c r="AN97" s="41"/>
      <c r="AO97" s="41"/>
      <c r="AP97" s="41"/>
      <c r="AQ97" s="41"/>
      <c r="AR97" s="41">
        <f>SUM(AN97:AQ97)</f>
        <v>0</v>
      </c>
      <c r="AS97" s="41"/>
      <c r="AT97" s="41"/>
      <c r="AU97" s="41"/>
      <c r="AV97" s="41"/>
      <c r="AW97" s="41"/>
      <c r="AX97" s="41"/>
      <c r="AY97" s="41"/>
      <c r="AZ97" s="41"/>
      <c r="BA97" s="41">
        <f>+AR97+AS97+AU97+AW97+AY97+AZ97</f>
        <v>0</v>
      </c>
      <c r="BB97" s="37"/>
      <c r="BC97" s="55">
        <v>14</v>
      </c>
      <c r="BD97" s="55"/>
      <c r="BE97" s="55"/>
      <c r="BF97" s="55"/>
    </row>
    <row r="98" spans="1:58" ht="12.95" customHeight="1">
      <c r="A98" s="346"/>
      <c r="B98" s="45"/>
      <c r="C98" s="452"/>
      <c r="D98" s="45"/>
      <c r="E98" s="46"/>
      <c r="F98" s="46"/>
      <c r="G98" s="465"/>
      <c r="H98" s="48"/>
      <c r="I98" s="49"/>
      <c r="J98" s="91"/>
      <c r="K98" s="91"/>
      <c r="L98" s="39"/>
      <c r="M98" s="39"/>
      <c r="N98" s="50"/>
      <c r="O98" s="51"/>
      <c r="P98" s="52"/>
      <c r="Q98" s="51"/>
      <c r="R98" s="422"/>
      <c r="S98" s="422"/>
      <c r="T98" s="41"/>
      <c r="U98" s="41"/>
      <c r="V98" s="41"/>
      <c r="W98" s="41"/>
      <c r="X98" s="419"/>
      <c r="Y98" s="223"/>
      <c r="Z98" s="41"/>
      <c r="AA98" s="53"/>
      <c r="AB98" s="53"/>
      <c r="AC98" s="41"/>
      <c r="AD98" s="41">
        <f>+AM98+BA98</f>
        <v>27</v>
      </c>
      <c r="AE98" s="241" t="s">
        <v>706</v>
      </c>
      <c r="AF98" s="41"/>
      <c r="AG98" s="41"/>
      <c r="AH98" s="41">
        <v>27</v>
      </c>
      <c r="AI98" s="461"/>
      <c r="AJ98" s="41"/>
      <c r="AK98" s="41"/>
      <c r="AL98" s="41"/>
      <c r="AM98" s="41">
        <f>SUM(AF98:AL98)+AT98+AV98+AX98</f>
        <v>27</v>
      </c>
      <c r="AN98" s="41"/>
      <c r="AO98" s="41"/>
      <c r="AP98" s="41"/>
      <c r="AQ98" s="41"/>
      <c r="AR98" s="41">
        <f>SUM(AN98:AQ98)</f>
        <v>0</v>
      </c>
      <c r="AS98" s="41"/>
      <c r="AT98" s="41"/>
      <c r="AU98" s="41"/>
      <c r="AV98" s="41"/>
      <c r="AW98" s="41"/>
      <c r="AX98" s="41"/>
      <c r="AY98" s="41"/>
      <c r="AZ98" s="41"/>
      <c r="BA98" s="41">
        <f>+AR98+AS98+AU98+AW98+AY98+AZ98</f>
        <v>0</v>
      </c>
      <c r="BB98" s="37"/>
      <c r="BC98" s="55"/>
      <c r="BD98" s="55"/>
      <c r="BE98" s="55"/>
      <c r="BF98" s="55"/>
    </row>
    <row r="99" spans="1:58" ht="12.95" customHeight="1">
      <c r="A99" s="346"/>
      <c r="B99" s="45"/>
      <c r="C99" s="452"/>
      <c r="D99" s="45"/>
      <c r="E99" s="46"/>
      <c r="F99" s="46"/>
      <c r="G99" s="465"/>
      <c r="H99" s="48"/>
      <c r="I99" s="49"/>
      <c r="J99" s="91"/>
      <c r="K99" s="91"/>
      <c r="L99" s="39"/>
      <c r="M99" s="39"/>
      <c r="N99" s="50"/>
      <c r="O99" s="51"/>
      <c r="P99" s="52"/>
      <c r="Q99" s="51"/>
      <c r="R99" s="422"/>
      <c r="S99" s="422"/>
      <c r="T99" s="41"/>
      <c r="U99" s="41"/>
      <c r="V99" s="41"/>
      <c r="W99" s="41"/>
      <c r="X99" s="419"/>
      <c r="Y99" s="223"/>
      <c r="Z99" s="41"/>
      <c r="AA99" s="53"/>
      <c r="AB99" s="53"/>
      <c r="AC99" s="41"/>
      <c r="AD99" s="41"/>
      <c r="AE99" s="241"/>
      <c r="AF99" s="41"/>
      <c r="AG99" s="41"/>
      <c r="AH99" s="41"/>
      <c r="AI99" s="461"/>
      <c r="AJ99" s="41"/>
      <c r="AK99" s="41"/>
      <c r="AL99" s="41"/>
      <c r="AM99" s="41"/>
      <c r="AN99" s="92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54"/>
      <c r="BC99" s="55"/>
      <c r="BD99" s="55"/>
      <c r="BE99" s="55"/>
      <c r="BF99" s="55"/>
    </row>
    <row r="100" spans="1:58" ht="12.95" customHeight="1">
      <c r="A100" s="44">
        <v>45950</v>
      </c>
      <c r="B100" s="45" t="s">
        <v>7</v>
      </c>
      <c r="C100" s="452">
        <f>(M100*E100*O100*Q100)/100000000</f>
        <v>59.892572160000007</v>
      </c>
      <c r="D100" s="45" t="s">
        <v>411</v>
      </c>
      <c r="E100" s="46">
        <v>12</v>
      </c>
      <c r="F100" s="46">
        <v>1</v>
      </c>
      <c r="G100" s="47">
        <v>1700</v>
      </c>
      <c r="H100" s="48">
        <v>0.24</v>
      </c>
      <c r="I100" s="49">
        <v>0.88</v>
      </c>
      <c r="J100" s="91">
        <f>E100*G100*(1-H100)*1440/1000000*2.77</f>
        <v>61.8423552</v>
      </c>
      <c r="K100" s="91">
        <f>(IF(G100&lt;L100,L100,G100)*(1-IF(H100&lt;N100,H100,N100))*E100*O100*Q100)/100000000</f>
        <v>60.726067200000003</v>
      </c>
      <c r="L100" s="39">
        <v>1676.6666666666667</v>
      </c>
      <c r="M100" s="39">
        <v>1274.2666666666667</v>
      </c>
      <c r="N100" s="50">
        <f>1-(M100/L100)</f>
        <v>0.24</v>
      </c>
      <c r="O100" s="51">
        <f>+'Trim Rwd'!H77</f>
        <v>272</v>
      </c>
      <c r="P100" s="52">
        <f>O100*(Q100-R100-S100)</f>
        <v>374000</v>
      </c>
      <c r="Q100" s="51">
        <v>1440</v>
      </c>
      <c r="R100" s="422">
        <v>0</v>
      </c>
      <c r="S100" s="422">
        <v>65</v>
      </c>
      <c r="T100" s="41">
        <f>E100*M100*O100*Q100/100000000</f>
        <v>59.892572160000007</v>
      </c>
      <c r="U100" s="41">
        <f>E100*M100*O100*(Q100-R100-S100)/100000000</f>
        <v>57.189088000000012</v>
      </c>
      <c r="V100" s="41">
        <f>E100*G100*(1-N100)*O100/100*(R100+S100)/1000000</f>
        <v>2.7411071999999996</v>
      </c>
      <c r="W100" s="41">
        <f>+'20'!K34/1000</f>
        <v>55.262999999999998</v>
      </c>
      <c r="X100" s="42">
        <f>SUM(W100:W103)/SUM(K100:K103)</f>
        <v>0.91003752668508053</v>
      </c>
      <c r="Y100" s="223">
        <v>0</v>
      </c>
      <c r="Z100" s="41">
        <f>+'20'!D34/1000</f>
        <v>0.96399999999999997</v>
      </c>
      <c r="AA100" s="41">
        <f>SUM(U100:U103)-SUM(W100:W103)-SUM(Z100:Z103)-SUM(Y100:Y103)</f>
        <v>0.96208800000001427</v>
      </c>
      <c r="AB100" s="41">
        <f>(SUM(K100:K103)-SUM(W100:W103)-SUM(Y100:Y103)-SUM(Z100:Z103)-SUM(AC100:AC103)-SUM(V100:V103))-AA100</f>
        <v>-3.7623040000005048E-2</v>
      </c>
      <c r="AC100" s="41">
        <f>K100-T100</f>
        <v>0.83349503999999541</v>
      </c>
      <c r="AD100" s="41">
        <f>+AM100+BA100</f>
        <v>17</v>
      </c>
      <c r="AE100" s="244" t="s">
        <v>614</v>
      </c>
      <c r="AF100" s="37">
        <v>17</v>
      </c>
      <c r="AG100" s="37"/>
      <c r="AH100" s="37"/>
      <c r="AI100" s="461"/>
      <c r="AJ100" s="41"/>
      <c r="AK100" s="41"/>
      <c r="AL100" s="41"/>
      <c r="AM100" s="41">
        <f>SUM(AF100:AL100)+AT100+AV100+AX100</f>
        <v>17</v>
      </c>
      <c r="AN100" s="41"/>
      <c r="AO100" s="41"/>
      <c r="AP100" s="41"/>
      <c r="AQ100" s="41"/>
      <c r="AR100" s="41">
        <f>SUM(AN100:AQ100)</f>
        <v>0</v>
      </c>
      <c r="AS100" s="41"/>
      <c r="AT100" s="41"/>
      <c r="AU100" s="41"/>
      <c r="AV100" s="41"/>
      <c r="AW100" s="41"/>
      <c r="AX100" s="41"/>
      <c r="AY100" s="41"/>
      <c r="AZ100" s="41"/>
      <c r="BA100" s="41">
        <f>+AR100+AS100+AU100+AW100+AY100+AZ100</f>
        <v>0</v>
      </c>
      <c r="BB100" s="37">
        <v>3</v>
      </c>
      <c r="BC100" s="57"/>
      <c r="BD100" s="57"/>
      <c r="BE100" s="37"/>
      <c r="BF100" s="57"/>
    </row>
    <row r="101" spans="1:58" ht="12.95" customHeight="1">
      <c r="A101" s="44"/>
      <c r="B101" s="45"/>
      <c r="C101" s="452"/>
      <c r="D101" s="45"/>
      <c r="E101" s="46"/>
      <c r="F101" s="46"/>
      <c r="G101" s="47"/>
      <c r="H101" s="48"/>
      <c r="I101" s="49"/>
      <c r="J101" s="91"/>
      <c r="K101" s="91"/>
      <c r="L101" s="39"/>
      <c r="M101" s="39"/>
      <c r="N101" s="50"/>
      <c r="O101" s="51"/>
      <c r="P101" s="52"/>
      <c r="Q101" s="51"/>
      <c r="R101" s="422"/>
      <c r="S101" s="422"/>
      <c r="T101" s="41"/>
      <c r="U101" s="41"/>
      <c r="V101" s="41"/>
      <c r="W101" s="41"/>
      <c r="X101" s="42"/>
      <c r="Y101" s="223"/>
      <c r="Z101" s="41"/>
      <c r="AA101" s="41"/>
      <c r="AB101" s="41"/>
      <c r="AC101" s="41"/>
      <c r="AD101" s="41">
        <f>+AM101+BA101</f>
        <v>18</v>
      </c>
      <c r="AE101" s="241" t="s">
        <v>588</v>
      </c>
      <c r="AF101" s="37"/>
      <c r="AG101" s="37">
        <v>18</v>
      </c>
      <c r="AH101" s="37"/>
      <c r="AJ101" s="41"/>
      <c r="AK101" s="41"/>
      <c r="AL101" s="41"/>
      <c r="AM101" s="41">
        <f>SUM(AF101:AL101)+AT101+AV101+AX101</f>
        <v>18</v>
      </c>
      <c r="AN101" s="41"/>
      <c r="AO101" s="41"/>
      <c r="AP101" s="41"/>
      <c r="AQ101" s="41"/>
      <c r="AR101" s="41">
        <f>SUM(AN101:AQ101)</f>
        <v>0</v>
      </c>
      <c r="AS101" s="41"/>
      <c r="AT101" s="41"/>
      <c r="AU101" s="41"/>
      <c r="AV101" s="41"/>
      <c r="AW101" s="41"/>
      <c r="AX101" s="41"/>
      <c r="AY101" s="41"/>
      <c r="AZ101" s="41"/>
      <c r="BA101" s="41">
        <f>+AR101+AS101+AU101+AW101+AY101+AZ101</f>
        <v>0</v>
      </c>
      <c r="BB101" s="37"/>
      <c r="BC101" s="57">
        <v>11</v>
      </c>
      <c r="BD101" s="55"/>
      <c r="BE101" s="55"/>
      <c r="BF101" s="55"/>
    </row>
    <row r="102" spans="1:58" ht="12.95" customHeight="1">
      <c r="A102" s="346"/>
      <c r="B102" s="45"/>
      <c r="C102" s="452"/>
      <c r="D102" s="45"/>
      <c r="E102" s="46"/>
      <c r="F102" s="46"/>
      <c r="G102" s="465"/>
      <c r="H102" s="48"/>
      <c r="I102" s="49"/>
      <c r="J102" s="91"/>
      <c r="K102" s="91"/>
      <c r="L102" s="39"/>
      <c r="M102" s="39"/>
      <c r="N102" s="50"/>
      <c r="O102" s="51"/>
      <c r="P102" s="52"/>
      <c r="Q102" s="51"/>
      <c r="R102" s="422"/>
      <c r="S102" s="422"/>
      <c r="T102" s="41"/>
      <c r="U102" s="41"/>
      <c r="V102" s="41"/>
      <c r="W102" s="41"/>
      <c r="X102" s="419"/>
      <c r="Y102" s="223"/>
      <c r="Z102" s="41"/>
      <c r="AA102" s="53"/>
      <c r="AB102" s="53"/>
      <c r="AC102" s="41"/>
      <c r="AD102" s="41">
        <f>+AM102+BA102</f>
        <v>30</v>
      </c>
      <c r="AE102" s="241" t="s">
        <v>619</v>
      </c>
      <c r="AF102" s="41"/>
      <c r="AG102" s="41"/>
      <c r="AH102" s="41">
        <v>30</v>
      </c>
      <c r="AI102" s="461"/>
      <c r="AJ102" s="41"/>
      <c r="AK102" s="41"/>
      <c r="AL102" s="41"/>
      <c r="AM102" s="41">
        <f>SUM(AF102:AL102)+AT102+AV102+AX102</f>
        <v>30</v>
      </c>
      <c r="AN102" s="41"/>
      <c r="AO102" s="41"/>
      <c r="AP102" s="41"/>
      <c r="AQ102" s="41"/>
      <c r="AR102" s="41">
        <f>SUM(AN102:AQ102)</f>
        <v>0</v>
      </c>
      <c r="AS102" s="41"/>
      <c r="AT102" s="41"/>
      <c r="AU102" s="41"/>
      <c r="AV102" s="41"/>
      <c r="AW102" s="41"/>
      <c r="AX102" s="41"/>
      <c r="AY102" s="41"/>
      <c r="AZ102" s="41"/>
      <c r="BA102" s="41">
        <f>+AR102+AS102+AU102+AW102+AY102+AZ102</f>
        <v>0</v>
      </c>
      <c r="BB102" s="37"/>
      <c r="BC102" s="55"/>
      <c r="BD102" s="55"/>
      <c r="BE102" s="55"/>
      <c r="BF102" s="55"/>
    </row>
    <row r="103" spans="1:58" ht="12.95" customHeight="1">
      <c r="A103" s="346"/>
      <c r="B103" s="45"/>
      <c r="C103" s="452"/>
      <c r="D103" s="45"/>
      <c r="E103" s="46"/>
      <c r="F103" s="46"/>
      <c r="G103" s="465"/>
      <c r="H103" s="48"/>
      <c r="I103" s="49"/>
      <c r="J103" s="91"/>
      <c r="K103" s="91"/>
      <c r="L103" s="39"/>
      <c r="M103" s="39"/>
      <c r="N103" s="50"/>
      <c r="O103" s="51"/>
      <c r="P103" s="52"/>
      <c r="Q103" s="51"/>
      <c r="R103" s="422"/>
      <c r="S103" s="422"/>
      <c r="T103" s="41"/>
      <c r="U103" s="41"/>
      <c r="V103" s="41"/>
      <c r="W103" s="41"/>
      <c r="X103" s="419"/>
      <c r="Y103" s="223"/>
      <c r="Z103" s="41"/>
      <c r="AA103" s="53"/>
      <c r="AB103" s="53"/>
      <c r="AC103" s="41"/>
      <c r="AD103" s="41"/>
      <c r="AE103" s="241"/>
      <c r="AF103" s="41"/>
      <c r="AG103" s="41"/>
      <c r="AH103" s="41"/>
      <c r="AI103" s="461"/>
      <c r="AJ103" s="41"/>
      <c r="AK103" s="41"/>
      <c r="AL103" s="41"/>
      <c r="AM103" s="41"/>
      <c r="AN103" s="92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54"/>
      <c r="BC103" s="55"/>
      <c r="BD103" s="55"/>
      <c r="BE103" s="55"/>
      <c r="BF103" s="55"/>
    </row>
    <row r="104" spans="1:58" ht="12.95" customHeight="1">
      <c r="A104" s="44">
        <v>45951</v>
      </c>
      <c r="B104" s="45" t="s">
        <v>7</v>
      </c>
      <c r="C104" s="452">
        <f>(M104*E104*O104*Q104)/100000000</f>
        <v>2.48669568</v>
      </c>
      <c r="D104" s="45" t="s">
        <v>411</v>
      </c>
      <c r="E104" s="46">
        <v>12</v>
      </c>
      <c r="F104" s="46">
        <v>1</v>
      </c>
      <c r="G104" s="47">
        <v>1700</v>
      </c>
      <c r="H104" s="48">
        <v>0.24</v>
      </c>
      <c r="I104" s="49">
        <v>0.88</v>
      </c>
      <c r="J104" s="91">
        <f>E104*G104*(1-H104)*1440/1000000*2.77</f>
        <v>61.8423552</v>
      </c>
      <c r="K104" s="91">
        <f>(IF(G104&lt;L104,L104,G104)*(1-IF(H104&lt;N104,H104,N104))*E104*O104*Q104)/100000000</f>
        <v>2.5162992000000002</v>
      </c>
      <c r="L104" s="39">
        <v>1680</v>
      </c>
      <c r="M104" s="39">
        <f>+L104-L104*0.24</f>
        <v>1276.8</v>
      </c>
      <c r="N104" s="50">
        <f>1-(M104/L104)</f>
        <v>0.24</v>
      </c>
      <c r="O104" s="51">
        <f>+'Trim Rwd'!H79</f>
        <v>270.5</v>
      </c>
      <c r="P104" s="52">
        <f>O104*(Q104-R104-S104)</f>
        <v>14877.5</v>
      </c>
      <c r="Q104" s="51">
        <v>60</v>
      </c>
      <c r="R104" s="422">
        <v>0</v>
      </c>
      <c r="S104" s="422">
        <v>5</v>
      </c>
      <c r="T104" s="41">
        <f>E104*M104*O104*Q104/100000000</f>
        <v>2.48669568</v>
      </c>
      <c r="U104" s="41">
        <f>E104*M104*O104*(Q104-R104-S104)/100000000</f>
        <v>2.2794710399999998</v>
      </c>
      <c r="V104" s="41">
        <f>E104*G104*(1-N104)*O104/100*(R104+S104)/1000000</f>
        <v>0.20969160000000001</v>
      </c>
      <c r="W104" s="41">
        <f>+'21'!K16/1000</f>
        <v>7.9109999999999996</v>
      </c>
      <c r="X104" s="42">
        <f>SUM(W104:W107)/SUM(K104:K107)</f>
        <v>0.91047653979042764</v>
      </c>
      <c r="Y104" s="223">
        <v>0</v>
      </c>
      <c r="Z104" s="41">
        <v>0</v>
      </c>
      <c r="AA104" s="41">
        <f>SUM(U104:U107)-SUM(W104:W107)-SUM(Z104:Z107)-SUM(Y104:Y107)</f>
        <v>-0.18516096000000415</v>
      </c>
      <c r="AB104" s="41">
        <f>(SUM(K104:K107)-SUM(W104:W107)-SUM(Y104:Y107)-SUM(Z104:Z107)-SUM(AC104:AC107)-SUM(V104:V107))-AA104</f>
        <v>-2.4669599999960212E-3</v>
      </c>
      <c r="AC104" s="41">
        <f>K104-T104</f>
        <v>2.9603520000000216E-2</v>
      </c>
      <c r="AD104" s="41">
        <f>+AM104+BA104</f>
        <v>25</v>
      </c>
      <c r="AE104" s="244" t="s">
        <v>547</v>
      </c>
      <c r="AF104" s="37">
        <v>25</v>
      </c>
      <c r="AG104" s="37"/>
      <c r="AH104" s="37"/>
      <c r="AI104" s="461"/>
      <c r="AJ104" s="41"/>
      <c r="AK104" s="41"/>
      <c r="AL104" s="41"/>
      <c r="AM104" s="41">
        <f>SUM(AF104:AL104)+AT104+AV104+AX104</f>
        <v>25</v>
      </c>
      <c r="AN104" s="41"/>
      <c r="AO104" s="41"/>
      <c r="AP104" s="41"/>
      <c r="AQ104" s="41"/>
      <c r="AR104" s="41">
        <f>SUM(AN104:AQ104)</f>
        <v>0</v>
      </c>
      <c r="AS104" s="41"/>
      <c r="AT104" s="41"/>
      <c r="AU104" s="41"/>
      <c r="AV104" s="41"/>
      <c r="AW104" s="41"/>
      <c r="AX104" s="41"/>
      <c r="AY104" s="41"/>
      <c r="AZ104" s="41"/>
      <c r="BA104" s="41">
        <f>+AR104+AS104+AU104+AW104+AY104+AZ104</f>
        <v>0</v>
      </c>
      <c r="BB104" s="37">
        <v>5</v>
      </c>
      <c r="BC104" s="57"/>
      <c r="BD104" s="57"/>
      <c r="BE104" s="37"/>
      <c r="BF104" s="57"/>
    </row>
    <row r="105" spans="1:58" ht="12.95" customHeight="1">
      <c r="A105" s="44"/>
      <c r="B105" s="45" t="s">
        <v>473</v>
      </c>
      <c r="C105" s="452">
        <f>(M105*E105*O105*Q105)/100000000</f>
        <v>41.664960000000001</v>
      </c>
      <c r="D105" s="45" t="s">
        <v>411</v>
      </c>
      <c r="E105" s="46">
        <v>15</v>
      </c>
      <c r="F105" s="46">
        <v>1</v>
      </c>
      <c r="G105" s="465">
        <f>+L105</f>
        <v>1150</v>
      </c>
      <c r="H105" s="48">
        <v>0.2</v>
      </c>
      <c r="I105" s="49">
        <v>0.88</v>
      </c>
      <c r="J105" s="91">
        <f>E105*G105*(1-H105)*1440/1000000*2.77</f>
        <v>55.045439999999999</v>
      </c>
      <c r="K105" s="91">
        <f>(IF(G105&lt;L105,L105,G105)*(1-IF(H105&lt;N105,H105,N105))*E105*O105*Q105)/100000000</f>
        <v>41.664960000000001</v>
      </c>
      <c r="L105" s="39">
        <v>1150</v>
      </c>
      <c r="M105" s="39">
        <f>+L105-L105*0.2</f>
        <v>920</v>
      </c>
      <c r="N105" s="50">
        <f>1-(M105/L105)</f>
        <v>0.19999999999999996</v>
      </c>
      <c r="O105" s="51">
        <f>+'Trim Rwd'!H81</f>
        <v>272</v>
      </c>
      <c r="P105" s="52">
        <f>O105*(Q105-R105-S105)</f>
        <v>282336</v>
      </c>
      <c r="Q105" s="51">
        <f>1380-270</f>
        <v>1110</v>
      </c>
      <c r="R105" s="422">
        <f>270-270</f>
        <v>0</v>
      </c>
      <c r="S105" s="422">
        <v>72</v>
      </c>
      <c r="T105" s="41">
        <f>E105*M105*O105*Q105/100000000</f>
        <v>41.664960000000001</v>
      </c>
      <c r="U105" s="41">
        <f>E105*M105*O105*(Q105-R105-S105)/100000000</f>
        <v>38.962367999999998</v>
      </c>
      <c r="V105" s="41">
        <f>E105*G105*(1-N105)*O105/100*(R105+S105)/1000000</f>
        <v>2.7025920000000001</v>
      </c>
      <c r="W105" s="41">
        <f>+'21'!K9/1000</f>
        <v>32.314999999999998</v>
      </c>
      <c r="X105" s="42"/>
      <c r="Y105" s="223"/>
      <c r="Z105" s="41">
        <f>+'21'!D34/1000</f>
        <v>1.2010000000000001</v>
      </c>
      <c r="AA105" s="41"/>
      <c r="AB105" s="41"/>
      <c r="AC105" s="41">
        <f>K105-T105</f>
        <v>0</v>
      </c>
      <c r="AD105" s="41">
        <f>+AM105+BA105</f>
        <v>22</v>
      </c>
      <c r="AE105" s="241" t="s">
        <v>639</v>
      </c>
      <c r="AF105" s="37"/>
      <c r="AG105" s="37">
        <v>22</v>
      </c>
      <c r="AH105" s="37"/>
      <c r="AJ105" s="41"/>
      <c r="AK105" s="41"/>
      <c r="AL105" s="41"/>
      <c r="AM105" s="41">
        <f>SUM(AF105:AL105)+AT105+AV105+AX105</f>
        <v>22</v>
      </c>
      <c r="AN105" s="41"/>
      <c r="AO105" s="41"/>
      <c r="AP105" s="41"/>
      <c r="AQ105" s="41"/>
      <c r="AR105" s="41">
        <f>SUM(AN105:AQ105)</f>
        <v>0</v>
      </c>
      <c r="AS105" s="41"/>
      <c r="AT105" s="41"/>
      <c r="AU105" s="41"/>
      <c r="AV105" s="41"/>
      <c r="AW105" s="41"/>
      <c r="AX105" s="41"/>
      <c r="AY105" s="41"/>
      <c r="AZ105" s="41"/>
      <c r="BA105" s="41">
        <f>+AR105+AS105+AU105+AW105+AY105+AZ105</f>
        <v>0</v>
      </c>
      <c r="BB105" s="37"/>
      <c r="BC105" s="57">
        <v>17</v>
      </c>
      <c r="BD105" s="55"/>
      <c r="BE105" s="55"/>
      <c r="BF105" s="55"/>
    </row>
    <row r="106" spans="1:58" ht="12.95" customHeight="1">
      <c r="A106" s="346"/>
      <c r="B106" s="45"/>
      <c r="C106" s="452"/>
      <c r="D106" s="45"/>
      <c r="E106" s="46"/>
      <c r="F106" s="46"/>
      <c r="G106" s="465"/>
      <c r="H106" s="48"/>
      <c r="I106" s="49"/>
      <c r="J106" s="91"/>
      <c r="K106" s="91"/>
      <c r="L106" s="39"/>
      <c r="M106" s="39"/>
      <c r="N106" s="50"/>
      <c r="O106" s="51"/>
      <c r="P106" s="52"/>
      <c r="Q106" s="51"/>
      <c r="R106" s="422"/>
      <c r="S106" s="422"/>
      <c r="T106" s="41"/>
      <c r="U106" s="41"/>
      <c r="V106" s="41"/>
      <c r="W106" s="41"/>
      <c r="X106" s="419"/>
      <c r="Y106" s="223"/>
      <c r="Z106" s="41"/>
      <c r="AA106" s="53"/>
      <c r="AB106" s="53"/>
      <c r="AC106" s="41"/>
      <c r="AD106" s="41">
        <f>+AM106+BA106</f>
        <v>30</v>
      </c>
      <c r="AE106" s="241" t="s">
        <v>720</v>
      </c>
      <c r="AF106" s="41"/>
      <c r="AG106" s="41"/>
      <c r="AH106" s="41">
        <v>30</v>
      </c>
      <c r="AI106" s="461"/>
      <c r="AJ106" s="41"/>
      <c r="AK106" s="41"/>
      <c r="AL106" s="41"/>
      <c r="AM106" s="41">
        <f>SUM(AF106:AL106)+AT106+AV106+AX106</f>
        <v>30</v>
      </c>
      <c r="AN106" s="41"/>
      <c r="AO106" s="41"/>
      <c r="AP106" s="41"/>
      <c r="AQ106" s="41"/>
      <c r="AR106" s="41">
        <f>SUM(AN106:AQ106)</f>
        <v>0</v>
      </c>
      <c r="AS106" s="41"/>
      <c r="AT106" s="41"/>
      <c r="AU106" s="41"/>
      <c r="AV106" s="41"/>
      <c r="AW106" s="41"/>
      <c r="AX106" s="41"/>
      <c r="AY106" s="41"/>
      <c r="AZ106" s="41"/>
      <c r="BA106" s="41">
        <f>+AR106+AS106+AU106+AW106+AY106+AZ106</f>
        <v>0</v>
      </c>
      <c r="BB106" s="37"/>
      <c r="BC106" s="55"/>
      <c r="BD106" s="55"/>
      <c r="BE106" s="55"/>
      <c r="BF106" s="55"/>
    </row>
    <row r="107" spans="1:58" ht="12.95" customHeight="1">
      <c r="A107" s="346"/>
      <c r="B107" s="45"/>
      <c r="C107" s="452"/>
      <c r="D107" s="45"/>
      <c r="E107" s="46"/>
      <c r="F107" s="46"/>
      <c r="G107" s="465"/>
      <c r="H107" s="48"/>
      <c r="I107" s="49"/>
      <c r="J107" s="91"/>
      <c r="K107" s="91"/>
      <c r="L107" s="39"/>
      <c r="M107" s="39"/>
      <c r="N107" s="50"/>
      <c r="O107" s="51"/>
      <c r="P107" s="52"/>
      <c r="Q107" s="51"/>
      <c r="R107" s="422"/>
      <c r="S107" s="422"/>
      <c r="T107" s="41"/>
      <c r="U107" s="41"/>
      <c r="V107" s="41"/>
      <c r="W107" s="41"/>
      <c r="X107" s="419"/>
      <c r="Y107" s="223"/>
      <c r="Z107" s="41"/>
      <c r="AA107" s="53"/>
      <c r="AB107" s="53"/>
      <c r="AC107" s="41"/>
      <c r="AD107" s="41">
        <f>+AM107+BA107</f>
        <v>0</v>
      </c>
      <c r="AE107" s="244" t="s">
        <v>711</v>
      </c>
      <c r="AF107" s="41"/>
      <c r="AG107" s="41"/>
      <c r="AH107" s="41"/>
      <c r="AI107" s="461"/>
      <c r="AJ107" s="41"/>
      <c r="AK107" s="41"/>
      <c r="AL107" s="41"/>
      <c r="AM107" s="41">
        <f>SUM(AF107:AL107)+AT107+AV107+AX107</f>
        <v>0</v>
      </c>
      <c r="AN107" s="41"/>
      <c r="AO107" s="41"/>
      <c r="AP107" s="41"/>
      <c r="AQ107" s="41"/>
      <c r="AR107" s="41">
        <f>SUM(AN107:AQ107)</f>
        <v>0</v>
      </c>
      <c r="AS107" s="41"/>
      <c r="AT107" s="41"/>
      <c r="AU107" s="41">
        <f>270-270</f>
        <v>0</v>
      </c>
      <c r="AV107" s="41"/>
      <c r="AW107" s="41"/>
      <c r="AX107" s="41"/>
      <c r="AY107" s="41"/>
      <c r="AZ107" s="41"/>
      <c r="BA107" s="41">
        <f>+AR107+AS107+AU107+AW107+AY107+AZ107</f>
        <v>0</v>
      </c>
      <c r="BB107" s="37"/>
      <c r="BC107" s="55"/>
      <c r="BD107" s="55"/>
      <c r="BE107" s="55"/>
      <c r="BF107" s="55"/>
    </row>
    <row r="108" spans="1:58" ht="12.95" customHeight="1">
      <c r="A108" s="346"/>
      <c r="B108" s="45"/>
      <c r="C108" s="452"/>
      <c r="D108" s="45"/>
      <c r="E108" s="46"/>
      <c r="F108" s="46"/>
      <c r="G108" s="465"/>
      <c r="H108" s="48"/>
      <c r="I108" s="49"/>
      <c r="J108" s="91"/>
      <c r="K108" s="91"/>
      <c r="L108" s="39"/>
      <c r="M108" s="39"/>
      <c r="N108" s="50"/>
      <c r="O108" s="51"/>
      <c r="P108" s="52"/>
      <c r="Q108" s="51"/>
      <c r="R108" s="422"/>
      <c r="S108" s="422"/>
      <c r="T108" s="41"/>
      <c r="U108" s="41"/>
      <c r="V108" s="41"/>
      <c r="W108" s="41"/>
      <c r="X108" s="419"/>
      <c r="Y108" s="223"/>
      <c r="Z108" s="41"/>
      <c r="AA108" s="53"/>
      <c r="AB108" s="53"/>
      <c r="AC108" s="41"/>
      <c r="AD108" s="41"/>
      <c r="AE108" s="241"/>
      <c r="AF108" s="41"/>
      <c r="AG108" s="41"/>
      <c r="AH108" s="41"/>
      <c r="AI108" s="46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37"/>
      <c r="BC108" s="55"/>
      <c r="BD108" s="55"/>
      <c r="BE108" s="55"/>
      <c r="BF108" s="55"/>
    </row>
    <row r="109" spans="1:58" ht="12.95" customHeight="1">
      <c r="A109" s="44">
        <v>45952</v>
      </c>
      <c r="B109" s="45" t="s">
        <v>473</v>
      </c>
      <c r="C109" s="452">
        <f>(M109*E109*O109*Q109)/100000000</f>
        <v>55.132876799999998</v>
      </c>
      <c r="D109" s="45" t="s">
        <v>411</v>
      </c>
      <c r="E109" s="46">
        <v>15</v>
      </c>
      <c r="F109" s="46">
        <v>1</v>
      </c>
      <c r="G109" s="465">
        <f>+L109</f>
        <v>1173</v>
      </c>
      <c r="H109" s="48">
        <v>0.2</v>
      </c>
      <c r="I109" s="49">
        <v>0.88</v>
      </c>
      <c r="J109" s="91">
        <f>E109*G109*(1-H109)*1440/1000000*2.77</f>
        <v>56.146348799999998</v>
      </c>
      <c r="K109" s="91">
        <f>(IF(G109&lt;L109,L109,G109)*(1-IF(H109&lt;N109,H109,N109))*E109*O109*Q109)/100000000</f>
        <v>55.132876799999998</v>
      </c>
      <c r="L109" s="39">
        <v>1173</v>
      </c>
      <c r="M109" s="39">
        <v>938.4</v>
      </c>
      <c r="N109" s="50">
        <f>1-(M109/L109)</f>
        <v>0.20000000000000007</v>
      </c>
      <c r="O109" s="51">
        <f>+'Trim Rwd'!H83</f>
        <v>272</v>
      </c>
      <c r="P109" s="52">
        <f>O109*(Q109-R109-S109)</f>
        <v>374272</v>
      </c>
      <c r="Q109" s="51">
        <v>1440</v>
      </c>
      <c r="R109" s="422">
        <v>0</v>
      </c>
      <c r="S109" s="422">
        <v>64</v>
      </c>
      <c r="T109" s="41">
        <f>E109*M109*O109*Q109/100000000</f>
        <v>55.132876799999998</v>
      </c>
      <c r="U109" s="41">
        <f>E109*M109*O109*(Q109-R109-S109)/100000000</f>
        <v>52.682526719999998</v>
      </c>
      <c r="V109" s="41">
        <f>E109*G109*(1-N109)*O109/100*(R109+S109)/1000000</f>
        <v>2.4503500799999998</v>
      </c>
      <c r="W109" s="41">
        <f>+'22'!K34/1000</f>
        <v>52.610999999999997</v>
      </c>
      <c r="X109" s="42">
        <f>SUM(W109:W112)/SUM(K109:K112)</f>
        <v>0.95425820406309725</v>
      </c>
      <c r="Y109" s="223">
        <v>0</v>
      </c>
      <c r="Z109" s="41">
        <f>+'22'!D34/1000</f>
        <v>1.032</v>
      </c>
      <c r="AA109" s="41">
        <f>SUM(U109:U112)-SUM(W109:W112)-SUM(Z109:Z112)-SUM(Y109:Y112)</f>
        <v>-0.96047327999999865</v>
      </c>
      <c r="AB109" s="41">
        <f>(SUM(K109:K112)-SUM(W109:W112)-SUM(Y109:Y112)-SUM(Z109:Z112)-SUM(AC109:AC112)-SUM(V109:V112))-AA109</f>
        <v>0</v>
      </c>
      <c r="AC109" s="41">
        <f>K109-T109</f>
        <v>0</v>
      </c>
      <c r="AD109" s="41">
        <f>+AM109+BA109</f>
        <v>15</v>
      </c>
      <c r="AE109" s="244" t="s">
        <v>614</v>
      </c>
      <c r="AF109" s="37">
        <v>15</v>
      </c>
      <c r="AG109" s="37"/>
      <c r="AH109" s="37"/>
      <c r="AI109" s="461"/>
      <c r="AJ109" s="41"/>
      <c r="AK109" s="41"/>
      <c r="AL109" s="41"/>
      <c r="AM109" s="41">
        <f>SUM(AF109:AL109)+AT109+AV109+AX109</f>
        <v>15</v>
      </c>
      <c r="AN109" s="41"/>
      <c r="AO109" s="41"/>
      <c r="AP109" s="41"/>
      <c r="AQ109" s="41"/>
      <c r="AR109" s="41">
        <f>SUM(AN109:AQ109)</f>
        <v>0</v>
      </c>
      <c r="AS109" s="41"/>
      <c r="AT109" s="41"/>
      <c r="AU109" s="41"/>
      <c r="AV109" s="41"/>
      <c r="AW109" s="41"/>
      <c r="AX109" s="41"/>
      <c r="AY109" s="41"/>
      <c r="AZ109" s="41"/>
      <c r="BA109" s="41">
        <f>+AR109+AS109+AU109+AW109+AY109+AZ109</f>
        <v>0</v>
      </c>
      <c r="BB109" s="37">
        <v>3</v>
      </c>
      <c r="BC109" s="57"/>
      <c r="BD109" s="57"/>
      <c r="BE109" s="37"/>
      <c r="BF109" s="57"/>
    </row>
    <row r="110" spans="1:58" ht="12.95" customHeight="1">
      <c r="A110" s="44"/>
      <c r="B110" s="45"/>
      <c r="C110" s="452"/>
      <c r="D110" s="45"/>
      <c r="E110" s="46"/>
      <c r="F110" s="46"/>
      <c r="G110" s="465"/>
      <c r="H110" s="48"/>
      <c r="I110" s="49"/>
      <c r="J110" s="91"/>
      <c r="K110" s="91"/>
      <c r="L110" s="39"/>
      <c r="M110" s="39"/>
      <c r="N110" s="50"/>
      <c r="O110" s="51"/>
      <c r="P110" s="52"/>
      <c r="Q110" s="51"/>
      <c r="R110" s="422"/>
      <c r="S110" s="422"/>
      <c r="T110" s="41"/>
      <c r="U110" s="41"/>
      <c r="V110" s="41"/>
      <c r="W110" s="41"/>
      <c r="X110" s="42"/>
      <c r="Y110" s="223"/>
      <c r="Z110" s="41"/>
      <c r="AA110" s="41"/>
      <c r="AB110" s="41"/>
      <c r="AC110" s="41"/>
      <c r="AD110" s="41">
        <f>+AM110+BA110</f>
        <v>21</v>
      </c>
      <c r="AE110" s="241" t="s">
        <v>730</v>
      </c>
      <c r="AF110" s="37"/>
      <c r="AG110" s="37">
        <v>21</v>
      </c>
      <c r="AH110" s="37"/>
      <c r="AJ110" s="41"/>
      <c r="AK110" s="41"/>
      <c r="AL110" s="41"/>
      <c r="AM110" s="41">
        <f>SUM(AF110:AL110)+AT110+AV110+AX110</f>
        <v>21</v>
      </c>
      <c r="AN110" s="41"/>
      <c r="AO110" s="41"/>
      <c r="AP110" s="41"/>
      <c r="AQ110" s="41"/>
      <c r="AR110" s="41">
        <f>SUM(AN110:AQ110)</f>
        <v>0</v>
      </c>
      <c r="AS110" s="41"/>
      <c r="AT110" s="41"/>
      <c r="AU110" s="41"/>
      <c r="AV110" s="41"/>
      <c r="AW110" s="41"/>
      <c r="AX110" s="41"/>
      <c r="AY110" s="41"/>
      <c r="AZ110" s="41"/>
      <c r="BA110" s="41">
        <f>+AR110+AS110+AU110+AW110+AY110+AZ110</f>
        <v>0</v>
      </c>
      <c r="BB110" s="37"/>
      <c r="BC110" s="57">
        <v>21</v>
      </c>
      <c r="BD110" s="55"/>
      <c r="BE110" s="55"/>
      <c r="BF110" s="55"/>
    </row>
    <row r="111" spans="1:58" ht="12.95" customHeight="1">
      <c r="A111" s="346"/>
      <c r="B111" s="45"/>
      <c r="C111" s="452"/>
      <c r="D111" s="45"/>
      <c r="E111" s="46"/>
      <c r="F111" s="46"/>
      <c r="G111" s="465"/>
      <c r="H111" s="48"/>
      <c r="I111" s="49"/>
      <c r="J111" s="91"/>
      <c r="K111" s="91"/>
      <c r="L111" s="39"/>
      <c r="M111" s="39"/>
      <c r="N111" s="50"/>
      <c r="O111" s="51"/>
      <c r="P111" s="52"/>
      <c r="Q111" s="51"/>
      <c r="R111" s="422"/>
      <c r="S111" s="422"/>
      <c r="T111" s="41"/>
      <c r="U111" s="41"/>
      <c r="V111" s="41"/>
      <c r="W111" s="41"/>
      <c r="X111" s="419"/>
      <c r="Y111" s="223"/>
      <c r="Z111" s="41"/>
      <c r="AA111" s="53"/>
      <c r="AB111" s="53"/>
      <c r="AC111" s="41"/>
      <c r="AD111" s="41">
        <f>+AM111+BA111</f>
        <v>28</v>
      </c>
      <c r="AE111" s="241" t="s">
        <v>534</v>
      </c>
      <c r="AF111" s="41"/>
      <c r="AG111" s="41"/>
      <c r="AH111" s="41">
        <v>28</v>
      </c>
      <c r="AI111" s="461"/>
      <c r="AJ111" s="41"/>
      <c r="AK111" s="41"/>
      <c r="AL111" s="41"/>
      <c r="AM111" s="41">
        <f>SUM(AF111:AL111)+AT111+AV111+AX111</f>
        <v>28</v>
      </c>
      <c r="AN111" s="41"/>
      <c r="AO111" s="41"/>
      <c r="AP111" s="41"/>
      <c r="AQ111" s="41"/>
      <c r="AR111" s="41">
        <f>SUM(AN111:AQ111)</f>
        <v>0</v>
      </c>
      <c r="AS111" s="41"/>
      <c r="AT111" s="41"/>
      <c r="AU111" s="41"/>
      <c r="AV111" s="41"/>
      <c r="AW111" s="41"/>
      <c r="AX111" s="41"/>
      <c r="AY111" s="41"/>
      <c r="AZ111" s="41"/>
      <c r="BA111" s="41">
        <f>+AR111+AS111+AU111+AW111+AY111+AZ111</f>
        <v>0</v>
      </c>
      <c r="BB111" s="37"/>
      <c r="BC111" s="55"/>
      <c r="BD111" s="55"/>
      <c r="BE111" s="55"/>
      <c r="BF111" s="55"/>
    </row>
    <row r="112" spans="1:58" ht="12.95" customHeight="1">
      <c r="A112" s="346"/>
      <c r="B112" s="45"/>
      <c r="C112" s="452"/>
      <c r="D112" s="45"/>
      <c r="E112" s="46"/>
      <c r="F112" s="46"/>
      <c r="G112" s="465"/>
      <c r="H112" s="48"/>
      <c r="I112" s="49"/>
      <c r="J112" s="91"/>
      <c r="K112" s="91"/>
      <c r="L112" s="39"/>
      <c r="M112" s="39"/>
      <c r="N112" s="50"/>
      <c r="O112" s="51"/>
      <c r="P112" s="52"/>
      <c r="Q112" s="51"/>
      <c r="R112" s="422"/>
      <c r="S112" s="422"/>
      <c r="T112" s="41"/>
      <c r="U112" s="41"/>
      <c r="V112" s="41"/>
      <c r="W112" s="41"/>
      <c r="X112" s="419"/>
      <c r="Y112" s="223"/>
      <c r="Z112" s="41"/>
      <c r="AA112" s="53"/>
      <c r="AB112" s="53"/>
      <c r="AC112" s="41"/>
      <c r="AD112" s="41"/>
      <c r="AE112" s="244"/>
      <c r="AF112" s="41"/>
      <c r="AG112" s="41"/>
      <c r="AH112" s="41"/>
      <c r="AI112" s="46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37"/>
      <c r="BC112" s="55"/>
      <c r="BD112" s="55"/>
      <c r="BE112" s="55"/>
      <c r="BF112" s="55"/>
    </row>
    <row r="113" spans="1:58" ht="12.95" customHeight="1">
      <c r="A113" s="44">
        <v>45953</v>
      </c>
      <c r="B113" s="45" t="s">
        <v>473</v>
      </c>
      <c r="C113" s="452">
        <f>(M113*E113*O113*Q113)/100000000</f>
        <v>56.088576000000003</v>
      </c>
      <c r="D113" s="45" t="s">
        <v>411</v>
      </c>
      <c r="E113" s="46">
        <v>15</v>
      </c>
      <c r="F113" s="46">
        <v>1</v>
      </c>
      <c r="G113" s="465">
        <f>+L113</f>
        <v>1193.3333333333333</v>
      </c>
      <c r="H113" s="48">
        <v>0.2</v>
      </c>
      <c r="I113" s="49">
        <v>0.88</v>
      </c>
      <c r="J113" s="91">
        <f>E113*G113*(1-H113)*1440/1000000*2.77</f>
        <v>57.119616000000001</v>
      </c>
      <c r="K113" s="91">
        <f>(IF(G113&lt;L113,L113,G113)*(1-IF(H113&lt;N113,H113,N113))*E113*O113*Q113)/100000000</f>
        <v>56.088576000000003</v>
      </c>
      <c r="L113" s="39">
        <v>1193.3333333333333</v>
      </c>
      <c r="M113" s="39">
        <v>954.66666666666663</v>
      </c>
      <c r="N113" s="50">
        <f>1-(M113/L113)</f>
        <v>0.19999999999999996</v>
      </c>
      <c r="O113" s="51">
        <f>+'Trim Rwd'!H85</f>
        <v>272</v>
      </c>
      <c r="P113" s="52">
        <f>O113*(Q113-R113-S113)</f>
        <v>380256</v>
      </c>
      <c r="Q113" s="51">
        <v>1440</v>
      </c>
      <c r="R113" s="422">
        <v>0</v>
      </c>
      <c r="S113" s="422">
        <v>42</v>
      </c>
      <c r="T113" s="41">
        <f>E113*M113*O113*Q113/100000000</f>
        <v>56.088576000000003</v>
      </c>
      <c r="U113" s="41">
        <f>E113*M113*O113*(Q113-R113-S113)/100000000</f>
        <v>54.452659199999999</v>
      </c>
      <c r="V113" s="41">
        <f>E113*G113*(1-N113)*O113/100*(R113+S113)/1000000</f>
        <v>1.6359167999999999</v>
      </c>
      <c r="W113" s="41">
        <f>+'23'!K34/1000</f>
        <v>53.991999999999997</v>
      </c>
      <c r="X113" s="42">
        <f>SUM(W113:W116)/SUM(K113:K116)</f>
        <v>0.9626202669149595</v>
      </c>
      <c r="Y113" s="223">
        <v>0</v>
      </c>
      <c r="Z113" s="41">
        <f>+'23'!D34/1000</f>
        <v>0.80700000000000005</v>
      </c>
      <c r="AA113" s="41">
        <f>SUM(U113:U116)-SUM(W113:W116)-SUM(Z113:Z116)-SUM(Y113:Y116)</f>
        <v>-0.34634079999999801</v>
      </c>
      <c r="AB113" s="41">
        <f>(SUM(K113:K116)-SUM(W113:W116)-SUM(Y113:Y116)-SUM(Z113:Z116)-SUM(AC113:AC116)-SUM(V113:V116))-AA113</f>
        <v>4.1078251911130792E-15</v>
      </c>
      <c r="AC113" s="41">
        <f>K113-T113</f>
        <v>0</v>
      </c>
      <c r="AD113" s="41">
        <f>+AM113+BA113</f>
        <v>5</v>
      </c>
      <c r="AE113" s="244" t="s">
        <v>541</v>
      </c>
      <c r="AF113" s="37">
        <v>5</v>
      </c>
      <c r="AG113" s="37"/>
      <c r="AH113" s="37"/>
      <c r="AI113" s="461"/>
      <c r="AJ113" s="41"/>
      <c r="AK113" s="41"/>
      <c r="AL113" s="41"/>
      <c r="AM113" s="41">
        <f>SUM(AF113:AL113)+AT113+AV113+AX113</f>
        <v>5</v>
      </c>
      <c r="AN113" s="41"/>
      <c r="AO113" s="41"/>
      <c r="AP113" s="41"/>
      <c r="AQ113" s="41"/>
      <c r="AR113" s="41">
        <f>SUM(AN113:AQ113)</f>
        <v>0</v>
      </c>
      <c r="AS113" s="41"/>
      <c r="AT113" s="41"/>
      <c r="AU113" s="41"/>
      <c r="AV113" s="41"/>
      <c r="AW113" s="41"/>
      <c r="AX113" s="41"/>
      <c r="AY113" s="41"/>
      <c r="AZ113" s="41"/>
      <c r="BA113" s="41">
        <f>+AR113+AS113+AU113+AW113+AY113+AZ113</f>
        <v>0</v>
      </c>
      <c r="BB113" s="37">
        <v>1</v>
      </c>
      <c r="BC113" s="57"/>
      <c r="BD113" s="57"/>
      <c r="BE113" s="37"/>
      <c r="BF113" s="57"/>
    </row>
    <row r="114" spans="1:58" ht="12.95" customHeight="1">
      <c r="A114" s="44"/>
      <c r="B114" s="45"/>
      <c r="C114" s="452"/>
      <c r="D114" s="45"/>
      <c r="E114" s="46"/>
      <c r="F114" s="46"/>
      <c r="G114" s="465"/>
      <c r="H114" s="48"/>
      <c r="I114" s="49"/>
      <c r="J114" s="91"/>
      <c r="K114" s="91"/>
      <c r="L114" s="39"/>
      <c r="M114" s="39"/>
      <c r="N114" s="50"/>
      <c r="O114" s="51"/>
      <c r="P114" s="52"/>
      <c r="Q114" s="51"/>
      <c r="R114" s="422"/>
      <c r="S114" s="422"/>
      <c r="T114" s="41"/>
      <c r="U114" s="41"/>
      <c r="V114" s="41"/>
      <c r="W114" s="41"/>
      <c r="X114" s="42"/>
      <c r="Y114" s="223"/>
      <c r="Z114" s="41"/>
      <c r="AA114" s="41"/>
      <c r="AB114" s="41"/>
      <c r="AC114" s="41"/>
      <c r="AD114" s="41">
        <f>+AM114+BA114</f>
        <v>18</v>
      </c>
      <c r="AE114" s="241" t="s">
        <v>736</v>
      </c>
      <c r="AF114" s="37"/>
      <c r="AG114" s="37">
        <v>18</v>
      </c>
      <c r="AH114" s="37"/>
      <c r="AJ114" s="41"/>
      <c r="AK114" s="41"/>
      <c r="AL114" s="41"/>
      <c r="AM114" s="41">
        <f>SUM(AF114:AL114)+AT114+AV114+AX114</f>
        <v>18</v>
      </c>
      <c r="AN114" s="41"/>
      <c r="AO114" s="41"/>
      <c r="AP114" s="41"/>
      <c r="AQ114" s="41"/>
      <c r="AR114" s="41">
        <f>SUM(AN114:AQ114)</f>
        <v>0</v>
      </c>
      <c r="AS114" s="41"/>
      <c r="AT114" s="41"/>
      <c r="AU114" s="41"/>
      <c r="AV114" s="41"/>
      <c r="AW114" s="41"/>
      <c r="AX114" s="41"/>
      <c r="AY114" s="41"/>
      <c r="AZ114" s="41"/>
      <c r="BA114" s="41">
        <f>+AR114+AS114+AU114+AW114+AY114+AZ114</f>
        <v>0</v>
      </c>
      <c r="BB114" s="37"/>
      <c r="BC114" s="57">
        <v>19</v>
      </c>
      <c r="BD114" s="55"/>
      <c r="BE114" s="55"/>
      <c r="BF114" s="55"/>
    </row>
    <row r="115" spans="1:58" ht="12.95" customHeight="1">
      <c r="A115" s="346"/>
      <c r="B115" s="45"/>
      <c r="C115" s="452"/>
      <c r="D115" s="45"/>
      <c r="E115" s="46"/>
      <c r="F115" s="46"/>
      <c r="G115" s="465"/>
      <c r="H115" s="48"/>
      <c r="I115" s="49"/>
      <c r="J115" s="91"/>
      <c r="K115" s="91"/>
      <c r="L115" s="39"/>
      <c r="M115" s="39"/>
      <c r="N115" s="50"/>
      <c r="O115" s="51"/>
      <c r="P115" s="52"/>
      <c r="Q115" s="51"/>
      <c r="R115" s="422"/>
      <c r="S115" s="422"/>
      <c r="T115" s="41"/>
      <c r="U115" s="41"/>
      <c r="V115" s="41"/>
      <c r="W115" s="41"/>
      <c r="X115" s="419"/>
      <c r="Y115" s="223"/>
      <c r="Z115" s="41"/>
      <c r="AA115" s="53"/>
      <c r="AB115" s="53"/>
      <c r="AC115" s="41"/>
      <c r="AD115" s="41">
        <f>+AM115+BA115</f>
        <v>19</v>
      </c>
      <c r="AE115" s="241" t="s">
        <v>737</v>
      </c>
      <c r="AF115" s="41"/>
      <c r="AG115" s="41"/>
      <c r="AH115" s="41">
        <v>19</v>
      </c>
      <c r="AI115" s="461"/>
      <c r="AJ115" s="41"/>
      <c r="AK115" s="41"/>
      <c r="AL115" s="41"/>
      <c r="AM115" s="41">
        <f>SUM(AF115:AL115)+AT115+AV115+AX115</f>
        <v>19</v>
      </c>
      <c r="AN115" s="41"/>
      <c r="AO115" s="41"/>
      <c r="AP115" s="41"/>
      <c r="AQ115" s="41"/>
      <c r="AR115" s="41">
        <f>SUM(AN115:AQ115)</f>
        <v>0</v>
      </c>
      <c r="AS115" s="41"/>
      <c r="AT115" s="41"/>
      <c r="AU115" s="41"/>
      <c r="AV115" s="41"/>
      <c r="AW115" s="41"/>
      <c r="AX115" s="41"/>
      <c r="AY115" s="41"/>
      <c r="AZ115" s="41"/>
      <c r="BA115" s="41">
        <f>+AR115+AS115+AU115+AW115+AY115+AZ115</f>
        <v>0</v>
      </c>
      <c r="BB115" s="37"/>
      <c r="BC115" s="55"/>
      <c r="BD115" s="55"/>
      <c r="BE115" s="55"/>
      <c r="BF115" s="55"/>
    </row>
    <row r="116" spans="1:58" ht="12.95" customHeight="1">
      <c r="A116" s="346"/>
      <c r="B116" s="45"/>
      <c r="C116" s="452"/>
      <c r="D116" s="45"/>
      <c r="E116" s="46"/>
      <c r="F116" s="46"/>
      <c r="G116" s="465"/>
      <c r="H116" s="48"/>
      <c r="I116" s="49"/>
      <c r="J116" s="91"/>
      <c r="K116" s="91"/>
      <c r="L116" s="39"/>
      <c r="M116" s="39"/>
      <c r="N116" s="50"/>
      <c r="O116" s="51"/>
      <c r="P116" s="52"/>
      <c r="Q116" s="51"/>
      <c r="R116" s="422"/>
      <c r="S116" s="422"/>
      <c r="T116" s="41"/>
      <c r="U116" s="41"/>
      <c r="V116" s="41"/>
      <c r="W116" s="41"/>
      <c r="X116" s="419"/>
      <c r="Y116" s="223"/>
      <c r="Z116" s="41"/>
      <c r="AA116" s="53"/>
      <c r="AB116" s="53"/>
      <c r="AC116" s="41"/>
      <c r="AD116" s="41"/>
      <c r="AE116" s="244"/>
      <c r="AF116" s="41"/>
      <c r="AG116" s="41"/>
      <c r="AH116" s="41"/>
      <c r="AI116" s="46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37"/>
      <c r="BC116" s="55"/>
      <c r="BD116" s="55"/>
      <c r="BE116" s="55"/>
      <c r="BF116" s="55"/>
    </row>
    <row r="117" spans="1:58" ht="12.95" customHeight="1">
      <c r="A117" s="44">
        <v>45954</v>
      </c>
      <c r="B117" s="45" t="s">
        <v>7</v>
      </c>
      <c r="C117" s="452">
        <f>(M117*E117*O117*Q117)/100000000</f>
        <v>33.298157549679388</v>
      </c>
      <c r="D117" s="45" t="s">
        <v>411</v>
      </c>
      <c r="E117" s="46">
        <v>12</v>
      </c>
      <c r="F117" s="46">
        <v>1</v>
      </c>
      <c r="G117" s="47">
        <v>1700</v>
      </c>
      <c r="H117" s="48">
        <v>0.24</v>
      </c>
      <c r="I117" s="49">
        <v>0.88</v>
      </c>
      <c r="J117" s="91">
        <f>E117*G117*(1-H117)*1440/1000000*2.77</f>
        <v>61.8423552</v>
      </c>
      <c r="K117" s="91">
        <f>(IF(G117&lt;L117,L117,G117)*(1-IF(H117&lt;N117,H117,N117))*E117*O117*Q117)/100000000</f>
        <v>44.663613120000001</v>
      </c>
      <c r="L117" s="39">
        <v>1267.4045801526718</v>
      </c>
      <c r="M117" s="39">
        <v>963.22748091603057</v>
      </c>
      <c r="N117" s="50">
        <f>1-(M117/L117)</f>
        <v>0.24</v>
      </c>
      <c r="O117" s="51">
        <f>+'Trim Rwd'!H87</f>
        <v>266</v>
      </c>
      <c r="P117" s="52">
        <f>O117*(Q117-R117-S117)</f>
        <v>268926</v>
      </c>
      <c r="Q117" s="51">
        <f>1440-357</f>
        <v>1083</v>
      </c>
      <c r="R117" s="422">
        <f>357+35-357</f>
        <v>35</v>
      </c>
      <c r="S117" s="422">
        <v>37</v>
      </c>
      <c r="T117" s="41">
        <f>E117*M117*O117*Q117/100000000</f>
        <v>33.298157549679388</v>
      </c>
      <c r="U117" s="41">
        <f>E117*M117*O117*(Q117-R117-S117)/100000000</f>
        <v>31.084429623938931</v>
      </c>
      <c r="V117" s="41">
        <f>E117*G117*(1-N117)*O117/100*(R117+S117)/1000000</f>
        <v>2.9693260800000001</v>
      </c>
      <c r="W117" s="41">
        <f>+'24'!K16/1000</f>
        <v>22.355</v>
      </c>
      <c r="X117" s="42">
        <f>SUM(W117:W120)/SUM(K117:K120)</f>
        <v>0.6548955168811027</v>
      </c>
      <c r="Y117" s="223">
        <v>0</v>
      </c>
      <c r="Z117" s="41">
        <f>+'24'!D16/1000</f>
        <v>0.27700000000000002</v>
      </c>
      <c r="AA117" s="41">
        <f>SUM(U117:U120)-SUM(W117:W120)-SUM(Z117:Z120)-SUM(Y117:Y120)</f>
        <v>1.5014296239389309</v>
      </c>
      <c r="AB117" s="41">
        <f>(SUM(K117:K120)-SUM(W117:W120)-SUM(Y117:Y120)-SUM(Z117:Z120)-SUM(AC117:AC120)-SUM(V117:V120))-AA117</f>
        <v>-0.75559815425954313</v>
      </c>
      <c r="AC117" s="41">
        <f>K117-T117</f>
        <v>11.365455570320613</v>
      </c>
      <c r="AD117" s="41">
        <f>+AM117+BA117</f>
        <v>10</v>
      </c>
      <c r="AE117" s="244" t="s">
        <v>571</v>
      </c>
      <c r="AF117" s="37">
        <v>10</v>
      </c>
      <c r="AG117" s="37"/>
      <c r="AH117" s="37"/>
      <c r="AI117" s="461"/>
      <c r="AJ117" s="41"/>
      <c r="AK117" s="41"/>
      <c r="AL117" s="41"/>
      <c r="AM117" s="41">
        <f>SUM(AF117:AL117)+AT117+AV117+AX117</f>
        <v>10</v>
      </c>
      <c r="AN117" s="41"/>
      <c r="AO117" s="41"/>
      <c r="AP117" s="41"/>
      <c r="AQ117" s="41"/>
      <c r="AR117" s="41">
        <f>SUM(AN117:AQ117)</f>
        <v>0</v>
      </c>
      <c r="AS117" s="41"/>
      <c r="AT117" s="41"/>
      <c r="AU117" s="41"/>
      <c r="AV117" s="41"/>
      <c r="AW117" s="41"/>
      <c r="AX117" s="41"/>
      <c r="AY117" s="41"/>
      <c r="AZ117" s="41"/>
      <c r="BA117" s="41">
        <f>+AR117+AS117+AU117+AW117+AY117+AZ117</f>
        <v>0</v>
      </c>
      <c r="BB117" s="37">
        <v>2</v>
      </c>
      <c r="BC117" s="57"/>
      <c r="BD117" s="57"/>
      <c r="BE117" s="37"/>
      <c r="BF117" s="57"/>
    </row>
    <row r="118" spans="1:58" ht="12.95" customHeight="1">
      <c r="A118" s="44"/>
      <c r="B118" s="45" t="s">
        <v>473</v>
      </c>
      <c r="C118" s="452"/>
      <c r="D118" s="45"/>
      <c r="E118" s="46">
        <v>15</v>
      </c>
      <c r="F118" s="46"/>
      <c r="G118" s="465"/>
      <c r="H118" s="48"/>
      <c r="I118" s="49"/>
      <c r="J118" s="91"/>
      <c r="K118" s="91"/>
      <c r="L118" s="39"/>
      <c r="M118" s="39"/>
      <c r="N118" s="50"/>
      <c r="O118" s="51"/>
      <c r="P118" s="52"/>
      <c r="Q118" s="51"/>
      <c r="R118" s="422"/>
      <c r="S118" s="422"/>
      <c r="T118" s="41"/>
      <c r="U118" s="41"/>
      <c r="V118" s="41"/>
      <c r="W118" s="41">
        <f>+'24'!K9/1000</f>
        <v>6.8949999999999996</v>
      </c>
      <c r="X118" s="42"/>
      <c r="Y118" s="223"/>
      <c r="Z118" s="41">
        <f>+'24'!D7/1000</f>
        <v>5.6000000000000001E-2</v>
      </c>
      <c r="AA118" s="41"/>
      <c r="AB118" s="41"/>
      <c r="AC118" s="41"/>
      <c r="AD118" s="41">
        <f>+AM118+BA118</f>
        <v>7</v>
      </c>
      <c r="AE118" s="241" t="s">
        <v>719</v>
      </c>
      <c r="AF118" s="37"/>
      <c r="AG118" s="37">
        <v>7</v>
      </c>
      <c r="AH118" s="37"/>
      <c r="AJ118" s="41"/>
      <c r="AK118" s="41"/>
      <c r="AL118" s="41"/>
      <c r="AM118" s="41">
        <f>SUM(AF118:AL118)+AT118+AV118+AX118</f>
        <v>7</v>
      </c>
      <c r="AN118" s="41"/>
      <c r="AO118" s="41"/>
      <c r="AP118" s="41"/>
      <c r="AQ118" s="41"/>
      <c r="AR118" s="41">
        <f>SUM(AN118:AQ118)</f>
        <v>0</v>
      </c>
      <c r="AS118" s="41"/>
      <c r="AT118" s="41"/>
      <c r="AU118" s="41"/>
      <c r="AV118" s="41"/>
      <c r="AW118" s="41"/>
      <c r="AX118" s="41"/>
      <c r="AY118" s="41"/>
      <c r="AZ118" s="41"/>
      <c r="BA118" s="41">
        <f>+AR118+AS118+AU118+AW118+AY118+AZ118</f>
        <v>0</v>
      </c>
      <c r="BB118" s="37"/>
      <c r="BC118" s="57">
        <v>7</v>
      </c>
      <c r="BD118" s="55"/>
      <c r="BE118" s="55"/>
      <c r="BF118" s="55"/>
    </row>
    <row r="119" spans="1:58" ht="12.95" customHeight="1">
      <c r="A119" s="346"/>
      <c r="B119" s="45"/>
      <c r="C119" s="452"/>
      <c r="D119" s="45"/>
      <c r="E119" s="46"/>
      <c r="F119" s="46"/>
      <c r="G119" s="465"/>
      <c r="H119" s="48"/>
      <c r="I119" s="49"/>
      <c r="J119" s="91"/>
      <c r="K119" s="91"/>
      <c r="L119" s="39"/>
      <c r="M119" s="39"/>
      <c r="N119" s="50"/>
      <c r="O119" s="51"/>
      <c r="P119" s="52"/>
      <c r="Q119" s="51"/>
      <c r="R119" s="422"/>
      <c r="S119" s="422"/>
      <c r="T119" s="41"/>
      <c r="U119" s="41"/>
      <c r="V119" s="41"/>
      <c r="W119" s="41"/>
      <c r="X119" s="419"/>
      <c r="Y119" s="223"/>
      <c r="Z119" s="41"/>
      <c r="AA119" s="53"/>
      <c r="AB119" s="53"/>
      <c r="AC119" s="41"/>
      <c r="AD119" s="41">
        <f>+AM119+BA119</f>
        <v>20</v>
      </c>
      <c r="AE119" s="241" t="s">
        <v>534</v>
      </c>
      <c r="AF119" s="41"/>
      <c r="AG119" s="41"/>
      <c r="AH119" s="41">
        <v>20</v>
      </c>
      <c r="AI119" s="461"/>
      <c r="AJ119" s="41"/>
      <c r="AK119" s="41"/>
      <c r="AL119" s="41"/>
      <c r="AM119" s="41">
        <f>SUM(AF119:AL119)+AT119+AV119+AX119</f>
        <v>20</v>
      </c>
      <c r="AN119" s="41"/>
      <c r="AO119" s="41"/>
      <c r="AP119" s="41"/>
      <c r="AQ119" s="41"/>
      <c r="AR119" s="41">
        <f>SUM(AN119:AQ119)</f>
        <v>0</v>
      </c>
      <c r="AS119" s="41"/>
      <c r="AT119" s="41"/>
      <c r="AU119" s="41"/>
      <c r="AV119" s="41"/>
      <c r="AW119" s="41"/>
      <c r="AX119" s="41"/>
      <c r="AY119" s="41"/>
      <c r="AZ119" s="41"/>
      <c r="BA119" s="41">
        <f>+AR119+AS119+AU119+AW119+AY119+AZ119</f>
        <v>0</v>
      </c>
      <c r="BB119" s="37"/>
      <c r="BC119" s="55"/>
      <c r="BD119" s="55"/>
      <c r="BE119" s="55"/>
      <c r="BF119" s="55"/>
    </row>
    <row r="120" spans="1:58" ht="12.95" customHeight="1">
      <c r="A120" s="346"/>
      <c r="B120" s="45"/>
      <c r="C120" s="452"/>
      <c r="D120" s="45"/>
      <c r="E120" s="46"/>
      <c r="F120" s="46"/>
      <c r="G120" s="465"/>
      <c r="H120" s="48"/>
      <c r="I120" s="49"/>
      <c r="J120" s="91"/>
      <c r="K120" s="91"/>
      <c r="L120" s="39"/>
      <c r="M120" s="39"/>
      <c r="N120" s="50"/>
      <c r="O120" s="51"/>
      <c r="P120" s="52"/>
      <c r="Q120" s="51"/>
      <c r="R120" s="422"/>
      <c r="S120" s="422"/>
      <c r="T120" s="41"/>
      <c r="U120" s="41"/>
      <c r="V120" s="41"/>
      <c r="W120" s="41"/>
      <c r="X120" s="419"/>
      <c r="Y120" s="223"/>
      <c r="Z120" s="41"/>
      <c r="AA120" s="53"/>
      <c r="AB120" s="53"/>
      <c r="AC120" s="41"/>
      <c r="AD120" s="41">
        <f>+AM120+BA120</f>
        <v>0</v>
      </c>
      <c r="AE120" s="598" t="s">
        <v>752</v>
      </c>
      <c r="AF120" s="41"/>
      <c r="AG120" s="41"/>
      <c r="AH120" s="41"/>
      <c r="AI120" s="461"/>
      <c r="AJ120" s="41"/>
      <c r="AK120" s="41"/>
      <c r="AL120" s="41"/>
      <c r="AM120" s="41">
        <f>SUM(AF120:AL120)+AT120+AV120+AX120</f>
        <v>0</v>
      </c>
      <c r="AN120" s="41"/>
      <c r="AO120" s="41"/>
      <c r="AP120" s="41"/>
      <c r="AQ120" s="41"/>
      <c r="AR120" s="41">
        <f>SUM(AN120:AQ120)</f>
        <v>0</v>
      </c>
      <c r="AS120" s="41"/>
      <c r="AT120" s="41"/>
      <c r="AU120" s="41">
        <f>357-357</f>
        <v>0</v>
      </c>
      <c r="AV120" s="41"/>
      <c r="AW120" s="41"/>
      <c r="AX120" s="41"/>
      <c r="AY120" s="41"/>
      <c r="AZ120" s="41"/>
      <c r="BA120" s="41">
        <f>+AR120+AS120+AU120+AW120+AY120+AZ120</f>
        <v>0</v>
      </c>
      <c r="BB120" s="37"/>
      <c r="BC120" s="55"/>
      <c r="BD120" s="55"/>
      <c r="BE120" s="55"/>
      <c r="BF120" s="55"/>
    </row>
    <row r="121" spans="1:58" ht="12.95" customHeight="1">
      <c r="A121" s="346"/>
      <c r="B121" s="45"/>
      <c r="C121" s="452"/>
      <c r="D121" s="45"/>
      <c r="E121" s="46"/>
      <c r="F121" s="46"/>
      <c r="G121" s="465"/>
      <c r="H121" s="48"/>
      <c r="I121" s="49"/>
      <c r="J121" s="91"/>
      <c r="K121" s="91"/>
      <c r="L121" s="39"/>
      <c r="M121" s="39"/>
      <c r="N121" s="50"/>
      <c r="O121" s="51"/>
      <c r="P121" s="52"/>
      <c r="Q121" s="51"/>
      <c r="R121" s="422"/>
      <c r="S121" s="422"/>
      <c r="T121" s="41"/>
      <c r="U121" s="41"/>
      <c r="V121" s="41"/>
      <c r="W121" s="41"/>
      <c r="X121" s="419"/>
      <c r="Y121" s="223"/>
      <c r="Z121" s="41"/>
      <c r="AA121" s="53"/>
      <c r="AB121" s="53"/>
      <c r="AC121" s="41"/>
      <c r="AD121" s="41">
        <f>+AM121+BA121</f>
        <v>35</v>
      </c>
      <c r="AE121" s="244" t="s">
        <v>753</v>
      </c>
      <c r="AF121" s="41"/>
      <c r="AG121" s="41"/>
      <c r="AH121" s="41"/>
      <c r="AI121" s="461"/>
      <c r="AJ121" s="41"/>
      <c r="AK121" s="41"/>
      <c r="AL121" s="41"/>
      <c r="AM121" s="41">
        <f>SUM(AF121:AL121)+AT121+AV121+AX121</f>
        <v>0</v>
      </c>
      <c r="AN121" s="41"/>
      <c r="AO121" s="41"/>
      <c r="AP121" s="41">
        <v>35</v>
      </c>
      <c r="AQ121" s="41"/>
      <c r="AR121" s="41">
        <f>SUM(AN121:AQ121)</f>
        <v>35</v>
      </c>
      <c r="AS121" s="41"/>
      <c r="AT121" s="41"/>
      <c r="AU121" s="41"/>
      <c r="AV121" s="41"/>
      <c r="AW121" s="41"/>
      <c r="AX121" s="41"/>
      <c r="AY121" s="41"/>
      <c r="AZ121" s="41"/>
      <c r="BA121" s="41">
        <f>+AR121+AS121+AU121+AW121+AY121+AZ121</f>
        <v>35</v>
      </c>
      <c r="BB121" s="37"/>
      <c r="BC121" s="55"/>
      <c r="BD121" s="55"/>
      <c r="BE121" s="55"/>
      <c r="BF121" s="55"/>
    </row>
    <row r="122" spans="1:58" ht="12.95" customHeight="1">
      <c r="A122" s="44"/>
      <c r="B122" s="45"/>
      <c r="C122" s="452"/>
      <c r="D122" s="45"/>
      <c r="E122" s="46"/>
      <c r="F122" s="46"/>
      <c r="G122" s="465"/>
      <c r="H122" s="48"/>
      <c r="I122" s="49"/>
      <c r="J122" s="91"/>
      <c r="K122" s="91"/>
      <c r="L122" s="39"/>
      <c r="M122" s="39"/>
      <c r="N122" s="50"/>
      <c r="O122" s="51"/>
      <c r="P122" s="52"/>
      <c r="Q122" s="51"/>
      <c r="R122" s="422"/>
      <c r="S122" s="422"/>
      <c r="T122" s="41"/>
      <c r="U122" s="41"/>
      <c r="V122" s="41"/>
      <c r="W122" s="41"/>
      <c r="X122" s="42"/>
      <c r="Y122" s="223"/>
      <c r="Z122" s="41"/>
      <c r="AA122" s="41"/>
      <c r="AB122" s="41"/>
      <c r="AC122" s="41"/>
      <c r="AD122" s="41"/>
      <c r="AE122" s="241"/>
      <c r="AF122" s="37"/>
      <c r="AG122" s="37"/>
      <c r="AH122" s="37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37"/>
      <c r="BC122" s="57"/>
      <c r="BD122" s="55"/>
      <c r="BE122" s="55"/>
      <c r="BF122" s="55"/>
    </row>
    <row r="123" spans="1:58" ht="12.95" customHeight="1">
      <c r="A123" s="44">
        <v>45955</v>
      </c>
      <c r="B123" s="581" t="s">
        <v>7</v>
      </c>
      <c r="C123" s="452">
        <f>(M123*E123*O123*Q123)/100000000</f>
        <v>12.21693312</v>
      </c>
      <c r="D123" s="45" t="s">
        <v>411</v>
      </c>
      <c r="E123" s="46">
        <v>12</v>
      </c>
      <c r="F123" s="46">
        <v>1</v>
      </c>
      <c r="G123" s="47">
        <v>1700</v>
      </c>
      <c r="H123" s="48">
        <v>0.24</v>
      </c>
      <c r="I123" s="49">
        <v>0.88</v>
      </c>
      <c r="J123" s="91">
        <f>E123*G123*(1-H123)*1440/1000000*2.77</f>
        <v>61.8423552</v>
      </c>
      <c r="K123" s="91">
        <f>(IF(G123&lt;L123,L123,G123)*(1-IF(H123&lt;N123,H123,N123))*E123*O123*Q123)/100000000</f>
        <v>15.259036800000001</v>
      </c>
      <c r="L123" s="39">
        <v>1361.081081081081</v>
      </c>
      <c r="M123" s="39">
        <v>1034.4216216216216</v>
      </c>
      <c r="N123" s="50">
        <f>1-(M123/L123)</f>
        <v>0.24</v>
      </c>
      <c r="O123" s="51">
        <f>+'Trim Rwd'!H90</f>
        <v>266</v>
      </c>
      <c r="P123" s="52">
        <f>O123*(Q123-R123-S123)</f>
        <v>94430</v>
      </c>
      <c r="Q123" s="38">
        <v>370</v>
      </c>
      <c r="R123" s="422">
        <v>0</v>
      </c>
      <c r="S123" s="422">
        <v>15</v>
      </c>
      <c r="T123" s="41">
        <f>E123*M123*O123*Q123/100000000</f>
        <v>12.21693312</v>
      </c>
      <c r="U123" s="41">
        <f>E123*M123*O123*(Q123-R123-S123)/100000000</f>
        <v>11.721652047567568</v>
      </c>
      <c r="V123" s="41">
        <f>E123*G123*(1-N123)*O123/100*(R123+S123)/1000000</f>
        <v>0.61860959999999998</v>
      </c>
      <c r="W123" s="41">
        <f>+'25'!K16/1000</f>
        <v>11.38</v>
      </c>
      <c r="X123" s="42">
        <f>SUM(W123:W126)/SUM(K123:K126)</f>
        <v>0.67129498069958682</v>
      </c>
      <c r="Y123" s="223">
        <v>0</v>
      </c>
      <c r="Z123" s="41">
        <f>+'25'!D7/1000</f>
        <v>0.29899999999999999</v>
      </c>
      <c r="AA123" s="53">
        <f>SUM(U123:U126)-SUM(W123:W126)-SUM(Z123:Z126)-SUM(Y123:Y126)</f>
        <v>8.6435461618055189</v>
      </c>
      <c r="AB123" s="53">
        <f>(SUM(K123:K126)-SUM(W123:W126)-SUM(Y123:Y126)-SUM(Z123:Z126)-SUM(AC123:AC126)-SUM(V123:V126))-AA123</f>
        <v>-0.43224997460552572</v>
      </c>
      <c r="AC123" s="41">
        <f>K123-T123</f>
        <v>3.0421036800000003</v>
      </c>
      <c r="AD123" s="41">
        <f>+AM123+BA123</f>
        <v>15</v>
      </c>
      <c r="AE123" s="244" t="s">
        <v>614</v>
      </c>
      <c r="AF123" s="41">
        <v>15</v>
      </c>
      <c r="AG123" s="41"/>
      <c r="AH123" s="41"/>
      <c r="AI123" s="41"/>
      <c r="AJ123" s="41"/>
      <c r="AK123" s="41"/>
      <c r="AL123" s="41"/>
      <c r="AM123" s="41">
        <f>SUM(AF123:AL123)+AT123+AV123+AX123</f>
        <v>15</v>
      </c>
      <c r="AN123" s="41"/>
      <c r="AO123" s="41"/>
      <c r="AP123" s="41"/>
      <c r="AQ123" s="41"/>
      <c r="AR123" s="41">
        <f>SUM(AN123:AQ123)</f>
        <v>0</v>
      </c>
      <c r="AS123" s="41"/>
      <c r="AT123" s="41"/>
      <c r="AU123" s="41"/>
      <c r="AV123" s="41"/>
      <c r="AW123" s="41"/>
      <c r="AX123" s="41"/>
      <c r="AY123" s="41"/>
      <c r="AZ123" s="41"/>
      <c r="BA123" s="41">
        <f>+AR123+AS123+AU123+AW123+AY123+AZ123</f>
        <v>0</v>
      </c>
      <c r="BB123" s="37">
        <v>3</v>
      </c>
      <c r="BC123" s="55"/>
      <c r="BD123" s="55"/>
      <c r="BE123" s="55"/>
      <c r="BF123" s="55"/>
    </row>
    <row r="124" spans="1:58" ht="12.95" customHeight="1">
      <c r="A124" s="346"/>
      <c r="B124" s="45" t="s">
        <v>7</v>
      </c>
      <c r="C124" s="452">
        <f>(M124*E124*O124*Q124)/100000000</f>
        <v>12.984120531199999</v>
      </c>
      <c r="D124" s="45" t="s">
        <v>411</v>
      </c>
      <c r="E124" s="46">
        <v>13</v>
      </c>
      <c r="F124" s="46">
        <v>1</v>
      </c>
      <c r="G124" s="465">
        <v>1700</v>
      </c>
      <c r="H124" s="48">
        <v>0.24</v>
      </c>
      <c r="I124" s="49">
        <v>0.88</v>
      </c>
      <c r="J124" s="91">
        <f>E124*G124*(1-H124)*1440/1000000*2.77</f>
        <v>66.995884799999999</v>
      </c>
      <c r="K124" s="91">
        <f>(IF(G124&lt;L124,L124,G124)*(1-IF(H124&lt;N124,H124,N124))*E124*O124*Q124)/100000000</f>
        <v>15.392291095999999</v>
      </c>
      <c r="L124" s="39">
        <v>1434.0298507462687</v>
      </c>
      <c r="M124" s="39">
        <v>1089.8626865671642</v>
      </c>
      <c r="N124" s="50">
        <f>1-(M124/L124)</f>
        <v>0.24</v>
      </c>
      <c r="O124" s="51">
        <f>+'Trim Rwd'!H91</f>
        <v>273.56</v>
      </c>
      <c r="P124" s="52">
        <f>O124*(Q124-R124-S124)</f>
        <v>87539.199999999997</v>
      </c>
      <c r="Q124" s="51">
        <v>335</v>
      </c>
      <c r="R124" s="422">
        <v>0</v>
      </c>
      <c r="S124" s="422">
        <v>15</v>
      </c>
      <c r="T124" s="41">
        <f>E124*M124*O124*Q124/100000000</f>
        <v>12.984120531199999</v>
      </c>
      <c r="U124" s="41">
        <f>E124*M124*O124*(Q124-R124-S124)/100000000</f>
        <v>12.402741999952241</v>
      </c>
      <c r="V124" s="41">
        <f>E124*G124*(1-N124)*O124/100*(R124+S124)/1000000</f>
        <v>0.68920706399999987</v>
      </c>
      <c r="W124" s="41">
        <f>+'25'!K7/1000</f>
        <v>13.093</v>
      </c>
      <c r="X124" s="42"/>
      <c r="Y124" s="223"/>
      <c r="Z124" s="41">
        <f>+('25'!D16+'25'!D25)/1000</f>
        <v>0.45</v>
      </c>
      <c r="AA124" s="53"/>
      <c r="AB124" s="53"/>
      <c r="AC124" s="41">
        <f>K124-T124</f>
        <v>2.4081705648000007</v>
      </c>
      <c r="AD124" s="41">
        <f>+AM124+BA124</f>
        <v>11</v>
      </c>
      <c r="AE124" s="466" t="s">
        <v>767</v>
      </c>
      <c r="AF124" s="41"/>
      <c r="AG124" s="41">
        <v>11</v>
      </c>
      <c r="AH124" s="41"/>
      <c r="AI124" s="41"/>
      <c r="AJ124" s="41"/>
      <c r="AK124" s="41"/>
      <c r="AL124" s="41"/>
      <c r="AM124" s="41">
        <f>SUM(AF124:AL124)+AT124+AV124+AX124</f>
        <v>11</v>
      </c>
      <c r="AN124" s="41"/>
      <c r="AO124" s="41"/>
      <c r="AP124" s="41"/>
      <c r="AQ124" s="41"/>
      <c r="AR124" s="41">
        <f>SUM(AN124:AQ124)</f>
        <v>0</v>
      </c>
      <c r="AS124" s="41"/>
      <c r="AT124" s="41"/>
      <c r="AU124" s="41"/>
      <c r="AV124" s="41"/>
      <c r="AW124" s="41"/>
      <c r="AX124" s="41"/>
      <c r="AY124" s="41"/>
      <c r="AZ124" s="41"/>
      <c r="BA124" s="41">
        <f>+AR124+AS124+AU124+AW124+AY124+AZ124</f>
        <v>0</v>
      </c>
      <c r="BB124" s="37"/>
      <c r="BC124" s="55">
        <v>9</v>
      </c>
      <c r="BD124" s="55"/>
      <c r="BE124" s="55"/>
      <c r="BF124" s="55"/>
    </row>
    <row r="125" spans="1:58" ht="12.95" customHeight="1">
      <c r="A125" s="346"/>
      <c r="B125" s="45" t="s">
        <v>7</v>
      </c>
      <c r="C125" s="452">
        <f>(M125*E125*O125*Q125)/100000000</f>
        <v>32.303772000000002</v>
      </c>
      <c r="D125" s="45" t="s">
        <v>411</v>
      </c>
      <c r="E125" s="46">
        <v>13.5</v>
      </c>
      <c r="F125" s="46">
        <v>1</v>
      </c>
      <c r="G125" s="47">
        <v>1700</v>
      </c>
      <c r="H125" s="48">
        <v>0.2</v>
      </c>
      <c r="I125" s="49">
        <v>0.88</v>
      </c>
      <c r="J125" s="91">
        <f>E125*G125*(1-H125)*1440/1000000*2.77</f>
        <v>73.234368000000003</v>
      </c>
      <c r="K125" s="91">
        <f>(IF(G125&lt;L125,L125,G125)*(1-IF(H125&lt;N125,H125,N125))*E125*O125*Q125)/100000000</f>
        <v>37.582461000000002</v>
      </c>
      <c r="L125" s="39">
        <v>1461.2244897959183</v>
      </c>
      <c r="M125" s="39">
        <v>1168.9795918367347</v>
      </c>
      <c r="N125" s="50">
        <f>1-(M125/L125)</f>
        <v>0.19999999999999996</v>
      </c>
      <c r="O125" s="51">
        <f>+'Trim Rwd'!H93</f>
        <v>278.5</v>
      </c>
      <c r="P125" s="52">
        <f>O125*(Q125-R125-S125)</f>
        <v>196899.5</v>
      </c>
      <c r="Q125" s="51">
        <v>735</v>
      </c>
      <c r="R125" s="422">
        <v>0</v>
      </c>
      <c r="S125" s="422">
        <v>28</v>
      </c>
      <c r="T125" s="41">
        <f>E125*M125*O125*Q125/100000000</f>
        <v>32.303772000000002</v>
      </c>
      <c r="U125" s="41">
        <f>E125*M125*O125*(Q125-R125-S125)/100000000</f>
        <v>31.073152114285715</v>
      </c>
      <c r="V125" s="41">
        <f>E125*G125*(1-N125)*O125/100*(R125+S125)/1000000</f>
        <v>1.4317128000000001</v>
      </c>
      <c r="W125" s="41">
        <f>+'25'!K19/1000</f>
        <v>21.332000000000001</v>
      </c>
      <c r="X125" s="419"/>
      <c r="Y125" s="223"/>
      <c r="Z125" s="41"/>
      <c r="AA125" s="53"/>
      <c r="AB125" s="53"/>
      <c r="AC125" s="41">
        <f>K125-T125</f>
        <v>5.278689</v>
      </c>
      <c r="AD125" s="41">
        <f>+AM125+BA125</f>
        <v>27</v>
      </c>
      <c r="AE125" s="241" t="s">
        <v>768</v>
      </c>
      <c r="AF125" s="41"/>
      <c r="AG125" s="41"/>
      <c r="AH125" s="41">
        <v>27</v>
      </c>
      <c r="AI125" s="41"/>
      <c r="AJ125" s="41"/>
      <c r="AK125" s="41"/>
      <c r="AL125" s="41"/>
      <c r="AM125" s="41">
        <f>SUM(AF125:AL125)+AT125+AV125+AX125</f>
        <v>27</v>
      </c>
      <c r="AN125" s="41"/>
      <c r="AO125" s="41"/>
      <c r="AP125" s="41"/>
      <c r="AQ125" s="41"/>
      <c r="AR125" s="41">
        <f>SUM(AN125:AQ125)</f>
        <v>0</v>
      </c>
      <c r="AS125" s="41"/>
      <c r="AT125" s="41"/>
      <c r="AU125" s="41"/>
      <c r="AV125" s="41"/>
      <c r="AW125" s="41"/>
      <c r="AX125" s="41"/>
      <c r="AY125" s="41"/>
      <c r="AZ125" s="41"/>
      <c r="BA125" s="41">
        <f>+AR125+AS125+AU125+AW125+AY125+AZ125</f>
        <v>0</v>
      </c>
      <c r="BB125" s="37"/>
      <c r="BC125" s="55"/>
      <c r="BD125" s="55"/>
      <c r="BE125" s="55"/>
      <c r="BF125" s="55"/>
    </row>
    <row r="126" spans="1:58" ht="12.95" customHeight="1">
      <c r="A126" s="346"/>
      <c r="B126" s="45"/>
      <c r="C126" s="452"/>
      <c r="D126" s="45"/>
      <c r="E126" s="46"/>
      <c r="F126" s="46"/>
      <c r="G126" s="465"/>
      <c r="H126" s="48"/>
      <c r="I126" s="49"/>
      <c r="J126" s="91"/>
      <c r="K126" s="91"/>
      <c r="L126" s="39"/>
      <c r="M126" s="39"/>
      <c r="N126" s="50"/>
      <c r="O126" s="51"/>
      <c r="P126" s="52"/>
      <c r="Q126" s="51"/>
      <c r="R126" s="422"/>
      <c r="S126" s="422"/>
      <c r="T126" s="41"/>
      <c r="U126" s="41"/>
      <c r="V126" s="41"/>
      <c r="W126" s="41"/>
      <c r="X126" s="419"/>
      <c r="Y126" s="223"/>
      <c r="Z126" s="41"/>
      <c r="AA126" s="53"/>
      <c r="AB126" s="53"/>
      <c r="AC126" s="41"/>
      <c r="AD126" s="41">
        <f>+AM126+BA126</f>
        <v>5</v>
      </c>
      <c r="AE126" s="241" t="s">
        <v>424</v>
      </c>
      <c r="AF126" s="41"/>
      <c r="AG126" s="41"/>
      <c r="AH126" s="41"/>
      <c r="AI126" s="461">
        <v>5</v>
      </c>
      <c r="AJ126" s="41"/>
      <c r="AK126" s="41"/>
      <c r="AL126" s="41"/>
      <c r="AM126" s="41">
        <f>SUM(AF126:AL126)+AT126+AV126+AX126</f>
        <v>5</v>
      </c>
      <c r="AN126" s="41"/>
      <c r="AO126" s="41"/>
      <c r="AP126" s="41"/>
      <c r="AQ126" s="41"/>
      <c r="AR126" s="41">
        <f>SUM(AN126:AQ126)</f>
        <v>0</v>
      </c>
      <c r="AS126" s="41"/>
      <c r="AT126" s="41"/>
      <c r="AU126" s="41"/>
      <c r="AV126" s="41"/>
      <c r="AW126" s="41"/>
      <c r="AX126" s="41"/>
      <c r="AY126" s="41"/>
      <c r="AZ126" s="41"/>
      <c r="BA126" s="41">
        <f>+AR126+AS126+AU126+AW126+AY126+AZ126</f>
        <v>0</v>
      </c>
      <c r="BB126" s="37"/>
      <c r="BC126" s="55"/>
      <c r="BD126" s="55"/>
      <c r="BE126" s="55"/>
      <c r="BF126" s="55"/>
    </row>
    <row r="127" spans="1:58" ht="12.95" customHeight="1">
      <c r="A127" s="346"/>
      <c r="B127" s="45"/>
      <c r="C127" s="452"/>
      <c r="D127" s="45"/>
      <c r="E127" s="46"/>
      <c r="F127" s="46"/>
      <c r="G127" s="465"/>
      <c r="H127" s="48"/>
      <c r="I127" s="49"/>
      <c r="J127" s="91"/>
      <c r="K127" s="91"/>
      <c r="L127" s="39"/>
      <c r="M127" s="39"/>
      <c r="N127" s="50"/>
      <c r="O127" s="51"/>
      <c r="P127" s="52"/>
      <c r="Q127" s="51"/>
      <c r="R127" s="422"/>
      <c r="S127" s="422"/>
      <c r="T127" s="41"/>
      <c r="U127" s="41"/>
      <c r="V127" s="41"/>
      <c r="W127" s="41"/>
      <c r="X127" s="419"/>
      <c r="Y127" s="223"/>
      <c r="Z127" s="41"/>
      <c r="AA127" s="53"/>
      <c r="AB127" s="53"/>
      <c r="AC127" s="41"/>
      <c r="AD127" s="41"/>
      <c r="AE127" s="241"/>
      <c r="AF127" s="41"/>
      <c r="AG127" s="41"/>
      <c r="AH127" s="41"/>
      <c r="AI127" s="461"/>
      <c r="AJ127" s="41"/>
      <c r="AK127" s="41"/>
      <c r="AL127" s="41"/>
      <c r="AM127" s="41"/>
      <c r="AN127" s="92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54"/>
      <c r="BC127" s="55"/>
      <c r="BD127" s="55"/>
      <c r="BE127" s="55"/>
      <c r="BF127" s="55"/>
    </row>
    <row r="128" spans="1:58" ht="12.95" customHeight="1">
      <c r="A128" s="44">
        <v>45956</v>
      </c>
      <c r="B128" s="45" t="s">
        <v>7</v>
      </c>
      <c r="C128" s="452">
        <f>(M128*E128*O128*Q128)/100000000</f>
        <v>16.148966399999999</v>
      </c>
      <c r="D128" s="45" t="s">
        <v>411</v>
      </c>
      <c r="E128" s="46">
        <v>12</v>
      </c>
      <c r="F128" s="46">
        <v>1</v>
      </c>
      <c r="G128" s="465">
        <v>1700</v>
      </c>
      <c r="H128" s="48">
        <v>0.24</v>
      </c>
      <c r="I128" s="49">
        <v>0.88</v>
      </c>
      <c r="J128" s="91">
        <f>E128*G128*(1-H128)*1440/1000000*2.77</f>
        <v>61.8423552</v>
      </c>
      <c r="K128" s="91">
        <f>(IF(G128&lt;L128,L128,G128)*(1-IF(H128&lt;N128,H128,N128))*E128*O128*Q128)/100000000</f>
        <v>19.6094592</v>
      </c>
      <c r="L128" s="39">
        <v>1400</v>
      </c>
      <c r="M128" s="39">
        <f>+L128-L128*0.24</f>
        <v>1064</v>
      </c>
      <c r="N128" s="50">
        <f>1-(M128/L128)</f>
        <v>0.24</v>
      </c>
      <c r="O128" s="51">
        <f>+'Trim Rwd'!H96</f>
        <v>272</v>
      </c>
      <c r="P128" s="52">
        <f>O128*(Q128-R128-S128)</f>
        <v>104448</v>
      </c>
      <c r="Q128" s="51">
        <f>480-15</f>
        <v>465</v>
      </c>
      <c r="R128" s="422">
        <v>60</v>
      </c>
      <c r="S128" s="422">
        <v>21</v>
      </c>
      <c r="T128" s="41">
        <f>E128*M128*O128*Q128/100000000</f>
        <v>16.148966399999999</v>
      </c>
      <c r="U128" s="41">
        <f>E128*M128*O128*(Q128-R128-S128)/100000000</f>
        <v>13.335920639999999</v>
      </c>
      <c r="V128" s="41">
        <f>E128*G128*(1-N128)*O128/100*(R128+S128)/1000000</f>
        <v>3.41584128</v>
      </c>
      <c r="W128" s="41">
        <f>+'26'!K16/1000</f>
        <v>12.759</v>
      </c>
      <c r="X128" s="42">
        <f>SUM(W128:W131)/SUM(K128:K131)</f>
        <v>0.66534898440076218</v>
      </c>
      <c r="Y128" s="223">
        <v>0</v>
      </c>
      <c r="Z128" s="41">
        <f>+'26'!D16/1000</f>
        <v>0.58599999999999997</v>
      </c>
      <c r="AA128" s="41">
        <f>SUM(U128:U131)-SUM(W128:W131)-SUM(Z128:Z131)-SUM(Y128:Y131)</f>
        <v>4.862805440000006</v>
      </c>
      <c r="AB128" s="41">
        <f>(SUM(K128:K131)-SUM(W128:W131)-SUM(Y128:Y131)-SUM(Z128:Z131)-SUM(AC128:AC131)-SUM(V128:V131))-AA128</f>
        <v>-0.77819592000000259</v>
      </c>
      <c r="AC128" s="41">
        <f>K128-T128</f>
        <v>3.4604928000000008</v>
      </c>
      <c r="AD128" s="41">
        <f>+AM128+BA128</f>
        <v>5</v>
      </c>
      <c r="AE128" s="241" t="s">
        <v>541</v>
      </c>
      <c r="AF128" s="37">
        <v>5</v>
      </c>
      <c r="AG128" s="37"/>
      <c r="AH128" s="37"/>
      <c r="AJ128" s="41"/>
      <c r="AK128" s="41"/>
      <c r="AL128" s="41"/>
      <c r="AM128" s="41">
        <f>SUM(AF128:AL128)+AT128+AV128+AX128</f>
        <v>5</v>
      </c>
      <c r="AN128" s="41"/>
      <c r="AO128" s="41"/>
      <c r="AP128" s="41"/>
      <c r="AQ128" s="41"/>
      <c r="AR128" s="41">
        <f>SUM(AN128:AQ128)</f>
        <v>0</v>
      </c>
      <c r="AS128" s="41"/>
      <c r="AT128" s="41"/>
      <c r="AU128" s="41"/>
      <c r="AV128" s="41"/>
      <c r="AW128" s="41"/>
      <c r="AX128" s="41"/>
      <c r="AY128" s="41"/>
      <c r="AZ128" s="41"/>
      <c r="BA128" s="41">
        <f>+AR128+AS128+AU128+AW128+AY128+AZ128</f>
        <v>0</v>
      </c>
      <c r="BB128" s="37">
        <v>1</v>
      </c>
      <c r="BC128" s="57"/>
      <c r="BD128" s="55"/>
      <c r="BE128" s="55"/>
      <c r="BF128" s="55"/>
    </row>
    <row r="129" spans="1:58" ht="12.95" customHeight="1">
      <c r="A129" s="44"/>
      <c r="B129" s="45" t="s">
        <v>7</v>
      </c>
      <c r="C129" s="452">
        <f>(M129*E129*O129*Q129)/100000000</f>
        <v>38.003420000000006</v>
      </c>
      <c r="D129" s="45" t="s">
        <v>411</v>
      </c>
      <c r="E129" s="46">
        <v>14</v>
      </c>
      <c r="F129" s="46">
        <v>1</v>
      </c>
      <c r="G129" s="47">
        <v>1700</v>
      </c>
      <c r="H129" s="48">
        <v>0.24</v>
      </c>
      <c r="I129" s="49">
        <v>0.88</v>
      </c>
      <c r="J129" s="91">
        <f>E129*G129*(1-H129)*1440/1000000*2.77</f>
        <v>72.149414399999998</v>
      </c>
      <c r="K129" s="91">
        <f>(IF(G129&lt;L129,L129,G129)*(1-IF(H129&lt;N129,H129,N129))*E129*O129*Q129)/100000000</f>
        <v>46.147010000000002</v>
      </c>
      <c r="L129" s="39">
        <v>1400</v>
      </c>
      <c r="M129" s="39">
        <f>+L129-L129*0.24</f>
        <v>1064</v>
      </c>
      <c r="N129" s="50">
        <f>1-(M129/L129)</f>
        <v>0.24</v>
      </c>
      <c r="O129" s="51">
        <f>+'Trim Rwd'!H97</f>
        <v>261.66666666666669</v>
      </c>
      <c r="P129" s="52">
        <f>O129*(Q129-R129-S129)</f>
        <v>249630.00000000003</v>
      </c>
      <c r="Q129" s="51">
        <f>960+15</f>
        <v>975</v>
      </c>
      <c r="R129" s="422">
        <v>0</v>
      </c>
      <c r="S129" s="422">
        <v>21</v>
      </c>
      <c r="T129" s="41">
        <f>E129*M129*O129*Q129/100000000</f>
        <v>38.003420000000006</v>
      </c>
      <c r="U129" s="41">
        <f>E129*M129*O129*(Q129-R129-S129)/100000000</f>
        <v>37.184884800000006</v>
      </c>
      <c r="V129" s="41">
        <f>E129*G129*(1-N129)*O129/100*(R129+S129)/1000000</f>
        <v>0.99393560000000014</v>
      </c>
      <c r="W129" s="41">
        <f>+'26'!K20/1000</f>
        <v>13.534000000000001</v>
      </c>
      <c r="X129" s="42"/>
      <c r="Y129" s="223"/>
      <c r="Z129" s="41">
        <f>+('26'!D18+'26'!D26)/1000</f>
        <v>1.321</v>
      </c>
      <c r="AA129" s="53"/>
      <c r="AB129" s="53"/>
      <c r="AC129" s="41">
        <f>K129-T129</f>
        <v>8.1435899999999961</v>
      </c>
      <c r="AD129" s="41">
        <f>+AM129+BA129</f>
        <v>10</v>
      </c>
      <c r="AE129" s="241" t="s">
        <v>598</v>
      </c>
      <c r="AF129" s="41"/>
      <c r="AG129" s="41">
        <v>10</v>
      </c>
      <c r="AH129" s="41"/>
      <c r="AI129" s="41"/>
      <c r="AJ129" s="41"/>
      <c r="AK129" s="41"/>
      <c r="AL129" s="41"/>
      <c r="AM129" s="41">
        <f>SUM(AF129:AL129)+AT129+AV129+AX129</f>
        <v>10</v>
      </c>
      <c r="AN129" s="41"/>
      <c r="AO129" s="41"/>
      <c r="AP129" s="41"/>
      <c r="AQ129" s="41"/>
      <c r="AR129" s="41">
        <f>SUM(AN129:AQ129)</f>
        <v>0</v>
      </c>
      <c r="AS129" s="41"/>
      <c r="AT129" s="41"/>
      <c r="AU129" s="41"/>
      <c r="AV129" s="41"/>
      <c r="AW129" s="41"/>
      <c r="AX129" s="41"/>
      <c r="AY129" s="41"/>
      <c r="AZ129" s="41"/>
      <c r="BA129" s="41">
        <f>+AR129+AS129+AU129+AW129+AY129+AZ129</f>
        <v>0</v>
      </c>
      <c r="BB129" s="37"/>
      <c r="BC129" s="55">
        <v>8</v>
      </c>
      <c r="BD129" s="55"/>
      <c r="BE129" s="55"/>
      <c r="BF129" s="55"/>
    </row>
    <row r="130" spans="1:58" ht="12.95" customHeight="1">
      <c r="A130" s="346"/>
      <c r="B130" s="45" t="s">
        <v>7</v>
      </c>
      <c r="C130" s="452"/>
      <c r="D130" s="45"/>
      <c r="E130" s="46">
        <v>13</v>
      </c>
      <c r="F130" s="46"/>
      <c r="G130" s="47"/>
      <c r="H130" s="48"/>
      <c r="I130" s="49"/>
      <c r="J130" s="91"/>
      <c r="K130" s="91"/>
      <c r="L130" s="39"/>
      <c r="M130" s="39"/>
      <c r="N130" s="50"/>
      <c r="O130" s="51"/>
      <c r="P130" s="52"/>
      <c r="Q130" s="51"/>
      <c r="R130" s="422"/>
      <c r="S130" s="422"/>
      <c r="T130" s="41"/>
      <c r="U130" s="41"/>
      <c r="V130" s="41"/>
      <c r="W130" s="41">
        <f>+'26'!K7/1000</f>
        <v>16.536999999999999</v>
      </c>
      <c r="X130" s="419"/>
      <c r="Y130" s="223"/>
      <c r="Z130" s="41"/>
      <c r="AA130" s="41"/>
      <c r="AB130" s="41"/>
      <c r="AC130" s="41"/>
      <c r="AD130" s="41">
        <f>+AM130+BA130</f>
        <v>27</v>
      </c>
      <c r="AE130" s="583" t="s">
        <v>505</v>
      </c>
      <c r="AF130" s="41"/>
      <c r="AG130" s="41"/>
      <c r="AH130" s="41">
        <v>27</v>
      </c>
      <c r="AI130" s="41"/>
      <c r="AJ130" s="41"/>
      <c r="AK130" s="41"/>
      <c r="AL130" s="41"/>
      <c r="AM130" s="41">
        <f>SUM(AF130:AL130)+AT130+AV130+AX130</f>
        <v>27</v>
      </c>
      <c r="AN130" s="41"/>
      <c r="AO130" s="41"/>
      <c r="AP130" s="41"/>
      <c r="AQ130" s="41"/>
      <c r="AR130" s="41">
        <f>SUM(AN130:AQ130)</f>
        <v>0</v>
      </c>
      <c r="AS130" s="41"/>
      <c r="AT130" s="41"/>
      <c r="AU130" s="41"/>
      <c r="AV130" s="41"/>
      <c r="AW130" s="41"/>
      <c r="AX130" s="41"/>
      <c r="AY130" s="41"/>
      <c r="AZ130" s="41"/>
      <c r="BA130" s="41">
        <f>+AR130+AS130+AU130+AW130+AY130+AZ130</f>
        <v>0</v>
      </c>
      <c r="BB130" s="37"/>
      <c r="BC130" s="55"/>
      <c r="BD130" s="55"/>
      <c r="BE130" s="55"/>
      <c r="BF130" s="55"/>
    </row>
    <row r="131" spans="1:58" ht="12.95" customHeight="1">
      <c r="A131" s="44"/>
      <c r="B131" s="45" t="s">
        <v>7</v>
      </c>
      <c r="C131" s="452"/>
      <c r="D131" s="45"/>
      <c r="E131" s="46">
        <v>13.5</v>
      </c>
      <c r="F131" s="46"/>
      <c r="G131" s="47"/>
      <c r="H131" s="48"/>
      <c r="I131" s="49"/>
      <c r="J131" s="91"/>
      <c r="K131" s="91"/>
      <c r="L131" s="39"/>
      <c r="M131" s="39"/>
      <c r="N131" s="50"/>
      <c r="O131" s="51"/>
      <c r="P131" s="52"/>
      <c r="Q131" s="51"/>
      <c r="R131" s="422"/>
      <c r="S131" s="422"/>
      <c r="T131" s="41"/>
      <c r="U131" s="41"/>
      <c r="V131" s="41"/>
      <c r="W131" s="41">
        <f>+'26'!K19/1000</f>
        <v>0.92100000000000004</v>
      </c>
      <c r="X131" s="42"/>
      <c r="Y131" s="223"/>
      <c r="Z131" s="41"/>
      <c r="AA131" s="41"/>
      <c r="AB131" s="41"/>
      <c r="AC131" s="41"/>
      <c r="AD131" s="41">
        <f>+AM131+BA131</f>
        <v>60</v>
      </c>
      <c r="AE131" s="584" t="s">
        <v>776</v>
      </c>
      <c r="AF131" s="41"/>
      <c r="AG131" s="41"/>
      <c r="AH131" s="41"/>
      <c r="AI131" s="41"/>
      <c r="AJ131" s="41"/>
      <c r="AK131" s="41"/>
      <c r="AL131" s="41"/>
      <c r="AM131" s="41">
        <f>SUM(AF131:AL131)+AT131+AV131+AX131</f>
        <v>0</v>
      </c>
      <c r="AN131" s="41"/>
      <c r="AO131" s="41"/>
      <c r="AP131" s="41">
        <v>60</v>
      </c>
      <c r="AQ131" s="41"/>
      <c r="AR131" s="41">
        <f>SUM(AN131:AQ131)</f>
        <v>60</v>
      </c>
      <c r="AS131" s="41"/>
      <c r="AT131" s="41"/>
      <c r="AU131" s="41"/>
      <c r="AV131" s="41"/>
      <c r="AW131" s="41"/>
      <c r="AX131" s="41"/>
      <c r="AY131" s="41"/>
      <c r="AZ131" s="41"/>
      <c r="BA131" s="41">
        <f>+AR131+AS131+AU131+AW131+AY131+AZ131</f>
        <v>60</v>
      </c>
      <c r="BB131" s="37"/>
      <c r="BC131" s="55"/>
      <c r="BD131" s="55"/>
      <c r="BE131" s="55"/>
      <c r="BF131" s="55"/>
    </row>
    <row r="132" spans="1:58" ht="12.95" customHeight="1">
      <c r="A132" s="346"/>
      <c r="B132" s="45"/>
      <c r="C132" s="452"/>
      <c r="D132" s="45"/>
      <c r="E132" s="46"/>
      <c r="F132" s="46"/>
      <c r="G132" s="465"/>
      <c r="H132" s="48"/>
      <c r="I132" s="49"/>
      <c r="J132" s="91"/>
      <c r="K132" s="91"/>
      <c r="L132" s="39"/>
      <c r="M132" s="39"/>
      <c r="N132" s="50"/>
      <c r="O132" s="51"/>
      <c r="P132" s="52"/>
      <c r="Q132" s="51"/>
      <c r="R132" s="422"/>
      <c r="S132" s="422"/>
      <c r="T132" s="41"/>
      <c r="U132" s="41"/>
      <c r="V132" s="41"/>
      <c r="W132" s="41"/>
      <c r="X132" s="419"/>
      <c r="Y132" s="223"/>
      <c r="Z132" s="41"/>
      <c r="AA132" s="53"/>
      <c r="AB132" s="53"/>
      <c r="AC132" s="41"/>
      <c r="AD132" s="41"/>
      <c r="AE132" s="241"/>
      <c r="AF132" s="41"/>
      <c r="AG132" s="41"/>
      <c r="AH132" s="41"/>
      <c r="AI132" s="46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37"/>
      <c r="BC132" s="55"/>
      <c r="BD132" s="55"/>
      <c r="BE132" s="55"/>
      <c r="BF132" s="55"/>
    </row>
    <row r="133" spans="1:58" ht="12.95" customHeight="1">
      <c r="A133" s="346">
        <v>45957</v>
      </c>
      <c r="B133" s="45" t="s">
        <v>7</v>
      </c>
      <c r="C133" s="452">
        <f>(M133*E133*O133*Q133)/100000000</f>
        <v>61.296359040000013</v>
      </c>
      <c r="D133" s="45" t="s">
        <v>411</v>
      </c>
      <c r="E133" s="46">
        <v>14</v>
      </c>
      <c r="F133" s="46">
        <v>1</v>
      </c>
      <c r="G133" s="465">
        <v>1700</v>
      </c>
      <c r="H133" s="48">
        <v>0.24</v>
      </c>
      <c r="I133" s="49">
        <v>0.88</v>
      </c>
      <c r="J133" s="91">
        <f>E133*G133*(1-H133)*1440/1000000*2.77</f>
        <v>72.149414399999998</v>
      </c>
      <c r="K133" s="91">
        <f>(IF(G133&lt;L133,L133,G133)*(1-IF(H133&lt;N133,H133,N133))*E133*O133*Q133)/100000000</f>
        <v>69.935443199999995</v>
      </c>
      <c r="L133" s="39">
        <v>1490</v>
      </c>
      <c r="M133" s="39">
        <v>1132.4000000000001</v>
      </c>
      <c r="N133" s="50">
        <f>1-(M133/L133)</f>
        <v>0.24</v>
      </c>
      <c r="O133" s="51">
        <f>+'Trim Rwd'!H102</f>
        <v>268.5</v>
      </c>
      <c r="P133" s="52">
        <f>O133*(Q133-R133-S133)</f>
        <v>369456</v>
      </c>
      <c r="Q133" s="51">
        <v>1440</v>
      </c>
      <c r="R133" s="422">
        <v>0</v>
      </c>
      <c r="S133" s="422">
        <v>64</v>
      </c>
      <c r="T133" s="41">
        <f>E133*M133*O133*Q133/100000000</f>
        <v>61.296359040000013</v>
      </c>
      <c r="U133" s="41">
        <f>E133*M133*O133*(Q133-R133-S133)/100000000</f>
        <v>58.572076416000002</v>
      </c>
      <c r="V133" s="41">
        <f>E133*G133*(1-N133)*O133/100*(R133+S133)/1000000</f>
        <v>3.1082419199999998</v>
      </c>
      <c r="W133" s="41">
        <f>+'27'!K34/1000</f>
        <v>51.003999999999998</v>
      </c>
      <c r="X133" s="419">
        <f>SUM(W133:W136)/SUM(K133:K136)</f>
        <v>0.72930116213233642</v>
      </c>
      <c r="Y133" s="223">
        <v>0</v>
      </c>
      <c r="Z133" s="41">
        <f>+'27'!D34/1000</f>
        <v>1.86</v>
      </c>
      <c r="AA133" s="53">
        <f>SUM(U133:U136)-SUM(W133:W136)-SUM(Z133:Z136)-SUM(Y133:Y136)</f>
        <v>5.7080764160000035</v>
      </c>
      <c r="AB133" s="53">
        <f>(SUM(K133:K136)-SUM(W133:W136)-SUM(Y133:Y136)-SUM(Z133:Z136)-SUM(AC133:AC136)-SUM(V133:V136))-AA133</f>
        <v>-0.38395929599998713</v>
      </c>
      <c r="AC133" s="41">
        <f>K133-T133</f>
        <v>8.6390841599999817</v>
      </c>
      <c r="AD133" s="41">
        <f>+AM133+BA133</f>
        <v>30</v>
      </c>
      <c r="AE133" s="241" t="s">
        <v>483</v>
      </c>
      <c r="AF133" s="41">
        <v>30</v>
      </c>
      <c r="AG133" s="41"/>
      <c r="AH133" s="41"/>
      <c r="AI133" s="461"/>
      <c r="AJ133" s="41"/>
      <c r="AK133" s="41"/>
      <c r="AL133" s="41"/>
      <c r="AM133" s="41">
        <f>SUM(AF133:AL133)+AT133+AV133+AX133</f>
        <v>30</v>
      </c>
      <c r="AN133" s="92"/>
      <c r="AO133" s="41"/>
      <c r="AP133" s="41"/>
      <c r="AQ133" s="41"/>
      <c r="AR133" s="41">
        <f>SUM(AN133:AQ133)</f>
        <v>0</v>
      </c>
      <c r="AS133" s="41"/>
      <c r="AT133" s="41"/>
      <c r="AU133" s="41"/>
      <c r="AV133" s="41"/>
      <c r="AW133" s="41"/>
      <c r="AX133" s="41"/>
      <c r="AY133" s="41"/>
      <c r="AZ133" s="41"/>
      <c r="BA133" s="41">
        <f>+AR133+AS133+AU133+AW133+AY133+AZ133</f>
        <v>0</v>
      </c>
      <c r="BB133" s="54">
        <v>6</v>
      </c>
      <c r="BC133" s="55"/>
      <c r="BD133" s="55"/>
      <c r="BE133" s="55"/>
      <c r="BF133" s="55"/>
    </row>
    <row r="134" spans="1:58" ht="12.95" customHeight="1">
      <c r="A134" s="44"/>
      <c r="B134" s="45"/>
      <c r="C134" s="452"/>
      <c r="D134" s="45"/>
      <c r="E134" s="46"/>
      <c r="F134" s="46"/>
      <c r="G134" s="465"/>
      <c r="H134" s="48"/>
      <c r="I134" s="49"/>
      <c r="J134" s="91"/>
      <c r="K134" s="91"/>
      <c r="L134" s="39"/>
      <c r="M134" s="39"/>
      <c r="N134" s="50"/>
      <c r="O134" s="51"/>
      <c r="P134" s="52"/>
      <c r="Q134" s="51"/>
      <c r="R134" s="422"/>
      <c r="S134" s="422"/>
      <c r="T134" s="41"/>
      <c r="U134" s="41"/>
      <c r="V134" s="41"/>
      <c r="W134" s="41"/>
      <c r="X134" s="42"/>
      <c r="Y134" s="223"/>
      <c r="Z134" s="41"/>
      <c r="AA134" s="41"/>
      <c r="AB134" s="41"/>
      <c r="AC134" s="41"/>
      <c r="AD134" s="41">
        <f>+AM134+BA134</f>
        <v>6</v>
      </c>
      <c r="AE134" s="241" t="s">
        <v>456</v>
      </c>
      <c r="AF134" s="37"/>
      <c r="AG134" s="37">
        <v>6</v>
      </c>
      <c r="AH134" s="37"/>
      <c r="AJ134" s="41"/>
      <c r="AK134" s="41"/>
      <c r="AL134" s="41"/>
      <c r="AM134" s="41">
        <f>SUM(AF134:AL134)+AT134+AV134+AX134</f>
        <v>6</v>
      </c>
      <c r="AN134" s="41"/>
      <c r="AO134" s="41"/>
      <c r="AP134" s="41"/>
      <c r="AQ134" s="41"/>
      <c r="AR134" s="41">
        <f>SUM(AN134:AQ134)</f>
        <v>0</v>
      </c>
      <c r="AS134" s="41"/>
      <c r="AT134" s="41"/>
      <c r="AU134" s="41"/>
      <c r="AV134" s="41"/>
      <c r="AW134" s="41"/>
      <c r="AX134" s="41"/>
      <c r="AY134" s="41"/>
      <c r="AZ134" s="41"/>
      <c r="BA134" s="41">
        <f>+AR134+AS134+AU134+AW134+AY134+AZ134</f>
        <v>0</v>
      </c>
      <c r="BB134" s="37"/>
      <c r="BC134" s="57">
        <v>6</v>
      </c>
      <c r="BD134" s="55"/>
      <c r="BE134" s="55"/>
      <c r="BF134" s="55"/>
    </row>
    <row r="135" spans="1:58" ht="12.95" customHeight="1">
      <c r="A135" s="44"/>
      <c r="B135" s="585"/>
      <c r="C135" s="452"/>
      <c r="D135" s="45"/>
      <c r="E135" s="258"/>
      <c r="F135" s="46"/>
      <c r="G135" s="47"/>
      <c r="H135" s="48"/>
      <c r="I135" s="49"/>
      <c r="J135" s="91"/>
      <c r="K135" s="91"/>
      <c r="L135" s="39"/>
      <c r="M135" s="39"/>
      <c r="N135" s="50"/>
      <c r="O135" s="51"/>
      <c r="P135" s="52"/>
      <c r="Q135" s="351"/>
      <c r="R135" s="54"/>
      <c r="S135" s="54"/>
      <c r="T135" s="41"/>
      <c r="U135" s="41"/>
      <c r="V135" s="41"/>
      <c r="W135" s="37"/>
      <c r="X135" s="42"/>
      <c r="Y135" s="42"/>
      <c r="Z135" s="37"/>
      <c r="AA135" s="53"/>
      <c r="AB135" s="53"/>
      <c r="AC135" s="41"/>
      <c r="AD135" s="41">
        <f>+AM135+BA135</f>
        <v>28</v>
      </c>
      <c r="AE135" s="22" t="s">
        <v>645</v>
      </c>
      <c r="AF135" s="41"/>
      <c r="AG135" s="41"/>
      <c r="AH135" s="41">
        <v>28</v>
      </c>
      <c r="AI135" s="41"/>
      <c r="AJ135" s="41"/>
      <c r="AK135" s="41"/>
      <c r="AL135" s="41"/>
      <c r="AM135" s="41">
        <f>SUM(AF135:AL135)+AT135+AV135+AX135</f>
        <v>28</v>
      </c>
      <c r="AN135" s="41"/>
      <c r="AO135" s="41"/>
      <c r="AP135" s="41"/>
      <c r="AQ135" s="41"/>
      <c r="AR135" s="41">
        <f>SUM(AN135:AQ135)</f>
        <v>0</v>
      </c>
      <c r="AS135" s="41"/>
      <c r="AT135" s="41"/>
      <c r="AU135" s="41"/>
      <c r="AV135" s="41"/>
      <c r="AW135" s="41"/>
      <c r="AX135" s="41"/>
      <c r="AY135" s="41"/>
      <c r="AZ135" s="41"/>
      <c r="BA135" s="41">
        <f>+AR135+AS135+AU135+AW135+AY135+AZ135</f>
        <v>0</v>
      </c>
      <c r="BB135" s="37"/>
      <c r="BC135" s="55"/>
      <c r="BD135" s="55"/>
      <c r="BE135" s="55"/>
      <c r="BF135" s="55"/>
    </row>
    <row r="136" spans="1:58" ht="12.95" customHeight="1">
      <c r="A136" s="346"/>
      <c r="B136" s="45"/>
      <c r="C136" s="452"/>
      <c r="D136" s="45"/>
      <c r="E136" s="46"/>
      <c r="F136" s="46"/>
      <c r="G136" s="465"/>
      <c r="H136" s="48"/>
      <c r="I136" s="49"/>
      <c r="J136" s="91"/>
      <c r="K136" s="91"/>
      <c r="L136" s="39"/>
      <c r="M136" s="39"/>
      <c r="N136" s="50"/>
      <c r="O136" s="51"/>
      <c r="P136" s="52"/>
      <c r="Q136" s="51"/>
      <c r="R136" s="422"/>
      <c r="S136" s="422"/>
      <c r="T136" s="41"/>
      <c r="U136" s="41"/>
      <c r="V136" s="41"/>
      <c r="W136" s="41"/>
      <c r="X136" s="419"/>
      <c r="Y136" s="223"/>
      <c r="Z136" s="41"/>
      <c r="AA136" s="53"/>
      <c r="AB136" s="53"/>
      <c r="AC136" s="41"/>
      <c r="AD136" s="41"/>
      <c r="AE136" s="241"/>
      <c r="AF136" s="41"/>
      <c r="AG136" s="41"/>
      <c r="AH136" s="41"/>
      <c r="AI136" s="46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37"/>
      <c r="BC136" s="55"/>
      <c r="BD136" s="55"/>
      <c r="BE136" s="55"/>
      <c r="BF136" s="55"/>
    </row>
    <row r="137" spans="1:58" ht="12.95" customHeight="1">
      <c r="A137" s="346">
        <v>45958</v>
      </c>
      <c r="B137" s="45" t="s">
        <v>7</v>
      </c>
      <c r="C137" s="452">
        <f>(M137*E137*O137*Q137)/100000000</f>
        <v>6.3850374000000008</v>
      </c>
      <c r="D137" s="45" t="s">
        <v>411</v>
      </c>
      <c r="E137" s="46">
        <v>14</v>
      </c>
      <c r="F137" s="46">
        <v>1</v>
      </c>
      <c r="G137" s="465">
        <v>1700</v>
      </c>
      <c r="H137" s="48">
        <v>0.24</v>
      </c>
      <c r="I137" s="49">
        <v>0.88</v>
      </c>
      <c r="J137" s="91">
        <f>E137*G137*(1-H137)*1440/1000000*2.77</f>
        <v>72.149414399999998</v>
      </c>
      <c r="K137" s="91">
        <f>(IF(G137&lt;L137,L137,G137)*(1-IF(H137&lt;N137,H137,N137))*E137*O137*Q137)/100000000</f>
        <v>7.284942</v>
      </c>
      <c r="L137" s="39">
        <v>1490</v>
      </c>
      <c r="M137" s="39">
        <v>1132.4000000000001</v>
      </c>
      <c r="N137" s="50">
        <f>1-(M137/L137)</f>
        <v>0.24</v>
      </c>
      <c r="O137" s="51">
        <f>+'Trim Rwd'!H104</f>
        <v>268.5</v>
      </c>
      <c r="P137" s="52">
        <f>O137*(Q137-R137-S137)</f>
        <v>38932.5</v>
      </c>
      <c r="Q137" s="51">
        <v>150</v>
      </c>
      <c r="R137" s="422">
        <v>0</v>
      </c>
      <c r="S137" s="422">
        <v>5</v>
      </c>
      <c r="T137" s="41">
        <f>E137*M137*O137*Q137/100000000</f>
        <v>6.3850374000000008</v>
      </c>
      <c r="U137" s="41">
        <f>E137*M137*O137*(Q137-R137-S137)/100000000</f>
        <v>6.1722028200000008</v>
      </c>
      <c r="V137" s="41">
        <f>E137*G137*(1-N137)*O137/100*(R137+S137)/1000000</f>
        <v>0.2428314</v>
      </c>
      <c r="W137" s="41">
        <f>+'28'!K20/1000</f>
        <v>5.024</v>
      </c>
      <c r="X137" s="419">
        <f>SUM(W137:W140)/SUM(K137:K140)</f>
        <v>0.7313933022456568</v>
      </c>
      <c r="Y137" s="223">
        <v>0</v>
      </c>
      <c r="Z137" s="41">
        <v>0</v>
      </c>
      <c r="AA137" s="53">
        <f>SUM(U137:U140)-SUM(W137:W140)-SUM(Z137:Z140)-SUM(Y137:Y140)</f>
        <v>8.5435787654930238</v>
      </c>
      <c r="AB137" s="53">
        <f>(SUM(K137:K140)-SUM(W137:W140)-SUM(Y137:Y140)-SUM(Z137:Z140)-SUM(AC137:AC140)-SUM(V137:V140))-AA137</f>
        <v>-0.33055302408802945</v>
      </c>
      <c r="AC137" s="41">
        <f>K137-T137</f>
        <v>0.89990459999999928</v>
      </c>
      <c r="AD137" s="41">
        <f>+AM137+BA137</f>
        <v>5</v>
      </c>
      <c r="AE137" s="241" t="s">
        <v>541</v>
      </c>
      <c r="AF137" s="41">
        <v>5</v>
      </c>
      <c r="AG137" s="41"/>
      <c r="AH137" s="41"/>
      <c r="AI137" s="461"/>
      <c r="AJ137" s="41"/>
      <c r="AK137" s="41"/>
      <c r="AL137" s="41"/>
      <c r="AM137" s="41">
        <f>SUM(AF137:AL137)+AT137+AV137+AX137</f>
        <v>5</v>
      </c>
      <c r="AN137" s="92"/>
      <c r="AO137" s="41"/>
      <c r="AP137" s="41"/>
      <c r="AQ137" s="41"/>
      <c r="AR137" s="41">
        <f>SUM(AN137:AQ137)</f>
        <v>0</v>
      </c>
      <c r="AS137" s="41"/>
      <c r="AT137" s="41"/>
      <c r="AU137" s="41"/>
      <c r="AV137" s="41"/>
      <c r="AW137" s="41"/>
      <c r="AX137" s="41"/>
      <c r="AY137" s="41"/>
      <c r="AZ137" s="41"/>
      <c r="BA137" s="41">
        <f>+AR137+AS137+AU137+AW137+AY137+AZ137</f>
        <v>0</v>
      </c>
      <c r="BB137" s="54">
        <v>1</v>
      </c>
      <c r="BC137" s="55"/>
      <c r="BD137" s="55"/>
      <c r="BE137" s="55"/>
      <c r="BF137" s="55"/>
    </row>
    <row r="138" spans="1:58" ht="12.95" customHeight="1">
      <c r="A138" s="44"/>
      <c r="B138" s="45" t="s">
        <v>7</v>
      </c>
      <c r="C138" s="452">
        <f>(M138*E138*O138*Q138)/100000000</f>
        <v>54.568479141405</v>
      </c>
      <c r="D138" s="45" t="s">
        <v>411</v>
      </c>
      <c r="E138" s="46">
        <v>13</v>
      </c>
      <c r="F138" s="46">
        <v>1</v>
      </c>
      <c r="G138" s="465">
        <v>1700</v>
      </c>
      <c r="H138" s="48">
        <v>0.24</v>
      </c>
      <c r="I138" s="49">
        <v>0.88</v>
      </c>
      <c r="J138" s="91">
        <f>E138*G138*(1-H138)*1440/1000000*2.77</f>
        <v>66.995884799999999</v>
      </c>
      <c r="K138" s="91">
        <f>(IF(G138&lt;L138,L138,G138)*(1-IF(H138&lt;N138,H138,N138))*E138*O138*Q138)/100000000</f>
        <v>58.876451400000001</v>
      </c>
      <c r="L138" s="39">
        <v>1575.611510791367</v>
      </c>
      <c r="M138" s="39">
        <v>1197.4647482014389</v>
      </c>
      <c r="N138" s="50">
        <f>1-(M138/L138)</f>
        <v>0.24</v>
      </c>
      <c r="O138" s="51">
        <f>+'Trim Rwd'!H105</f>
        <v>271.73529411764707</v>
      </c>
      <c r="P138" s="52">
        <f>O138*(Q138-R138-S138)</f>
        <v>326082.3529411765</v>
      </c>
      <c r="Q138" s="51">
        <v>1290</v>
      </c>
      <c r="R138" s="422">
        <v>39</v>
      </c>
      <c r="S138" s="422">
        <v>51</v>
      </c>
      <c r="T138" s="41">
        <f>E138*M138*O138*Q138/100000000</f>
        <v>54.568479141405</v>
      </c>
      <c r="U138" s="41">
        <f>E138*M138*O138*(Q138-R138-S138)/100000000</f>
        <v>50.761375945493022</v>
      </c>
      <c r="V138" s="41">
        <f>E138*G138*(1-N138)*O138/100*(R138+S138)/1000000</f>
        <v>4.1076594000000002</v>
      </c>
      <c r="W138" s="41">
        <f>+'28'!K7/1000</f>
        <v>43.366</v>
      </c>
      <c r="X138" s="42"/>
      <c r="Y138" s="223"/>
      <c r="Z138" s="41"/>
      <c r="AA138" s="41"/>
      <c r="AB138" s="41"/>
      <c r="AC138" s="41">
        <f>K138-T138</f>
        <v>4.3079722585950009</v>
      </c>
      <c r="AD138" s="41">
        <f>+AM138+BA138</f>
        <v>21</v>
      </c>
      <c r="AE138" s="241" t="s">
        <v>804</v>
      </c>
      <c r="AF138" s="37"/>
      <c r="AG138" s="37">
        <v>21</v>
      </c>
      <c r="AH138" s="37"/>
      <c r="AJ138" s="41"/>
      <c r="AK138" s="41"/>
      <c r="AL138" s="41"/>
      <c r="AM138" s="41">
        <f>SUM(AF138:AL138)+AT138+AV138+AX138</f>
        <v>21</v>
      </c>
      <c r="AN138" s="41"/>
      <c r="AO138" s="41"/>
      <c r="AP138" s="41"/>
      <c r="AQ138" s="41"/>
      <c r="AR138" s="41">
        <f>SUM(AN138:AQ138)</f>
        <v>0</v>
      </c>
      <c r="AS138" s="41"/>
      <c r="AT138" s="41"/>
      <c r="AU138" s="41"/>
      <c r="AV138" s="41"/>
      <c r="AW138" s="41"/>
      <c r="AX138" s="41"/>
      <c r="AY138" s="41"/>
      <c r="AZ138" s="41"/>
      <c r="BA138" s="41">
        <f>+AR138+AS138+AU138+AW138+AY138+AZ138</f>
        <v>0</v>
      </c>
      <c r="BB138" s="37"/>
      <c r="BC138" s="57">
        <v>18</v>
      </c>
      <c r="BD138" s="55"/>
      <c r="BE138" s="55"/>
      <c r="BF138" s="55"/>
    </row>
    <row r="139" spans="1:58" ht="12.95" customHeight="1">
      <c r="A139" s="44"/>
      <c r="B139" s="586"/>
      <c r="C139" s="452"/>
      <c r="D139" s="45"/>
      <c r="E139" s="258"/>
      <c r="F139" s="46"/>
      <c r="G139" s="47"/>
      <c r="H139" s="48"/>
      <c r="I139" s="49"/>
      <c r="J139" s="91"/>
      <c r="K139" s="91"/>
      <c r="L139" s="39"/>
      <c r="M139" s="39"/>
      <c r="N139" s="50"/>
      <c r="O139" s="51"/>
      <c r="P139" s="52"/>
      <c r="Q139" s="351"/>
      <c r="R139" s="54"/>
      <c r="S139" s="54"/>
      <c r="T139" s="41"/>
      <c r="U139" s="41"/>
      <c r="V139" s="41"/>
      <c r="W139" s="37"/>
      <c r="X139" s="42"/>
      <c r="Y139" s="42"/>
      <c r="Z139" s="37"/>
      <c r="AA139" s="53"/>
      <c r="AB139" s="53"/>
      <c r="AC139" s="41"/>
      <c r="AD139" s="41">
        <f>+AM139+BA139</f>
        <v>30</v>
      </c>
      <c r="AE139" s="22" t="s">
        <v>645</v>
      </c>
      <c r="AF139" s="41"/>
      <c r="AG139" s="41"/>
      <c r="AH139" s="41">
        <v>30</v>
      </c>
      <c r="AI139" s="41"/>
      <c r="AJ139" s="41"/>
      <c r="AK139" s="41"/>
      <c r="AL139" s="41"/>
      <c r="AM139" s="41">
        <f>SUM(AF139:AL139)+AT139+AV139+AX139</f>
        <v>30</v>
      </c>
      <c r="AN139" s="41"/>
      <c r="AO139" s="41"/>
      <c r="AP139" s="41"/>
      <c r="AQ139" s="41"/>
      <c r="AR139" s="41">
        <f>SUM(AN139:AQ139)</f>
        <v>0</v>
      </c>
      <c r="AS139" s="41"/>
      <c r="AT139" s="41"/>
      <c r="AU139" s="41"/>
      <c r="AV139" s="41"/>
      <c r="AW139" s="41"/>
      <c r="AX139" s="41"/>
      <c r="AY139" s="41"/>
      <c r="AZ139" s="41"/>
      <c r="BA139" s="41">
        <f>+AR139+AS139+AU139+AW139+AY139+AZ139</f>
        <v>0</v>
      </c>
      <c r="BB139" s="37"/>
      <c r="BC139" s="55"/>
      <c r="BD139" s="55"/>
      <c r="BE139" s="55"/>
      <c r="BF139" s="55"/>
    </row>
    <row r="140" spans="1:58" ht="12.95" customHeight="1">
      <c r="A140" s="346"/>
      <c r="B140" s="45"/>
      <c r="C140" s="452"/>
      <c r="D140" s="45"/>
      <c r="E140" s="46"/>
      <c r="F140" s="46"/>
      <c r="G140" s="465"/>
      <c r="H140" s="48"/>
      <c r="I140" s="49"/>
      <c r="J140" s="91"/>
      <c r="K140" s="91"/>
      <c r="L140" s="39"/>
      <c r="M140" s="39"/>
      <c r="N140" s="50"/>
      <c r="O140" s="51"/>
      <c r="P140" s="52"/>
      <c r="Q140" s="51"/>
      <c r="R140" s="422"/>
      <c r="S140" s="422"/>
      <c r="T140" s="41"/>
      <c r="U140" s="41"/>
      <c r="V140" s="41"/>
      <c r="W140" s="41"/>
      <c r="X140" s="419"/>
      <c r="Y140" s="223"/>
      <c r="Z140" s="41"/>
      <c r="AA140" s="53"/>
      <c r="AB140" s="53"/>
      <c r="AC140" s="41"/>
      <c r="AD140" s="41">
        <f>+AM140+BA140</f>
        <v>39</v>
      </c>
      <c r="AE140" s="241" t="s">
        <v>805</v>
      </c>
      <c r="AF140" s="41"/>
      <c r="AG140" s="41"/>
      <c r="AH140" s="41"/>
      <c r="AI140" s="461"/>
      <c r="AJ140" s="41"/>
      <c r="AK140" s="41"/>
      <c r="AL140" s="41"/>
      <c r="AM140" s="41">
        <f>SUM(AF140:AL140)+AT140+AV140+AX140</f>
        <v>0</v>
      </c>
      <c r="AN140" s="41"/>
      <c r="AO140" s="41"/>
      <c r="AP140" s="41">
        <v>39</v>
      </c>
      <c r="AQ140" s="41"/>
      <c r="AR140" s="41">
        <f>SUM(AN140:AQ140)</f>
        <v>39</v>
      </c>
      <c r="AS140" s="41"/>
      <c r="AT140" s="41"/>
      <c r="AU140" s="41"/>
      <c r="AV140" s="41"/>
      <c r="AW140" s="41"/>
      <c r="AX140" s="41"/>
      <c r="AY140" s="41"/>
      <c r="AZ140" s="41"/>
      <c r="BA140" s="41">
        <f>+AR140+AS140+AU140+AW140+AY140+AZ140</f>
        <v>39</v>
      </c>
      <c r="BB140" s="37"/>
      <c r="BC140" s="55"/>
      <c r="BD140" s="55"/>
      <c r="BE140" s="55"/>
      <c r="BF140" s="55"/>
    </row>
    <row r="141" spans="1:58" ht="12.95" customHeight="1">
      <c r="A141" s="346"/>
      <c r="B141" s="45"/>
      <c r="C141" s="452"/>
      <c r="D141" s="45"/>
      <c r="E141" s="46"/>
      <c r="F141" s="46"/>
      <c r="G141" s="465"/>
      <c r="H141" s="48"/>
      <c r="I141" s="49"/>
      <c r="J141" s="91"/>
      <c r="K141" s="91"/>
      <c r="L141" s="39"/>
      <c r="M141" s="39"/>
      <c r="N141" s="50"/>
      <c r="O141" s="51"/>
      <c r="P141" s="52"/>
      <c r="Q141" s="51"/>
      <c r="R141" s="422"/>
      <c r="S141" s="422"/>
      <c r="T141" s="41"/>
      <c r="U141" s="41"/>
      <c r="V141" s="41"/>
      <c r="W141" s="41"/>
      <c r="X141" s="419"/>
      <c r="Y141" s="223"/>
      <c r="Z141" s="41"/>
      <c r="AA141" s="53"/>
      <c r="AB141" s="53"/>
      <c r="AC141" s="41"/>
      <c r="AD141" s="41"/>
      <c r="AE141" s="241"/>
      <c r="AF141" s="41"/>
      <c r="AG141" s="41"/>
      <c r="AH141" s="41"/>
      <c r="AI141" s="461"/>
      <c r="AJ141" s="41"/>
      <c r="AK141" s="41"/>
      <c r="AL141" s="41"/>
      <c r="AM141" s="41"/>
      <c r="AN141" s="92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54"/>
      <c r="BC141" s="55"/>
      <c r="BD141" s="55"/>
      <c r="BE141" s="55"/>
      <c r="BF141" s="55"/>
    </row>
    <row r="142" spans="1:58" ht="12.95" customHeight="1">
      <c r="A142" s="44">
        <v>45959</v>
      </c>
      <c r="B142" s="45" t="s">
        <v>7</v>
      </c>
      <c r="C142" s="452">
        <f>(M142*E142*O142*Q142)/100000000</f>
        <v>59.884764770642207</v>
      </c>
      <c r="D142" s="45" t="s">
        <v>411</v>
      </c>
      <c r="E142" s="46">
        <v>13</v>
      </c>
      <c r="F142" s="46">
        <v>1</v>
      </c>
      <c r="G142" s="465">
        <v>1700</v>
      </c>
      <c r="H142" s="48">
        <v>0.24</v>
      </c>
      <c r="I142" s="49">
        <v>0.88</v>
      </c>
      <c r="J142" s="91">
        <f>E142*G142*(1-H142)*1440/1000000*2.77</f>
        <v>66.995884799999999</v>
      </c>
      <c r="K142" s="91">
        <f>(IF(G142&lt;L142,L142,G142)*(1-IF(H142&lt;N142,H142,N142))*E142*O142*Q142)/100000000</f>
        <v>65.680064587155968</v>
      </c>
      <c r="L142" s="39">
        <v>1550</v>
      </c>
      <c r="M142" s="39">
        <v>1178</v>
      </c>
      <c r="N142" s="50">
        <f>1-(M142/L142)</f>
        <v>0.24</v>
      </c>
      <c r="O142" s="51">
        <f>+'Trim Rwd'!H108</f>
        <v>271.55963302752292</v>
      </c>
      <c r="P142" s="52">
        <f>O142*(Q142-R142-S142)</f>
        <v>375295.41284403665</v>
      </c>
      <c r="Q142" s="51">
        <v>1440</v>
      </c>
      <c r="R142" s="422">
        <v>0</v>
      </c>
      <c r="S142" s="422">
        <v>58</v>
      </c>
      <c r="T142" s="41">
        <f>E142*M142*O142*Q142/100000000</f>
        <v>59.884764770642207</v>
      </c>
      <c r="U142" s="41">
        <f>E142*M142*O142*(Q142-R142-S142)/100000000</f>
        <v>57.472739522935782</v>
      </c>
      <c r="V142" s="41">
        <f>E142*G142*(1-N142)*O142/100*(R142+S142)/1000000</f>
        <v>2.6454470458715593</v>
      </c>
      <c r="W142" s="41">
        <f>+'29'!K34/1000</f>
        <v>61.749000000000002</v>
      </c>
      <c r="X142" s="42">
        <f>SUM(W142:W145)/SUM(K142:K145)</f>
        <v>0.94014828377734716</v>
      </c>
      <c r="Y142" s="223">
        <v>0</v>
      </c>
      <c r="Z142" s="41">
        <f>+'29'!D34/1000</f>
        <v>0.58599999999999997</v>
      </c>
      <c r="AA142" s="41">
        <f>SUM(U142:U145)-SUM(W142:W145)-SUM(Z142:Z145)-SUM(Y142:Y145)</f>
        <v>-4.8622604770642202</v>
      </c>
      <c r="AB142" s="41">
        <f>(SUM(K142:K145)-SUM(W142:W145)-SUM(Y142:Y145)-SUM(Z142:Z145)-SUM(AC142:AC145)-SUM(V142:V145))-AA142</f>
        <v>-0.23342179816513475</v>
      </c>
      <c r="AC142" s="41">
        <f>K142-T142</f>
        <v>5.7952998165137615</v>
      </c>
      <c r="AD142" s="41">
        <f>+AM142+BA142</f>
        <v>20</v>
      </c>
      <c r="AE142" s="241" t="s">
        <v>540</v>
      </c>
      <c r="AF142" s="37">
        <v>20</v>
      </c>
      <c r="AG142" s="37"/>
      <c r="AH142" s="37"/>
      <c r="AJ142" s="41"/>
      <c r="AK142" s="41"/>
      <c r="AL142" s="41"/>
      <c r="AM142" s="41">
        <f>SUM(AF142:AL142)+AT142+AV142+AX142</f>
        <v>20</v>
      </c>
      <c r="AN142" s="41"/>
      <c r="AO142" s="41"/>
      <c r="AP142" s="41"/>
      <c r="AQ142" s="41"/>
      <c r="AR142" s="41">
        <f>SUM(AN142:AQ142)</f>
        <v>0</v>
      </c>
      <c r="AS142" s="41"/>
      <c r="AT142" s="41"/>
      <c r="AU142" s="41"/>
      <c r="AV142" s="41"/>
      <c r="AW142" s="41"/>
      <c r="AX142" s="41"/>
      <c r="AY142" s="41"/>
      <c r="AZ142" s="41"/>
      <c r="BA142" s="41">
        <f>+AR142+AS142+AU142+AW142+AY142+AZ142</f>
        <v>0</v>
      </c>
      <c r="BB142" s="37">
        <v>4</v>
      </c>
      <c r="BC142" s="57"/>
      <c r="BD142" s="55"/>
      <c r="BE142" s="55"/>
      <c r="BF142" s="55"/>
    </row>
    <row r="143" spans="1:58" ht="12.95" customHeight="1">
      <c r="A143" s="44"/>
      <c r="B143" s="586"/>
      <c r="C143" s="452"/>
      <c r="D143" s="45"/>
      <c r="E143" s="258"/>
      <c r="F143" s="46"/>
      <c r="G143" s="47"/>
      <c r="H143" s="48"/>
      <c r="I143" s="49"/>
      <c r="J143" s="91"/>
      <c r="K143" s="91"/>
      <c r="L143" s="39"/>
      <c r="M143" s="39"/>
      <c r="N143" s="50"/>
      <c r="O143" s="51"/>
      <c r="P143" s="52"/>
      <c r="Q143" s="351"/>
      <c r="R143" s="54"/>
      <c r="S143" s="54"/>
      <c r="T143" s="41"/>
      <c r="U143" s="41"/>
      <c r="V143" s="41"/>
      <c r="W143" s="37"/>
      <c r="X143" s="42"/>
      <c r="Y143" s="42"/>
      <c r="Z143" s="37"/>
      <c r="AA143" s="53"/>
      <c r="AB143" s="53"/>
      <c r="AC143" s="41"/>
      <c r="AD143" s="41">
        <f>+AM143+BA143</f>
        <v>8</v>
      </c>
      <c r="AE143" s="21" t="s">
        <v>570</v>
      </c>
      <c r="AF143" s="41"/>
      <c r="AG143" s="41">
        <v>8</v>
      </c>
      <c r="AH143" s="41"/>
      <c r="AI143" s="41"/>
      <c r="AJ143" s="41"/>
      <c r="AK143" s="41"/>
      <c r="AL143" s="41"/>
      <c r="AM143" s="41">
        <f>SUM(AF143:AL143)+AT143+AV143+AX143</f>
        <v>8</v>
      </c>
      <c r="AN143" s="41"/>
      <c r="AO143" s="41"/>
      <c r="AP143" s="41"/>
      <c r="AQ143" s="41"/>
      <c r="AR143" s="41">
        <f>SUM(AN143:AQ143)</f>
        <v>0</v>
      </c>
      <c r="AS143" s="41"/>
      <c r="AT143" s="41"/>
      <c r="AU143" s="41"/>
      <c r="AV143" s="41"/>
      <c r="AW143" s="41"/>
      <c r="AX143" s="41"/>
      <c r="AY143" s="41"/>
      <c r="AZ143" s="41"/>
      <c r="BA143" s="41">
        <f>+AR143+AS143+AU143+AW143+AY143+AZ143</f>
        <v>0</v>
      </c>
      <c r="BB143" s="37"/>
      <c r="BC143" s="55">
        <v>5</v>
      </c>
      <c r="BD143" s="55"/>
      <c r="BE143" s="55"/>
      <c r="BF143" s="55"/>
    </row>
    <row r="144" spans="1:58" ht="12.95" customHeight="1">
      <c r="A144" s="44"/>
      <c r="B144" s="586"/>
      <c r="C144" s="452"/>
      <c r="D144" s="45"/>
      <c r="E144" s="258"/>
      <c r="F144" s="46"/>
      <c r="G144" s="47"/>
      <c r="H144" s="48"/>
      <c r="I144" s="49"/>
      <c r="J144" s="91"/>
      <c r="K144" s="91"/>
      <c r="L144" s="39"/>
      <c r="M144" s="39"/>
      <c r="N144" s="50"/>
      <c r="O144" s="51"/>
      <c r="P144" s="52"/>
      <c r="Q144" s="351"/>
      <c r="R144" s="54"/>
      <c r="S144" s="54"/>
      <c r="T144" s="41"/>
      <c r="U144" s="41"/>
      <c r="V144" s="41"/>
      <c r="W144" s="37"/>
      <c r="X144" s="42"/>
      <c r="Y144" s="42"/>
      <c r="Z144" s="37"/>
      <c r="AA144" s="53"/>
      <c r="AB144" s="53"/>
      <c r="AC144" s="41"/>
      <c r="AD144" s="41">
        <f>+AM144+BA144</f>
        <v>30</v>
      </c>
      <c r="AE144" s="21" t="s">
        <v>484</v>
      </c>
      <c r="AF144" s="41"/>
      <c r="AG144" s="41"/>
      <c r="AH144" s="41">
        <v>30</v>
      </c>
      <c r="AI144" s="41"/>
      <c r="AJ144" s="41"/>
      <c r="AK144" s="41"/>
      <c r="AL144" s="41"/>
      <c r="AM144" s="41">
        <f>SUM(AF144:AL144)+AT144+AV144+AX144</f>
        <v>30</v>
      </c>
      <c r="AN144" s="41"/>
      <c r="AO144" s="41"/>
      <c r="AP144" s="41"/>
      <c r="AQ144" s="41"/>
      <c r="AR144" s="41">
        <f>SUM(AN144:AQ144)</f>
        <v>0</v>
      </c>
      <c r="AS144" s="41"/>
      <c r="AT144" s="41"/>
      <c r="AU144" s="41"/>
      <c r="AV144" s="41"/>
      <c r="AW144" s="41"/>
      <c r="AX144" s="41"/>
      <c r="AY144" s="41"/>
      <c r="AZ144" s="41"/>
      <c r="BA144" s="41">
        <f>+AR144+AS144+AU144+AW144+AY144+AZ144</f>
        <v>0</v>
      </c>
      <c r="BB144" s="37"/>
      <c r="BC144" s="55"/>
      <c r="BD144" s="55"/>
      <c r="BE144" s="55"/>
      <c r="BF144" s="55"/>
    </row>
    <row r="145" spans="1:58" ht="12.95" customHeight="1">
      <c r="A145" s="44"/>
      <c r="B145" s="586"/>
      <c r="C145" s="452"/>
      <c r="D145" s="45"/>
      <c r="E145" s="46"/>
      <c r="F145" s="46"/>
      <c r="G145" s="47"/>
      <c r="H145" s="48"/>
      <c r="I145" s="49"/>
      <c r="J145" s="91"/>
      <c r="K145" s="91"/>
      <c r="L145" s="39"/>
      <c r="M145" s="39"/>
      <c r="N145" s="50"/>
      <c r="O145" s="51"/>
      <c r="P145" s="52"/>
      <c r="Q145" s="38"/>
      <c r="R145" s="422"/>
      <c r="S145" s="422"/>
      <c r="T145" s="41"/>
      <c r="U145" s="41"/>
      <c r="V145" s="41"/>
      <c r="W145" s="41"/>
      <c r="X145" s="42"/>
      <c r="Y145" s="42"/>
      <c r="Z145" s="41"/>
      <c r="AA145" s="53"/>
      <c r="AB145" s="53"/>
      <c r="AC145" s="41"/>
      <c r="AD145" s="41"/>
      <c r="AE145" s="2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37"/>
      <c r="BC145" s="55"/>
      <c r="BD145" s="55"/>
      <c r="BE145" s="55"/>
      <c r="BF145" s="55"/>
    </row>
    <row r="146" spans="1:58" ht="12.75" customHeight="1">
      <c r="A146" s="44">
        <v>45960</v>
      </c>
      <c r="B146" s="45" t="s">
        <v>7</v>
      </c>
      <c r="C146" s="452">
        <f>(M146*E146*O146*Q146)/100000000</f>
        <v>4.9984896000000001</v>
      </c>
      <c r="D146" s="45" t="s">
        <v>411</v>
      </c>
      <c r="E146" s="46">
        <v>13</v>
      </c>
      <c r="F146" s="46">
        <v>1</v>
      </c>
      <c r="G146" s="465">
        <v>1700</v>
      </c>
      <c r="H146" s="48">
        <v>0.24</v>
      </c>
      <c r="I146" s="49">
        <v>0.88</v>
      </c>
      <c r="J146" s="91">
        <f>E146*G146*(1-H146)*1440/1000000*2.77</f>
        <v>66.995884799999999</v>
      </c>
      <c r="K146" s="91">
        <f>(IF(G146&lt;L146,L146,G146)*(1-IF(H146&lt;N146,H146,N146))*E146*O146*Q146)/100000000</f>
        <v>5.4822144000000002</v>
      </c>
      <c r="L146" s="39">
        <v>1550</v>
      </c>
      <c r="M146" s="39">
        <f>+L146-L146*0.24</f>
        <v>1178</v>
      </c>
      <c r="N146" s="50">
        <f>1-(M146/L146)</f>
        <v>0.24</v>
      </c>
      <c r="O146" s="51">
        <f>+'Trim Rwd'!H111</f>
        <v>272</v>
      </c>
      <c r="P146" s="52">
        <f>O146*(Q146-R146-S146)</f>
        <v>31280</v>
      </c>
      <c r="Q146" s="51">
        <v>120</v>
      </c>
      <c r="R146" s="422">
        <v>0</v>
      </c>
      <c r="S146" s="422">
        <v>5</v>
      </c>
      <c r="T146" s="41">
        <f>E146*M146*O146*Q146/100000000</f>
        <v>4.9984896000000001</v>
      </c>
      <c r="U146" s="41">
        <f>E146*M146*O146*(Q146-R146-S146)/100000000</f>
        <v>4.7902192000000001</v>
      </c>
      <c r="V146" s="41">
        <f>E146*G146*(1-N146)*O146/100*(R146+S146)/1000000</f>
        <v>0.22842560000000001</v>
      </c>
      <c r="W146" s="41">
        <f>+'30'!K7/1000</f>
        <v>8.8930000000000007</v>
      </c>
      <c r="X146" s="42">
        <f>SUM(W146:W150)/SUM(K146:K150)</f>
        <v>0.70458464433047752</v>
      </c>
      <c r="Y146" s="223">
        <v>0</v>
      </c>
      <c r="Z146" s="41">
        <f>+'30'!D7/1000</f>
        <v>0.27900000000000003</v>
      </c>
      <c r="AA146" s="41">
        <f>SUM(U146:U150)-SUM(W146:W150)-SUM(Z146:Z150)-SUM(Y146:Y150)</f>
        <v>10.02350012296132</v>
      </c>
      <c r="AB146" s="41">
        <f>(SUM(K146:K150)-SUM(W146:W150)-SUM(Y146:Y150)-SUM(Z146:Z150)-SUM(AC146:AC150)-SUM(V146:V150))-AA146</f>
        <v>-0.25785222649883188</v>
      </c>
      <c r="AC146" s="41">
        <f>K146-T146</f>
        <v>0.48372480000000007</v>
      </c>
      <c r="AD146" s="41">
        <f>+AM146+BA146</f>
        <v>45</v>
      </c>
      <c r="AE146" s="622" t="s">
        <v>704</v>
      </c>
      <c r="AF146" s="37">
        <v>45</v>
      </c>
      <c r="AG146" s="37"/>
      <c r="AH146" s="37"/>
      <c r="AJ146" s="41"/>
      <c r="AK146" s="41"/>
      <c r="AL146" s="41"/>
      <c r="AM146" s="41">
        <f>SUM(AF146:AL146)+AT146+AV146+AX146</f>
        <v>45</v>
      </c>
      <c r="AN146" s="41"/>
      <c r="AO146" s="41"/>
      <c r="AP146" s="41"/>
      <c r="AQ146" s="41"/>
      <c r="AR146" s="41">
        <f>SUM(AN146:AQ146)</f>
        <v>0</v>
      </c>
      <c r="AS146" s="41"/>
      <c r="AT146" s="41"/>
      <c r="AU146" s="41"/>
      <c r="AV146" s="41"/>
      <c r="AW146" s="41"/>
      <c r="AX146" s="41"/>
      <c r="AY146" s="41"/>
      <c r="AZ146" s="41"/>
      <c r="BA146" s="41">
        <f>+AR146+AS146+AU146+AW146+AY146+AZ146</f>
        <v>0</v>
      </c>
      <c r="BB146" s="37">
        <v>9</v>
      </c>
      <c r="BC146" s="57"/>
      <c r="BD146" s="55"/>
      <c r="BE146" s="55"/>
      <c r="BF146" s="55"/>
    </row>
    <row r="147" spans="1:58" ht="12.95" customHeight="1">
      <c r="A147" s="44"/>
      <c r="B147" s="623" t="s">
        <v>234</v>
      </c>
      <c r="C147" s="452">
        <f>(M147*E147*O147*Q147)/100000000</f>
        <v>29.208036816000003</v>
      </c>
      <c r="D147" s="45" t="s">
        <v>411</v>
      </c>
      <c r="E147" s="258">
        <v>15.5</v>
      </c>
      <c r="F147" s="46">
        <v>1</v>
      </c>
      <c r="G147" s="47">
        <v>1270</v>
      </c>
      <c r="H147" s="48">
        <v>0</v>
      </c>
      <c r="I147" s="49">
        <v>0.88</v>
      </c>
      <c r="J147" s="91">
        <f>E147*G147*(1-H147)*1440/1000000*2.77</f>
        <v>78.519527999999994</v>
      </c>
      <c r="K147" s="91">
        <f>(IF(G147&lt;L147,L147,G147)*(1-IF(H147&lt;N147,H147,N147))*E147*O147*Q147)/100000000</f>
        <v>29.543247999999998</v>
      </c>
      <c r="L147" s="39">
        <v>1260</v>
      </c>
      <c r="M147" s="39">
        <f>+L147-L147*0.0035</f>
        <v>1255.5899999999999</v>
      </c>
      <c r="N147" s="50">
        <f>1-(M147/L147)</f>
        <v>3.5000000000000586E-3</v>
      </c>
      <c r="O147" s="51">
        <f>+'Trim Rwd'!H112</f>
        <v>268</v>
      </c>
      <c r="P147" s="52">
        <f>O147*(Q147-R147-S147)</f>
        <v>139628</v>
      </c>
      <c r="Q147" s="351">
        <v>560</v>
      </c>
      <c r="R147" s="422">
        <v>0</v>
      </c>
      <c r="S147" s="422">
        <v>39</v>
      </c>
      <c r="T147" s="41">
        <f>E147*M147*O147*Q147/100000000</f>
        <v>29.208036816000003</v>
      </c>
      <c r="U147" s="41">
        <f>E147*M147*O147*(Q147-R147-S147)/100000000</f>
        <v>27.173905680600001</v>
      </c>
      <c r="V147" s="41">
        <f>E147*G147*(1-N147)*O147/100*(R147+S147)/1000000</f>
        <v>2.0502750332999993</v>
      </c>
      <c r="W147" s="41">
        <f>+'30'!K10/1000</f>
        <v>25.364999999999998</v>
      </c>
      <c r="X147" s="42"/>
      <c r="Y147" s="42"/>
      <c r="Z147" s="41">
        <f>+'30'!D8/1000</f>
        <v>0.29699999999999999</v>
      </c>
      <c r="AA147" s="53"/>
      <c r="AB147" s="53"/>
      <c r="AC147" s="41">
        <f>K147-T147</f>
        <v>0.33521118399999494</v>
      </c>
      <c r="AD147" s="41">
        <f>+AM147+BA147</f>
        <v>5</v>
      </c>
      <c r="AE147" s="624" t="s">
        <v>481</v>
      </c>
      <c r="AF147" s="41"/>
      <c r="AG147" s="41">
        <v>5</v>
      </c>
      <c r="AH147" s="41"/>
      <c r="AI147" s="41"/>
      <c r="AJ147" s="41"/>
      <c r="AK147" s="41"/>
      <c r="AL147" s="41"/>
      <c r="AM147" s="41">
        <f>SUM(AF147:AL147)+AT147+AV147+AX147</f>
        <v>5</v>
      </c>
      <c r="AN147" s="41"/>
      <c r="AO147" s="41"/>
      <c r="AP147" s="41"/>
      <c r="AQ147" s="41"/>
      <c r="AR147" s="41">
        <f>SUM(AN147:AQ147)</f>
        <v>0</v>
      </c>
      <c r="AS147" s="41"/>
      <c r="AT147" s="41"/>
      <c r="AU147" s="41"/>
      <c r="AV147" s="41"/>
      <c r="AW147" s="41"/>
      <c r="AX147" s="41"/>
      <c r="AY147" s="41"/>
      <c r="AZ147" s="41"/>
      <c r="BA147" s="41">
        <f>+AR147+AS147+AU147+AW147+AY147+AZ147</f>
        <v>0</v>
      </c>
      <c r="BB147" s="37"/>
      <c r="BC147" s="55">
        <v>1</v>
      </c>
      <c r="BD147" s="55"/>
      <c r="BE147" s="55"/>
      <c r="BF147" s="55"/>
    </row>
    <row r="148" spans="1:58" ht="12.95" customHeight="1">
      <c r="A148" s="44"/>
      <c r="B148" s="623" t="s">
        <v>234</v>
      </c>
      <c r="C148" s="452">
        <f>(M148*E148*O148*Q148)/100000000</f>
        <v>29.161868896262497</v>
      </c>
      <c r="D148" s="45" t="s">
        <v>411</v>
      </c>
      <c r="E148" s="258">
        <v>21.5</v>
      </c>
      <c r="F148" s="46">
        <v>1</v>
      </c>
      <c r="G148" s="47">
        <v>960</v>
      </c>
      <c r="H148" s="48">
        <v>0</v>
      </c>
      <c r="I148" s="49">
        <v>0.88</v>
      </c>
      <c r="J148" s="91">
        <f>E148*G148*(1-H148)*1440/1000000*2.77</f>
        <v>82.328831999999991</v>
      </c>
      <c r="K148" s="91">
        <f>(IF(G148&lt;L148,L148,G148)*(1-IF(H148&lt;N148,H148,N148))*E148*O148*Q148)/100000000</f>
        <v>32.3146548</v>
      </c>
      <c r="L148" s="39">
        <v>869.38023450586263</v>
      </c>
      <c r="M148" s="39">
        <v>866.33740368509211</v>
      </c>
      <c r="N148" s="50">
        <f>1-(M148/L148)</f>
        <v>3.4999999999999476E-3</v>
      </c>
      <c r="O148" s="51">
        <f>+'Trim Rwd'!H113</f>
        <v>262.25</v>
      </c>
      <c r="P148" s="52">
        <f>O148*(Q148-R148-S148)</f>
        <v>146073.25</v>
      </c>
      <c r="Q148" s="351">
        <v>597</v>
      </c>
      <c r="R148" s="422">
        <v>0</v>
      </c>
      <c r="S148" s="422">
        <v>40</v>
      </c>
      <c r="T148" s="41">
        <f>E148*M148*O148*Q148/100000000</f>
        <v>29.161868896262497</v>
      </c>
      <c r="U148" s="41">
        <f>E148*M148*O148*(Q148-R148-S148)/100000000</f>
        <v>27.207974832861325</v>
      </c>
      <c r="V148" s="41">
        <f>E148*G148*(1-N148)*O148/100*(R148+S148)/1000000</f>
        <v>2.1575580240000001</v>
      </c>
      <c r="W148" s="41">
        <f>+'30'!K13/1000</f>
        <v>19.489000000000001</v>
      </c>
      <c r="X148" s="42"/>
      <c r="Y148" s="42"/>
      <c r="Z148" s="37">
        <f>+'30'!D25/1000</f>
        <v>2.9350000000000001</v>
      </c>
      <c r="AA148" s="53"/>
      <c r="AB148" s="53"/>
      <c r="AC148" s="41">
        <f>K148-T148</f>
        <v>3.1527859037375023</v>
      </c>
      <c r="AD148" s="41">
        <f>+AM148+BA148</f>
        <v>24</v>
      </c>
      <c r="AE148" s="624" t="s">
        <v>706</v>
      </c>
      <c r="AF148" s="41"/>
      <c r="AG148" s="41"/>
      <c r="AH148" s="41">
        <v>24</v>
      </c>
      <c r="AI148" s="41"/>
      <c r="AJ148" s="41"/>
      <c r="AK148" s="41"/>
      <c r="AL148" s="41"/>
      <c r="AM148" s="41">
        <f>SUM(AF148:AL148)+AT148+AV148+AX148</f>
        <v>24</v>
      </c>
      <c r="AN148" s="41"/>
      <c r="AO148" s="41"/>
      <c r="AP148" s="41"/>
      <c r="AQ148" s="41"/>
      <c r="AR148" s="41">
        <f>SUM(AN148:AQ148)</f>
        <v>0</v>
      </c>
      <c r="AS148" s="41"/>
      <c r="AT148" s="41"/>
      <c r="AU148" s="41"/>
      <c r="AV148" s="41"/>
      <c r="AW148" s="41"/>
      <c r="AX148" s="41"/>
      <c r="AY148" s="41"/>
      <c r="AZ148" s="41"/>
      <c r="BA148" s="41">
        <f>+AR148+AS148+AU148+AW148+AY148+AZ148</f>
        <v>0</v>
      </c>
      <c r="BB148" s="37"/>
      <c r="BC148" s="55"/>
      <c r="BD148" s="55"/>
      <c r="BE148" s="55"/>
      <c r="BF148" s="55"/>
    </row>
    <row r="149" spans="1:58" ht="12.95" customHeight="1">
      <c r="A149" s="44"/>
      <c r="B149" s="623" t="s">
        <v>234</v>
      </c>
      <c r="C149" s="452">
        <f>(M149*E149*O149*Q149)/100000000</f>
        <v>2.1947942394999997</v>
      </c>
      <c r="D149" s="45" t="s">
        <v>411</v>
      </c>
      <c r="E149" s="46">
        <v>17</v>
      </c>
      <c r="F149" s="46">
        <v>1</v>
      </c>
      <c r="G149" s="47">
        <v>1210</v>
      </c>
      <c r="H149" s="48">
        <v>0</v>
      </c>
      <c r="I149" s="49">
        <v>0.88</v>
      </c>
      <c r="J149" s="91">
        <f>E149*G149*(1-H149)*1440/1000000*2.77</f>
        <v>82.049616</v>
      </c>
      <c r="K149" s="91">
        <f>(IF(G149&lt;L149,L149,G149)*(1-IF(H149&lt;N149,H149,N149))*E149*O149*Q149)/100000000</f>
        <v>2.3174161999999998</v>
      </c>
      <c r="L149" s="39">
        <v>1150</v>
      </c>
      <c r="M149" s="39">
        <f>+L149-L149*0.0035</f>
        <v>1145.9749999999999</v>
      </c>
      <c r="N149" s="50">
        <f>1-(M149/L149)</f>
        <v>3.5000000000000586E-3</v>
      </c>
      <c r="O149" s="51">
        <f>+'Trim Rwd'!H115</f>
        <v>262</v>
      </c>
      <c r="P149" s="52">
        <f>O149*(Q149-R149-S149)</f>
        <v>11266</v>
      </c>
      <c r="Q149" s="38">
        <v>43</v>
      </c>
      <c r="R149" s="422">
        <v>0</v>
      </c>
      <c r="S149" s="422">
        <v>0</v>
      </c>
      <c r="T149" s="41">
        <f>E149*M149*O149*Q149/100000000</f>
        <v>2.1947942394999997</v>
      </c>
      <c r="U149" s="41">
        <f>E149*M149*O149*(Q149-R149-S149)/100000000</f>
        <v>2.1947942394999997</v>
      </c>
      <c r="V149" s="41">
        <f>E149*G149*(1-N149)*O149/100*(R149+S149)/1000000</f>
        <v>0</v>
      </c>
      <c r="W149" s="41">
        <f>+'30'!K14/1000</f>
        <v>0</v>
      </c>
      <c r="X149" s="42"/>
      <c r="Y149" s="42"/>
      <c r="Z149" s="41"/>
      <c r="AA149" s="53"/>
      <c r="AB149" s="53"/>
      <c r="AC149" s="41">
        <f>K149-T149</f>
        <v>0.12262196050000007</v>
      </c>
      <c r="AD149" s="41">
        <f>+AM149+BA149</f>
        <v>15</v>
      </c>
      <c r="AE149" s="241" t="s">
        <v>424</v>
      </c>
      <c r="AF149" s="41"/>
      <c r="AG149" s="41"/>
      <c r="AH149" s="41"/>
      <c r="AI149" s="41">
        <v>15</v>
      </c>
      <c r="AJ149" s="41"/>
      <c r="AK149" s="41"/>
      <c r="AL149" s="41"/>
      <c r="AM149" s="41">
        <f>SUM(AF149:AL149)+AT149+AV149+AX149</f>
        <v>15</v>
      </c>
      <c r="AN149" s="41"/>
      <c r="AO149" s="41"/>
      <c r="AP149" s="41"/>
      <c r="AQ149" s="41"/>
      <c r="AR149" s="41">
        <f>SUM(AN149:AQ149)</f>
        <v>0</v>
      </c>
      <c r="AS149" s="41"/>
      <c r="AT149" s="41"/>
      <c r="AU149" s="41"/>
      <c r="AV149" s="41"/>
      <c r="AW149" s="41"/>
      <c r="AX149" s="41"/>
      <c r="AY149" s="41"/>
      <c r="AZ149" s="41"/>
      <c r="BA149" s="41">
        <f>+AR149+AS149+AU149+AW149+AY149+AZ149</f>
        <v>0</v>
      </c>
      <c r="BB149" s="37"/>
      <c r="BC149" s="55"/>
      <c r="BD149" s="55"/>
      <c r="BE149" s="55"/>
      <c r="BF149" s="55"/>
    </row>
    <row r="150" spans="1:58" ht="12.95" customHeight="1">
      <c r="A150" s="44"/>
      <c r="B150" s="623" t="s">
        <v>234</v>
      </c>
      <c r="C150" s="452">
        <f>(M150*E150*O150*Q150)/100000000</f>
        <v>6.1717629599999997</v>
      </c>
      <c r="D150" s="45" t="s">
        <v>572</v>
      </c>
      <c r="E150" s="46">
        <v>16.5</v>
      </c>
      <c r="F150" s="46">
        <v>1</v>
      </c>
      <c r="G150" s="47">
        <v>1230</v>
      </c>
      <c r="H150" s="48">
        <v>0</v>
      </c>
      <c r="I150" s="49">
        <v>0.88</v>
      </c>
      <c r="J150" s="91">
        <f>E150*G150*(1-H150)*1440/1000000*2.77</f>
        <v>80.952695999999989</v>
      </c>
      <c r="K150" s="91">
        <f>(IF(G150&lt;L150,L150,G150)*(1-IF(H150&lt;N150,H150,N150))*E150*O150*Q150)/100000000</f>
        <v>6.624288</v>
      </c>
      <c r="L150" s="39">
        <v>1150</v>
      </c>
      <c r="M150" s="39">
        <f>+L150-L150*0.0035</f>
        <v>1145.9749999999999</v>
      </c>
      <c r="N150" s="50">
        <f>1-(M150/L150)</f>
        <v>3.5000000000000586E-3</v>
      </c>
      <c r="O150" s="51">
        <f>+'Trim Rwd'!H116</f>
        <v>272</v>
      </c>
      <c r="P150" s="52">
        <f>O150*(Q150-R150-S150)</f>
        <v>31280</v>
      </c>
      <c r="Q150" s="38">
        <v>120</v>
      </c>
      <c r="R150" s="422">
        <v>0</v>
      </c>
      <c r="S150" s="422">
        <v>5</v>
      </c>
      <c r="T150" s="41">
        <f>E150*M150*O150*Q150/100000000</f>
        <v>6.1717629599999997</v>
      </c>
      <c r="U150" s="41">
        <f>E150*M150*O150*(Q150-R150-S150)/100000000</f>
        <v>5.9146061699999999</v>
      </c>
      <c r="V150" s="41">
        <f>E150*G150*(1-N150)*O150/100*(R150+S150)/1000000</f>
        <v>0.27504595799999998</v>
      </c>
      <c r="W150" s="41">
        <f>+'30'!K11/1000</f>
        <v>0</v>
      </c>
      <c r="X150" s="42"/>
      <c r="Y150" s="42"/>
      <c r="Z150" s="41"/>
      <c r="AA150" s="53"/>
      <c r="AB150" s="53"/>
      <c r="AC150" s="41">
        <f>K150-T150</f>
        <v>0.45252504000000027</v>
      </c>
      <c r="AD150" s="41"/>
      <c r="AE150" s="624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37"/>
      <c r="BC150" s="55"/>
      <c r="BD150" s="55"/>
      <c r="BE150" s="55"/>
      <c r="BF150" s="55"/>
    </row>
    <row r="151" spans="1:58" ht="12.95" customHeight="1">
      <c r="A151" s="44"/>
      <c r="B151" s="623"/>
      <c r="C151" s="452"/>
      <c r="D151" s="45"/>
      <c r="E151" s="46"/>
      <c r="F151" s="46"/>
      <c r="G151" s="47"/>
      <c r="H151" s="48"/>
      <c r="I151" s="49"/>
      <c r="J151" s="91"/>
      <c r="K151" s="91"/>
      <c r="L151" s="39"/>
      <c r="M151" s="39"/>
      <c r="N151" s="50"/>
      <c r="O151" s="51"/>
      <c r="P151" s="52"/>
      <c r="Q151" s="38"/>
      <c r="R151" s="422"/>
      <c r="S151" s="422"/>
      <c r="T151" s="41"/>
      <c r="U151" s="41"/>
      <c r="V151" s="41"/>
      <c r="W151" s="41"/>
      <c r="X151" s="42"/>
      <c r="Y151" s="42"/>
      <c r="Z151" s="41"/>
      <c r="AA151" s="53"/>
      <c r="AB151" s="53"/>
      <c r="AC151" s="41"/>
      <c r="AD151" s="41"/>
      <c r="AE151" s="624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37"/>
      <c r="BC151" s="55"/>
      <c r="BD151" s="55"/>
      <c r="BE151" s="55"/>
      <c r="BF151" s="55"/>
    </row>
    <row r="152" spans="1:58" ht="12.75" customHeight="1">
      <c r="A152" s="44">
        <v>45961</v>
      </c>
      <c r="B152" s="623" t="s">
        <v>234</v>
      </c>
      <c r="C152" s="452">
        <f>(M152*E152*O152*Q152)/100000000</f>
        <v>54.833430524399994</v>
      </c>
      <c r="D152" s="45" t="s">
        <v>572</v>
      </c>
      <c r="E152" s="46">
        <v>16.5</v>
      </c>
      <c r="F152" s="46">
        <v>1</v>
      </c>
      <c r="G152" s="47">
        <v>1230</v>
      </c>
      <c r="H152" s="48">
        <v>0</v>
      </c>
      <c r="I152" s="49">
        <v>0.88</v>
      </c>
      <c r="J152" s="91">
        <f>E152*G152*(1-H152)*1440/1000000*2.77</f>
        <v>80.952695999999989</v>
      </c>
      <c r="K152" s="91">
        <f>(IF(G152&lt;L152,L152,G152)*(1-IF(H152&lt;N152,H152,N152))*E152*O152*Q152)/100000000</f>
        <v>58.128127200000002</v>
      </c>
      <c r="L152" s="39">
        <v>1164.3589743589744</v>
      </c>
      <c r="M152" s="39">
        <v>1160.2837179487178</v>
      </c>
      <c r="N152" s="50">
        <f>1-(M152/L152)</f>
        <v>3.5000000000000586E-3</v>
      </c>
      <c r="O152" s="51">
        <f>+'Trim Rwd'!H118</f>
        <v>272</v>
      </c>
      <c r="P152" s="52">
        <f>O152*(Q152-R152-S152)</f>
        <v>264384</v>
      </c>
      <c r="Q152" s="38">
        <v>1053</v>
      </c>
      <c r="R152" s="422">
        <v>0</v>
      </c>
      <c r="S152" s="422">
        <v>81</v>
      </c>
      <c r="T152" s="41">
        <f>E152*M152*O152*Q152/100000000</f>
        <v>54.833430524399994</v>
      </c>
      <c r="U152" s="41">
        <f>E152*M152*O152*(Q152-R152-S152)/100000000</f>
        <v>50.615474330215378</v>
      </c>
      <c r="V152" s="41">
        <f>E152*G152*(1-N152)*O152/100*(R152+S152)/1000000</f>
        <v>4.4557445196000005</v>
      </c>
      <c r="W152" s="41">
        <f>+'31'!K11/1000</f>
        <v>49.040999999999997</v>
      </c>
      <c r="X152" s="42">
        <f>SUM(W152:W155)/SUM(K152:K155)</f>
        <v>0.79466554557845015</v>
      </c>
      <c r="Y152" s="223">
        <f>+SUM(RBP!$AG$3:$AG$4)</f>
        <v>15.26</v>
      </c>
      <c r="Z152" s="41">
        <f>+('31'!D7+'31'!D16)/1000</f>
        <v>2.3410000000000002</v>
      </c>
      <c r="AA152" s="41">
        <f>SUM(U152:U155)-SUM(W152:W155)-SUM(Z152:Z155)-SUM(Y152:Y155)</f>
        <v>-11.859676863384617</v>
      </c>
      <c r="AB152" s="41">
        <f>(SUM(K152:K155)-SUM(W152:W155)-SUM(Y152:Y155)-SUM(Z152:Z155)-SUM(AC152:AC155)-SUM(V152:V155))-AA152</f>
        <v>-0.22993670261538668</v>
      </c>
      <c r="AC152" s="41">
        <f>K152-T152</f>
        <v>3.294696675600008</v>
      </c>
      <c r="AD152" s="41">
        <f>+AM152+BA152</f>
        <v>81</v>
      </c>
      <c r="AE152" s="622" t="s">
        <v>845</v>
      </c>
      <c r="AF152" s="37">
        <v>81</v>
      </c>
      <c r="AG152" s="37"/>
      <c r="AH152" s="37"/>
      <c r="AJ152" s="41"/>
      <c r="AK152" s="41"/>
      <c r="AL152" s="41"/>
      <c r="AM152" s="41">
        <f>SUM(AF152:AL152)+AT152+AV152+AX152</f>
        <v>81</v>
      </c>
      <c r="AN152" s="41"/>
      <c r="AO152" s="41"/>
      <c r="AP152" s="41"/>
      <c r="AQ152" s="41"/>
      <c r="AR152" s="41">
        <f>SUM(AN152:AQ152)</f>
        <v>0</v>
      </c>
      <c r="AS152" s="41"/>
      <c r="AT152" s="41"/>
      <c r="AU152" s="41"/>
      <c r="AV152" s="41"/>
      <c r="AW152" s="41"/>
      <c r="AX152" s="41"/>
      <c r="AY152" s="41"/>
      <c r="AZ152" s="41"/>
      <c r="BA152" s="41">
        <f>+AR152+AS152+AU152+AW152+AY152+AZ152</f>
        <v>0</v>
      </c>
      <c r="BB152" s="37">
        <v>10</v>
      </c>
      <c r="BC152" s="57"/>
      <c r="BD152" s="55"/>
      <c r="BE152" s="55"/>
      <c r="BF152" s="55"/>
    </row>
    <row r="153" spans="1:58" ht="12.95" customHeight="1">
      <c r="A153" s="44"/>
      <c r="B153" s="623" t="s">
        <v>234</v>
      </c>
      <c r="C153" s="452">
        <f>(M153*E153*O153*Q153)/100000000</f>
        <v>18.520856524799999</v>
      </c>
      <c r="D153" s="45" t="s">
        <v>411</v>
      </c>
      <c r="E153" s="258">
        <v>14</v>
      </c>
      <c r="F153" s="46">
        <v>1</v>
      </c>
      <c r="G153" s="47">
        <v>1270</v>
      </c>
      <c r="H153" s="48">
        <v>0</v>
      </c>
      <c r="I153" s="49">
        <v>0.88</v>
      </c>
      <c r="J153" s="91">
        <f>E153*G153*(1-H153)*1440/1000000*2.77</f>
        <v>70.920864000000009</v>
      </c>
      <c r="K153" s="91">
        <f>(IF(G153&lt;L153,L153,G153)*(1-IF(H153&lt;N153,H153,N153))*E153*O153*Q153)/100000000</f>
        <v>18.585907200000001</v>
      </c>
      <c r="L153" s="39">
        <v>1280</v>
      </c>
      <c r="M153" s="39">
        <f>+L153-L153*0.0035</f>
        <v>1275.52</v>
      </c>
      <c r="N153" s="50">
        <f>1-(M153/L153)</f>
        <v>3.5000000000000586E-3</v>
      </c>
      <c r="O153" s="51">
        <f>+'Trim Rwd'!H119</f>
        <v>268</v>
      </c>
      <c r="P153" s="52">
        <f>O153*(Q153-R153-S153)</f>
        <v>98088</v>
      </c>
      <c r="Q153" s="351">
        <v>387</v>
      </c>
      <c r="R153" s="422">
        <v>0</v>
      </c>
      <c r="S153" s="422">
        <v>21</v>
      </c>
      <c r="T153" s="41">
        <f>E153*M153*O153*Q153/100000000</f>
        <v>18.520856524799999</v>
      </c>
      <c r="U153" s="41">
        <f>E153*M153*O153*(Q153-R153-S153)/100000000</f>
        <v>17.515848806400001</v>
      </c>
      <c r="V153" s="41">
        <f>E153*G153*(1-N153)*O153/100*(R153+S153)/1000000</f>
        <v>0.99715609560000007</v>
      </c>
      <c r="W153" s="41">
        <f>+'31'!K15/1000</f>
        <v>10.022</v>
      </c>
      <c r="X153" s="42"/>
      <c r="Y153" s="42"/>
      <c r="Z153" s="41">
        <f>+'31'!D26/1000</f>
        <v>0.11799999999999999</v>
      </c>
      <c r="AA153" s="53"/>
      <c r="AB153" s="53"/>
      <c r="AC153" s="41">
        <f>K153-T153</f>
        <v>6.5050675200001962E-2</v>
      </c>
      <c r="AD153" s="41">
        <f>+AM153+BA153</f>
        <v>0</v>
      </c>
      <c r="AE153" s="624" t="s">
        <v>458</v>
      </c>
      <c r="AF153" s="41"/>
      <c r="AG153" s="41">
        <v>0</v>
      </c>
      <c r="AH153" s="41"/>
      <c r="AI153" s="41"/>
      <c r="AJ153" s="41"/>
      <c r="AK153" s="41"/>
      <c r="AL153" s="41"/>
      <c r="AM153" s="41">
        <f>SUM(AF153:AL153)+AT153+AV153+AX153</f>
        <v>0</v>
      </c>
      <c r="AN153" s="41"/>
      <c r="AO153" s="41"/>
      <c r="AP153" s="41"/>
      <c r="AQ153" s="41"/>
      <c r="AR153" s="41">
        <f>SUM(AN153:AQ153)</f>
        <v>0</v>
      </c>
      <c r="AS153" s="41"/>
      <c r="AT153" s="41"/>
      <c r="AU153" s="41"/>
      <c r="AV153" s="41"/>
      <c r="AW153" s="41"/>
      <c r="AX153" s="41"/>
      <c r="AY153" s="41"/>
      <c r="AZ153" s="41"/>
      <c r="BA153" s="41">
        <f>+AR153+AS153+AU153+AW153+AY153+AZ153</f>
        <v>0</v>
      </c>
      <c r="BB153" s="37"/>
      <c r="BC153" s="55">
        <v>0</v>
      </c>
      <c r="BD153" s="55"/>
      <c r="BE153" s="55"/>
      <c r="BF153" s="55"/>
    </row>
    <row r="154" spans="1:58" ht="12.95" customHeight="1">
      <c r="A154" s="44"/>
      <c r="B154" s="623" t="s">
        <v>234</v>
      </c>
      <c r="C154" s="452"/>
      <c r="D154" s="45"/>
      <c r="E154" s="258">
        <v>22</v>
      </c>
      <c r="F154" s="46"/>
      <c r="G154" s="47"/>
      <c r="H154" s="48"/>
      <c r="I154" s="49"/>
      <c r="J154" s="91"/>
      <c r="K154" s="91"/>
      <c r="L154" s="39"/>
      <c r="M154" s="39"/>
      <c r="N154" s="50"/>
      <c r="O154" s="51"/>
      <c r="P154" s="52"/>
      <c r="Q154" s="351"/>
      <c r="R154" s="422"/>
      <c r="S154" s="422"/>
      <c r="T154" s="41"/>
      <c r="U154" s="41"/>
      <c r="V154" s="41"/>
      <c r="W154" s="41">
        <f>+'31'!K13/1000</f>
        <v>0.36299999999999999</v>
      </c>
      <c r="X154" s="42"/>
      <c r="Y154" s="42"/>
      <c r="Z154" s="41">
        <f>+'31'!D9/1000</f>
        <v>0.74</v>
      </c>
      <c r="AA154" s="53"/>
      <c r="AB154" s="53"/>
      <c r="AC154" s="41"/>
      <c r="AD154" s="41">
        <f>+AM154+BA154</f>
        <v>21</v>
      </c>
      <c r="AE154" s="624" t="s">
        <v>505</v>
      </c>
      <c r="AF154" s="41"/>
      <c r="AG154" s="41"/>
      <c r="AH154" s="41">
        <v>21</v>
      </c>
      <c r="AI154" s="41"/>
      <c r="AJ154" s="41"/>
      <c r="AK154" s="41"/>
      <c r="AL154" s="41"/>
      <c r="AM154" s="41">
        <f>SUM(AF154:AL154)+AT154+AV154+AX154</f>
        <v>21</v>
      </c>
      <c r="AN154" s="41"/>
      <c r="AO154" s="41"/>
      <c r="AP154" s="41"/>
      <c r="AQ154" s="41"/>
      <c r="AR154" s="41">
        <f>SUM(AN154:AQ154)</f>
        <v>0</v>
      </c>
      <c r="AS154" s="41"/>
      <c r="AT154" s="41"/>
      <c r="AU154" s="41"/>
      <c r="AV154" s="41"/>
      <c r="AW154" s="41"/>
      <c r="AX154" s="41"/>
      <c r="AY154" s="41"/>
      <c r="AZ154" s="41"/>
      <c r="BA154" s="41">
        <f>+AR154+AS154+AU154+AW154+AY154+AZ154</f>
        <v>0</v>
      </c>
      <c r="BB154" s="37"/>
      <c r="BC154" s="55"/>
      <c r="BD154" s="55"/>
      <c r="BE154" s="55"/>
      <c r="BF154" s="55"/>
    </row>
    <row r="155" spans="1:58" ht="12.95" customHeight="1">
      <c r="A155" s="44"/>
      <c r="B155" s="623" t="s">
        <v>234</v>
      </c>
      <c r="C155" s="452"/>
      <c r="D155" s="45"/>
      <c r="E155" s="46">
        <v>17</v>
      </c>
      <c r="F155" s="46"/>
      <c r="G155" s="47"/>
      <c r="H155" s="48"/>
      <c r="I155" s="49"/>
      <c r="J155" s="91"/>
      <c r="K155" s="91"/>
      <c r="L155" s="39"/>
      <c r="M155" s="39"/>
      <c r="N155" s="50"/>
      <c r="O155" s="51"/>
      <c r="P155" s="52"/>
      <c r="Q155" s="38"/>
      <c r="R155" s="422"/>
      <c r="S155" s="422"/>
      <c r="T155" s="41"/>
      <c r="U155" s="41"/>
      <c r="V155" s="41"/>
      <c r="W155" s="41">
        <f>+'31'!K14/1000</f>
        <v>1.536</v>
      </c>
      <c r="X155" s="42"/>
      <c r="Y155" s="42"/>
      <c r="Z155" s="41">
        <f>+('31'!D17+'31'!D25)/1000</f>
        <v>0.56999999999999995</v>
      </c>
      <c r="AA155" s="53"/>
      <c r="AB155" s="53"/>
      <c r="AC155" s="41"/>
      <c r="AD155" s="41"/>
      <c r="AE155" s="2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37"/>
      <c r="BC155" s="55"/>
      <c r="BD155" s="55"/>
      <c r="BE155" s="55"/>
      <c r="BF155" s="55"/>
    </row>
    <row r="156" spans="1:58" ht="12.95" customHeight="1">
      <c r="A156" s="44"/>
      <c r="B156" s="623"/>
      <c r="C156" s="452"/>
      <c r="D156" s="45"/>
      <c r="E156" s="46"/>
      <c r="F156" s="46"/>
      <c r="G156" s="47"/>
      <c r="H156" s="48"/>
      <c r="I156" s="49"/>
      <c r="J156" s="91"/>
      <c r="K156" s="91"/>
      <c r="L156" s="39"/>
      <c r="M156" s="39"/>
      <c r="N156" s="50"/>
      <c r="O156" s="51"/>
      <c r="P156" s="52"/>
      <c r="Q156" s="38"/>
      <c r="R156" s="422"/>
      <c r="S156" s="422"/>
      <c r="T156" s="41"/>
      <c r="U156" s="41"/>
      <c r="V156" s="41"/>
      <c r="W156" s="41"/>
      <c r="X156" s="42"/>
      <c r="Y156" s="42"/>
      <c r="Z156" s="41"/>
      <c r="AA156" s="53"/>
      <c r="AB156" s="53"/>
      <c r="AC156" s="41"/>
      <c r="AD156" s="41"/>
      <c r="AE156" s="624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37"/>
      <c r="BC156" s="55"/>
      <c r="BD156" s="55"/>
      <c r="BE156" s="55"/>
      <c r="BF156" s="55"/>
    </row>
    <row r="157" spans="1:58" ht="12.95" customHeight="1">
      <c r="A157" s="346"/>
      <c r="B157" s="623"/>
      <c r="C157" s="452"/>
      <c r="D157" s="45"/>
      <c r="E157" s="46"/>
      <c r="F157" s="46"/>
      <c r="G157" s="47"/>
      <c r="H157" s="48"/>
      <c r="I157" s="49"/>
      <c r="J157" s="91"/>
      <c r="K157" s="91"/>
      <c r="L157" s="39"/>
      <c r="M157" s="39"/>
      <c r="N157" s="50"/>
      <c r="O157" s="51"/>
      <c r="P157" s="52"/>
      <c r="Q157" s="38"/>
      <c r="R157" s="422"/>
      <c r="S157" s="422"/>
      <c r="T157" s="41"/>
      <c r="U157" s="41"/>
      <c r="V157" s="625"/>
      <c r="W157" s="41"/>
      <c r="X157" s="42"/>
      <c r="Y157" s="42"/>
      <c r="Z157" s="41"/>
      <c r="AA157" s="41"/>
      <c r="AB157" s="41"/>
      <c r="AC157" s="41"/>
      <c r="AD157" s="41"/>
      <c r="AE157" s="584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37"/>
      <c r="BC157" s="55"/>
      <c r="BD157" s="55"/>
      <c r="BE157" s="55"/>
      <c r="BF157" s="55"/>
    </row>
    <row r="158" spans="1:58" ht="12.95" customHeight="1">
      <c r="A158" s="346"/>
      <c r="B158" s="45"/>
      <c r="C158" s="452"/>
      <c r="D158" s="45"/>
      <c r="E158" s="46"/>
      <c r="F158" s="46"/>
      <c r="G158" s="47"/>
      <c r="H158" s="48"/>
      <c r="I158" s="49"/>
      <c r="J158" s="91"/>
      <c r="K158" s="91"/>
      <c r="L158" s="39"/>
      <c r="M158" s="39"/>
      <c r="N158" s="50"/>
      <c r="O158" s="51"/>
      <c r="P158" s="52"/>
      <c r="Q158" s="51"/>
      <c r="R158" s="422"/>
      <c r="S158" s="422"/>
      <c r="T158" s="41"/>
      <c r="U158" s="41"/>
      <c r="V158" s="625"/>
      <c r="W158" s="41"/>
      <c r="X158" s="42"/>
      <c r="Y158" s="626"/>
      <c r="Z158" s="41"/>
      <c r="AA158" s="41"/>
      <c r="AB158" s="41"/>
      <c r="AC158" s="41"/>
      <c r="AD158" s="41"/>
      <c r="AE158" s="584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37"/>
      <c r="BC158" s="55"/>
      <c r="BD158" s="55"/>
      <c r="BE158" s="55"/>
      <c r="BF158" s="55"/>
    </row>
    <row r="159" spans="1:58" ht="12.95" customHeight="1">
      <c r="A159" s="346"/>
      <c r="B159" s="45"/>
      <c r="C159" s="452"/>
      <c r="D159" s="45"/>
      <c r="E159" s="46"/>
      <c r="F159" s="46"/>
      <c r="G159" s="47"/>
      <c r="H159" s="48"/>
      <c r="I159" s="49"/>
      <c r="J159" s="91"/>
      <c r="K159" s="91"/>
      <c r="L159" s="39"/>
      <c r="M159" s="39"/>
      <c r="N159" s="50"/>
      <c r="O159" s="51"/>
      <c r="P159" s="52"/>
      <c r="Q159" s="51"/>
      <c r="R159" s="422"/>
      <c r="S159" s="422"/>
      <c r="T159" s="41"/>
      <c r="U159" s="41"/>
      <c r="V159" s="625"/>
      <c r="W159" s="41"/>
      <c r="X159" s="42"/>
      <c r="Y159" s="626"/>
      <c r="Z159" s="41"/>
      <c r="AA159" s="41"/>
      <c r="AB159" s="41"/>
      <c r="AC159" s="41"/>
      <c r="AD159" s="41"/>
      <c r="AE159" s="584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37"/>
      <c r="BC159" s="55"/>
      <c r="BD159" s="55"/>
      <c r="BE159" s="55"/>
      <c r="BF159" s="55"/>
    </row>
    <row r="160" spans="1:58" ht="12.95" customHeight="1">
      <c r="A160" s="346"/>
      <c r="B160" s="45"/>
      <c r="C160" s="452"/>
      <c r="D160" s="45"/>
      <c r="E160" s="46"/>
      <c r="F160" s="46"/>
      <c r="G160" s="47"/>
      <c r="H160" s="48"/>
      <c r="I160" s="49"/>
      <c r="J160" s="91"/>
      <c r="K160" s="91"/>
      <c r="L160" s="39"/>
      <c r="M160" s="39"/>
      <c r="N160" s="50"/>
      <c r="O160" s="51"/>
      <c r="P160" s="52"/>
      <c r="Q160" s="51"/>
      <c r="R160" s="422"/>
      <c r="S160" s="422"/>
      <c r="T160" s="41"/>
      <c r="U160" s="41"/>
      <c r="V160" s="625"/>
      <c r="W160" s="41"/>
      <c r="X160" s="42"/>
      <c r="Y160" s="626"/>
      <c r="Z160" s="41"/>
      <c r="AA160" s="41"/>
      <c r="AB160" s="41"/>
      <c r="AC160" s="41"/>
      <c r="AD160" s="41"/>
      <c r="AE160" s="584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37"/>
      <c r="BC160" s="55"/>
      <c r="BD160" s="55"/>
      <c r="BE160" s="55"/>
      <c r="BF160" s="55"/>
    </row>
    <row r="161" spans="1:58" ht="12.95" customHeight="1">
      <c r="A161" s="346"/>
      <c r="B161" s="45"/>
      <c r="C161" s="452"/>
      <c r="D161" s="45"/>
      <c r="E161" s="46"/>
      <c r="F161" s="46"/>
      <c r="G161" s="47"/>
      <c r="H161" s="48"/>
      <c r="I161" s="49"/>
      <c r="J161" s="91"/>
      <c r="K161" s="91"/>
      <c r="L161" s="39"/>
      <c r="M161" s="39"/>
      <c r="N161" s="50"/>
      <c r="O161" s="51"/>
      <c r="P161" s="52"/>
      <c r="Q161" s="51"/>
      <c r="R161" s="422"/>
      <c r="S161" s="422"/>
      <c r="T161" s="41"/>
      <c r="U161" s="41"/>
      <c r="V161" s="625"/>
      <c r="W161" s="41"/>
      <c r="X161" s="42"/>
      <c r="Y161" s="626"/>
      <c r="Z161" s="41"/>
      <c r="AA161" s="41"/>
      <c r="AB161" s="41"/>
      <c r="AC161" s="41"/>
      <c r="AD161" s="41"/>
      <c r="AE161" s="584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37"/>
      <c r="BC161" s="55"/>
      <c r="BD161" s="55"/>
      <c r="BE161" s="55"/>
      <c r="BF161" s="55"/>
    </row>
    <row r="162" spans="1:58" ht="12.95" customHeight="1">
      <c r="A162" s="346"/>
      <c r="B162" s="45"/>
      <c r="C162" s="452"/>
      <c r="D162" s="45"/>
      <c r="E162" s="46"/>
      <c r="F162" s="46"/>
      <c r="G162" s="47"/>
      <c r="H162" s="48"/>
      <c r="I162" s="49"/>
      <c r="J162" s="91"/>
      <c r="K162" s="91"/>
      <c r="L162" s="39"/>
      <c r="M162" s="39"/>
      <c r="N162" s="50"/>
      <c r="O162" s="51"/>
      <c r="P162" s="52"/>
      <c r="Q162" s="51"/>
      <c r="R162" s="422"/>
      <c r="S162" s="422"/>
      <c r="T162" s="41"/>
      <c r="U162" s="41"/>
      <c r="V162" s="625"/>
      <c r="W162" s="41"/>
      <c r="X162" s="42"/>
      <c r="Y162" s="626"/>
      <c r="Z162" s="41"/>
      <c r="AA162" s="41"/>
      <c r="AB162" s="41"/>
      <c r="AC162" s="41"/>
      <c r="AD162" s="41"/>
      <c r="AE162" s="584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37"/>
      <c r="BC162" s="55"/>
      <c r="BD162" s="55"/>
      <c r="BE162" s="55"/>
      <c r="BF162" s="55"/>
    </row>
    <row r="163" spans="1:58" s="29" customFormat="1" ht="12.95" customHeight="1">
      <c r="A163" s="65"/>
      <c r="B163" s="66"/>
      <c r="C163" s="453">
        <f>SUM(C6:C161)</f>
        <v>1874.4340678467258</v>
      </c>
      <c r="D163" s="66"/>
      <c r="E163" s="67"/>
      <c r="F163" s="67"/>
      <c r="G163" s="68"/>
      <c r="H163" s="68"/>
      <c r="I163" s="69">
        <v>0.85</v>
      </c>
      <c r="J163" s="91"/>
      <c r="K163" s="93">
        <f>SUM(K6:K161)</f>
        <v>1976.1583220772809</v>
      </c>
      <c r="L163" s="71"/>
      <c r="M163" s="71"/>
      <c r="N163" s="72"/>
      <c r="O163" s="73">
        <f>P163/(Q163-R163-S163)</f>
        <v>268.3726578641419</v>
      </c>
      <c r="P163" s="70">
        <f>SUM(P6:P161)</f>
        <v>10961681.210460877</v>
      </c>
      <c r="Q163" s="353">
        <f>SUM(Q6:Q162)</f>
        <v>43581</v>
      </c>
      <c r="R163" s="70">
        <f t="shared" ref="R163:W163" si="8">SUM(R6:R161)</f>
        <v>477</v>
      </c>
      <c r="S163" s="70">
        <f t="shared" si="8"/>
        <v>2259</v>
      </c>
      <c r="T163" s="70">
        <f t="shared" si="8"/>
        <v>1874.4340678467258</v>
      </c>
      <c r="U163" s="70">
        <f t="shared" si="8"/>
        <v>1758.8627650946166</v>
      </c>
      <c r="V163" s="378">
        <f t="shared" si="8"/>
        <v>121.00536564707498</v>
      </c>
      <c r="W163" s="464">
        <f t="shared" si="8"/>
        <v>1655.8840000000005</v>
      </c>
      <c r="X163" s="382">
        <f>W163/K163</f>
        <v>0.83793083858755946</v>
      </c>
      <c r="Y163" s="379">
        <f>SUM(Y6:Y161)</f>
        <v>15.26</v>
      </c>
      <c r="Z163" s="464">
        <f>SUM(Z6:Z161)</f>
        <v>39.954000000000008</v>
      </c>
      <c r="AA163" s="70">
        <f>SUM(AA6:AA161)</f>
        <v>47.76476509461672</v>
      </c>
      <c r="AB163" s="70">
        <f>SUM(AB6:AB161)</f>
        <v>-5.2808468949666274</v>
      </c>
      <c r="AC163" s="70">
        <f>SUM(AC6:AC161)</f>
        <v>101.57103823055583</v>
      </c>
      <c r="AD163" s="41">
        <f>SUM(AD6:AD162)</f>
        <v>2736</v>
      </c>
      <c r="AE163" s="74"/>
      <c r="AF163" s="70">
        <f t="shared" ref="AF163:BA163" si="9">SUM(AF6:AF162)</f>
        <v>818</v>
      </c>
      <c r="AG163" s="70">
        <f t="shared" si="9"/>
        <v>395</v>
      </c>
      <c r="AH163" s="70">
        <f t="shared" si="9"/>
        <v>836</v>
      </c>
      <c r="AI163" s="70">
        <f t="shared" si="9"/>
        <v>122</v>
      </c>
      <c r="AJ163" s="70">
        <f t="shared" si="9"/>
        <v>0</v>
      </c>
      <c r="AK163" s="70">
        <f t="shared" si="9"/>
        <v>88</v>
      </c>
      <c r="AL163" s="70">
        <f>SUM(AL6:AL162)</f>
        <v>0</v>
      </c>
      <c r="AM163" s="70">
        <f t="shared" si="9"/>
        <v>2259</v>
      </c>
      <c r="AN163" s="56">
        <f t="shared" si="9"/>
        <v>0</v>
      </c>
      <c r="AO163" s="56">
        <f t="shared" si="9"/>
        <v>0</v>
      </c>
      <c r="AP163" s="56">
        <f t="shared" si="9"/>
        <v>254</v>
      </c>
      <c r="AQ163" s="56">
        <f>SUM(AQ6:AQ162)</f>
        <v>0</v>
      </c>
      <c r="AR163" s="70">
        <f t="shared" si="9"/>
        <v>254</v>
      </c>
      <c r="AS163" s="70">
        <f t="shared" si="9"/>
        <v>0</v>
      </c>
      <c r="AT163" s="70">
        <f t="shared" si="9"/>
        <v>0</v>
      </c>
      <c r="AU163" s="70">
        <f t="shared" si="9"/>
        <v>0</v>
      </c>
      <c r="AV163" s="70">
        <f t="shared" si="9"/>
        <v>0</v>
      </c>
      <c r="AW163" s="70">
        <f>SUM(AW6:AW162)</f>
        <v>223</v>
      </c>
      <c r="AX163" s="70">
        <f>SUM(AX6:AX162)</f>
        <v>0</v>
      </c>
      <c r="AY163" s="70">
        <f>SUM(AY6:AY162)</f>
        <v>0</v>
      </c>
      <c r="AZ163" s="70">
        <f>SUM(AZ6:AZ162)</f>
        <v>0</v>
      </c>
      <c r="BA163" s="70">
        <f t="shared" si="9"/>
        <v>477</v>
      </c>
      <c r="BB163" s="56">
        <f>SUM(BB6:BB162)</f>
        <v>150</v>
      </c>
      <c r="BC163" s="56">
        <f>SUM(BC6:BC162)</f>
        <v>324</v>
      </c>
      <c r="BD163" s="56">
        <f>SUM(BD6:BD162)</f>
        <v>0</v>
      </c>
      <c r="BE163" s="56">
        <f>SUM(BE6:BE162)</f>
        <v>0</v>
      </c>
      <c r="BF163" s="56">
        <f>SUM(BF6:BF162)</f>
        <v>0</v>
      </c>
    </row>
    <row r="164" spans="1:58" s="29" customFormat="1" ht="12.95" customHeight="1">
      <c r="A164" s="65"/>
      <c r="B164" s="66"/>
      <c r="C164" s="66"/>
      <c r="D164" s="66"/>
      <c r="E164" s="67"/>
      <c r="F164" s="67"/>
      <c r="G164" s="68"/>
      <c r="H164" s="68"/>
      <c r="I164" s="68"/>
      <c r="J164" s="94"/>
      <c r="K164" s="94"/>
      <c r="L164" s="71"/>
      <c r="M164" s="71"/>
      <c r="N164" s="72"/>
      <c r="O164" s="905"/>
      <c r="P164" s="906"/>
      <c r="Q164" s="68">
        <f>31*1440-Q163</f>
        <v>1059</v>
      </c>
      <c r="R164" s="75">
        <f>R163/Q163</f>
        <v>1.0945136642114684E-2</v>
      </c>
      <c r="S164" s="75">
        <f>S163/Q163</f>
        <v>5.1834515040958214E-2</v>
      </c>
      <c r="T164" s="364"/>
      <c r="U164" s="364"/>
      <c r="V164" s="366">
        <f>V163/K163</f>
        <v>6.1232627110502771E-2</v>
      </c>
      <c r="W164" s="383" t="s">
        <v>175</v>
      </c>
      <c r="X164" s="384">
        <v>0.85</v>
      </c>
      <c r="Y164" s="380">
        <f>Y163/K163</f>
        <v>7.7220533544899005E-3</v>
      </c>
      <c r="Z164" s="76">
        <f>Z163/K163</f>
        <v>2.0218015709389879E-2</v>
      </c>
      <c r="AA164" s="76">
        <f>AA163/K163</f>
        <v>2.4170515368630876E-2</v>
      </c>
      <c r="AB164" s="76">
        <f>AB163/K163</f>
        <v>-2.6722792581798573E-3</v>
      </c>
      <c r="AC164" s="99">
        <f>AC163/K163</f>
        <v>5.1398229127607178E-2</v>
      </c>
      <c r="AD164" s="367"/>
      <c r="AE164" s="43"/>
      <c r="AF164" s="76">
        <f>AF163/$AD$163*$V$164</f>
        <v>1.8307123163885698E-2</v>
      </c>
      <c r="AG164" s="76">
        <f>AG163/$AD$163*$V$164</f>
        <v>8.8402367356171761E-3</v>
      </c>
      <c r="AH164" s="76">
        <f>AH163/$AD$163*$V$164</f>
        <v>1.8709969394875847E-2</v>
      </c>
      <c r="AI164" s="76">
        <f>AI163/$AD$163*$V$164</f>
        <v>2.7304022322665708E-3</v>
      </c>
      <c r="AJ164" s="76">
        <f t="shared" ref="AJ164:BA164" si="10">AJ163/$AD$163*$V$164</f>
        <v>0</v>
      </c>
      <c r="AK164" s="76">
        <f t="shared" si="10"/>
        <v>1.96947046261851E-3</v>
      </c>
      <c r="AL164" s="76">
        <f>AL163/$AD$163*$V$164</f>
        <v>0</v>
      </c>
      <c r="AM164" s="76">
        <f t="shared" si="10"/>
        <v>5.0557201989263806E-2</v>
      </c>
      <c r="AN164" s="76">
        <f t="shared" si="10"/>
        <v>0</v>
      </c>
      <c r="AO164" s="76">
        <f t="shared" si="10"/>
        <v>0</v>
      </c>
      <c r="AP164" s="76">
        <f t="shared" si="10"/>
        <v>5.684607926194336E-3</v>
      </c>
      <c r="AQ164" s="76">
        <f>AQ163/$AD$163*$V$164</f>
        <v>0</v>
      </c>
      <c r="AR164" s="76">
        <f t="shared" si="10"/>
        <v>5.684607926194336E-3</v>
      </c>
      <c r="AS164" s="76">
        <f t="shared" si="10"/>
        <v>0</v>
      </c>
      <c r="AT164" s="76">
        <f t="shared" si="10"/>
        <v>0</v>
      </c>
      <c r="AU164" s="76">
        <f t="shared" si="10"/>
        <v>0</v>
      </c>
      <c r="AV164" s="76">
        <f t="shared" si="10"/>
        <v>0</v>
      </c>
      <c r="AW164" s="76">
        <f t="shared" si="10"/>
        <v>4.9908171950446339E-3</v>
      </c>
      <c r="AX164" s="76">
        <f t="shared" si="10"/>
        <v>0</v>
      </c>
      <c r="AY164" s="76">
        <f t="shared" si="10"/>
        <v>0</v>
      </c>
      <c r="AZ164" s="76">
        <f t="shared" si="10"/>
        <v>0</v>
      </c>
      <c r="BA164" s="76">
        <f t="shared" si="10"/>
        <v>1.0675425121238969E-2</v>
      </c>
      <c r="BB164" s="38" t="s">
        <v>174</v>
      </c>
      <c r="BC164" s="38" t="s">
        <v>174</v>
      </c>
      <c r="BD164" s="38" t="s">
        <v>418</v>
      </c>
      <c r="BE164" s="38" t="s">
        <v>418</v>
      </c>
      <c r="BF164" s="38" t="s">
        <v>418</v>
      </c>
    </row>
    <row r="165" spans="1:58" ht="12.95" customHeight="1">
      <c r="A165" s="65"/>
      <c r="B165" s="66"/>
      <c r="C165" s="66"/>
      <c r="D165" s="66"/>
      <c r="E165" s="67"/>
      <c r="F165" s="67"/>
      <c r="G165" s="38"/>
      <c r="H165" s="38"/>
      <c r="I165" s="38"/>
      <c r="J165" s="91"/>
      <c r="K165" s="91"/>
      <c r="L165" s="39"/>
      <c r="M165" s="39"/>
      <c r="N165" s="37"/>
      <c r="O165" s="40"/>
      <c r="P165" s="32"/>
      <c r="Q165" s="38"/>
      <c r="R165" s="98">
        <f>R163-(BA163)</f>
        <v>0</v>
      </c>
      <c r="S165" s="98">
        <f>+S163-AM163</f>
        <v>0</v>
      </c>
      <c r="T165" s="37"/>
      <c r="U165" s="37"/>
      <c r="V165" s="37"/>
      <c r="W165" s="41">
        <f>+W163-'31'!$M$34/1000</f>
        <v>0</v>
      </c>
      <c r="X165" s="381"/>
      <c r="Y165" s="77">
        <f>+Y163-SUM(RBP!AG3:AG4)</f>
        <v>0</v>
      </c>
      <c r="Z165" s="41">
        <f>+Z163-'31'!J56/1000</f>
        <v>0</v>
      </c>
      <c r="AA165" s="37"/>
      <c r="AB165" s="37"/>
      <c r="AC165" s="37"/>
      <c r="AD165" s="37"/>
      <c r="AE165" s="43"/>
      <c r="AF165" s="354"/>
      <c r="AG165" s="354"/>
      <c r="AH165" s="354"/>
      <c r="AI165" s="354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627">
        <v>0</v>
      </c>
      <c r="AU165" s="627">
        <v>627</v>
      </c>
      <c r="AV165" s="29">
        <v>0</v>
      </c>
      <c r="AW165" s="627">
        <f>+Efficiency1!AW163-Efficiency2!AV167</f>
        <v>654.79999999999995</v>
      </c>
      <c r="AX165" s="29">
        <v>0</v>
      </c>
      <c r="AY165" s="29">
        <v>0</v>
      </c>
      <c r="AZ165" s="86"/>
      <c r="BA165" s="86"/>
      <c r="BB165" s="96">
        <f>BB163/($Q$163/1440)/2</f>
        <v>2.4781441453844564</v>
      </c>
      <c r="BC165" s="96">
        <f>BC163/($Q$163/1440)/2</f>
        <v>5.3527913540304262</v>
      </c>
      <c r="BD165" s="96">
        <f>BD163/($Q$163/1440)</f>
        <v>0</v>
      </c>
      <c r="BE165" s="96">
        <f>BE163/($Q$163/1440)</f>
        <v>0</v>
      </c>
      <c r="BF165" s="96">
        <f>BF163/($Q$163/1440)</f>
        <v>0</v>
      </c>
    </row>
    <row r="166" spans="1:58">
      <c r="A166" s="78"/>
      <c r="B166" s="79"/>
      <c r="C166" s="79"/>
      <c r="D166" s="79"/>
      <c r="E166" s="80"/>
      <c r="F166" s="80"/>
      <c r="G166" s="81"/>
      <c r="H166" s="81"/>
      <c r="I166" s="81"/>
      <c r="J166" s="95"/>
      <c r="K166" s="95"/>
      <c r="O166" s="82"/>
      <c r="P166" s="83"/>
      <c r="Q166" s="81"/>
      <c r="R166" s="62"/>
      <c r="S166" s="62"/>
      <c r="U166" s="84"/>
      <c r="V166" s="84"/>
      <c r="W166" s="85" t="s">
        <v>121</v>
      </c>
      <c r="X166" s="97">
        <f>W163/U163</f>
        <v>0.94145150654259457</v>
      </c>
      <c r="Y166" s="97"/>
      <c r="Z166" s="62"/>
      <c r="AD166" s="92"/>
      <c r="AE166" s="87"/>
      <c r="AF166" s="88"/>
      <c r="AG166" s="88"/>
      <c r="AH166" s="88"/>
      <c r="AI166" s="88"/>
      <c r="AJ166" s="88"/>
      <c r="AK166" s="88"/>
      <c r="AL166" s="88"/>
      <c r="AM166" s="88"/>
      <c r="AN166" s="86"/>
      <c r="AO166" s="86"/>
      <c r="AP166" s="86"/>
      <c r="AQ166" s="86"/>
      <c r="AR166" s="86"/>
      <c r="AS166" s="88"/>
      <c r="AT166" s="88"/>
      <c r="AU166" s="88"/>
      <c r="AV166" s="88"/>
      <c r="AW166" s="88"/>
      <c r="AX166" s="88"/>
      <c r="AY166" s="88"/>
      <c r="AZ166" s="88"/>
      <c r="BA166" s="86"/>
      <c r="BB166" s="29"/>
      <c r="BC166" s="86"/>
      <c r="BD166" s="86"/>
      <c r="BE166" s="29"/>
      <c r="BF166" s="86"/>
    </row>
    <row r="167" spans="1:58">
      <c r="A167" s="78"/>
      <c r="B167" s="79"/>
      <c r="C167" s="79"/>
      <c r="D167" s="79"/>
      <c r="E167" s="80"/>
      <c r="F167" s="80"/>
      <c r="G167" s="81"/>
      <c r="H167" s="81"/>
      <c r="I167" s="81"/>
      <c r="J167" s="95"/>
      <c r="K167" s="95"/>
      <c r="O167" s="82"/>
      <c r="P167" s="83"/>
      <c r="Q167" s="81"/>
      <c r="R167" s="62"/>
      <c r="S167" s="62"/>
      <c r="U167" s="84"/>
      <c r="V167" s="84"/>
      <c r="W167" s="85"/>
      <c r="X167" s="86"/>
      <c r="Y167" s="86"/>
      <c r="Z167" s="62"/>
      <c r="AA167" s="102"/>
      <c r="AB167" s="102"/>
      <c r="AD167" s="92"/>
      <c r="AE167" s="87"/>
      <c r="AF167" s="88"/>
      <c r="AG167" s="88"/>
      <c r="AH167" s="88"/>
      <c r="AI167" s="88"/>
      <c r="AJ167" s="88"/>
      <c r="AK167" s="88"/>
      <c r="AL167" s="88"/>
      <c r="AM167" s="88"/>
      <c r="AN167" s="88"/>
      <c r="AO167" s="86"/>
      <c r="AP167" s="86"/>
      <c r="AQ167" s="86"/>
      <c r="AR167" s="88"/>
      <c r="AS167" s="86"/>
      <c r="AT167" s="86"/>
      <c r="AU167" s="86">
        <v>5.0000000000000001E-3</v>
      </c>
      <c r="AV167" s="627">
        <f>0.5%*1440*31</f>
        <v>223.20000000000002</v>
      </c>
      <c r="AW167" s="627">
        <f>+AW165-AV167</f>
        <v>431.59999999999991</v>
      </c>
      <c r="AX167" s="86"/>
      <c r="AY167" s="86"/>
      <c r="AZ167" s="86"/>
      <c r="BA167" s="86"/>
      <c r="BB167" s="29"/>
      <c r="BC167" s="86"/>
      <c r="BD167" s="86"/>
      <c r="BE167" s="29"/>
      <c r="BF167" s="86"/>
    </row>
    <row r="168" spans="1:58">
      <c r="A168" s="78"/>
      <c r="B168" s="79"/>
      <c r="C168" s="79"/>
      <c r="D168" s="79"/>
      <c r="E168" s="80"/>
      <c r="F168" s="80"/>
      <c r="G168" s="81"/>
      <c r="H168" s="81"/>
      <c r="I168" s="81"/>
      <c r="J168" s="95"/>
      <c r="K168" s="95"/>
      <c r="O168" s="82"/>
      <c r="P168" s="83"/>
      <c r="Q168" s="81"/>
      <c r="R168" s="365"/>
      <c r="S168" s="62"/>
      <c r="U168" s="84"/>
      <c r="V168" s="84"/>
      <c r="W168" s="85" t="s">
        <v>144</v>
      </c>
      <c r="X168" s="354">
        <f>+W163+Y163</f>
        <v>1671.1440000000005</v>
      </c>
      <c r="Y168" s="86"/>
      <c r="Z168" s="62"/>
      <c r="AD168" s="92"/>
      <c r="AE168" s="87"/>
      <c r="AF168" s="92"/>
      <c r="AG168" s="92"/>
      <c r="AH168" s="92"/>
      <c r="AI168" s="92"/>
      <c r="AJ168" s="86"/>
      <c r="AK168" s="86"/>
      <c r="AL168" s="86"/>
      <c r="AM168" s="88"/>
      <c r="AN168" s="86"/>
      <c r="AO168" s="86"/>
      <c r="AP168" s="86"/>
      <c r="AQ168" s="86"/>
      <c r="AR168" s="88"/>
      <c r="AS168" s="86"/>
      <c r="AT168" s="86"/>
      <c r="AU168" s="86"/>
      <c r="AV168" s="86"/>
      <c r="AW168" s="86"/>
      <c r="AX168" s="86"/>
      <c r="AY168" s="86"/>
      <c r="AZ168" s="86"/>
      <c r="BA168" s="86"/>
      <c r="BB168" s="29"/>
      <c r="BC168" s="86"/>
      <c r="BD168" s="86"/>
      <c r="BE168" s="29"/>
      <c r="BF168" s="86"/>
    </row>
    <row r="169" spans="1:58">
      <c r="A169" s="78"/>
      <c r="C169" s="79" t="s">
        <v>235</v>
      </c>
      <c r="D169" s="79"/>
      <c r="E169" s="80"/>
      <c r="F169" s="80"/>
      <c r="G169" s="81"/>
      <c r="H169" s="81"/>
      <c r="I169" s="81"/>
      <c r="J169" s="95"/>
      <c r="K169" s="95"/>
      <c r="O169" s="82"/>
      <c r="P169" s="83"/>
      <c r="Q169" s="81"/>
      <c r="R169" s="365"/>
      <c r="S169" s="62"/>
      <c r="U169" s="84"/>
      <c r="V169" s="376"/>
      <c r="W169" s="377"/>
      <c r="X169" s="370"/>
      <c r="Y169" s="377"/>
      <c r="Z169" s="370"/>
      <c r="AD169" s="363"/>
      <c r="AE169" s="87"/>
      <c r="AF169" s="363"/>
      <c r="AG169" s="363"/>
      <c r="AH169" s="363"/>
      <c r="AI169" s="363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29"/>
      <c r="BC169" s="86"/>
      <c r="BD169" s="86"/>
      <c r="BE169" s="29"/>
      <c r="BF169" s="86"/>
    </row>
    <row r="170" spans="1:58">
      <c r="A170" s="78"/>
      <c r="B170" s="79"/>
      <c r="C170" s="79" t="s">
        <v>238</v>
      </c>
      <c r="D170" s="79"/>
      <c r="E170" s="80"/>
      <c r="F170" s="80"/>
      <c r="G170" s="81"/>
      <c r="H170" s="81"/>
      <c r="I170" s="81"/>
      <c r="J170" s="95"/>
      <c r="K170" s="95"/>
      <c r="O170" s="82"/>
      <c r="P170" s="83"/>
      <c r="Q170" s="81"/>
      <c r="R170" s="365"/>
      <c r="S170" s="62"/>
      <c r="V170" s="368"/>
      <c r="W170" s="369" t="s">
        <v>233</v>
      </c>
      <c r="X170" s="368"/>
      <c r="Y170" s="368"/>
      <c r="Z170" s="370"/>
      <c r="AE170" s="87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29"/>
      <c r="BE170" s="29"/>
    </row>
    <row r="171" spans="1:58">
      <c r="A171" s="78"/>
      <c r="B171" s="79"/>
      <c r="C171" s="79"/>
      <c r="D171" s="79"/>
      <c r="E171" s="80"/>
      <c r="F171" s="80"/>
      <c r="G171" s="81"/>
      <c r="H171" s="81"/>
      <c r="I171" s="81"/>
      <c r="J171" s="95"/>
      <c r="K171" s="95"/>
      <c r="O171" s="82"/>
      <c r="P171" s="83"/>
      <c r="Q171" s="81"/>
      <c r="R171" s="365"/>
      <c r="S171" s="62"/>
      <c r="V171" s="368"/>
      <c r="W171" s="371" t="s">
        <v>332</v>
      </c>
      <c r="X171" s="375">
        <f>Y164</f>
        <v>7.7220533544899005E-3</v>
      </c>
      <c r="Y171" s="372"/>
      <c r="Z171" s="370"/>
      <c r="AE171" s="87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29"/>
      <c r="BE171" s="29"/>
    </row>
    <row r="172" spans="1:58">
      <c r="R172" s="102"/>
      <c r="V172" s="368"/>
      <c r="W172" s="371" t="s">
        <v>154</v>
      </c>
      <c r="X172" s="374">
        <f>Z164</f>
        <v>2.0218015709389879E-2</v>
      </c>
      <c r="Y172" s="373"/>
      <c r="Z172" s="368"/>
    </row>
    <row r="173" spans="1:58">
      <c r="R173" s="102"/>
      <c r="V173" s="368"/>
      <c r="W173" s="371" t="s">
        <v>155</v>
      </c>
      <c r="X173" s="374">
        <f>AC164</f>
        <v>5.1398229127607178E-2</v>
      </c>
      <c r="Y173" s="374"/>
      <c r="Z173" s="368"/>
    </row>
    <row r="174" spans="1:58">
      <c r="R174" s="102"/>
      <c r="V174" s="368"/>
      <c r="W174" s="371" t="s">
        <v>156</v>
      </c>
      <c r="X174" s="374">
        <f>AA164</f>
        <v>2.4170515368630876E-2</v>
      </c>
      <c r="Y174" s="373"/>
      <c r="Z174" s="368"/>
    </row>
    <row r="175" spans="1:58">
      <c r="V175" s="368"/>
      <c r="W175" s="371" t="s">
        <v>172</v>
      </c>
      <c r="X175" s="374">
        <f>AB164</f>
        <v>-2.6722792581798573E-3</v>
      </c>
      <c r="Y175" s="373" t="s">
        <v>170</v>
      </c>
      <c r="Z175" s="368"/>
    </row>
    <row r="176" spans="1:58">
      <c r="V176" s="368"/>
      <c r="W176" s="371" t="s">
        <v>208</v>
      </c>
      <c r="X176" s="374">
        <f>AF164</f>
        <v>1.8307123163885698E-2</v>
      </c>
      <c r="Y176" s="373"/>
      <c r="Z176" s="368"/>
    </row>
    <row r="177" spans="6:26">
      <c r="V177" s="368"/>
      <c r="W177" s="371" t="s">
        <v>209</v>
      </c>
      <c r="X177" s="374">
        <f>+AG164</f>
        <v>8.8402367356171761E-3</v>
      </c>
      <c r="Y177" s="373"/>
      <c r="Z177" s="368"/>
    </row>
    <row r="178" spans="6:26">
      <c r="V178" s="368"/>
      <c r="W178" s="371" t="s">
        <v>210</v>
      </c>
      <c r="X178" s="374">
        <f>+AH164</f>
        <v>1.8709969394875847E-2</v>
      </c>
      <c r="Y178" s="373"/>
      <c r="Z178" s="368"/>
    </row>
    <row r="179" spans="6:26">
      <c r="V179" s="368"/>
      <c r="W179" s="371" t="s">
        <v>211</v>
      </c>
      <c r="X179" s="374">
        <f>+AI164</f>
        <v>2.7304022322665708E-3</v>
      </c>
      <c r="Y179" s="373"/>
      <c r="Z179" s="368"/>
    </row>
    <row r="180" spans="6:26">
      <c r="V180" s="368"/>
      <c r="W180" s="371" t="s">
        <v>163</v>
      </c>
      <c r="X180" s="374">
        <f>+AJ164</f>
        <v>0</v>
      </c>
      <c r="Y180" s="373"/>
      <c r="Z180" s="368"/>
    </row>
    <row r="181" spans="6:26">
      <c r="V181" s="368"/>
      <c r="W181" s="371" t="s">
        <v>165</v>
      </c>
      <c r="X181" s="374">
        <f>+AK164</f>
        <v>1.96947046261851E-3</v>
      </c>
      <c r="Y181" s="373"/>
      <c r="Z181" s="368"/>
    </row>
    <row r="182" spans="6:26">
      <c r="V182" s="368"/>
      <c r="W182" s="371" t="s">
        <v>164</v>
      </c>
      <c r="X182" s="374">
        <f>+AL164</f>
        <v>0</v>
      </c>
      <c r="Y182" s="373"/>
      <c r="Z182" s="368"/>
    </row>
    <row r="183" spans="6:26">
      <c r="V183" s="368"/>
      <c r="W183" s="371" t="s">
        <v>157</v>
      </c>
      <c r="X183" s="374">
        <f>+AN164</f>
        <v>0</v>
      </c>
      <c r="Y183" s="373"/>
      <c r="Z183" s="368"/>
    </row>
    <row r="184" spans="6:26">
      <c r="V184" s="368"/>
      <c r="W184" s="371" t="s">
        <v>167</v>
      </c>
      <c r="X184" s="374">
        <f>+AO164</f>
        <v>0</v>
      </c>
      <c r="Y184" s="373"/>
      <c r="Z184" s="368"/>
    </row>
    <row r="185" spans="6:26">
      <c r="V185" s="368"/>
      <c r="W185" s="371" t="s">
        <v>158</v>
      </c>
      <c r="X185" s="374">
        <f>+AP164</f>
        <v>5.684607926194336E-3</v>
      </c>
      <c r="Y185" s="373"/>
      <c r="Z185" s="368"/>
    </row>
    <row r="186" spans="6:26">
      <c r="F186" s="33"/>
      <c r="J186" s="33"/>
      <c r="K186" s="33"/>
      <c r="L186" s="33"/>
      <c r="M186" s="33"/>
      <c r="Q186" s="33"/>
      <c r="V186" s="368"/>
      <c r="W186" s="371" t="s">
        <v>166</v>
      </c>
      <c r="X186" s="374">
        <f>+AQ164</f>
        <v>0</v>
      </c>
      <c r="Y186" s="373"/>
      <c r="Z186" s="368"/>
    </row>
    <row r="187" spans="6:26">
      <c r="F187" s="33"/>
      <c r="J187" s="33"/>
      <c r="K187" s="33"/>
      <c r="L187" s="33"/>
      <c r="M187" s="33"/>
      <c r="Q187" s="33"/>
      <c r="V187" s="368"/>
      <c r="W187" s="371" t="s">
        <v>169</v>
      </c>
      <c r="X187" s="374">
        <f>+AS164</f>
        <v>0</v>
      </c>
      <c r="Y187" s="373"/>
      <c r="Z187" s="368"/>
    </row>
    <row r="188" spans="6:26">
      <c r="F188" s="33"/>
      <c r="J188" s="33"/>
      <c r="K188" s="33"/>
      <c r="L188" s="33"/>
      <c r="M188" s="33"/>
      <c r="Q188" s="33"/>
      <c r="V188" s="368"/>
      <c r="W188" s="371" t="s">
        <v>333</v>
      </c>
      <c r="X188" s="374">
        <f>+AT164</f>
        <v>0</v>
      </c>
      <c r="Y188" s="373"/>
      <c r="Z188" s="368"/>
    </row>
    <row r="189" spans="6:26">
      <c r="F189" s="33"/>
      <c r="J189" s="33"/>
      <c r="K189" s="33"/>
      <c r="L189" s="33"/>
      <c r="M189" s="33"/>
      <c r="Q189" s="33"/>
      <c r="V189" s="368"/>
      <c r="W189" s="371" t="s">
        <v>250</v>
      </c>
      <c r="X189" s="374">
        <f>+AU164</f>
        <v>0</v>
      </c>
      <c r="Y189" s="373"/>
      <c r="Z189" s="368"/>
    </row>
    <row r="190" spans="6:26">
      <c r="F190" s="33"/>
      <c r="J190" s="33"/>
      <c r="K190" s="33"/>
      <c r="L190" s="33"/>
      <c r="M190" s="33"/>
      <c r="Q190" s="33"/>
      <c r="V190" s="368"/>
      <c r="W190" s="371" t="s">
        <v>339</v>
      </c>
      <c r="X190" s="374">
        <f>AV164</f>
        <v>0</v>
      </c>
      <c r="Y190" s="373"/>
      <c r="Z190" s="368"/>
    </row>
    <row r="191" spans="6:26">
      <c r="F191" s="33"/>
      <c r="J191" s="33"/>
      <c r="K191" s="33"/>
      <c r="L191" s="33"/>
      <c r="M191" s="33"/>
      <c r="Q191" s="33"/>
      <c r="V191" s="368"/>
      <c r="W191" s="371" t="s">
        <v>340</v>
      </c>
      <c r="X191" s="374">
        <f>AW164</f>
        <v>4.9908171950446339E-3</v>
      </c>
      <c r="Y191" s="373"/>
      <c r="Z191" s="368"/>
    </row>
    <row r="192" spans="6:26">
      <c r="F192" s="33"/>
      <c r="J192" s="33"/>
      <c r="K192" s="33"/>
      <c r="L192" s="33"/>
      <c r="M192" s="33"/>
      <c r="Q192" s="33"/>
      <c r="V192" s="368"/>
      <c r="W192" s="368" t="s">
        <v>168</v>
      </c>
      <c r="X192" s="374">
        <f>AX164+AY164</f>
        <v>0</v>
      </c>
      <c r="Y192" s="374"/>
      <c r="Z192" s="368"/>
    </row>
    <row r="193" spans="6:26">
      <c r="F193" s="33"/>
      <c r="J193" s="33"/>
      <c r="K193" s="33"/>
      <c r="L193" s="33"/>
      <c r="M193" s="33"/>
      <c r="Q193" s="33"/>
      <c r="V193" s="368"/>
      <c r="W193" s="368" t="s">
        <v>338</v>
      </c>
      <c r="X193" s="374">
        <f>AZ164</f>
        <v>0</v>
      </c>
      <c r="Y193" s="368"/>
      <c r="Z193" s="368"/>
    </row>
    <row r="194" spans="6:26">
      <c r="F194" s="33"/>
      <c r="J194" s="33"/>
      <c r="K194" s="33"/>
      <c r="L194" s="33"/>
      <c r="M194" s="33"/>
      <c r="Q194" s="33"/>
      <c r="V194" s="368"/>
      <c r="W194" s="368"/>
      <c r="X194" s="531">
        <f>SUM(X171:X193)</f>
        <v>0.16206916141244074</v>
      </c>
      <c r="Y194" s="368"/>
      <c r="Z194" s="368"/>
    </row>
    <row r="195" spans="6:26">
      <c r="F195" s="33"/>
      <c r="J195" s="33"/>
      <c r="K195" s="33"/>
      <c r="L195" s="33"/>
      <c r="M195" s="33"/>
      <c r="Q195" s="33"/>
    </row>
    <row r="196" spans="6:26">
      <c r="F196" s="33"/>
      <c r="J196" s="33"/>
      <c r="K196" s="33"/>
      <c r="L196" s="33"/>
      <c r="M196" s="33"/>
      <c r="Q196" s="33"/>
      <c r="X196" s="102">
        <f>+X194+X163</f>
        <v>1.0000000000000002</v>
      </c>
    </row>
    <row r="197" spans="6:26">
      <c r="F197" s="33"/>
      <c r="J197" s="33"/>
      <c r="K197" s="33"/>
      <c r="L197" s="33"/>
      <c r="M197" s="33"/>
      <c r="Q197" s="33"/>
    </row>
    <row r="198" spans="6:26">
      <c r="F198" s="33"/>
      <c r="J198" s="33"/>
      <c r="K198" s="33"/>
      <c r="L198" s="33"/>
      <c r="M198" s="33"/>
      <c r="Q198" s="33"/>
    </row>
    <row r="199" spans="6:26">
      <c r="F199" s="33"/>
      <c r="J199" s="33"/>
      <c r="K199" s="33"/>
      <c r="L199" s="33"/>
      <c r="M199" s="33"/>
      <c r="Q199" s="33"/>
    </row>
    <row r="200" spans="6:26">
      <c r="F200" s="33"/>
      <c r="J200" s="33"/>
      <c r="K200" s="33"/>
      <c r="L200" s="33"/>
      <c r="M200" s="33"/>
      <c r="Q200" s="33"/>
    </row>
    <row r="201" spans="6:26">
      <c r="F201" s="33"/>
      <c r="J201" s="33"/>
      <c r="K201" s="33"/>
      <c r="L201" s="33"/>
      <c r="M201" s="33"/>
      <c r="Q201" s="33"/>
    </row>
    <row r="202" spans="6:26">
      <c r="F202" s="33"/>
      <c r="J202" s="33"/>
      <c r="K202" s="33"/>
      <c r="L202" s="33"/>
      <c r="M202" s="33"/>
      <c r="Q202" s="33"/>
    </row>
    <row r="203" spans="6:26">
      <c r="F203" s="33"/>
      <c r="J203" s="33"/>
      <c r="K203" s="33"/>
      <c r="L203" s="33"/>
      <c r="M203" s="33"/>
      <c r="Q203" s="33"/>
    </row>
    <row r="204" spans="6:26">
      <c r="F204" s="33"/>
      <c r="J204" s="33"/>
      <c r="K204" s="33"/>
      <c r="L204" s="33"/>
      <c r="M204" s="33"/>
      <c r="Q204" s="33"/>
    </row>
    <row r="205" spans="6:26">
      <c r="F205" s="33"/>
      <c r="J205" s="33"/>
      <c r="K205" s="33"/>
      <c r="L205" s="33"/>
      <c r="M205" s="33"/>
      <c r="Q205" s="33"/>
    </row>
    <row r="206" spans="6:26">
      <c r="F206" s="33"/>
      <c r="J206" s="33"/>
      <c r="K206" s="33"/>
      <c r="L206" s="33"/>
      <c r="M206" s="33"/>
      <c r="Q206" s="33"/>
    </row>
    <row r="207" spans="6:26">
      <c r="F207" s="33"/>
      <c r="J207" s="33"/>
      <c r="K207" s="33"/>
      <c r="L207" s="33"/>
      <c r="M207" s="33"/>
      <c r="Q207" s="33"/>
    </row>
    <row r="208" spans="6:26">
      <c r="F208" s="33"/>
      <c r="J208" s="33"/>
      <c r="K208" s="33"/>
      <c r="L208" s="33"/>
      <c r="M208" s="33"/>
      <c r="Q208" s="33"/>
    </row>
    <row r="209" spans="6:17">
      <c r="F209" s="33"/>
      <c r="J209" s="33"/>
      <c r="K209" s="33"/>
      <c r="L209" s="33"/>
      <c r="M209" s="33"/>
      <c r="Q209" s="33"/>
    </row>
    <row r="210" spans="6:17">
      <c r="F210" s="33"/>
      <c r="J210" s="33"/>
      <c r="K210" s="33"/>
      <c r="L210" s="33"/>
      <c r="M210" s="33"/>
      <c r="Q210" s="33"/>
    </row>
    <row r="211" spans="6:17">
      <c r="F211" s="33"/>
      <c r="J211" s="33"/>
      <c r="K211" s="33"/>
      <c r="L211" s="33"/>
      <c r="M211" s="33"/>
      <c r="Q211" s="33"/>
    </row>
    <row r="212" spans="6:17">
      <c r="F212" s="33"/>
      <c r="J212" s="33"/>
      <c r="K212" s="33"/>
      <c r="L212" s="33"/>
      <c r="M212" s="33"/>
      <c r="Q212" s="33"/>
    </row>
    <row r="213" spans="6:17">
      <c r="F213" s="33"/>
      <c r="J213" s="33"/>
      <c r="K213" s="33"/>
      <c r="L213" s="33"/>
      <c r="M213" s="33"/>
      <c r="Q213" s="33"/>
    </row>
    <row r="214" spans="6:17">
      <c r="F214" s="33"/>
      <c r="J214" s="33"/>
      <c r="K214" s="33"/>
      <c r="L214" s="33"/>
      <c r="M214" s="33"/>
      <c r="Q214" s="33"/>
    </row>
    <row r="215" spans="6:17">
      <c r="F215" s="33"/>
      <c r="J215" s="33"/>
      <c r="K215" s="33"/>
      <c r="L215" s="33"/>
      <c r="M215" s="33"/>
      <c r="Q215" s="33"/>
    </row>
    <row r="216" spans="6:17">
      <c r="F216" s="33"/>
      <c r="J216" s="33"/>
      <c r="K216" s="33"/>
      <c r="L216" s="33"/>
      <c r="M216" s="33"/>
      <c r="Q216" s="33"/>
    </row>
    <row r="217" spans="6:17">
      <c r="F217" s="33"/>
      <c r="J217" s="33"/>
      <c r="K217" s="33"/>
      <c r="L217" s="33"/>
      <c r="M217" s="33"/>
      <c r="Q217" s="33"/>
    </row>
    <row r="218" spans="6:17">
      <c r="F218" s="33"/>
      <c r="J218" s="33"/>
      <c r="K218" s="33"/>
      <c r="L218" s="33"/>
      <c r="M218" s="33"/>
      <c r="Q218" s="33"/>
    </row>
    <row r="219" spans="6:17">
      <c r="F219" s="33"/>
      <c r="J219" s="33"/>
      <c r="K219" s="33"/>
      <c r="L219" s="33"/>
      <c r="M219" s="33"/>
      <c r="Q219" s="33"/>
    </row>
    <row r="220" spans="6:17">
      <c r="F220" s="33"/>
      <c r="J220" s="33"/>
      <c r="K220" s="33"/>
      <c r="L220" s="33"/>
      <c r="M220" s="33"/>
      <c r="Q220" s="33"/>
    </row>
    <row r="221" spans="6:17">
      <c r="F221" s="33"/>
      <c r="J221" s="33"/>
      <c r="K221" s="33"/>
      <c r="L221" s="33"/>
      <c r="M221" s="33"/>
      <c r="Q221" s="33"/>
    </row>
    <row r="222" spans="6:17">
      <c r="F222" s="33"/>
      <c r="J222" s="33"/>
      <c r="K222" s="33"/>
      <c r="L222" s="33"/>
      <c r="M222" s="33"/>
      <c r="Q222" s="33"/>
    </row>
    <row r="223" spans="6:17">
      <c r="F223" s="33"/>
      <c r="J223" s="33"/>
      <c r="K223" s="33"/>
      <c r="L223" s="33"/>
      <c r="M223" s="33"/>
      <c r="Q223" s="33"/>
    </row>
    <row r="224" spans="6:17">
      <c r="F224" s="33"/>
      <c r="J224" s="33"/>
      <c r="K224" s="33"/>
      <c r="L224" s="33"/>
      <c r="M224" s="33"/>
      <c r="Q224" s="33"/>
    </row>
    <row r="225" spans="6:17">
      <c r="F225" s="33"/>
      <c r="J225" s="33"/>
      <c r="K225" s="33"/>
      <c r="L225" s="33"/>
      <c r="M225" s="33"/>
      <c r="Q225" s="33"/>
    </row>
    <row r="226" spans="6:17">
      <c r="F226" s="33"/>
      <c r="J226" s="33"/>
      <c r="K226" s="33"/>
      <c r="L226" s="33"/>
      <c r="M226" s="33"/>
      <c r="Q226" s="33"/>
    </row>
    <row r="227" spans="6:17">
      <c r="F227" s="33"/>
      <c r="J227" s="33"/>
      <c r="K227" s="33"/>
      <c r="L227" s="33"/>
      <c r="M227" s="33"/>
      <c r="Q227" s="33"/>
    </row>
    <row r="228" spans="6:17">
      <c r="F228" s="33"/>
      <c r="J228" s="33"/>
      <c r="K228" s="33"/>
      <c r="L228" s="33"/>
      <c r="M228" s="33"/>
      <c r="Q228" s="33"/>
    </row>
    <row r="229" spans="6:17">
      <c r="F229" s="33"/>
      <c r="J229" s="33"/>
      <c r="K229" s="33"/>
      <c r="L229" s="33"/>
      <c r="M229" s="33"/>
      <c r="Q229" s="33"/>
    </row>
    <row r="230" spans="6:17">
      <c r="F230" s="33"/>
      <c r="J230" s="33"/>
      <c r="K230" s="33"/>
      <c r="L230" s="33"/>
      <c r="M230" s="33"/>
      <c r="Q230" s="33"/>
    </row>
    <row r="231" spans="6:17">
      <c r="F231" s="33"/>
      <c r="J231" s="33"/>
      <c r="K231" s="33"/>
      <c r="L231" s="33"/>
      <c r="M231" s="33"/>
      <c r="Q231" s="33"/>
    </row>
    <row r="232" spans="6:17">
      <c r="F232" s="33"/>
      <c r="J232" s="33"/>
      <c r="K232" s="33"/>
      <c r="L232" s="33"/>
      <c r="M232" s="33"/>
      <c r="Q232" s="33"/>
    </row>
    <row r="233" spans="6:17">
      <c r="F233" s="33"/>
      <c r="J233" s="33"/>
      <c r="K233" s="33"/>
      <c r="L233" s="33"/>
      <c r="M233" s="33"/>
      <c r="Q233" s="33"/>
    </row>
    <row r="234" spans="6:17">
      <c r="F234" s="33"/>
      <c r="J234" s="33"/>
      <c r="K234" s="33"/>
      <c r="L234" s="33"/>
      <c r="M234" s="33"/>
      <c r="Q234" s="33"/>
    </row>
    <row r="235" spans="6:17">
      <c r="F235" s="33"/>
      <c r="J235" s="33"/>
      <c r="K235" s="33"/>
      <c r="L235" s="33"/>
      <c r="M235" s="33"/>
      <c r="Q235" s="33"/>
    </row>
    <row r="236" spans="6:17">
      <c r="F236" s="33"/>
      <c r="J236" s="33"/>
      <c r="K236" s="33"/>
      <c r="L236" s="33"/>
      <c r="M236" s="33"/>
      <c r="Q236" s="33"/>
    </row>
    <row r="237" spans="6:17">
      <c r="F237" s="33"/>
      <c r="J237" s="33"/>
      <c r="K237" s="33"/>
      <c r="L237" s="33"/>
      <c r="M237" s="33"/>
      <c r="Q237" s="33"/>
    </row>
    <row r="238" spans="6:17">
      <c r="F238" s="33"/>
      <c r="J238" s="33"/>
      <c r="K238" s="33"/>
      <c r="L238" s="33"/>
      <c r="M238" s="33"/>
      <c r="Q238" s="33"/>
    </row>
    <row r="239" spans="6:17">
      <c r="F239" s="33"/>
      <c r="J239" s="33"/>
      <c r="K239" s="33"/>
      <c r="L239" s="33"/>
      <c r="M239" s="33"/>
      <c r="Q239" s="33"/>
    </row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64:P164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B93:C93">
    <cfRule type="cellIs" dxfId="15653" priority="25847" stopIfTrue="1" operator="equal">
      <formula>"Towel"</formula>
    </cfRule>
    <cfRule type="cellIs" dxfId="15652" priority="25848" stopIfTrue="1" operator="equal">
      <formula>"Napkin Hs"</formula>
    </cfRule>
  </conditionalFormatting>
  <conditionalFormatting sqref="B125:C125">
    <cfRule type="cellIs" dxfId="15651" priority="25737" stopIfTrue="1" operator="equal">
      <formula>"Towel"</formula>
    </cfRule>
    <cfRule type="cellIs" dxfId="15650" priority="25738" stopIfTrue="1" operator="equal">
      <formula>"Napkin Hs"</formula>
    </cfRule>
  </conditionalFormatting>
  <conditionalFormatting sqref="C93">
    <cfRule type="cellIs" dxfId="15649" priority="25839" stopIfTrue="1" operator="equal">
      <formula>"Towel"</formula>
    </cfRule>
    <cfRule type="cellIs" dxfId="15648" priority="25840" stopIfTrue="1" operator="equal">
      <formula>"Napkin Hs"</formula>
    </cfRule>
  </conditionalFormatting>
  <conditionalFormatting sqref="C93">
    <cfRule type="cellIs" dxfId="15647" priority="25845" stopIfTrue="1" operator="equal">
      <formula>"Towel"</formula>
    </cfRule>
    <cfRule type="cellIs" dxfId="15646" priority="25846" stopIfTrue="1" operator="equal">
      <formula>"Napkin Hs"</formula>
    </cfRule>
  </conditionalFormatting>
  <conditionalFormatting sqref="C125">
    <cfRule type="cellIs" dxfId="15645" priority="25731" stopIfTrue="1" operator="equal">
      <formula>"Towel"</formula>
    </cfRule>
    <cfRule type="cellIs" dxfId="15644" priority="25732" stopIfTrue="1" operator="equal">
      <formula>"Napkin Hs"</formula>
    </cfRule>
  </conditionalFormatting>
  <conditionalFormatting sqref="C125">
    <cfRule type="cellIs" dxfId="15643" priority="25735" stopIfTrue="1" operator="equal">
      <formula>"Towel"</formula>
    </cfRule>
    <cfRule type="cellIs" dxfId="15642" priority="25736" stopIfTrue="1" operator="equal">
      <formula>"Napkin Hs"</formula>
    </cfRule>
  </conditionalFormatting>
  <conditionalFormatting sqref="B83:C83">
    <cfRule type="cellIs" dxfId="15641" priority="23759" stopIfTrue="1" operator="equal">
      <formula>"Towel"</formula>
    </cfRule>
    <cfRule type="cellIs" dxfId="15640" priority="23760" stopIfTrue="1" operator="equal">
      <formula>"Napkin Hs"</formula>
    </cfRule>
  </conditionalFormatting>
  <conditionalFormatting sqref="C83">
    <cfRule type="cellIs" dxfId="15639" priority="23757" stopIfTrue="1" operator="equal">
      <formula>"Towel"</formula>
    </cfRule>
    <cfRule type="cellIs" dxfId="15638" priority="23758" stopIfTrue="1" operator="equal">
      <formula>"Napkin Hs"</formula>
    </cfRule>
  </conditionalFormatting>
  <conditionalFormatting sqref="C83">
    <cfRule type="cellIs" dxfId="15637" priority="23755" stopIfTrue="1" operator="equal">
      <formula>"Towel"</formula>
    </cfRule>
    <cfRule type="cellIs" dxfId="15636" priority="23756" stopIfTrue="1" operator="equal">
      <formula>"Napkin Hs"</formula>
    </cfRule>
  </conditionalFormatting>
  <conditionalFormatting sqref="B92:C92">
    <cfRule type="cellIs" dxfId="15635" priority="23621" stopIfTrue="1" operator="equal">
      <formula>"Towel"</formula>
    </cfRule>
    <cfRule type="cellIs" dxfId="15634" priority="23622" stopIfTrue="1" operator="equal">
      <formula>"Napkin Hs"</formula>
    </cfRule>
  </conditionalFormatting>
  <conditionalFormatting sqref="C92">
    <cfRule type="cellIs" dxfId="15633" priority="23617" stopIfTrue="1" operator="equal">
      <formula>"Towel"</formula>
    </cfRule>
    <cfRule type="cellIs" dxfId="15632" priority="23618" stopIfTrue="1" operator="equal">
      <formula>"Napkin Hs"</formula>
    </cfRule>
  </conditionalFormatting>
  <conditionalFormatting sqref="C92">
    <cfRule type="cellIs" dxfId="15631" priority="23619" stopIfTrue="1" operator="equal">
      <formula>"Towel"</formula>
    </cfRule>
    <cfRule type="cellIs" dxfId="15630" priority="23620" stopIfTrue="1" operator="equal">
      <formula>"Napkin Hs"</formula>
    </cfRule>
  </conditionalFormatting>
  <conditionalFormatting sqref="B84:C84">
    <cfRule type="cellIs" dxfId="15629" priority="23525" stopIfTrue="1" operator="equal">
      <formula>"Towel"</formula>
    </cfRule>
    <cfRule type="cellIs" dxfId="15628" priority="23526" stopIfTrue="1" operator="equal">
      <formula>"Napkin Hs"</formula>
    </cfRule>
  </conditionalFormatting>
  <conditionalFormatting sqref="C84">
    <cfRule type="cellIs" dxfId="15627" priority="23521" stopIfTrue="1" operator="equal">
      <formula>"Towel"</formula>
    </cfRule>
    <cfRule type="cellIs" dxfId="15626" priority="23522" stopIfTrue="1" operator="equal">
      <formula>"Napkin Hs"</formula>
    </cfRule>
  </conditionalFormatting>
  <conditionalFormatting sqref="C84">
    <cfRule type="cellIs" dxfId="15625" priority="23523" stopIfTrue="1" operator="equal">
      <formula>"Towel"</formula>
    </cfRule>
    <cfRule type="cellIs" dxfId="15624" priority="23524" stopIfTrue="1" operator="equal">
      <formula>"Napkin Hs"</formula>
    </cfRule>
  </conditionalFormatting>
  <conditionalFormatting sqref="B84:C84">
    <cfRule type="cellIs" dxfId="15623" priority="23520" stopIfTrue="1" operator="equal">
      <formula>"Napkin Hs"</formula>
    </cfRule>
  </conditionalFormatting>
  <conditionalFormatting sqref="B84:C84">
    <cfRule type="cellIs" dxfId="15622" priority="23519" stopIfTrue="1" operator="equal">
      <formula>"Towel"</formula>
    </cfRule>
  </conditionalFormatting>
  <conditionalFormatting sqref="C84">
    <cfRule type="cellIs" dxfId="15621" priority="23518" stopIfTrue="1" operator="equal">
      <formula>"Napkin Hs"</formula>
    </cfRule>
  </conditionalFormatting>
  <conditionalFormatting sqref="C84">
    <cfRule type="cellIs" dxfId="15620" priority="23517" stopIfTrue="1" operator="equal">
      <formula>"Towel"</formula>
    </cfRule>
  </conditionalFormatting>
  <conditionalFormatting sqref="C84">
    <cfRule type="cellIs" dxfId="15619" priority="23515" stopIfTrue="1" operator="equal">
      <formula>"Towel"</formula>
    </cfRule>
    <cfRule type="cellIs" dxfId="15618" priority="23516" stopIfTrue="1" operator="equal">
      <formula>"Napkin Hs"</formula>
    </cfRule>
  </conditionalFormatting>
  <conditionalFormatting sqref="B84:C84">
    <cfRule type="cellIs" dxfId="15617" priority="23513" stopIfTrue="1" operator="equal">
      <formula>"Towel"</formula>
    </cfRule>
    <cfRule type="cellIs" dxfId="15616" priority="23514" stopIfTrue="1" operator="equal">
      <formula>"Napkin Hs"</formula>
    </cfRule>
  </conditionalFormatting>
  <conditionalFormatting sqref="C84">
    <cfRule type="cellIs" dxfId="15615" priority="23511" stopIfTrue="1" operator="equal">
      <formula>"Towel"</formula>
    </cfRule>
    <cfRule type="cellIs" dxfId="15614" priority="23512" stopIfTrue="1" operator="equal">
      <formula>"Napkin Hs"</formula>
    </cfRule>
  </conditionalFormatting>
  <conditionalFormatting sqref="C84">
    <cfRule type="cellIs" dxfId="15613" priority="23509" stopIfTrue="1" operator="equal">
      <formula>"Towel"</formula>
    </cfRule>
    <cfRule type="cellIs" dxfId="15612" priority="23510" stopIfTrue="1" operator="equal">
      <formula>"Napkin Hs"</formula>
    </cfRule>
  </conditionalFormatting>
  <conditionalFormatting sqref="B84:C84">
    <cfRule type="cellIs" dxfId="15611" priority="23507" stopIfTrue="1" operator="equal">
      <formula>"Towel"</formula>
    </cfRule>
    <cfRule type="cellIs" dxfId="15610" priority="23508" stopIfTrue="1" operator="equal">
      <formula>"Napkin Hs"</formula>
    </cfRule>
  </conditionalFormatting>
  <conditionalFormatting sqref="C84">
    <cfRule type="cellIs" dxfId="15609" priority="23505" stopIfTrue="1" operator="equal">
      <formula>"Towel"</formula>
    </cfRule>
    <cfRule type="cellIs" dxfId="15608" priority="23506" stopIfTrue="1" operator="equal">
      <formula>"Napkin Hs"</formula>
    </cfRule>
  </conditionalFormatting>
  <conditionalFormatting sqref="C84">
    <cfRule type="cellIs" dxfId="15607" priority="23503" stopIfTrue="1" operator="equal">
      <formula>"Towel"</formula>
    </cfRule>
    <cfRule type="cellIs" dxfId="15606" priority="23504" stopIfTrue="1" operator="equal">
      <formula>"Napkin Hs"</formula>
    </cfRule>
  </conditionalFormatting>
  <conditionalFormatting sqref="B84:C84">
    <cfRule type="cellIs" dxfId="15605" priority="23501" stopIfTrue="1" operator="equal">
      <formula>"Towel"</formula>
    </cfRule>
    <cfRule type="cellIs" dxfId="15604" priority="23502" stopIfTrue="1" operator="equal">
      <formula>"Napkin Hs"</formula>
    </cfRule>
  </conditionalFormatting>
  <conditionalFormatting sqref="C84">
    <cfRule type="cellIs" dxfId="15603" priority="23499" stopIfTrue="1" operator="equal">
      <formula>"Towel"</formula>
    </cfRule>
    <cfRule type="cellIs" dxfId="15602" priority="23500" stopIfTrue="1" operator="equal">
      <formula>"Napkin Hs"</formula>
    </cfRule>
  </conditionalFormatting>
  <conditionalFormatting sqref="C84">
    <cfRule type="cellIs" dxfId="15601" priority="23497" stopIfTrue="1" operator="equal">
      <formula>"Towel"</formula>
    </cfRule>
    <cfRule type="cellIs" dxfId="15600" priority="23498" stopIfTrue="1" operator="equal">
      <formula>"Napkin Hs"</formula>
    </cfRule>
  </conditionalFormatting>
  <conditionalFormatting sqref="B84:C84">
    <cfRule type="cellIs" dxfId="15599" priority="23495" stopIfTrue="1" operator="equal">
      <formula>"Towel"</formula>
    </cfRule>
    <cfRule type="cellIs" dxfId="15598" priority="23496" stopIfTrue="1" operator="equal">
      <formula>"Napkin Hs"</formula>
    </cfRule>
  </conditionalFormatting>
  <conditionalFormatting sqref="C84">
    <cfRule type="cellIs" dxfId="15597" priority="23493" stopIfTrue="1" operator="equal">
      <formula>"Towel"</formula>
    </cfRule>
    <cfRule type="cellIs" dxfId="15596" priority="23494" stopIfTrue="1" operator="equal">
      <formula>"Napkin Hs"</formula>
    </cfRule>
  </conditionalFormatting>
  <conditionalFormatting sqref="C84">
    <cfRule type="cellIs" dxfId="15595" priority="23491" stopIfTrue="1" operator="equal">
      <formula>"Towel"</formula>
    </cfRule>
    <cfRule type="cellIs" dxfId="15594" priority="23492" stopIfTrue="1" operator="equal">
      <formula>"Napkin Hs"</formula>
    </cfRule>
  </conditionalFormatting>
  <conditionalFormatting sqref="B84:C84">
    <cfRule type="cellIs" dxfId="15593" priority="23489" stopIfTrue="1" operator="equal">
      <formula>"Towel"</formula>
    </cfRule>
    <cfRule type="cellIs" dxfId="15592" priority="23490" stopIfTrue="1" operator="equal">
      <formula>"Napkin Hs"</formula>
    </cfRule>
  </conditionalFormatting>
  <conditionalFormatting sqref="C84">
    <cfRule type="cellIs" dxfId="15591" priority="23487" stopIfTrue="1" operator="equal">
      <formula>"Towel"</formula>
    </cfRule>
    <cfRule type="cellIs" dxfId="15590" priority="23488" stopIfTrue="1" operator="equal">
      <formula>"Napkin Hs"</formula>
    </cfRule>
  </conditionalFormatting>
  <conditionalFormatting sqref="C84">
    <cfRule type="cellIs" dxfId="15589" priority="23485" stopIfTrue="1" operator="equal">
      <formula>"Towel"</formula>
    </cfRule>
    <cfRule type="cellIs" dxfId="15588" priority="23486" stopIfTrue="1" operator="equal">
      <formula>"Napkin Hs"</formula>
    </cfRule>
  </conditionalFormatting>
  <conditionalFormatting sqref="B84:C84">
    <cfRule type="cellIs" dxfId="15587" priority="23484" stopIfTrue="1" operator="equal">
      <formula>"Napkin Hs"</formula>
    </cfRule>
  </conditionalFormatting>
  <conditionalFormatting sqref="B84:C84">
    <cfRule type="cellIs" dxfId="15586" priority="23483" stopIfTrue="1" operator="equal">
      <formula>"Towel"</formula>
    </cfRule>
  </conditionalFormatting>
  <conditionalFormatting sqref="C84">
    <cfRule type="cellIs" dxfId="15585" priority="23482" stopIfTrue="1" operator="equal">
      <formula>"Napkin Hs"</formula>
    </cfRule>
  </conditionalFormatting>
  <conditionalFormatting sqref="C84">
    <cfRule type="cellIs" dxfId="15584" priority="23479" stopIfTrue="1" operator="equal">
      <formula>"Towel"</formula>
    </cfRule>
    <cfRule type="cellIs" dxfId="15583" priority="23480" stopIfTrue="1" operator="equal">
      <formula>"Napkin Hs"</formula>
    </cfRule>
  </conditionalFormatting>
  <conditionalFormatting sqref="C84">
    <cfRule type="cellIs" dxfId="15582" priority="23481" stopIfTrue="1" operator="equal">
      <formula>"Towel"</formula>
    </cfRule>
  </conditionalFormatting>
  <conditionalFormatting sqref="B91:C91">
    <cfRule type="cellIs" dxfId="15581" priority="23477" stopIfTrue="1" operator="equal">
      <formula>"Towel"</formula>
    </cfRule>
    <cfRule type="cellIs" dxfId="15580" priority="23478" stopIfTrue="1" operator="equal">
      <formula>"Napkin Hs"</formula>
    </cfRule>
  </conditionalFormatting>
  <conditionalFormatting sqref="C91">
    <cfRule type="cellIs" dxfId="15579" priority="23475" stopIfTrue="1" operator="equal">
      <formula>"Towel"</formula>
    </cfRule>
    <cfRule type="cellIs" dxfId="15578" priority="23476" stopIfTrue="1" operator="equal">
      <formula>"Napkin Hs"</formula>
    </cfRule>
  </conditionalFormatting>
  <conditionalFormatting sqref="C91">
    <cfRule type="cellIs" dxfId="15577" priority="23473" stopIfTrue="1" operator="equal">
      <formula>"Towel"</formula>
    </cfRule>
    <cfRule type="cellIs" dxfId="15576" priority="23474" stopIfTrue="1" operator="equal">
      <formula>"Napkin Hs"</formula>
    </cfRule>
  </conditionalFormatting>
  <conditionalFormatting sqref="B90:C90">
    <cfRule type="cellIs" dxfId="15575" priority="23471" stopIfTrue="1" operator="equal">
      <formula>"Towel"</formula>
    </cfRule>
    <cfRule type="cellIs" dxfId="15574" priority="23472" stopIfTrue="1" operator="equal">
      <formula>"Napkin Hs"</formula>
    </cfRule>
  </conditionalFormatting>
  <conditionalFormatting sqref="C90">
    <cfRule type="cellIs" dxfId="15573" priority="23467" stopIfTrue="1" operator="equal">
      <formula>"Towel"</formula>
    </cfRule>
    <cfRule type="cellIs" dxfId="15572" priority="23468" stopIfTrue="1" operator="equal">
      <formula>"Napkin Hs"</formula>
    </cfRule>
  </conditionalFormatting>
  <conditionalFormatting sqref="C90">
    <cfRule type="cellIs" dxfId="15571" priority="23469" stopIfTrue="1" operator="equal">
      <formula>"Towel"</formula>
    </cfRule>
    <cfRule type="cellIs" dxfId="15570" priority="23470" stopIfTrue="1" operator="equal">
      <formula>"Napkin Hs"</formula>
    </cfRule>
  </conditionalFormatting>
  <conditionalFormatting sqref="B90:C90">
    <cfRule type="cellIs" dxfId="15569" priority="23465" stopIfTrue="1" operator="equal">
      <formula>"Towel"</formula>
    </cfRule>
    <cfRule type="cellIs" dxfId="15568" priority="23466" stopIfTrue="1" operator="equal">
      <formula>"Napkin Hs"</formula>
    </cfRule>
  </conditionalFormatting>
  <conditionalFormatting sqref="C90">
    <cfRule type="cellIs" dxfId="15567" priority="23461" stopIfTrue="1" operator="equal">
      <formula>"Towel"</formula>
    </cfRule>
    <cfRule type="cellIs" dxfId="15566" priority="23462" stopIfTrue="1" operator="equal">
      <formula>"Napkin Hs"</formula>
    </cfRule>
  </conditionalFormatting>
  <conditionalFormatting sqref="C90">
    <cfRule type="cellIs" dxfId="15565" priority="23463" stopIfTrue="1" operator="equal">
      <formula>"Towel"</formula>
    </cfRule>
    <cfRule type="cellIs" dxfId="15564" priority="23464" stopIfTrue="1" operator="equal">
      <formula>"Napkin Hs"</formula>
    </cfRule>
  </conditionalFormatting>
  <conditionalFormatting sqref="B90:C90">
    <cfRule type="cellIs" dxfId="15563" priority="23459" stopIfTrue="1" operator="equal">
      <formula>"Towel"</formula>
    </cfRule>
    <cfRule type="cellIs" dxfId="15562" priority="23460" stopIfTrue="1" operator="equal">
      <formula>"Napkin Hs"</formula>
    </cfRule>
  </conditionalFormatting>
  <conditionalFormatting sqref="C90">
    <cfRule type="cellIs" dxfId="15561" priority="23457" stopIfTrue="1" operator="equal">
      <formula>"Towel"</formula>
    </cfRule>
    <cfRule type="cellIs" dxfId="15560" priority="23458" stopIfTrue="1" operator="equal">
      <formula>"Napkin Hs"</formula>
    </cfRule>
  </conditionalFormatting>
  <conditionalFormatting sqref="C90">
    <cfRule type="cellIs" dxfId="15559" priority="23455" stopIfTrue="1" operator="equal">
      <formula>"Towel"</formula>
    </cfRule>
    <cfRule type="cellIs" dxfId="15558" priority="23456" stopIfTrue="1" operator="equal">
      <formula>"Napkin Hs"</formula>
    </cfRule>
  </conditionalFormatting>
  <conditionalFormatting sqref="B90:C90">
    <cfRule type="cellIs" dxfId="15557" priority="23453" stopIfTrue="1" operator="equal">
      <formula>"Towel"</formula>
    </cfRule>
    <cfRule type="cellIs" dxfId="15556" priority="23454" stopIfTrue="1" operator="equal">
      <formula>"Napkin Hs"</formula>
    </cfRule>
  </conditionalFormatting>
  <conditionalFormatting sqref="C90">
    <cfRule type="cellIs" dxfId="15555" priority="23451" stopIfTrue="1" operator="equal">
      <formula>"Towel"</formula>
    </cfRule>
    <cfRule type="cellIs" dxfId="15554" priority="23452" stopIfTrue="1" operator="equal">
      <formula>"Napkin Hs"</formula>
    </cfRule>
  </conditionalFormatting>
  <conditionalFormatting sqref="C90">
    <cfRule type="cellIs" dxfId="15553" priority="23449" stopIfTrue="1" operator="equal">
      <formula>"Towel"</formula>
    </cfRule>
    <cfRule type="cellIs" dxfId="15552" priority="23450" stopIfTrue="1" operator="equal">
      <formula>"Napkin Hs"</formula>
    </cfRule>
  </conditionalFormatting>
  <conditionalFormatting sqref="B90:C90">
    <cfRule type="cellIs" dxfId="15551" priority="23447" stopIfTrue="1" operator="equal">
      <formula>"Towel"</formula>
    </cfRule>
    <cfRule type="cellIs" dxfId="15550" priority="23448" stopIfTrue="1" operator="equal">
      <formula>"Napkin Hs"</formula>
    </cfRule>
  </conditionalFormatting>
  <conditionalFormatting sqref="C90">
    <cfRule type="cellIs" dxfId="15549" priority="23445" stopIfTrue="1" operator="equal">
      <formula>"Towel"</formula>
    </cfRule>
    <cfRule type="cellIs" dxfId="15548" priority="23446" stopIfTrue="1" operator="equal">
      <formula>"Napkin Hs"</formula>
    </cfRule>
  </conditionalFormatting>
  <conditionalFormatting sqref="C90">
    <cfRule type="cellIs" dxfId="15547" priority="23443" stopIfTrue="1" operator="equal">
      <formula>"Towel"</formula>
    </cfRule>
    <cfRule type="cellIs" dxfId="15546" priority="23444" stopIfTrue="1" operator="equal">
      <formula>"Napkin Hs"</formula>
    </cfRule>
  </conditionalFormatting>
  <conditionalFormatting sqref="B90:C90">
    <cfRule type="cellIs" dxfId="15545" priority="23442" stopIfTrue="1" operator="equal">
      <formula>"Napkin Hs"</formula>
    </cfRule>
  </conditionalFormatting>
  <conditionalFormatting sqref="B90:C90">
    <cfRule type="cellIs" dxfId="15544" priority="23441" stopIfTrue="1" operator="equal">
      <formula>"Towel"</formula>
    </cfRule>
  </conditionalFormatting>
  <conditionalFormatting sqref="C90">
    <cfRule type="cellIs" dxfId="15543" priority="23440" stopIfTrue="1" operator="equal">
      <formula>"Napkin Hs"</formula>
    </cfRule>
  </conditionalFormatting>
  <conditionalFormatting sqref="C90">
    <cfRule type="cellIs" dxfId="15542" priority="23437" stopIfTrue="1" operator="equal">
      <formula>"Towel"</formula>
    </cfRule>
    <cfRule type="cellIs" dxfId="15541" priority="23438" stopIfTrue="1" operator="equal">
      <formula>"Napkin Hs"</formula>
    </cfRule>
  </conditionalFormatting>
  <conditionalFormatting sqref="C90">
    <cfRule type="cellIs" dxfId="15540" priority="23439" stopIfTrue="1" operator="equal">
      <formula>"Towel"</formula>
    </cfRule>
  </conditionalFormatting>
  <conditionalFormatting sqref="B93:C93">
    <cfRule type="cellIs" dxfId="15539" priority="23339" stopIfTrue="1" operator="equal">
      <formula>"Towel"</formula>
    </cfRule>
    <cfRule type="cellIs" dxfId="15538" priority="23340" stopIfTrue="1" operator="equal">
      <formula>"Napkin Hs"</formula>
    </cfRule>
  </conditionalFormatting>
  <conditionalFormatting sqref="C93">
    <cfRule type="cellIs" dxfId="15537" priority="23335" stopIfTrue="1" operator="equal">
      <formula>"Towel"</formula>
    </cfRule>
    <cfRule type="cellIs" dxfId="15536" priority="23336" stopIfTrue="1" operator="equal">
      <formula>"Napkin Hs"</formula>
    </cfRule>
  </conditionalFormatting>
  <conditionalFormatting sqref="C93">
    <cfRule type="cellIs" dxfId="15535" priority="23337" stopIfTrue="1" operator="equal">
      <formula>"Towel"</formula>
    </cfRule>
    <cfRule type="cellIs" dxfId="15534" priority="23338" stopIfTrue="1" operator="equal">
      <formula>"Napkin Hs"</formula>
    </cfRule>
  </conditionalFormatting>
  <conditionalFormatting sqref="B92:C92">
    <cfRule type="cellIs" dxfId="15533" priority="23195" stopIfTrue="1" operator="equal">
      <formula>"Towel"</formula>
    </cfRule>
    <cfRule type="cellIs" dxfId="15532" priority="23196" stopIfTrue="1" operator="equal">
      <formula>"Napkin Hs"</formula>
    </cfRule>
  </conditionalFormatting>
  <conditionalFormatting sqref="C92">
    <cfRule type="cellIs" dxfId="15531" priority="23193" stopIfTrue="1" operator="equal">
      <formula>"Towel"</formula>
    </cfRule>
    <cfRule type="cellIs" dxfId="15530" priority="23194" stopIfTrue="1" operator="equal">
      <formula>"Napkin Hs"</formula>
    </cfRule>
  </conditionalFormatting>
  <conditionalFormatting sqref="C92">
    <cfRule type="cellIs" dxfId="15529" priority="23191" stopIfTrue="1" operator="equal">
      <formula>"Towel"</formula>
    </cfRule>
    <cfRule type="cellIs" dxfId="15528" priority="23192" stopIfTrue="1" operator="equal">
      <formula>"Napkin Hs"</formula>
    </cfRule>
  </conditionalFormatting>
  <conditionalFormatting sqref="B91:C91">
    <cfRule type="cellIs" dxfId="15527" priority="23189" stopIfTrue="1" operator="equal">
      <formula>"Towel"</formula>
    </cfRule>
    <cfRule type="cellIs" dxfId="15526" priority="23190" stopIfTrue="1" operator="equal">
      <formula>"Napkin Hs"</formula>
    </cfRule>
  </conditionalFormatting>
  <conditionalFormatting sqref="C91">
    <cfRule type="cellIs" dxfId="15525" priority="23185" stopIfTrue="1" operator="equal">
      <formula>"Towel"</formula>
    </cfRule>
    <cfRule type="cellIs" dxfId="15524" priority="23186" stopIfTrue="1" operator="equal">
      <formula>"Napkin Hs"</formula>
    </cfRule>
  </conditionalFormatting>
  <conditionalFormatting sqref="C91">
    <cfRule type="cellIs" dxfId="15523" priority="23187" stopIfTrue="1" operator="equal">
      <formula>"Towel"</formula>
    </cfRule>
    <cfRule type="cellIs" dxfId="15522" priority="23188" stopIfTrue="1" operator="equal">
      <formula>"Napkin Hs"</formula>
    </cfRule>
  </conditionalFormatting>
  <conditionalFormatting sqref="B91:C91">
    <cfRule type="cellIs" dxfId="15521" priority="23183" stopIfTrue="1" operator="equal">
      <formula>"Towel"</formula>
    </cfRule>
    <cfRule type="cellIs" dxfId="15520" priority="23184" stopIfTrue="1" operator="equal">
      <formula>"Napkin Hs"</formula>
    </cfRule>
  </conditionalFormatting>
  <conditionalFormatting sqref="C91">
    <cfRule type="cellIs" dxfId="15519" priority="23179" stopIfTrue="1" operator="equal">
      <formula>"Towel"</formula>
    </cfRule>
    <cfRule type="cellIs" dxfId="15518" priority="23180" stopIfTrue="1" operator="equal">
      <formula>"Napkin Hs"</formula>
    </cfRule>
  </conditionalFormatting>
  <conditionalFormatting sqref="C91">
    <cfRule type="cellIs" dxfId="15517" priority="23181" stopIfTrue="1" operator="equal">
      <formula>"Towel"</formula>
    </cfRule>
    <cfRule type="cellIs" dxfId="15516" priority="23182" stopIfTrue="1" operator="equal">
      <formula>"Napkin Hs"</formula>
    </cfRule>
  </conditionalFormatting>
  <conditionalFormatting sqref="B91:C91">
    <cfRule type="cellIs" dxfId="15515" priority="23177" stopIfTrue="1" operator="equal">
      <formula>"Towel"</formula>
    </cfRule>
    <cfRule type="cellIs" dxfId="15514" priority="23178" stopIfTrue="1" operator="equal">
      <formula>"Napkin Hs"</formula>
    </cfRule>
  </conditionalFormatting>
  <conditionalFormatting sqref="C91">
    <cfRule type="cellIs" dxfId="15513" priority="23175" stopIfTrue="1" operator="equal">
      <formula>"Towel"</formula>
    </cfRule>
    <cfRule type="cellIs" dxfId="15512" priority="23176" stopIfTrue="1" operator="equal">
      <formula>"Napkin Hs"</formula>
    </cfRule>
  </conditionalFormatting>
  <conditionalFormatting sqref="C91">
    <cfRule type="cellIs" dxfId="15511" priority="23173" stopIfTrue="1" operator="equal">
      <formula>"Towel"</formula>
    </cfRule>
    <cfRule type="cellIs" dxfId="15510" priority="23174" stopIfTrue="1" operator="equal">
      <formula>"Napkin Hs"</formula>
    </cfRule>
  </conditionalFormatting>
  <conditionalFormatting sqref="B91:C91">
    <cfRule type="cellIs" dxfId="15509" priority="23171" stopIfTrue="1" operator="equal">
      <formula>"Towel"</formula>
    </cfRule>
    <cfRule type="cellIs" dxfId="15508" priority="23172" stopIfTrue="1" operator="equal">
      <formula>"Napkin Hs"</formula>
    </cfRule>
  </conditionalFormatting>
  <conditionalFormatting sqref="C91">
    <cfRule type="cellIs" dxfId="15507" priority="23169" stopIfTrue="1" operator="equal">
      <formula>"Towel"</formula>
    </cfRule>
    <cfRule type="cellIs" dxfId="15506" priority="23170" stopIfTrue="1" operator="equal">
      <formula>"Napkin Hs"</formula>
    </cfRule>
  </conditionalFormatting>
  <conditionalFormatting sqref="C91">
    <cfRule type="cellIs" dxfId="15505" priority="23167" stopIfTrue="1" operator="equal">
      <formula>"Towel"</formula>
    </cfRule>
    <cfRule type="cellIs" dxfId="15504" priority="23168" stopIfTrue="1" operator="equal">
      <formula>"Napkin Hs"</formula>
    </cfRule>
  </conditionalFormatting>
  <conditionalFormatting sqref="B91:C91">
    <cfRule type="cellIs" dxfId="15503" priority="23165" stopIfTrue="1" operator="equal">
      <formula>"Towel"</formula>
    </cfRule>
    <cfRule type="cellIs" dxfId="15502" priority="23166" stopIfTrue="1" operator="equal">
      <formula>"Napkin Hs"</formula>
    </cfRule>
  </conditionalFormatting>
  <conditionalFormatting sqref="C91">
    <cfRule type="cellIs" dxfId="15501" priority="23163" stopIfTrue="1" operator="equal">
      <formula>"Towel"</formula>
    </cfRule>
    <cfRule type="cellIs" dxfId="15500" priority="23164" stopIfTrue="1" operator="equal">
      <formula>"Napkin Hs"</formula>
    </cfRule>
  </conditionalFormatting>
  <conditionalFormatting sqref="C91">
    <cfRule type="cellIs" dxfId="15499" priority="23161" stopIfTrue="1" operator="equal">
      <formula>"Towel"</formula>
    </cfRule>
    <cfRule type="cellIs" dxfId="15498" priority="23162" stopIfTrue="1" operator="equal">
      <formula>"Napkin Hs"</formula>
    </cfRule>
  </conditionalFormatting>
  <conditionalFormatting sqref="B91:C91">
    <cfRule type="cellIs" dxfId="15497" priority="23160" stopIfTrue="1" operator="equal">
      <formula>"Napkin Hs"</formula>
    </cfRule>
  </conditionalFormatting>
  <conditionalFormatting sqref="B91:C91">
    <cfRule type="cellIs" dxfId="15496" priority="23159" stopIfTrue="1" operator="equal">
      <formula>"Towel"</formula>
    </cfRule>
  </conditionalFormatting>
  <conditionalFormatting sqref="C91">
    <cfRule type="cellIs" dxfId="15495" priority="23158" stopIfTrue="1" operator="equal">
      <formula>"Napkin Hs"</formula>
    </cfRule>
  </conditionalFormatting>
  <conditionalFormatting sqref="C91">
    <cfRule type="cellIs" dxfId="15494" priority="23155" stopIfTrue="1" operator="equal">
      <formula>"Towel"</formula>
    </cfRule>
    <cfRule type="cellIs" dxfId="15493" priority="23156" stopIfTrue="1" operator="equal">
      <formula>"Napkin Hs"</formula>
    </cfRule>
  </conditionalFormatting>
  <conditionalFormatting sqref="C91">
    <cfRule type="cellIs" dxfId="15492" priority="23157" stopIfTrue="1" operator="equal">
      <formula>"Towel"</formula>
    </cfRule>
  </conditionalFormatting>
  <conditionalFormatting sqref="B90:C90">
    <cfRule type="cellIs" dxfId="15491" priority="23105" stopIfTrue="1" operator="equal">
      <formula>"Towel"</formula>
    </cfRule>
    <cfRule type="cellIs" dxfId="15490" priority="23106" stopIfTrue="1" operator="equal">
      <formula>"Napkin Hs"</formula>
    </cfRule>
  </conditionalFormatting>
  <conditionalFormatting sqref="C90">
    <cfRule type="cellIs" dxfId="15489" priority="23101" stopIfTrue="1" operator="equal">
      <formula>"Towel"</formula>
    </cfRule>
    <cfRule type="cellIs" dxfId="15488" priority="23102" stopIfTrue="1" operator="equal">
      <formula>"Napkin Hs"</formula>
    </cfRule>
  </conditionalFormatting>
  <conditionalFormatting sqref="C90">
    <cfRule type="cellIs" dxfId="15487" priority="23103" stopIfTrue="1" operator="equal">
      <formula>"Towel"</formula>
    </cfRule>
    <cfRule type="cellIs" dxfId="15486" priority="23104" stopIfTrue="1" operator="equal">
      <formula>"Napkin Hs"</formula>
    </cfRule>
  </conditionalFormatting>
  <conditionalFormatting sqref="B90:C90">
    <cfRule type="cellIs" dxfId="15485" priority="23100" stopIfTrue="1" operator="equal">
      <formula>"Napkin Hs"</formula>
    </cfRule>
  </conditionalFormatting>
  <conditionalFormatting sqref="B90:C90">
    <cfRule type="cellIs" dxfId="15484" priority="23099" stopIfTrue="1" operator="equal">
      <formula>"Towel"</formula>
    </cfRule>
  </conditionalFormatting>
  <conditionalFormatting sqref="C90">
    <cfRule type="cellIs" dxfId="15483" priority="23098" stopIfTrue="1" operator="equal">
      <formula>"Napkin Hs"</formula>
    </cfRule>
  </conditionalFormatting>
  <conditionalFormatting sqref="C90">
    <cfRule type="cellIs" dxfId="15482" priority="23097" stopIfTrue="1" operator="equal">
      <formula>"Towel"</formula>
    </cfRule>
  </conditionalFormatting>
  <conditionalFormatting sqref="C90">
    <cfRule type="cellIs" dxfId="15481" priority="23095" stopIfTrue="1" operator="equal">
      <formula>"Towel"</formula>
    </cfRule>
    <cfRule type="cellIs" dxfId="15480" priority="23096" stopIfTrue="1" operator="equal">
      <formula>"Napkin Hs"</formula>
    </cfRule>
  </conditionalFormatting>
  <conditionalFormatting sqref="B90:C90">
    <cfRule type="cellIs" dxfId="15479" priority="23093" stopIfTrue="1" operator="equal">
      <formula>"Towel"</formula>
    </cfRule>
    <cfRule type="cellIs" dxfId="15478" priority="23094" stopIfTrue="1" operator="equal">
      <formula>"Napkin Hs"</formula>
    </cfRule>
  </conditionalFormatting>
  <conditionalFormatting sqref="C90">
    <cfRule type="cellIs" dxfId="15477" priority="23091" stopIfTrue="1" operator="equal">
      <formula>"Towel"</formula>
    </cfRule>
    <cfRule type="cellIs" dxfId="15476" priority="23092" stopIfTrue="1" operator="equal">
      <formula>"Napkin Hs"</formula>
    </cfRule>
  </conditionalFormatting>
  <conditionalFormatting sqref="C90">
    <cfRule type="cellIs" dxfId="15475" priority="23089" stopIfTrue="1" operator="equal">
      <formula>"Towel"</formula>
    </cfRule>
    <cfRule type="cellIs" dxfId="15474" priority="23090" stopIfTrue="1" operator="equal">
      <formula>"Napkin Hs"</formula>
    </cfRule>
  </conditionalFormatting>
  <conditionalFormatting sqref="B90:C90">
    <cfRule type="cellIs" dxfId="15473" priority="23087" stopIfTrue="1" operator="equal">
      <formula>"Towel"</formula>
    </cfRule>
    <cfRule type="cellIs" dxfId="15472" priority="23088" stopIfTrue="1" operator="equal">
      <formula>"Napkin Hs"</formula>
    </cfRule>
  </conditionalFormatting>
  <conditionalFormatting sqref="C90">
    <cfRule type="cellIs" dxfId="15471" priority="23085" stopIfTrue="1" operator="equal">
      <formula>"Towel"</formula>
    </cfRule>
    <cfRule type="cellIs" dxfId="15470" priority="23086" stopIfTrue="1" operator="equal">
      <formula>"Napkin Hs"</formula>
    </cfRule>
  </conditionalFormatting>
  <conditionalFormatting sqref="C90">
    <cfRule type="cellIs" dxfId="15469" priority="23083" stopIfTrue="1" operator="equal">
      <formula>"Towel"</formula>
    </cfRule>
    <cfRule type="cellIs" dxfId="15468" priority="23084" stopIfTrue="1" operator="equal">
      <formula>"Napkin Hs"</formula>
    </cfRule>
  </conditionalFormatting>
  <conditionalFormatting sqref="B90:C90">
    <cfRule type="cellIs" dxfId="15467" priority="23081" stopIfTrue="1" operator="equal">
      <formula>"Towel"</formula>
    </cfRule>
    <cfRule type="cellIs" dxfId="15466" priority="23082" stopIfTrue="1" operator="equal">
      <formula>"Napkin Hs"</formula>
    </cfRule>
  </conditionalFormatting>
  <conditionalFormatting sqref="C90">
    <cfRule type="cellIs" dxfId="15465" priority="23079" stopIfTrue="1" operator="equal">
      <formula>"Towel"</formula>
    </cfRule>
    <cfRule type="cellIs" dxfId="15464" priority="23080" stopIfTrue="1" operator="equal">
      <formula>"Napkin Hs"</formula>
    </cfRule>
  </conditionalFormatting>
  <conditionalFormatting sqref="C90">
    <cfRule type="cellIs" dxfId="15463" priority="23077" stopIfTrue="1" operator="equal">
      <formula>"Towel"</formula>
    </cfRule>
    <cfRule type="cellIs" dxfId="15462" priority="23078" stopIfTrue="1" operator="equal">
      <formula>"Napkin Hs"</formula>
    </cfRule>
  </conditionalFormatting>
  <conditionalFormatting sqref="B90:C90">
    <cfRule type="cellIs" dxfId="15461" priority="23075" stopIfTrue="1" operator="equal">
      <formula>"Towel"</formula>
    </cfRule>
    <cfRule type="cellIs" dxfId="15460" priority="23076" stopIfTrue="1" operator="equal">
      <formula>"Napkin Hs"</formula>
    </cfRule>
  </conditionalFormatting>
  <conditionalFormatting sqref="C90">
    <cfRule type="cellIs" dxfId="15459" priority="23073" stopIfTrue="1" operator="equal">
      <formula>"Towel"</formula>
    </cfRule>
    <cfRule type="cellIs" dxfId="15458" priority="23074" stopIfTrue="1" operator="equal">
      <formula>"Napkin Hs"</formula>
    </cfRule>
  </conditionalFormatting>
  <conditionalFormatting sqref="C90">
    <cfRule type="cellIs" dxfId="15457" priority="23071" stopIfTrue="1" operator="equal">
      <formula>"Towel"</formula>
    </cfRule>
    <cfRule type="cellIs" dxfId="15456" priority="23072" stopIfTrue="1" operator="equal">
      <formula>"Napkin Hs"</formula>
    </cfRule>
  </conditionalFormatting>
  <conditionalFormatting sqref="B90:C90">
    <cfRule type="cellIs" dxfId="15455" priority="23069" stopIfTrue="1" operator="equal">
      <formula>"Towel"</formula>
    </cfRule>
    <cfRule type="cellIs" dxfId="15454" priority="23070" stopIfTrue="1" operator="equal">
      <formula>"Napkin Hs"</formula>
    </cfRule>
  </conditionalFormatting>
  <conditionalFormatting sqref="C90">
    <cfRule type="cellIs" dxfId="15453" priority="23067" stopIfTrue="1" operator="equal">
      <formula>"Towel"</formula>
    </cfRule>
    <cfRule type="cellIs" dxfId="15452" priority="23068" stopIfTrue="1" operator="equal">
      <formula>"Napkin Hs"</formula>
    </cfRule>
  </conditionalFormatting>
  <conditionalFormatting sqref="C90">
    <cfRule type="cellIs" dxfId="15451" priority="23065" stopIfTrue="1" operator="equal">
      <formula>"Towel"</formula>
    </cfRule>
    <cfRule type="cellIs" dxfId="15450" priority="23066" stopIfTrue="1" operator="equal">
      <formula>"Napkin Hs"</formula>
    </cfRule>
  </conditionalFormatting>
  <conditionalFormatting sqref="B90:C90">
    <cfRule type="cellIs" dxfId="15449" priority="23064" stopIfTrue="1" operator="equal">
      <formula>"Napkin Hs"</formula>
    </cfRule>
  </conditionalFormatting>
  <conditionalFormatting sqref="B90:C90">
    <cfRule type="cellIs" dxfId="15448" priority="23063" stopIfTrue="1" operator="equal">
      <formula>"Towel"</formula>
    </cfRule>
  </conditionalFormatting>
  <conditionalFormatting sqref="C90">
    <cfRule type="cellIs" dxfId="15447" priority="23062" stopIfTrue="1" operator="equal">
      <formula>"Napkin Hs"</formula>
    </cfRule>
  </conditionalFormatting>
  <conditionalFormatting sqref="C90">
    <cfRule type="cellIs" dxfId="15446" priority="23059" stopIfTrue="1" operator="equal">
      <formula>"Towel"</formula>
    </cfRule>
    <cfRule type="cellIs" dxfId="15445" priority="23060" stopIfTrue="1" operator="equal">
      <formula>"Napkin Hs"</formula>
    </cfRule>
  </conditionalFormatting>
  <conditionalFormatting sqref="C90">
    <cfRule type="cellIs" dxfId="15444" priority="23061" stopIfTrue="1" operator="equal">
      <formula>"Towel"</formula>
    </cfRule>
  </conditionalFormatting>
  <conditionalFormatting sqref="B97:C97">
    <cfRule type="cellIs" dxfId="15443" priority="23055" stopIfTrue="1" operator="equal">
      <formula>"Towel"</formula>
    </cfRule>
    <cfRule type="cellIs" dxfId="15442" priority="23056" stopIfTrue="1" operator="equal">
      <formula>"Napkin Hs"</formula>
    </cfRule>
  </conditionalFormatting>
  <conditionalFormatting sqref="C97">
    <cfRule type="cellIs" dxfId="15441" priority="23057" stopIfTrue="1" operator="equal">
      <formula>"Towel"</formula>
    </cfRule>
    <cfRule type="cellIs" dxfId="15440" priority="23058" stopIfTrue="1" operator="equal">
      <formula>"Napkin Hs"</formula>
    </cfRule>
  </conditionalFormatting>
  <conditionalFormatting sqref="C97">
    <cfRule type="cellIs" dxfId="15439" priority="23053" stopIfTrue="1" operator="equal">
      <formula>"Towel"</formula>
    </cfRule>
    <cfRule type="cellIs" dxfId="15438" priority="23054" stopIfTrue="1" operator="equal">
      <formula>"Napkin Hs"</formula>
    </cfRule>
  </conditionalFormatting>
  <conditionalFormatting sqref="B96:C96">
    <cfRule type="cellIs" dxfId="15437" priority="23051" stopIfTrue="1" operator="equal">
      <formula>"Towel"</formula>
    </cfRule>
    <cfRule type="cellIs" dxfId="15436" priority="23052" stopIfTrue="1" operator="equal">
      <formula>"Napkin Hs"</formula>
    </cfRule>
  </conditionalFormatting>
  <conditionalFormatting sqref="C96">
    <cfRule type="cellIs" dxfId="15435" priority="23047" stopIfTrue="1" operator="equal">
      <formula>"Towel"</formula>
    </cfRule>
    <cfRule type="cellIs" dxfId="15434" priority="23048" stopIfTrue="1" operator="equal">
      <formula>"Napkin Hs"</formula>
    </cfRule>
  </conditionalFormatting>
  <conditionalFormatting sqref="C96">
    <cfRule type="cellIs" dxfId="15433" priority="23049" stopIfTrue="1" operator="equal">
      <formula>"Towel"</formula>
    </cfRule>
    <cfRule type="cellIs" dxfId="15432" priority="23050" stopIfTrue="1" operator="equal">
      <formula>"Napkin Hs"</formula>
    </cfRule>
  </conditionalFormatting>
  <conditionalFormatting sqref="B96:C96">
    <cfRule type="cellIs" dxfId="15431" priority="23045" stopIfTrue="1" operator="equal">
      <formula>"Towel"</formula>
    </cfRule>
    <cfRule type="cellIs" dxfId="15430" priority="23046" stopIfTrue="1" operator="equal">
      <formula>"Napkin Hs"</formula>
    </cfRule>
  </conditionalFormatting>
  <conditionalFormatting sqref="C96">
    <cfRule type="cellIs" dxfId="15429" priority="23041" stopIfTrue="1" operator="equal">
      <formula>"Towel"</formula>
    </cfRule>
    <cfRule type="cellIs" dxfId="15428" priority="23042" stopIfTrue="1" operator="equal">
      <formula>"Napkin Hs"</formula>
    </cfRule>
  </conditionalFormatting>
  <conditionalFormatting sqref="C96">
    <cfRule type="cellIs" dxfId="15427" priority="23043" stopIfTrue="1" operator="equal">
      <formula>"Towel"</formula>
    </cfRule>
    <cfRule type="cellIs" dxfId="15426" priority="23044" stopIfTrue="1" operator="equal">
      <formula>"Napkin Hs"</formula>
    </cfRule>
  </conditionalFormatting>
  <conditionalFormatting sqref="B96:C96">
    <cfRule type="cellIs" dxfId="15425" priority="23039" stopIfTrue="1" operator="equal">
      <formula>"Towel"</formula>
    </cfRule>
    <cfRule type="cellIs" dxfId="15424" priority="23040" stopIfTrue="1" operator="equal">
      <formula>"Napkin Hs"</formula>
    </cfRule>
  </conditionalFormatting>
  <conditionalFormatting sqref="C96">
    <cfRule type="cellIs" dxfId="15423" priority="23037" stopIfTrue="1" operator="equal">
      <formula>"Towel"</formula>
    </cfRule>
    <cfRule type="cellIs" dxfId="15422" priority="23038" stopIfTrue="1" operator="equal">
      <formula>"Napkin Hs"</formula>
    </cfRule>
  </conditionalFormatting>
  <conditionalFormatting sqref="C96">
    <cfRule type="cellIs" dxfId="15421" priority="23035" stopIfTrue="1" operator="equal">
      <formula>"Towel"</formula>
    </cfRule>
    <cfRule type="cellIs" dxfId="15420" priority="23036" stopIfTrue="1" operator="equal">
      <formula>"Napkin Hs"</formula>
    </cfRule>
  </conditionalFormatting>
  <conditionalFormatting sqref="B96:C96">
    <cfRule type="cellIs" dxfId="15419" priority="23033" stopIfTrue="1" operator="equal">
      <formula>"Towel"</formula>
    </cfRule>
    <cfRule type="cellIs" dxfId="15418" priority="23034" stopIfTrue="1" operator="equal">
      <formula>"Napkin Hs"</formula>
    </cfRule>
  </conditionalFormatting>
  <conditionalFormatting sqref="C96">
    <cfRule type="cellIs" dxfId="15417" priority="23031" stopIfTrue="1" operator="equal">
      <formula>"Towel"</formula>
    </cfRule>
    <cfRule type="cellIs" dxfId="15416" priority="23032" stopIfTrue="1" operator="equal">
      <formula>"Napkin Hs"</formula>
    </cfRule>
  </conditionalFormatting>
  <conditionalFormatting sqref="C96">
    <cfRule type="cellIs" dxfId="15415" priority="23029" stopIfTrue="1" operator="equal">
      <formula>"Towel"</formula>
    </cfRule>
    <cfRule type="cellIs" dxfId="15414" priority="23030" stopIfTrue="1" operator="equal">
      <formula>"Napkin Hs"</formula>
    </cfRule>
  </conditionalFormatting>
  <conditionalFormatting sqref="B96:C96">
    <cfRule type="cellIs" dxfId="15413" priority="23027" stopIfTrue="1" operator="equal">
      <formula>"Towel"</formula>
    </cfRule>
    <cfRule type="cellIs" dxfId="15412" priority="23028" stopIfTrue="1" operator="equal">
      <formula>"Napkin Hs"</formula>
    </cfRule>
  </conditionalFormatting>
  <conditionalFormatting sqref="C96">
    <cfRule type="cellIs" dxfId="15411" priority="23025" stopIfTrue="1" operator="equal">
      <formula>"Towel"</formula>
    </cfRule>
    <cfRule type="cellIs" dxfId="15410" priority="23026" stopIfTrue="1" operator="equal">
      <formula>"Napkin Hs"</formula>
    </cfRule>
  </conditionalFormatting>
  <conditionalFormatting sqref="C96">
    <cfRule type="cellIs" dxfId="15409" priority="23023" stopIfTrue="1" operator="equal">
      <formula>"Towel"</formula>
    </cfRule>
    <cfRule type="cellIs" dxfId="15408" priority="23024" stopIfTrue="1" operator="equal">
      <formula>"Napkin Hs"</formula>
    </cfRule>
  </conditionalFormatting>
  <conditionalFormatting sqref="B96:C96">
    <cfRule type="cellIs" dxfId="15407" priority="23022" stopIfTrue="1" operator="equal">
      <formula>"Napkin Hs"</formula>
    </cfRule>
  </conditionalFormatting>
  <conditionalFormatting sqref="B96:C96">
    <cfRule type="cellIs" dxfId="15406" priority="23021" stopIfTrue="1" operator="equal">
      <formula>"Towel"</formula>
    </cfRule>
  </conditionalFormatting>
  <conditionalFormatting sqref="C96">
    <cfRule type="cellIs" dxfId="15405" priority="23020" stopIfTrue="1" operator="equal">
      <formula>"Napkin Hs"</formula>
    </cfRule>
  </conditionalFormatting>
  <conditionalFormatting sqref="C96">
    <cfRule type="cellIs" dxfId="15404" priority="23017" stopIfTrue="1" operator="equal">
      <formula>"Towel"</formula>
    </cfRule>
    <cfRule type="cellIs" dxfId="15403" priority="23018" stopIfTrue="1" operator="equal">
      <formula>"Napkin Hs"</formula>
    </cfRule>
  </conditionalFormatting>
  <conditionalFormatting sqref="C96">
    <cfRule type="cellIs" dxfId="15402" priority="23019" stopIfTrue="1" operator="equal">
      <formula>"Towel"</formula>
    </cfRule>
  </conditionalFormatting>
  <conditionalFormatting sqref="B95:C95">
    <cfRule type="cellIs" dxfId="15401" priority="23015" stopIfTrue="1" operator="equal">
      <formula>"Towel"</formula>
    </cfRule>
    <cfRule type="cellIs" dxfId="15400" priority="23016" stopIfTrue="1" operator="equal">
      <formula>"Napkin Hs"</formula>
    </cfRule>
  </conditionalFormatting>
  <conditionalFormatting sqref="C95">
    <cfRule type="cellIs" dxfId="15399" priority="23011" stopIfTrue="1" operator="equal">
      <formula>"Towel"</formula>
    </cfRule>
    <cfRule type="cellIs" dxfId="15398" priority="23012" stopIfTrue="1" operator="equal">
      <formula>"Napkin Hs"</formula>
    </cfRule>
  </conditionalFormatting>
  <conditionalFormatting sqref="C95">
    <cfRule type="cellIs" dxfId="15397" priority="23013" stopIfTrue="1" operator="equal">
      <formula>"Towel"</formula>
    </cfRule>
    <cfRule type="cellIs" dxfId="15396" priority="23014" stopIfTrue="1" operator="equal">
      <formula>"Napkin Hs"</formula>
    </cfRule>
  </conditionalFormatting>
  <conditionalFormatting sqref="B95:C95">
    <cfRule type="cellIs" dxfId="15395" priority="23010" stopIfTrue="1" operator="equal">
      <formula>"Napkin Hs"</formula>
    </cfRule>
  </conditionalFormatting>
  <conditionalFormatting sqref="B95:C95">
    <cfRule type="cellIs" dxfId="15394" priority="23009" stopIfTrue="1" operator="equal">
      <formula>"Towel"</formula>
    </cfRule>
  </conditionalFormatting>
  <conditionalFormatting sqref="C95">
    <cfRule type="cellIs" dxfId="15393" priority="23008" stopIfTrue="1" operator="equal">
      <formula>"Napkin Hs"</formula>
    </cfRule>
  </conditionalFormatting>
  <conditionalFormatting sqref="C95">
    <cfRule type="cellIs" dxfId="15392" priority="23007" stopIfTrue="1" operator="equal">
      <formula>"Towel"</formula>
    </cfRule>
  </conditionalFormatting>
  <conditionalFormatting sqref="C95">
    <cfRule type="cellIs" dxfId="15391" priority="23005" stopIfTrue="1" operator="equal">
      <formula>"Towel"</formula>
    </cfRule>
    <cfRule type="cellIs" dxfId="15390" priority="23006" stopIfTrue="1" operator="equal">
      <formula>"Napkin Hs"</formula>
    </cfRule>
  </conditionalFormatting>
  <conditionalFormatting sqref="B95:C95">
    <cfRule type="cellIs" dxfId="15389" priority="23003" stopIfTrue="1" operator="equal">
      <formula>"Towel"</formula>
    </cfRule>
    <cfRule type="cellIs" dxfId="15388" priority="23004" stopIfTrue="1" operator="equal">
      <formula>"Napkin Hs"</formula>
    </cfRule>
  </conditionalFormatting>
  <conditionalFormatting sqref="C95">
    <cfRule type="cellIs" dxfId="15387" priority="23001" stopIfTrue="1" operator="equal">
      <formula>"Towel"</formula>
    </cfRule>
    <cfRule type="cellIs" dxfId="15386" priority="23002" stopIfTrue="1" operator="equal">
      <formula>"Napkin Hs"</formula>
    </cfRule>
  </conditionalFormatting>
  <conditionalFormatting sqref="C95">
    <cfRule type="cellIs" dxfId="15385" priority="22999" stopIfTrue="1" operator="equal">
      <formula>"Towel"</formula>
    </cfRule>
    <cfRule type="cellIs" dxfId="15384" priority="23000" stopIfTrue="1" operator="equal">
      <formula>"Napkin Hs"</formula>
    </cfRule>
  </conditionalFormatting>
  <conditionalFormatting sqref="B95:C95">
    <cfRule type="cellIs" dxfId="15383" priority="22997" stopIfTrue="1" operator="equal">
      <formula>"Towel"</formula>
    </cfRule>
    <cfRule type="cellIs" dxfId="15382" priority="22998" stopIfTrue="1" operator="equal">
      <formula>"Napkin Hs"</formula>
    </cfRule>
  </conditionalFormatting>
  <conditionalFormatting sqref="C95">
    <cfRule type="cellIs" dxfId="15381" priority="22995" stopIfTrue="1" operator="equal">
      <formula>"Towel"</formula>
    </cfRule>
    <cfRule type="cellIs" dxfId="15380" priority="22996" stopIfTrue="1" operator="equal">
      <formula>"Napkin Hs"</formula>
    </cfRule>
  </conditionalFormatting>
  <conditionalFormatting sqref="C95">
    <cfRule type="cellIs" dxfId="15379" priority="22993" stopIfTrue="1" operator="equal">
      <formula>"Towel"</formula>
    </cfRule>
    <cfRule type="cellIs" dxfId="15378" priority="22994" stopIfTrue="1" operator="equal">
      <formula>"Napkin Hs"</formula>
    </cfRule>
  </conditionalFormatting>
  <conditionalFormatting sqref="B95:C95">
    <cfRule type="cellIs" dxfId="15377" priority="22991" stopIfTrue="1" operator="equal">
      <formula>"Towel"</formula>
    </cfRule>
    <cfRule type="cellIs" dxfId="15376" priority="22992" stopIfTrue="1" operator="equal">
      <formula>"Napkin Hs"</formula>
    </cfRule>
  </conditionalFormatting>
  <conditionalFormatting sqref="C95">
    <cfRule type="cellIs" dxfId="15375" priority="22989" stopIfTrue="1" operator="equal">
      <formula>"Towel"</formula>
    </cfRule>
    <cfRule type="cellIs" dxfId="15374" priority="22990" stopIfTrue="1" operator="equal">
      <formula>"Napkin Hs"</formula>
    </cfRule>
  </conditionalFormatting>
  <conditionalFormatting sqref="C95">
    <cfRule type="cellIs" dxfId="15373" priority="22987" stopIfTrue="1" operator="equal">
      <formula>"Towel"</formula>
    </cfRule>
    <cfRule type="cellIs" dxfId="15372" priority="22988" stopIfTrue="1" operator="equal">
      <formula>"Napkin Hs"</formula>
    </cfRule>
  </conditionalFormatting>
  <conditionalFormatting sqref="B95:C95">
    <cfRule type="cellIs" dxfId="15371" priority="22985" stopIfTrue="1" operator="equal">
      <formula>"Towel"</formula>
    </cfRule>
    <cfRule type="cellIs" dxfId="15370" priority="22986" stopIfTrue="1" operator="equal">
      <formula>"Napkin Hs"</formula>
    </cfRule>
  </conditionalFormatting>
  <conditionalFormatting sqref="C95">
    <cfRule type="cellIs" dxfId="15369" priority="22983" stopIfTrue="1" operator="equal">
      <formula>"Towel"</formula>
    </cfRule>
    <cfRule type="cellIs" dxfId="15368" priority="22984" stopIfTrue="1" operator="equal">
      <formula>"Napkin Hs"</formula>
    </cfRule>
  </conditionalFormatting>
  <conditionalFormatting sqref="C95">
    <cfRule type="cellIs" dxfId="15367" priority="22981" stopIfTrue="1" operator="equal">
      <formula>"Towel"</formula>
    </cfRule>
    <cfRule type="cellIs" dxfId="15366" priority="22982" stopIfTrue="1" operator="equal">
      <formula>"Napkin Hs"</formula>
    </cfRule>
  </conditionalFormatting>
  <conditionalFormatting sqref="B95:C95">
    <cfRule type="cellIs" dxfId="15365" priority="22979" stopIfTrue="1" operator="equal">
      <formula>"Towel"</formula>
    </cfRule>
    <cfRule type="cellIs" dxfId="15364" priority="22980" stopIfTrue="1" operator="equal">
      <formula>"Napkin Hs"</formula>
    </cfRule>
  </conditionalFormatting>
  <conditionalFormatting sqref="C95">
    <cfRule type="cellIs" dxfId="15363" priority="22977" stopIfTrue="1" operator="equal">
      <formula>"Towel"</formula>
    </cfRule>
    <cfRule type="cellIs" dxfId="15362" priority="22978" stopIfTrue="1" operator="equal">
      <formula>"Napkin Hs"</formula>
    </cfRule>
  </conditionalFormatting>
  <conditionalFormatting sqref="C95">
    <cfRule type="cellIs" dxfId="15361" priority="22975" stopIfTrue="1" operator="equal">
      <formula>"Towel"</formula>
    </cfRule>
    <cfRule type="cellIs" dxfId="15360" priority="22976" stopIfTrue="1" operator="equal">
      <formula>"Napkin Hs"</formula>
    </cfRule>
  </conditionalFormatting>
  <conditionalFormatting sqref="B95:C95">
    <cfRule type="cellIs" dxfId="15359" priority="22974" stopIfTrue="1" operator="equal">
      <formula>"Napkin Hs"</formula>
    </cfRule>
  </conditionalFormatting>
  <conditionalFormatting sqref="B95:C95">
    <cfRule type="cellIs" dxfId="15358" priority="22973" stopIfTrue="1" operator="equal">
      <formula>"Towel"</formula>
    </cfRule>
  </conditionalFormatting>
  <conditionalFormatting sqref="C95">
    <cfRule type="cellIs" dxfId="15357" priority="22972" stopIfTrue="1" operator="equal">
      <formula>"Napkin Hs"</formula>
    </cfRule>
  </conditionalFormatting>
  <conditionalFormatting sqref="C95">
    <cfRule type="cellIs" dxfId="15356" priority="22969" stopIfTrue="1" operator="equal">
      <formula>"Towel"</formula>
    </cfRule>
    <cfRule type="cellIs" dxfId="15355" priority="22970" stopIfTrue="1" operator="equal">
      <formula>"Napkin Hs"</formula>
    </cfRule>
  </conditionalFormatting>
  <conditionalFormatting sqref="C95">
    <cfRule type="cellIs" dxfId="15354" priority="22971" stopIfTrue="1" operator="equal">
      <formula>"Towel"</formula>
    </cfRule>
  </conditionalFormatting>
  <conditionalFormatting sqref="B94:C94">
    <cfRule type="cellIs" dxfId="15353" priority="22967" stopIfTrue="1" operator="equal">
      <formula>"Towel"</formula>
    </cfRule>
    <cfRule type="cellIs" dxfId="15352" priority="22968" stopIfTrue="1" operator="equal">
      <formula>"Napkin Hs"</formula>
    </cfRule>
  </conditionalFormatting>
  <conditionalFormatting sqref="C94">
    <cfRule type="cellIs" dxfId="15351" priority="22963" stopIfTrue="1" operator="equal">
      <formula>"Towel"</formula>
    </cfRule>
    <cfRule type="cellIs" dxfId="15350" priority="22964" stopIfTrue="1" operator="equal">
      <formula>"Napkin Hs"</formula>
    </cfRule>
  </conditionalFormatting>
  <conditionalFormatting sqref="C94">
    <cfRule type="cellIs" dxfId="15349" priority="22965" stopIfTrue="1" operator="equal">
      <formula>"Towel"</formula>
    </cfRule>
    <cfRule type="cellIs" dxfId="15348" priority="22966" stopIfTrue="1" operator="equal">
      <formula>"Napkin Hs"</formula>
    </cfRule>
  </conditionalFormatting>
  <conditionalFormatting sqref="B94:C94">
    <cfRule type="cellIs" dxfId="15347" priority="22962" stopIfTrue="1" operator="equal">
      <formula>"Napkin Hs"</formula>
    </cfRule>
  </conditionalFormatting>
  <conditionalFormatting sqref="B94:C94">
    <cfRule type="cellIs" dxfId="15346" priority="22961" stopIfTrue="1" operator="equal">
      <formula>"Towel"</formula>
    </cfRule>
  </conditionalFormatting>
  <conditionalFormatting sqref="C94">
    <cfRule type="cellIs" dxfId="15345" priority="22960" stopIfTrue="1" operator="equal">
      <formula>"Napkin Hs"</formula>
    </cfRule>
  </conditionalFormatting>
  <conditionalFormatting sqref="C94">
    <cfRule type="cellIs" dxfId="15344" priority="22959" stopIfTrue="1" operator="equal">
      <formula>"Towel"</formula>
    </cfRule>
  </conditionalFormatting>
  <conditionalFormatting sqref="C94">
    <cfRule type="cellIs" dxfId="15343" priority="22957" stopIfTrue="1" operator="equal">
      <formula>"Towel"</formula>
    </cfRule>
    <cfRule type="cellIs" dxfId="15342" priority="22958" stopIfTrue="1" operator="equal">
      <formula>"Napkin Hs"</formula>
    </cfRule>
  </conditionalFormatting>
  <conditionalFormatting sqref="B94:C94">
    <cfRule type="cellIs" dxfId="15341" priority="22955" stopIfTrue="1" operator="equal">
      <formula>"Towel"</formula>
    </cfRule>
    <cfRule type="cellIs" dxfId="15340" priority="22956" stopIfTrue="1" operator="equal">
      <formula>"Napkin Hs"</formula>
    </cfRule>
  </conditionalFormatting>
  <conditionalFormatting sqref="C94">
    <cfRule type="cellIs" dxfId="15339" priority="22953" stopIfTrue="1" operator="equal">
      <formula>"Towel"</formula>
    </cfRule>
    <cfRule type="cellIs" dxfId="15338" priority="22954" stopIfTrue="1" operator="equal">
      <formula>"Napkin Hs"</formula>
    </cfRule>
  </conditionalFormatting>
  <conditionalFormatting sqref="C94">
    <cfRule type="cellIs" dxfId="15337" priority="22951" stopIfTrue="1" operator="equal">
      <formula>"Towel"</formula>
    </cfRule>
    <cfRule type="cellIs" dxfId="15336" priority="22952" stopIfTrue="1" operator="equal">
      <formula>"Napkin Hs"</formula>
    </cfRule>
  </conditionalFormatting>
  <conditionalFormatting sqref="B94:C94">
    <cfRule type="cellIs" dxfId="15335" priority="22949" stopIfTrue="1" operator="equal">
      <formula>"Towel"</formula>
    </cfRule>
    <cfRule type="cellIs" dxfId="15334" priority="22950" stopIfTrue="1" operator="equal">
      <formula>"Napkin Hs"</formula>
    </cfRule>
  </conditionalFormatting>
  <conditionalFormatting sqref="C94">
    <cfRule type="cellIs" dxfId="15333" priority="22947" stopIfTrue="1" operator="equal">
      <formula>"Towel"</formula>
    </cfRule>
    <cfRule type="cellIs" dxfId="15332" priority="22948" stopIfTrue="1" operator="equal">
      <formula>"Napkin Hs"</formula>
    </cfRule>
  </conditionalFormatting>
  <conditionalFormatting sqref="C94">
    <cfRule type="cellIs" dxfId="15331" priority="22945" stopIfTrue="1" operator="equal">
      <formula>"Towel"</formula>
    </cfRule>
    <cfRule type="cellIs" dxfId="15330" priority="22946" stopIfTrue="1" operator="equal">
      <formula>"Napkin Hs"</formula>
    </cfRule>
  </conditionalFormatting>
  <conditionalFormatting sqref="B94:C94">
    <cfRule type="cellIs" dxfId="15329" priority="22943" stopIfTrue="1" operator="equal">
      <formula>"Towel"</formula>
    </cfRule>
    <cfRule type="cellIs" dxfId="15328" priority="22944" stopIfTrue="1" operator="equal">
      <formula>"Napkin Hs"</formula>
    </cfRule>
  </conditionalFormatting>
  <conditionalFormatting sqref="C94">
    <cfRule type="cellIs" dxfId="15327" priority="22941" stopIfTrue="1" operator="equal">
      <formula>"Towel"</formula>
    </cfRule>
    <cfRule type="cellIs" dxfId="15326" priority="22942" stopIfTrue="1" operator="equal">
      <formula>"Napkin Hs"</formula>
    </cfRule>
  </conditionalFormatting>
  <conditionalFormatting sqref="C94">
    <cfRule type="cellIs" dxfId="15325" priority="22939" stopIfTrue="1" operator="equal">
      <formula>"Towel"</formula>
    </cfRule>
    <cfRule type="cellIs" dxfId="15324" priority="22940" stopIfTrue="1" operator="equal">
      <formula>"Napkin Hs"</formula>
    </cfRule>
  </conditionalFormatting>
  <conditionalFormatting sqref="B94:C94">
    <cfRule type="cellIs" dxfId="15323" priority="22937" stopIfTrue="1" operator="equal">
      <formula>"Towel"</formula>
    </cfRule>
    <cfRule type="cellIs" dxfId="15322" priority="22938" stopIfTrue="1" operator="equal">
      <formula>"Napkin Hs"</formula>
    </cfRule>
  </conditionalFormatting>
  <conditionalFormatting sqref="C94">
    <cfRule type="cellIs" dxfId="15321" priority="22935" stopIfTrue="1" operator="equal">
      <formula>"Towel"</formula>
    </cfRule>
    <cfRule type="cellIs" dxfId="15320" priority="22936" stopIfTrue="1" operator="equal">
      <formula>"Napkin Hs"</formula>
    </cfRule>
  </conditionalFormatting>
  <conditionalFormatting sqref="C94">
    <cfRule type="cellIs" dxfId="15319" priority="22933" stopIfTrue="1" operator="equal">
      <formula>"Towel"</formula>
    </cfRule>
    <cfRule type="cellIs" dxfId="15318" priority="22934" stopIfTrue="1" operator="equal">
      <formula>"Napkin Hs"</formula>
    </cfRule>
  </conditionalFormatting>
  <conditionalFormatting sqref="B94:C94">
    <cfRule type="cellIs" dxfId="15317" priority="22931" stopIfTrue="1" operator="equal">
      <formula>"Towel"</formula>
    </cfRule>
    <cfRule type="cellIs" dxfId="15316" priority="22932" stopIfTrue="1" operator="equal">
      <formula>"Napkin Hs"</formula>
    </cfRule>
  </conditionalFormatting>
  <conditionalFormatting sqref="C94">
    <cfRule type="cellIs" dxfId="15315" priority="22929" stopIfTrue="1" operator="equal">
      <formula>"Towel"</formula>
    </cfRule>
    <cfRule type="cellIs" dxfId="15314" priority="22930" stopIfTrue="1" operator="equal">
      <formula>"Napkin Hs"</formula>
    </cfRule>
  </conditionalFormatting>
  <conditionalFormatting sqref="C94">
    <cfRule type="cellIs" dxfId="15313" priority="22927" stopIfTrue="1" operator="equal">
      <formula>"Towel"</formula>
    </cfRule>
    <cfRule type="cellIs" dxfId="15312" priority="22928" stopIfTrue="1" operator="equal">
      <formula>"Napkin Hs"</formula>
    </cfRule>
  </conditionalFormatting>
  <conditionalFormatting sqref="B94:C94">
    <cfRule type="cellIs" dxfId="15311" priority="22926" stopIfTrue="1" operator="equal">
      <formula>"Napkin Hs"</formula>
    </cfRule>
  </conditionalFormatting>
  <conditionalFormatting sqref="B94:C94">
    <cfRule type="cellIs" dxfId="15310" priority="22925" stopIfTrue="1" operator="equal">
      <formula>"Towel"</formula>
    </cfRule>
  </conditionalFormatting>
  <conditionalFormatting sqref="C94">
    <cfRule type="cellIs" dxfId="15309" priority="22924" stopIfTrue="1" operator="equal">
      <formula>"Napkin Hs"</formula>
    </cfRule>
  </conditionalFormatting>
  <conditionalFormatting sqref="C94">
    <cfRule type="cellIs" dxfId="15308" priority="22921" stopIfTrue="1" operator="equal">
      <formula>"Towel"</formula>
    </cfRule>
    <cfRule type="cellIs" dxfId="15307" priority="22922" stopIfTrue="1" operator="equal">
      <formula>"Napkin Hs"</formula>
    </cfRule>
  </conditionalFormatting>
  <conditionalFormatting sqref="C94">
    <cfRule type="cellIs" dxfId="15306" priority="22923" stopIfTrue="1" operator="equal">
      <formula>"Towel"</formula>
    </cfRule>
  </conditionalFormatting>
  <conditionalFormatting sqref="B98:C98">
    <cfRule type="cellIs" dxfId="15305" priority="22920" stopIfTrue="1" operator="equal">
      <formula>"Napkin Hs"</formula>
    </cfRule>
  </conditionalFormatting>
  <conditionalFormatting sqref="B98:C98">
    <cfRule type="cellIs" dxfId="15304" priority="22919" stopIfTrue="1" operator="equal">
      <formula>"Towel"</formula>
    </cfRule>
  </conditionalFormatting>
  <conditionalFormatting sqref="C98">
    <cfRule type="cellIs" dxfId="15303" priority="22918" stopIfTrue="1" operator="equal">
      <formula>"Napkin Hs"</formula>
    </cfRule>
  </conditionalFormatting>
  <conditionalFormatting sqref="C98">
    <cfRule type="cellIs" dxfId="15302" priority="22917" stopIfTrue="1" operator="equal">
      <formula>"Towel"</formula>
    </cfRule>
  </conditionalFormatting>
  <conditionalFormatting sqref="C98">
    <cfRule type="cellIs" dxfId="15301" priority="22915" stopIfTrue="1" operator="equal">
      <formula>"Towel"</formula>
    </cfRule>
    <cfRule type="cellIs" dxfId="15300" priority="22916" stopIfTrue="1" operator="equal">
      <formula>"Napkin Hs"</formula>
    </cfRule>
  </conditionalFormatting>
  <conditionalFormatting sqref="B98:C98">
    <cfRule type="cellIs" dxfId="15299" priority="22889" stopIfTrue="1" operator="equal">
      <formula>"Towel"</formula>
    </cfRule>
    <cfRule type="cellIs" dxfId="15298" priority="22890" stopIfTrue="1" operator="equal">
      <formula>"Napkin Hs"</formula>
    </cfRule>
  </conditionalFormatting>
  <conditionalFormatting sqref="C98">
    <cfRule type="cellIs" dxfId="15297" priority="22885" stopIfTrue="1" operator="equal">
      <formula>"Towel"</formula>
    </cfRule>
    <cfRule type="cellIs" dxfId="15296" priority="22886" stopIfTrue="1" operator="equal">
      <formula>"Napkin Hs"</formula>
    </cfRule>
  </conditionalFormatting>
  <conditionalFormatting sqref="C98">
    <cfRule type="cellIs" dxfId="15295" priority="22887" stopIfTrue="1" operator="equal">
      <formula>"Towel"</formula>
    </cfRule>
    <cfRule type="cellIs" dxfId="15294" priority="22888" stopIfTrue="1" operator="equal">
      <formula>"Napkin Hs"</formula>
    </cfRule>
  </conditionalFormatting>
  <conditionalFormatting sqref="B98:C98">
    <cfRule type="cellIs" dxfId="15293" priority="22884" stopIfTrue="1" operator="equal">
      <formula>"Napkin Hs"</formula>
    </cfRule>
  </conditionalFormatting>
  <conditionalFormatting sqref="B98:C98">
    <cfRule type="cellIs" dxfId="15292" priority="22883" stopIfTrue="1" operator="equal">
      <formula>"Towel"</formula>
    </cfRule>
  </conditionalFormatting>
  <conditionalFormatting sqref="C98">
    <cfRule type="cellIs" dxfId="15291" priority="22882" stopIfTrue="1" operator="equal">
      <formula>"Napkin Hs"</formula>
    </cfRule>
  </conditionalFormatting>
  <conditionalFormatting sqref="C98">
    <cfRule type="cellIs" dxfId="15290" priority="22881" stopIfTrue="1" operator="equal">
      <formula>"Towel"</formula>
    </cfRule>
  </conditionalFormatting>
  <conditionalFormatting sqref="C98">
    <cfRule type="cellIs" dxfId="15289" priority="22879" stopIfTrue="1" operator="equal">
      <formula>"Towel"</formula>
    </cfRule>
    <cfRule type="cellIs" dxfId="15288" priority="22880" stopIfTrue="1" operator="equal">
      <formula>"Napkin Hs"</formula>
    </cfRule>
  </conditionalFormatting>
  <conditionalFormatting sqref="B98:C98">
    <cfRule type="cellIs" dxfId="15287" priority="22877" stopIfTrue="1" operator="equal">
      <formula>"Towel"</formula>
    </cfRule>
    <cfRule type="cellIs" dxfId="15286" priority="22878" stopIfTrue="1" operator="equal">
      <formula>"Napkin Hs"</formula>
    </cfRule>
  </conditionalFormatting>
  <conditionalFormatting sqref="C98">
    <cfRule type="cellIs" dxfId="15285" priority="22875" stopIfTrue="1" operator="equal">
      <formula>"Towel"</formula>
    </cfRule>
    <cfRule type="cellIs" dxfId="15284" priority="22876" stopIfTrue="1" operator="equal">
      <formula>"Napkin Hs"</formula>
    </cfRule>
  </conditionalFormatting>
  <conditionalFormatting sqref="C98">
    <cfRule type="cellIs" dxfId="15283" priority="22873" stopIfTrue="1" operator="equal">
      <formula>"Towel"</formula>
    </cfRule>
    <cfRule type="cellIs" dxfId="15282" priority="22874" stopIfTrue="1" operator="equal">
      <formula>"Napkin Hs"</formula>
    </cfRule>
  </conditionalFormatting>
  <conditionalFormatting sqref="B98:C98">
    <cfRule type="cellIs" dxfId="15281" priority="22871" stopIfTrue="1" operator="equal">
      <formula>"Towel"</formula>
    </cfRule>
    <cfRule type="cellIs" dxfId="15280" priority="22872" stopIfTrue="1" operator="equal">
      <formula>"Napkin Hs"</formula>
    </cfRule>
  </conditionalFormatting>
  <conditionalFormatting sqref="C98">
    <cfRule type="cellIs" dxfId="15279" priority="22869" stopIfTrue="1" operator="equal">
      <formula>"Towel"</formula>
    </cfRule>
    <cfRule type="cellIs" dxfId="15278" priority="22870" stopIfTrue="1" operator="equal">
      <formula>"Napkin Hs"</formula>
    </cfRule>
  </conditionalFormatting>
  <conditionalFormatting sqref="C98">
    <cfRule type="cellIs" dxfId="15277" priority="22867" stopIfTrue="1" operator="equal">
      <formula>"Towel"</formula>
    </cfRule>
    <cfRule type="cellIs" dxfId="15276" priority="22868" stopIfTrue="1" operator="equal">
      <formula>"Napkin Hs"</formula>
    </cfRule>
  </conditionalFormatting>
  <conditionalFormatting sqref="B98:C98">
    <cfRule type="cellIs" dxfId="15275" priority="22865" stopIfTrue="1" operator="equal">
      <formula>"Towel"</formula>
    </cfRule>
    <cfRule type="cellIs" dxfId="15274" priority="22866" stopIfTrue="1" operator="equal">
      <formula>"Napkin Hs"</formula>
    </cfRule>
  </conditionalFormatting>
  <conditionalFormatting sqref="C98">
    <cfRule type="cellIs" dxfId="15273" priority="22863" stopIfTrue="1" operator="equal">
      <formula>"Towel"</formula>
    </cfRule>
    <cfRule type="cellIs" dxfId="15272" priority="22864" stopIfTrue="1" operator="equal">
      <formula>"Napkin Hs"</formula>
    </cfRule>
  </conditionalFormatting>
  <conditionalFormatting sqref="C98">
    <cfRule type="cellIs" dxfId="15271" priority="22861" stopIfTrue="1" operator="equal">
      <formula>"Towel"</formula>
    </cfRule>
    <cfRule type="cellIs" dxfId="15270" priority="22862" stopIfTrue="1" operator="equal">
      <formula>"Napkin Hs"</formula>
    </cfRule>
  </conditionalFormatting>
  <conditionalFormatting sqref="B98:C98">
    <cfRule type="cellIs" dxfId="15269" priority="22859" stopIfTrue="1" operator="equal">
      <formula>"Towel"</formula>
    </cfRule>
    <cfRule type="cellIs" dxfId="15268" priority="22860" stopIfTrue="1" operator="equal">
      <formula>"Napkin Hs"</formula>
    </cfRule>
  </conditionalFormatting>
  <conditionalFormatting sqref="C98">
    <cfRule type="cellIs" dxfId="15267" priority="22857" stopIfTrue="1" operator="equal">
      <formula>"Towel"</formula>
    </cfRule>
    <cfRule type="cellIs" dxfId="15266" priority="22858" stopIfTrue="1" operator="equal">
      <formula>"Napkin Hs"</formula>
    </cfRule>
  </conditionalFormatting>
  <conditionalFormatting sqref="C98">
    <cfRule type="cellIs" dxfId="15265" priority="22855" stopIfTrue="1" operator="equal">
      <formula>"Towel"</formula>
    </cfRule>
    <cfRule type="cellIs" dxfId="15264" priority="22856" stopIfTrue="1" operator="equal">
      <formula>"Napkin Hs"</formula>
    </cfRule>
  </conditionalFormatting>
  <conditionalFormatting sqref="B98:C98">
    <cfRule type="cellIs" dxfId="15263" priority="22853" stopIfTrue="1" operator="equal">
      <formula>"Towel"</formula>
    </cfRule>
    <cfRule type="cellIs" dxfId="15262" priority="22854" stopIfTrue="1" operator="equal">
      <formula>"Napkin Hs"</formula>
    </cfRule>
  </conditionalFormatting>
  <conditionalFormatting sqref="C98">
    <cfRule type="cellIs" dxfId="15261" priority="22851" stopIfTrue="1" operator="equal">
      <formula>"Towel"</formula>
    </cfRule>
    <cfRule type="cellIs" dxfId="15260" priority="22852" stopIfTrue="1" operator="equal">
      <formula>"Napkin Hs"</formula>
    </cfRule>
  </conditionalFormatting>
  <conditionalFormatting sqref="C98">
    <cfRule type="cellIs" dxfId="15259" priority="22849" stopIfTrue="1" operator="equal">
      <formula>"Towel"</formula>
    </cfRule>
    <cfRule type="cellIs" dxfId="15258" priority="22850" stopIfTrue="1" operator="equal">
      <formula>"Napkin Hs"</formula>
    </cfRule>
  </conditionalFormatting>
  <conditionalFormatting sqref="B98:C98">
    <cfRule type="cellIs" dxfId="15257" priority="22848" stopIfTrue="1" operator="equal">
      <formula>"Napkin Hs"</formula>
    </cfRule>
  </conditionalFormatting>
  <conditionalFormatting sqref="B98:C98">
    <cfRule type="cellIs" dxfId="15256" priority="22847" stopIfTrue="1" operator="equal">
      <formula>"Towel"</formula>
    </cfRule>
  </conditionalFormatting>
  <conditionalFormatting sqref="C98">
    <cfRule type="cellIs" dxfId="15255" priority="22846" stopIfTrue="1" operator="equal">
      <formula>"Napkin Hs"</formula>
    </cfRule>
  </conditionalFormatting>
  <conditionalFormatting sqref="C98">
    <cfRule type="cellIs" dxfId="15254" priority="22843" stopIfTrue="1" operator="equal">
      <formula>"Towel"</formula>
    </cfRule>
    <cfRule type="cellIs" dxfId="15253" priority="22844" stopIfTrue="1" operator="equal">
      <formula>"Napkin Hs"</formula>
    </cfRule>
  </conditionalFormatting>
  <conditionalFormatting sqref="C98">
    <cfRule type="cellIs" dxfId="15252" priority="22845" stopIfTrue="1" operator="equal">
      <formula>"Towel"</formula>
    </cfRule>
  </conditionalFormatting>
  <conditionalFormatting sqref="B99:C99">
    <cfRule type="cellIs" dxfId="15251" priority="22842" stopIfTrue="1" operator="equal">
      <formula>"Napkin Hs"</formula>
    </cfRule>
  </conditionalFormatting>
  <conditionalFormatting sqref="B99:C99">
    <cfRule type="cellIs" dxfId="15250" priority="22841" stopIfTrue="1" operator="equal">
      <formula>"Towel"</formula>
    </cfRule>
  </conditionalFormatting>
  <conditionalFormatting sqref="C99">
    <cfRule type="cellIs" dxfId="15249" priority="22840" stopIfTrue="1" operator="equal">
      <formula>"Napkin Hs"</formula>
    </cfRule>
  </conditionalFormatting>
  <conditionalFormatting sqref="C99">
    <cfRule type="cellIs" dxfId="15248" priority="22839" stopIfTrue="1" operator="equal">
      <formula>"Towel"</formula>
    </cfRule>
  </conditionalFormatting>
  <conditionalFormatting sqref="C99">
    <cfRule type="cellIs" dxfId="15247" priority="22837" stopIfTrue="1" operator="equal">
      <formula>"Towel"</formula>
    </cfRule>
    <cfRule type="cellIs" dxfId="15246" priority="22838" stopIfTrue="1" operator="equal">
      <formula>"Napkin Hs"</formula>
    </cfRule>
  </conditionalFormatting>
  <conditionalFormatting sqref="B99:C99">
    <cfRule type="cellIs" dxfId="15245" priority="22835" stopIfTrue="1" operator="equal">
      <formula>"Towel"</formula>
    </cfRule>
    <cfRule type="cellIs" dxfId="15244" priority="22836" stopIfTrue="1" operator="equal">
      <formula>"Napkin Hs"</formula>
    </cfRule>
  </conditionalFormatting>
  <conditionalFormatting sqref="C99">
    <cfRule type="cellIs" dxfId="15243" priority="22831" stopIfTrue="1" operator="equal">
      <formula>"Towel"</formula>
    </cfRule>
    <cfRule type="cellIs" dxfId="15242" priority="22832" stopIfTrue="1" operator="equal">
      <formula>"Napkin Hs"</formula>
    </cfRule>
  </conditionalFormatting>
  <conditionalFormatting sqref="C99">
    <cfRule type="cellIs" dxfId="15241" priority="22833" stopIfTrue="1" operator="equal">
      <formula>"Towel"</formula>
    </cfRule>
    <cfRule type="cellIs" dxfId="15240" priority="22834" stopIfTrue="1" operator="equal">
      <formula>"Napkin Hs"</formula>
    </cfRule>
  </conditionalFormatting>
  <conditionalFormatting sqref="B99:C99">
    <cfRule type="cellIs" dxfId="15239" priority="22830" stopIfTrue="1" operator="equal">
      <formula>"Napkin Hs"</formula>
    </cfRule>
  </conditionalFormatting>
  <conditionalFormatting sqref="B99:C99">
    <cfRule type="cellIs" dxfId="15238" priority="22829" stopIfTrue="1" operator="equal">
      <formula>"Towel"</formula>
    </cfRule>
  </conditionalFormatting>
  <conditionalFormatting sqref="C99">
    <cfRule type="cellIs" dxfId="15237" priority="22828" stopIfTrue="1" operator="equal">
      <formula>"Napkin Hs"</formula>
    </cfRule>
  </conditionalFormatting>
  <conditionalFormatting sqref="C99">
    <cfRule type="cellIs" dxfId="15236" priority="22827" stopIfTrue="1" operator="equal">
      <formula>"Towel"</formula>
    </cfRule>
  </conditionalFormatting>
  <conditionalFormatting sqref="C99">
    <cfRule type="cellIs" dxfId="15235" priority="22825" stopIfTrue="1" operator="equal">
      <formula>"Towel"</formula>
    </cfRule>
    <cfRule type="cellIs" dxfId="15234" priority="22826" stopIfTrue="1" operator="equal">
      <formula>"Napkin Hs"</formula>
    </cfRule>
  </conditionalFormatting>
  <conditionalFormatting sqref="B99:C99">
    <cfRule type="cellIs" dxfId="15233" priority="22823" stopIfTrue="1" operator="equal">
      <formula>"Towel"</formula>
    </cfRule>
    <cfRule type="cellIs" dxfId="15232" priority="22824" stopIfTrue="1" operator="equal">
      <formula>"Napkin Hs"</formula>
    </cfRule>
  </conditionalFormatting>
  <conditionalFormatting sqref="C99">
    <cfRule type="cellIs" dxfId="15231" priority="22821" stopIfTrue="1" operator="equal">
      <formula>"Towel"</formula>
    </cfRule>
    <cfRule type="cellIs" dxfId="15230" priority="22822" stopIfTrue="1" operator="equal">
      <formula>"Napkin Hs"</formula>
    </cfRule>
  </conditionalFormatting>
  <conditionalFormatting sqref="C99">
    <cfRule type="cellIs" dxfId="15229" priority="22819" stopIfTrue="1" operator="equal">
      <formula>"Towel"</formula>
    </cfRule>
    <cfRule type="cellIs" dxfId="15228" priority="22820" stopIfTrue="1" operator="equal">
      <formula>"Napkin Hs"</formula>
    </cfRule>
  </conditionalFormatting>
  <conditionalFormatting sqref="B99:C99">
    <cfRule type="cellIs" dxfId="15227" priority="22817" stopIfTrue="1" operator="equal">
      <formula>"Towel"</formula>
    </cfRule>
    <cfRule type="cellIs" dxfId="15226" priority="22818" stopIfTrue="1" operator="equal">
      <formula>"Napkin Hs"</formula>
    </cfRule>
  </conditionalFormatting>
  <conditionalFormatting sqref="C99">
    <cfRule type="cellIs" dxfId="15225" priority="22815" stopIfTrue="1" operator="equal">
      <formula>"Towel"</formula>
    </cfRule>
    <cfRule type="cellIs" dxfId="15224" priority="22816" stopIfTrue="1" operator="equal">
      <formula>"Napkin Hs"</formula>
    </cfRule>
  </conditionalFormatting>
  <conditionalFormatting sqref="C99">
    <cfRule type="cellIs" dxfId="15223" priority="22813" stopIfTrue="1" operator="equal">
      <formula>"Towel"</formula>
    </cfRule>
    <cfRule type="cellIs" dxfId="15222" priority="22814" stopIfTrue="1" operator="equal">
      <formula>"Napkin Hs"</formula>
    </cfRule>
  </conditionalFormatting>
  <conditionalFormatting sqref="B99:C99">
    <cfRule type="cellIs" dxfId="15221" priority="22811" stopIfTrue="1" operator="equal">
      <formula>"Towel"</formula>
    </cfRule>
    <cfRule type="cellIs" dxfId="15220" priority="22812" stopIfTrue="1" operator="equal">
      <formula>"Napkin Hs"</formula>
    </cfRule>
  </conditionalFormatting>
  <conditionalFormatting sqref="C99">
    <cfRule type="cellIs" dxfId="15219" priority="22809" stopIfTrue="1" operator="equal">
      <formula>"Towel"</formula>
    </cfRule>
    <cfRule type="cellIs" dxfId="15218" priority="22810" stopIfTrue="1" operator="equal">
      <formula>"Napkin Hs"</formula>
    </cfRule>
  </conditionalFormatting>
  <conditionalFormatting sqref="C99">
    <cfRule type="cellIs" dxfId="15217" priority="22807" stopIfTrue="1" operator="equal">
      <formula>"Towel"</formula>
    </cfRule>
    <cfRule type="cellIs" dxfId="15216" priority="22808" stopIfTrue="1" operator="equal">
      <formula>"Napkin Hs"</formula>
    </cfRule>
  </conditionalFormatting>
  <conditionalFormatting sqref="B99:C99">
    <cfRule type="cellIs" dxfId="15215" priority="22805" stopIfTrue="1" operator="equal">
      <formula>"Towel"</formula>
    </cfRule>
    <cfRule type="cellIs" dxfId="15214" priority="22806" stopIfTrue="1" operator="equal">
      <formula>"Napkin Hs"</formula>
    </cfRule>
  </conditionalFormatting>
  <conditionalFormatting sqref="C99">
    <cfRule type="cellIs" dxfId="15213" priority="22803" stopIfTrue="1" operator="equal">
      <formula>"Towel"</formula>
    </cfRule>
    <cfRule type="cellIs" dxfId="15212" priority="22804" stopIfTrue="1" operator="equal">
      <formula>"Napkin Hs"</formula>
    </cfRule>
  </conditionalFormatting>
  <conditionalFormatting sqref="C99">
    <cfRule type="cellIs" dxfId="15211" priority="22801" stopIfTrue="1" operator="equal">
      <formula>"Towel"</formula>
    </cfRule>
    <cfRule type="cellIs" dxfId="15210" priority="22802" stopIfTrue="1" operator="equal">
      <formula>"Napkin Hs"</formula>
    </cfRule>
  </conditionalFormatting>
  <conditionalFormatting sqref="B99:C99">
    <cfRule type="cellIs" dxfId="15209" priority="22799" stopIfTrue="1" operator="equal">
      <formula>"Towel"</formula>
    </cfRule>
    <cfRule type="cellIs" dxfId="15208" priority="22800" stopIfTrue="1" operator="equal">
      <formula>"Napkin Hs"</formula>
    </cfRule>
  </conditionalFormatting>
  <conditionalFormatting sqref="C99">
    <cfRule type="cellIs" dxfId="15207" priority="22797" stopIfTrue="1" operator="equal">
      <formula>"Towel"</formula>
    </cfRule>
    <cfRule type="cellIs" dxfId="15206" priority="22798" stopIfTrue="1" operator="equal">
      <formula>"Napkin Hs"</formula>
    </cfRule>
  </conditionalFormatting>
  <conditionalFormatting sqref="C99">
    <cfRule type="cellIs" dxfId="15205" priority="22795" stopIfTrue="1" operator="equal">
      <formula>"Towel"</formula>
    </cfRule>
    <cfRule type="cellIs" dxfId="15204" priority="22796" stopIfTrue="1" operator="equal">
      <formula>"Napkin Hs"</formula>
    </cfRule>
  </conditionalFormatting>
  <conditionalFormatting sqref="B99:C99">
    <cfRule type="cellIs" dxfId="15203" priority="22794" stopIfTrue="1" operator="equal">
      <formula>"Napkin Hs"</formula>
    </cfRule>
  </conditionalFormatting>
  <conditionalFormatting sqref="B99:C99">
    <cfRule type="cellIs" dxfId="15202" priority="22793" stopIfTrue="1" operator="equal">
      <formula>"Towel"</formula>
    </cfRule>
  </conditionalFormatting>
  <conditionalFormatting sqref="C99">
    <cfRule type="cellIs" dxfId="15201" priority="22792" stopIfTrue="1" operator="equal">
      <formula>"Napkin Hs"</formula>
    </cfRule>
  </conditionalFormatting>
  <conditionalFormatting sqref="C99">
    <cfRule type="cellIs" dxfId="15200" priority="22789" stopIfTrue="1" operator="equal">
      <formula>"Towel"</formula>
    </cfRule>
    <cfRule type="cellIs" dxfId="15199" priority="22790" stopIfTrue="1" operator="equal">
      <formula>"Napkin Hs"</formula>
    </cfRule>
  </conditionalFormatting>
  <conditionalFormatting sqref="C99">
    <cfRule type="cellIs" dxfId="15198" priority="22791" stopIfTrue="1" operator="equal">
      <formula>"Towel"</formula>
    </cfRule>
  </conditionalFormatting>
  <conditionalFormatting sqref="B123:C123">
    <cfRule type="cellIs" dxfId="15197" priority="22420" stopIfTrue="1" operator="equal">
      <formula>"Napkin Hs"</formula>
    </cfRule>
  </conditionalFormatting>
  <conditionalFormatting sqref="B123:C123">
    <cfRule type="cellIs" dxfId="15196" priority="22419" stopIfTrue="1" operator="equal">
      <formula>"Towel"</formula>
    </cfRule>
  </conditionalFormatting>
  <conditionalFormatting sqref="B124:C124">
    <cfRule type="cellIs" dxfId="15195" priority="22407" stopIfTrue="1" operator="equal">
      <formula>"Towel"</formula>
    </cfRule>
    <cfRule type="cellIs" dxfId="15194" priority="22408" stopIfTrue="1" operator="equal">
      <formula>"Napkin Hs"</formula>
    </cfRule>
  </conditionalFormatting>
  <conditionalFormatting sqref="C123">
    <cfRule type="cellIs" dxfId="15193" priority="22418" stopIfTrue="1" operator="equal">
      <formula>"Napkin Hs"</formula>
    </cfRule>
  </conditionalFormatting>
  <conditionalFormatting sqref="C123">
    <cfRule type="cellIs" dxfId="15192" priority="22417" stopIfTrue="1" operator="equal">
      <formula>"Towel"</formula>
    </cfRule>
  </conditionalFormatting>
  <conditionalFormatting sqref="C123">
    <cfRule type="cellIs" dxfId="15191" priority="22409" stopIfTrue="1" operator="equal">
      <formula>"Towel"</formula>
    </cfRule>
    <cfRule type="cellIs" dxfId="15190" priority="22410" stopIfTrue="1" operator="equal">
      <formula>"Napkin Hs"</formula>
    </cfRule>
  </conditionalFormatting>
  <conditionalFormatting sqref="C124">
    <cfRule type="cellIs" dxfId="15189" priority="22403" stopIfTrue="1" operator="equal">
      <formula>"Towel"</formula>
    </cfRule>
    <cfRule type="cellIs" dxfId="15188" priority="22404" stopIfTrue="1" operator="equal">
      <formula>"Napkin Hs"</formula>
    </cfRule>
  </conditionalFormatting>
  <conditionalFormatting sqref="C124">
    <cfRule type="cellIs" dxfId="15187" priority="22405" stopIfTrue="1" operator="equal">
      <formula>"Towel"</formula>
    </cfRule>
    <cfRule type="cellIs" dxfId="15186" priority="22406" stopIfTrue="1" operator="equal">
      <formula>"Napkin Hs"</formula>
    </cfRule>
  </conditionalFormatting>
  <conditionalFormatting sqref="C122">
    <cfRule type="cellIs" dxfId="15185" priority="22271" stopIfTrue="1" operator="equal">
      <formula>"Towel"</formula>
    </cfRule>
    <cfRule type="cellIs" dxfId="15184" priority="22272" stopIfTrue="1" operator="equal">
      <formula>"Napkin Hs"</formula>
    </cfRule>
  </conditionalFormatting>
  <conditionalFormatting sqref="B122:C122">
    <cfRule type="cellIs" dxfId="15183" priority="22275" stopIfTrue="1" operator="equal">
      <formula>"Towel"</formula>
    </cfRule>
    <cfRule type="cellIs" dxfId="15182" priority="22276" stopIfTrue="1" operator="equal">
      <formula>"Napkin Hs"</formula>
    </cfRule>
  </conditionalFormatting>
  <conditionalFormatting sqref="C122">
    <cfRule type="cellIs" dxfId="15181" priority="22273" stopIfTrue="1" operator="equal">
      <formula>"Towel"</formula>
    </cfRule>
    <cfRule type="cellIs" dxfId="15180" priority="22274" stopIfTrue="1" operator="equal">
      <formula>"Napkin Hs"</formula>
    </cfRule>
  </conditionalFormatting>
  <conditionalFormatting sqref="B122:C122">
    <cfRule type="cellIs" dxfId="15179" priority="22270" stopIfTrue="1" operator="equal">
      <formula>"Napkin Hs"</formula>
    </cfRule>
  </conditionalFormatting>
  <conditionalFormatting sqref="B122:C122">
    <cfRule type="cellIs" dxfId="15178" priority="22269" stopIfTrue="1" operator="equal">
      <formula>"Towel"</formula>
    </cfRule>
  </conditionalFormatting>
  <conditionalFormatting sqref="C122">
    <cfRule type="cellIs" dxfId="15177" priority="22268" stopIfTrue="1" operator="equal">
      <formula>"Napkin Hs"</formula>
    </cfRule>
  </conditionalFormatting>
  <conditionalFormatting sqref="C122">
    <cfRule type="cellIs" dxfId="15176" priority="22267" stopIfTrue="1" operator="equal">
      <formula>"Towel"</formula>
    </cfRule>
  </conditionalFormatting>
  <conditionalFormatting sqref="C122">
    <cfRule type="cellIs" dxfId="15175" priority="22265" stopIfTrue="1" operator="equal">
      <formula>"Towel"</formula>
    </cfRule>
    <cfRule type="cellIs" dxfId="15174" priority="22266" stopIfTrue="1" operator="equal">
      <formula>"Napkin Hs"</formula>
    </cfRule>
  </conditionalFormatting>
  <conditionalFormatting sqref="B122:C122">
    <cfRule type="cellIs" dxfId="15173" priority="22263" stopIfTrue="1" operator="equal">
      <formula>"Towel"</formula>
    </cfRule>
    <cfRule type="cellIs" dxfId="15172" priority="22264" stopIfTrue="1" operator="equal">
      <formula>"Napkin Hs"</formula>
    </cfRule>
  </conditionalFormatting>
  <conditionalFormatting sqref="C122">
    <cfRule type="cellIs" dxfId="15171" priority="22259" stopIfTrue="1" operator="equal">
      <formula>"Towel"</formula>
    </cfRule>
    <cfRule type="cellIs" dxfId="15170" priority="22260" stopIfTrue="1" operator="equal">
      <formula>"Napkin Hs"</formula>
    </cfRule>
  </conditionalFormatting>
  <conditionalFormatting sqref="C122">
    <cfRule type="cellIs" dxfId="15169" priority="22261" stopIfTrue="1" operator="equal">
      <formula>"Towel"</formula>
    </cfRule>
    <cfRule type="cellIs" dxfId="15168" priority="22262" stopIfTrue="1" operator="equal">
      <formula>"Napkin Hs"</formula>
    </cfRule>
  </conditionalFormatting>
  <conditionalFormatting sqref="B122:C122">
    <cfRule type="cellIs" dxfId="15167" priority="22258" stopIfTrue="1" operator="equal">
      <formula>"Napkin Hs"</formula>
    </cfRule>
  </conditionalFormatting>
  <conditionalFormatting sqref="B122:C122">
    <cfRule type="cellIs" dxfId="15166" priority="22257" stopIfTrue="1" operator="equal">
      <formula>"Towel"</formula>
    </cfRule>
  </conditionalFormatting>
  <conditionalFormatting sqref="C122">
    <cfRule type="cellIs" dxfId="15165" priority="22256" stopIfTrue="1" operator="equal">
      <formula>"Napkin Hs"</formula>
    </cfRule>
  </conditionalFormatting>
  <conditionalFormatting sqref="C122">
    <cfRule type="cellIs" dxfId="15164" priority="22255" stopIfTrue="1" operator="equal">
      <formula>"Towel"</formula>
    </cfRule>
  </conditionalFormatting>
  <conditionalFormatting sqref="C122">
    <cfRule type="cellIs" dxfId="15163" priority="22253" stopIfTrue="1" operator="equal">
      <formula>"Towel"</formula>
    </cfRule>
    <cfRule type="cellIs" dxfId="15162" priority="22254" stopIfTrue="1" operator="equal">
      <formula>"Napkin Hs"</formula>
    </cfRule>
  </conditionalFormatting>
  <conditionalFormatting sqref="B122:C122">
    <cfRule type="cellIs" dxfId="15161" priority="22251" stopIfTrue="1" operator="equal">
      <formula>"Towel"</formula>
    </cfRule>
    <cfRule type="cellIs" dxfId="15160" priority="22252" stopIfTrue="1" operator="equal">
      <formula>"Napkin Hs"</formula>
    </cfRule>
  </conditionalFormatting>
  <conditionalFormatting sqref="C122">
    <cfRule type="cellIs" dxfId="15159" priority="22249" stopIfTrue="1" operator="equal">
      <formula>"Towel"</formula>
    </cfRule>
    <cfRule type="cellIs" dxfId="15158" priority="22250" stopIfTrue="1" operator="equal">
      <formula>"Napkin Hs"</formula>
    </cfRule>
  </conditionalFormatting>
  <conditionalFormatting sqref="C122">
    <cfRule type="cellIs" dxfId="15157" priority="22247" stopIfTrue="1" operator="equal">
      <formula>"Towel"</formula>
    </cfRule>
    <cfRule type="cellIs" dxfId="15156" priority="22248" stopIfTrue="1" operator="equal">
      <formula>"Napkin Hs"</formula>
    </cfRule>
  </conditionalFormatting>
  <conditionalFormatting sqref="B122:C122">
    <cfRule type="cellIs" dxfId="15155" priority="22245" stopIfTrue="1" operator="equal">
      <formula>"Towel"</formula>
    </cfRule>
    <cfRule type="cellIs" dxfId="15154" priority="22246" stopIfTrue="1" operator="equal">
      <formula>"Napkin Hs"</formula>
    </cfRule>
  </conditionalFormatting>
  <conditionalFormatting sqref="C122">
    <cfRule type="cellIs" dxfId="15153" priority="22243" stopIfTrue="1" operator="equal">
      <formula>"Towel"</formula>
    </cfRule>
    <cfRule type="cellIs" dxfId="15152" priority="22244" stopIfTrue="1" operator="equal">
      <formula>"Napkin Hs"</formula>
    </cfRule>
  </conditionalFormatting>
  <conditionalFormatting sqref="C122">
    <cfRule type="cellIs" dxfId="15151" priority="22241" stopIfTrue="1" operator="equal">
      <formula>"Towel"</formula>
    </cfRule>
    <cfRule type="cellIs" dxfId="15150" priority="22242" stopIfTrue="1" operator="equal">
      <formula>"Napkin Hs"</formula>
    </cfRule>
  </conditionalFormatting>
  <conditionalFormatting sqref="B122:C122">
    <cfRule type="cellIs" dxfId="15149" priority="22239" stopIfTrue="1" operator="equal">
      <formula>"Towel"</formula>
    </cfRule>
    <cfRule type="cellIs" dxfId="15148" priority="22240" stopIfTrue="1" operator="equal">
      <formula>"Napkin Hs"</formula>
    </cfRule>
  </conditionalFormatting>
  <conditionalFormatting sqref="C122">
    <cfRule type="cellIs" dxfId="15147" priority="22237" stopIfTrue="1" operator="equal">
      <formula>"Towel"</formula>
    </cfRule>
    <cfRule type="cellIs" dxfId="15146" priority="22238" stopIfTrue="1" operator="equal">
      <formula>"Napkin Hs"</formula>
    </cfRule>
  </conditionalFormatting>
  <conditionalFormatting sqref="C122">
    <cfRule type="cellIs" dxfId="15145" priority="22235" stopIfTrue="1" operator="equal">
      <formula>"Towel"</formula>
    </cfRule>
    <cfRule type="cellIs" dxfId="15144" priority="22236" stopIfTrue="1" operator="equal">
      <formula>"Napkin Hs"</formula>
    </cfRule>
  </conditionalFormatting>
  <conditionalFormatting sqref="B122:C122">
    <cfRule type="cellIs" dxfId="15143" priority="22233" stopIfTrue="1" operator="equal">
      <formula>"Towel"</formula>
    </cfRule>
    <cfRule type="cellIs" dxfId="15142" priority="22234" stopIfTrue="1" operator="equal">
      <formula>"Napkin Hs"</formula>
    </cfRule>
  </conditionalFormatting>
  <conditionalFormatting sqref="C122">
    <cfRule type="cellIs" dxfId="15141" priority="22231" stopIfTrue="1" operator="equal">
      <formula>"Towel"</formula>
    </cfRule>
    <cfRule type="cellIs" dxfId="15140" priority="22232" stopIfTrue="1" operator="equal">
      <formula>"Napkin Hs"</formula>
    </cfRule>
  </conditionalFormatting>
  <conditionalFormatting sqref="C122">
    <cfRule type="cellIs" dxfId="15139" priority="22229" stopIfTrue="1" operator="equal">
      <formula>"Towel"</formula>
    </cfRule>
    <cfRule type="cellIs" dxfId="15138" priority="22230" stopIfTrue="1" operator="equal">
      <formula>"Napkin Hs"</formula>
    </cfRule>
  </conditionalFormatting>
  <conditionalFormatting sqref="B122:C122">
    <cfRule type="cellIs" dxfId="15137" priority="22227" stopIfTrue="1" operator="equal">
      <formula>"Towel"</formula>
    </cfRule>
    <cfRule type="cellIs" dxfId="15136" priority="22228" stopIfTrue="1" operator="equal">
      <formula>"Napkin Hs"</formula>
    </cfRule>
  </conditionalFormatting>
  <conditionalFormatting sqref="C122">
    <cfRule type="cellIs" dxfId="15135" priority="22225" stopIfTrue="1" operator="equal">
      <formula>"Towel"</formula>
    </cfRule>
    <cfRule type="cellIs" dxfId="15134" priority="22226" stopIfTrue="1" operator="equal">
      <formula>"Napkin Hs"</formula>
    </cfRule>
  </conditionalFormatting>
  <conditionalFormatting sqref="C122">
    <cfRule type="cellIs" dxfId="15133" priority="22223" stopIfTrue="1" operator="equal">
      <formula>"Towel"</formula>
    </cfRule>
    <cfRule type="cellIs" dxfId="15132" priority="22224" stopIfTrue="1" operator="equal">
      <formula>"Napkin Hs"</formula>
    </cfRule>
  </conditionalFormatting>
  <conditionalFormatting sqref="B122:C122">
    <cfRule type="cellIs" dxfId="15131" priority="22222" stopIfTrue="1" operator="equal">
      <formula>"Napkin Hs"</formula>
    </cfRule>
  </conditionalFormatting>
  <conditionalFormatting sqref="B122:C122">
    <cfRule type="cellIs" dxfId="15130" priority="22221" stopIfTrue="1" operator="equal">
      <formula>"Towel"</formula>
    </cfRule>
  </conditionalFormatting>
  <conditionalFormatting sqref="C122">
    <cfRule type="cellIs" dxfId="15129" priority="22220" stopIfTrue="1" operator="equal">
      <formula>"Napkin Hs"</formula>
    </cfRule>
  </conditionalFormatting>
  <conditionalFormatting sqref="C122">
    <cfRule type="cellIs" dxfId="15128" priority="22217" stopIfTrue="1" operator="equal">
      <formula>"Towel"</formula>
    </cfRule>
    <cfRule type="cellIs" dxfId="15127" priority="22218" stopIfTrue="1" operator="equal">
      <formula>"Napkin Hs"</formula>
    </cfRule>
  </conditionalFormatting>
  <conditionalFormatting sqref="C122">
    <cfRule type="cellIs" dxfId="15126" priority="22219" stopIfTrue="1" operator="equal">
      <formula>"Towel"</formula>
    </cfRule>
  </conditionalFormatting>
  <conditionalFormatting sqref="B158:C162">
    <cfRule type="cellIs" dxfId="15125" priority="22096" stopIfTrue="1" operator="equal">
      <formula>"Napkin Hs"</formula>
    </cfRule>
  </conditionalFormatting>
  <conditionalFormatting sqref="B158:C162">
    <cfRule type="cellIs" dxfId="15124" priority="22095" stopIfTrue="1" operator="equal">
      <formula>"Towel"</formula>
    </cfRule>
  </conditionalFormatting>
  <conditionalFormatting sqref="C158:C162">
    <cfRule type="cellIs" dxfId="15123" priority="22094" stopIfTrue="1" operator="equal">
      <formula>"Napkin Hs"</formula>
    </cfRule>
  </conditionalFormatting>
  <conditionalFormatting sqref="C158:C162">
    <cfRule type="cellIs" dxfId="15122" priority="22093" stopIfTrue="1" operator="equal">
      <formula>"Towel"</formula>
    </cfRule>
  </conditionalFormatting>
  <conditionalFormatting sqref="C158:C162">
    <cfRule type="cellIs" dxfId="15121" priority="22091" stopIfTrue="1" operator="equal">
      <formula>"Towel"</formula>
    </cfRule>
    <cfRule type="cellIs" dxfId="15120" priority="22092" stopIfTrue="1" operator="equal">
      <formula>"Napkin Hs"</formula>
    </cfRule>
  </conditionalFormatting>
  <conditionalFormatting sqref="B129:C131">
    <cfRule type="cellIs" dxfId="15119" priority="21964" stopIfTrue="1" operator="equal">
      <formula>"Napkin Hs"</formula>
    </cfRule>
  </conditionalFormatting>
  <conditionalFormatting sqref="B129:C131">
    <cfRule type="cellIs" dxfId="15118" priority="21963" stopIfTrue="1" operator="equal">
      <formula>"Towel"</formula>
    </cfRule>
  </conditionalFormatting>
  <conditionalFormatting sqref="C129:C131">
    <cfRule type="cellIs" dxfId="15117" priority="21962" stopIfTrue="1" operator="equal">
      <formula>"Napkin Hs"</formula>
    </cfRule>
  </conditionalFormatting>
  <conditionalFormatting sqref="C129:C131">
    <cfRule type="cellIs" dxfId="15116" priority="21961" stopIfTrue="1" operator="equal">
      <formula>"Towel"</formula>
    </cfRule>
  </conditionalFormatting>
  <conditionalFormatting sqref="C129:C131">
    <cfRule type="cellIs" dxfId="15115" priority="21959" stopIfTrue="1" operator="equal">
      <formula>"Towel"</formula>
    </cfRule>
    <cfRule type="cellIs" dxfId="15114" priority="21960" stopIfTrue="1" operator="equal">
      <formula>"Napkin Hs"</formula>
    </cfRule>
  </conditionalFormatting>
  <conditionalFormatting sqref="C128">
    <cfRule type="cellIs" dxfId="15113" priority="21955" stopIfTrue="1" operator="equal">
      <formula>"Towel"</formula>
    </cfRule>
    <cfRule type="cellIs" dxfId="15112" priority="21956" stopIfTrue="1" operator="equal">
      <formula>"Napkin Hs"</formula>
    </cfRule>
  </conditionalFormatting>
  <conditionalFormatting sqref="C128">
    <cfRule type="cellIs" dxfId="15111" priority="21953" stopIfTrue="1" operator="equal">
      <formula>"Towel"</formula>
    </cfRule>
    <cfRule type="cellIs" dxfId="15110" priority="21954" stopIfTrue="1" operator="equal">
      <formula>"Napkin Hs"</formula>
    </cfRule>
  </conditionalFormatting>
  <conditionalFormatting sqref="B128:C128">
    <cfRule type="cellIs" dxfId="15109" priority="21904" stopIfTrue="1" operator="equal">
      <formula>"Napkin Hs"</formula>
    </cfRule>
  </conditionalFormatting>
  <conditionalFormatting sqref="B128:C128">
    <cfRule type="cellIs" dxfId="15108" priority="21903" stopIfTrue="1" operator="equal">
      <formula>"Towel"</formula>
    </cfRule>
  </conditionalFormatting>
  <conditionalFormatting sqref="B128:C128">
    <cfRule type="cellIs" dxfId="15107" priority="21957" stopIfTrue="1" operator="equal">
      <formula>"Towel"</formula>
    </cfRule>
    <cfRule type="cellIs" dxfId="15106" priority="21958" stopIfTrue="1" operator="equal">
      <formula>"Napkin Hs"</formula>
    </cfRule>
  </conditionalFormatting>
  <conditionalFormatting sqref="C128">
    <cfRule type="cellIs" dxfId="15105" priority="21902" stopIfTrue="1" operator="equal">
      <formula>"Napkin Hs"</formula>
    </cfRule>
  </conditionalFormatting>
  <conditionalFormatting sqref="C128">
    <cfRule type="cellIs" dxfId="15104" priority="21901" stopIfTrue="1" operator="equal">
      <formula>"Towel"</formula>
    </cfRule>
  </conditionalFormatting>
  <conditionalFormatting sqref="C128">
    <cfRule type="cellIs" dxfId="15103" priority="21899" stopIfTrue="1" operator="equal">
      <formula>"Towel"</formula>
    </cfRule>
    <cfRule type="cellIs" dxfId="15102" priority="21900" stopIfTrue="1" operator="equal">
      <formula>"Napkin Hs"</formula>
    </cfRule>
  </conditionalFormatting>
  <conditionalFormatting sqref="B128:C128">
    <cfRule type="cellIs" dxfId="15101" priority="21952" stopIfTrue="1" operator="equal">
      <formula>"Napkin Hs"</formula>
    </cfRule>
  </conditionalFormatting>
  <conditionalFormatting sqref="B128:C128">
    <cfRule type="cellIs" dxfId="15100" priority="21951" stopIfTrue="1" operator="equal">
      <formula>"Towel"</formula>
    </cfRule>
  </conditionalFormatting>
  <conditionalFormatting sqref="C128">
    <cfRule type="cellIs" dxfId="15099" priority="21950" stopIfTrue="1" operator="equal">
      <formula>"Napkin Hs"</formula>
    </cfRule>
  </conditionalFormatting>
  <conditionalFormatting sqref="C128">
    <cfRule type="cellIs" dxfId="15098" priority="21949" stopIfTrue="1" operator="equal">
      <formula>"Towel"</formula>
    </cfRule>
  </conditionalFormatting>
  <conditionalFormatting sqref="C128">
    <cfRule type="cellIs" dxfId="15097" priority="21947" stopIfTrue="1" operator="equal">
      <formula>"Towel"</formula>
    </cfRule>
    <cfRule type="cellIs" dxfId="15096" priority="21948" stopIfTrue="1" operator="equal">
      <formula>"Napkin Hs"</formula>
    </cfRule>
  </conditionalFormatting>
  <conditionalFormatting sqref="B128:C128">
    <cfRule type="cellIs" dxfId="15095" priority="21945" stopIfTrue="1" operator="equal">
      <formula>"Towel"</formula>
    </cfRule>
    <cfRule type="cellIs" dxfId="15094" priority="21946" stopIfTrue="1" operator="equal">
      <formula>"Napkin Hs"</formula>
    </cfRule>
  </conditionalFormatting>
  <conditionalFormatting sqref="C128">
    <cfRule type="cellIs" dxfId="15093" priority="21941" stopIfTrue="1" operator="equal">
      <formula>"Towel"</formula>
    </cfRule>
    <cfRule type="cellIs" dxfId="15092" priority="21942" stopIfTrue="1" operator="equal">
      <formula>"Napkin Hs"</formula>
    </cfRule>
  </conditionalFormatting>
  <conditionalFormatting sqref="C128">
    <cfRule type="cellIs" dxfId="15091" priority="21943" stopIfTrue="1" operator="equal">
      <formula>"Towel"</formula>
    </cfRule>
    <cfRule type="cellIs" dxfId="15090" priority="21944" stopIfTrue="1" operator="equal">
      <formula>"Napkin Hs"</formula>
    </cfRule>
  </conditionalFormatting>
  <conditionalFormatting sqref="B128:C128">
    <cfRule type="cellIs" dxfId="15089" priority="21940" stopIfTrue="1" operator="equal">
      <formula>"Napkin Hs"</formula>
    </cfRule>
  </conditionalFormatting>
  <conditionalFormatting sqref="B128:C128">
    <cfRule type="cellIs" dxfId="15088" priority="21939" stopIfTrue="1" operator="equal">
      <formula>"Towel"</formula>
    </cfRule>
  </conditionalFormatting>
  <conditionalFormatting sqref="C128">
    <cfRule type="cellIs" dxfId="15087" priority="21938" stopIfTrue="1" operator="equal">
      <formula>"Napkin Hs"</formula>
    </cfRule>
  </conditionalFormatting>
  <conditionalFormatting sqref="C128">
    <cfRule type="cellIs" dxfId="15086" priority="21937" stopIfTrue="1" operator="equal">
      <formula>"Towel"</formula>
    </cfRule>
  </conditionalFormatting>
  <conditionalFormatting sqref="C128">
    <cfRule type="cellIs" dxfId="15085" priority="21935" stopIfTrue="1" operator="equal">
      <formula>"Towel"</formula>
    </cfRule>
    <cfRule type="cellIs" dxfId="15084" priority="21936" stopIfTrue="1" operator="equal">
      <formula>"Napkin Hs"</formula>
    </cfRule>
  </conditionalFormatting>
  <conditionalFormatting sqref="B128:C128">
    <cfRule type="cellIs" dxfId="15083" priority="21933" stopIfTrue="1" operator="equal">
      <formula>"Towel"</formula>
    </cfRule>
    <cfRule type="cellIs" dxfId="15082" priority="21934" stopIfTrue="1" operator="equal">
      <formula>"Napkin Hs"</formula>
    </cfRule>
  </conditionalFormatting>
  <conditionalFormatting sqref="C128">
    <cfRule type="cellIs" dxfId="15081" priority="21931" stopIfTrue="1" operator="equal">
      <formula>"Towel"</formula>
    </cfRule>
    <cfRule type="cellIs" dxfId="15080" priority="21932" stopIfTrue="1" operator="equal">
      <formula>"Napkin Hs"</formula>
    </cfRule>
  </conditionalFormatting>
  <conditionalFormatting sqref="C128">
    <cfRule type="cellIs" dxfId="15079" priority="21929" stopIfTrue="1" operator="equal">
      <formula>"Towel"</formula>
    </cfRule>
    <cfRule type="cellIs" dxfId="15078" priority="21930" stopIfTrue="1" operator="equal">
      <formula>"Napkin Hs"</formula>
    </cfRule>
  </conditionalFormatting>
  <conditionalFormatting sqref="B128:C128">
    <cfRule type="cellIs" dxfId="15077" priority="21927" stopIfTrue="1" operator="equal">
      <formula>"Towel"</formula>
    </cfRule>
    <cfRule type="cellIs" dxfId="15076" priority="21928" stopIfTrue="1" operator="equal">
      <formula>"Napkin Hs"</formula>
    </cfRule>
  </conditionalFormatting>
  <conditionalFormatting sqref="C128">
    <cfRule type="cellIs" dxfId="15075" priority="21925" stopIfTrue="1" operator="equal">
      <formula>"Towel"</formula>
    </cfRule>
    <cfRule type="cellIs" dxfId="15074" priority="21926" stopIfTrue="1" operator="equal">
      <formula>"Napkin Hs"</formula>
    </cfRule>
  </conditionalFormatting>
  <conditionalFormatting sqref="C128">
    <cfRule type="cellIs" dxfId="15073" priority="21923" stopIfTrue="1" operator="equal">
      <formula>"Towel"</formula>
    </cfRule>
    <cfRule type="cellIs" dxfId="15072" priority="21924" stopIfTrue="1" operator="equal">
      <formula>"Napkin Hs"</formula>
    </cfRule>
  </conditionalFormatting>
  <conditionalFormatting sqref="B128:C128">
    <cfRule type="cellIs" dxfId="15071" priority="21921" stopIfTrue="1" operator="equal">
      <formula>"Towel"</formula>
    </cfRule>
    <cfRule type="cellIs" dxfId="15070" priority="21922" stopIfTrue="1" operator="equal">
      <formula>"Napkin Hs"</formula>
    </cfRule>
  </conditionalFormatting>
  <conditionalFormatting sqref="C128">
    <cfRule type="cellIs" dxfId="15069" priority="21919" stopIfTrue="1" operator="equal">
      <formula>"Towel"</formula>
    </cfRule>
    <cfRule type="cellIs" dxfId="15068" priority="21920" stopIfTrue="1" operator="equal">
      <formula>"Napkin Hs"</formula>
    </cfRule>
  </conditionalFormatting>
  <conditionalFormatting sqref="C128">
    <cfRule type="cellIs" dxfId="15067" priority="21917" stopIfTrue="1" operator="equal">
      <formula>"Towel"</formula>
    </cfRule>
    <cfRule type="cellIs" dxfId="15066" priority="21918" stopIfTrue="1" operator="equal">
      <formula>"Napkin Hs"</formula>
    </cfRule>
  </conditionalFormatting>
  <conditionalFormatting sqref="B128:C128">
    <cfRule type="cellIs" dxfId="15065" priority="21915" stopIfTrue="1" operator="equal">
      <formula>"Towel"</formula>
    </cfRule>
    <cfRule type="cellIs" dxfId="15064" priority="21916" stopIfTrue="1" operator="equal">
      <formula>"Napkin Hs"</formula>
    </cfRule>
  </conditionalFormatting>
  <conditionalFormatting sqref="C128">
    <cfRule type="cellIs" dxfId="15063" priority="21913" stopIfTrue="1" operator="equal">
      <formula>"Towel"</formula>
    </cfRule>
    <cfRule type="cellIs" dxfId="15062" priority="21914" stopIfTrue="1" operator="equal">
      <formula>"Napkin Hs"</formula>
    </cfRule>
  </conditionalFormatting>
  <conditionalFormatting sqref="C128">
    <cfRule type="cellIs" dxfId="15061" priority="21911" stopIfTrue="1" operator="equal">
      <formula>"Towel"</formula>
    </cfRule>
    <cfRule type="cellIs" dxfId="15060" priority="21912" stopIfTrue="1" operator="equal">
      <formula>"Napkin Hs"</formula>
    </cfRule>
  </conditionalFormatting>
  <conditionalFormatting sqref="B128:C128">
    <cfRule type="cellIs" dxfId="15059" priority="21909" stopIfTrue="1" operator="equal">
      <formula>"Towel"</formula>
    </cfRule>
    <cfRule type="cellIs" dxfId="15058" priority="21910" stopIfTrue="1" operator="equal">
      <formula>"Napkin Hs"</formula>
    </cfRule>
  </conditionalFormatting>
  <conditionalFormatting sqref="C128">
    <cfRule type="cellIs" dxfId="15057" priority="21907" stopIfTrue="1" operator="equal">
      <formula>"Towel"</formula>
    </cfRule>
    <cfRule type="cellIs" dxfId="15056" priority="21908" stopIfTrue="1" operator="equal">
      <formula>"Napkin Hs"</formula>
    </cfRule>
  </conditionalFormatting>
  <conditionalFormatting sqref="C128">
    <cfRule type="cellIs" dxfId="15055" priority="21905" stopIfTrue="1" operator="equal">
      <formula>"Towel"</formula>
    </cfRule>
    <cfRule type="cellIs" dxfId="15054" priority="21906" stopIfTrue="1" operator="equal">
      <formula>"Napkin Hs"</formula>
    </cfRule>
  </conditionalFormatting>
  <conditionalFormatting sqref="B126:C126">
    <cfRule type="cellIs" dxfId="15053" priority="21898" stopIfTrue="1" operator="equal">
      <formula>"Napkin Hs"</formula>
    </cfRule>
  </conditionalFormatting>
  <conditionalFormatting sqref="B126:C126">
    <cfRule type="cellIs" dxfId="15052" priority="21897" stopIfTrue="1" operator="equal">
      <formula>"Towel"</formula>
    </cfRule>
  </conditionalFormatting>
  <conditionalFormatting sqref="C126">
    <cfRule type="cellIs" dxfId="15051" priority="21896" stopIfTrue="1" operator="equal">
      <formula>"Napkin Hs"</formula>
    </cfRule>
  </conditionalFormatting>
  <conditionalFormatting sqref="C126">
    <cfRule type="cellIs" dxfId="15050" priority="21893" stopIfTrue="1" operator="equal">
      <formula>"Towel"</formula>
    </cfRule>
    <cfRule type="cellIs" dxfId="15049" priority="21894" stopIfTrue="1" operator="equal">
      <formula>"Napkin Hs"</formula>
    </cfRule>
  </conditionalFormatting>
  <conditionalFormatting sqref="C126">
    <cfRule type="cellIs" dxfId="15048" priority="21895" stopIfTrue="1" operator="equal">
      <formula>"Towel"</formula>
    </cfRule>
  </conditionalFormatting>
  <conditionalFormatting sqref="B126:C126">
    <cfRule type="cellIs" dxfId="15047" priority="21892" stopIfTrue="1" operator="equal">
      <formula>"Napkin Hs"</formula>
    </cfRule>
  </conditionalFormatting>
  <conditionalFormatting sqref="B126:C126">
    <cfRule type="cellIs" dxfId="15046" priority="21891" stopIfTrue="1" operator="equal">
      <formula>"Towel"</formula>
    </cfRule>
  </conditionalFormatting>
  <conditionalFormatting sqref="C126">
    <cfRule type="cellIs" dxfId="15045" priority="21890" stopIfTrue="1" operator="equal">
      <formula>"Napkin Hs"</formula>
    </cfRule>
  </conditionalFormatting>
  <conditionalFormatting sqref="C126">
    <cfRule type="cellIs" dxfId="15044" priority="21889" stopIfTrue="1" operator="equal">
      <formula>"Towel"</formula>
    </cfRule>
  </conditionalFormatting>
  <conditionalFormatting sqref="C126">
    <cfRule type="cellIs" dxfId="15043" priority="21887" stopIfTrue="1" operator="equal">
      <formula>"Towel"</formula>
    </cfRule>
    <cfRule type="cellIs" dxfId="15042" priority="21888" stopIfTrue="1" operator="equal">
      <formula>"Napkin Hs"</formula>
    </cfRule>
  </conditionalFormatting>
  <conditionalFormatting sqref="B126:C126">
    <cfRule type="cellIs" dxfId="15041" priority="21885" stopIfTrue="1" operator="equal">
      <formula>"Towel"</formula>
    </cfRule>
    <cfRule type="cellIs" dxfId="15040" priority="21886" stopIfTrue="1" operator="equal">
      <formula>"Napkin Hs"</formula>
    </cfRule>
  </conditionalFormatting>
  <conditionalFormatting sqref="C126">
    <cfRule type="cellIs" dxfId="15039" priority="21881" stopIfTrue="1" operator="equal">
      <formula>"Towel"</formula>
    </cfRule>
    <cfRule type="cellIs" dxfId="15038" priority="21882" stopIfTrue="1" operator="equal">
      <formula>"Napkin Hs"</formula>
    </cfRule>
  </conditionalFormatting>
  <conditionalFormatting sqref="C126">
    <cfRule type="cellIs" dxfId="15037" priority="21883" stopIfTrue="1" operator="equal">
      <formula>"Towel"</formula>
    </cfRule>
    <cfRule type="cellIs" dxfId="15036" priority="21884" stopIfTrue="1" operator="equal">
      <formula>"Napkin Hs"</formula>
    </cfRule>
  </conditionalFormatting>
  <conditionalFormatting sqref="B126:C126">
    <cfRule type="cellIs" dxfId="15035" priority="21880" stopIfTrue="1" operator="equal">
      <formula>"Napkin Hs"</formula>
    </cfRule>
  </conditionalFormatting>
  <conditionalFormatting sqref="B126:C126">
    <cfRule type="cellIs" dxfId="15034" priority="21879" stopIfTrue="1" operator="equal">
      <formula>"Towel"</formula>
    </cfRule>
  </conditionalFormatting>
  <conditionalFormatting sqref="C126">
    <cfRule type="cellIs" dxfId="15033" priority="21878" stopIfTrue="1" operator="equal">
      <formula>"Napkin Hs"</formula>
    </cfRule>
  </conditionalFormatting>
  <conditionalFormatting sqref="C126">
    <cfRule type="cellIs" dxfId="15032" priority="21877" stopIfTrue="1" operator="equal">
      <formula>"Towel"</formula>
    </cfRule>
  </conditionalFormatting>
  <conditionalFormatting sqref="C126">
    <cfRule type="cellIs" dxfId="15031" priority="21875" stopIfTrue="1" operator="equal">
      <formula>"Towel"</formula>
    </cfRule>
    <cfRule type="cellIs" dxfId="15030" priority="21876" stopIfTrue="1" operator="equal">
      <formula>"Napkin Hs"</formula>
    </cfRule>
  </conditionalFormatting>
  <conditionalFormatting sqref="B126:C126">
    <cfRule type="cellIs" dxfId="15029" priority="21873" stopIfTrue="1" operator="equal">
      <formula>"Towel"</formula>
    </cfRule>
    <cfRule type="cellIs" dxfId="15028" priority="21874" stopIfTrue="1" operator="equal">
      <formula>"Napkin Hs"</formula>
    </cfRule>
  </conditionalFormatting>
  <conditionalFormatting sqref="C126">
    <cfRule type="cellIs" dxfId="15027" priority="21871" stopIfTrue="1" operator="equal">
      <formula>"Towel"</formula>
    </cfRule>
    <cfRule type="cellIs" dxfId="15026" priority="21872" stopIfTrue="1" operator="equal">
      <formula>"Napkin Hs"</formula>
    </cfRule>
  </conditionalFormatting>
  <conditionalFormatting sqref="C126">
    <cfRule type="cellIs" dxfId="15025" priority="21869" stopIfTrue="1" operator="equal">
      <formula>"Towel"</formula>
    </cfRule>
    <cfRule type="cellIs" dxfId="15024" priority="21870" stopIfTrue="1" operator="equal">
      <formula>"Napkin Hs"</formula>
    </cfRule>
  </conditionalFormatting>
  <conditionalFormatting sqref="B126:C126">
    <cfRule type="cellIs" dxfId="15023" priority="21867" stopIfTrue="1" operator="equal">
      <formula>"Towel"</formula>
    </cfRule>
    <cfRule type="cellIs" dxfId="15022" priority="21868" stopIfTrue="1" operator="equal">
      <formula>"Napkin Hs"</formula>
    </cfRule>
  </conditionalFormatting>
  <conditionalFormatting sqref="C126">
    <cfRule type="cellIs" dxfId="15021" priority="21865" stopIfTrue="1" operator="equal">
      <formula>"Towel"</formula>
    </cfRule>
    <cfRule type="cellIs" dxfId="15020" priority="21866" stopIfTrue="1" operator="equal">
      <formula>"Napkin Hs"</formula>
    </cfRule>
  </conditionalFormatting>
  <conditionalFormatting sqref="C126">
    <cfRule type="cellIs" dxfId="15019" priority="21863" stopIfTrue="1" operator="equal">
      <formula>"Towel"</formula>
    </cfRule>
    <cfRule type="cellIs" dxfId="15018" priority="21864" stopIfTrue="1" operator="equal">
      <formula>"Napkin Hs"</formula>
    </cfRule>
  </conditionalFormatting>
  <conditionalFormatting sqref="B126:C126">
    <cfRule type="cellIs" dxfId="15017" priority="21861" stopIfTrue="1" operator="equal">
      <formula>"Towel"</formula>
    </cfRule>
    <cfRule type="cellIs" dxfId="15016" priority="21862" stopIfTrue="1" operator="equal">
      <formula>"Napkin Hs"</formula>
    </cfRule>
  </conditionalFormatting>
  <conditionalFormatting sqref="C126">
    <cfRule type="cellIs" dxfId="15015" priority="21859" stopIfTrue="1" operator="equal">
      <formula>"Towel"</formula>
    </cfRule>
    <cfRule type="cellIs" dxfId="15014" priority="21860" stopIfTrue="1" operator="equal">
      <formula>"Napkin Hs"</formula>
    </cfRule>
  </conditionalFormatting>
  <conditionalFormatting sqref="C126">
    <cfRule type="cellIs" dxfId="15013" priority="21857" stopIfTrue="1" operator="equal">
      <formula>"Towel"</formula>
    </cfRule>
    <cfRule type="cellIs" dxfId="15012" priority="21858" stopIfTrue="1" operator="equal">
      <formula>"Napkin Hs"</formula>
    </cfRule>
  </conditionalFormatting>
  <conditionalFormatting sqref="B126:C126">
    <cfRule type="cellIs" dxfId="15011" priority="21855" stopIfTrue="1" operator="equal">
      <formula>"Towel"</formula>
    </cfRule>
    <cfRule type="cellIs" dxfId="15010" priority="21856" stopIfTrue="1" operator="equal">
      <formula>"Napkin Hs"</formula>
    </cfRule>
  </conditionalFormatting>
  <conditionalFormatting sqref="C126">
    <cfRule type="cellIs" dxfId="15009" priority="21853" stopIfTrue="1" operator="equal">
      <formula>"Towel"</formula>
    </cfRule>
    <cfRule type="cellIs" dxfId="15008" priority="21854" stopIfTrue="1" operator="equal">
      <formula>"Napkin Hs"</formula>
    </cfRule>
  </conditionalFormatting>
  <conditionalFormatting sqref="C126">
    <cfRule type="cellIs" dxfId="15007" priority="21851" stopIfTrue="1" operator="equal">
      <formula>"Towel"</formula>
    </cfRule>
    <cfRule type="cellIs" dxfId="15006" priority="21852" stopIfTrue="1" operator="equal">
      <formula>"Napkin Hs"</formula>
    </cfRule>
  </conditionalFormatting>
  <conditionalFormatting sqref="B126:C126">
    <cfRule type="cellIs" dxfId="15005" priority="21849" stopIfTrue="1" operator="equal">
      <formula>"Towel"</formula>
    </cfRule>
    <cfRule type="cellIs" dxfId="15004" priority="21850" stopIfTrue="1" operator="equal">
      <formula>"Napkin Hs"</formula>
    </cfRule>
  </conditionalFormatting>
  <conditionalFormatting sqref="C126">
    <cfRule type="cellIs" dxfId="15003" priority="21847" stopIfTrue="1" operator="equal">
      <formula>"Towel"</formula>
    </cfRule>
    <cfRule type="cellIs" dxfId="15002" priority="21848" stopIfTrue="1" operator="equal">
      <formula>"Napkin Hs"</formula>
    </cfRule>
  </conditionalFormatting>
  <conditionalFormatting sqref="C126">
    <cfRule type="cellIs" dxfId="15001" priority="21845" stopIfTrue="1" operator="equal">
      <formula>"Towel"</formula>
    </cfRule>
    <cfRule type="cellIs" dxfId="15000" priority="21846" stopIfTrue="1" operator="equal">
      <formula>"Napkin Hs"</formula>
    </cfRule>
  </conditionalFormatting>
  <conditionalFormatting sqref="B126:C126">
    <cfRule type="cellIs" dxfId="14999" priority="21844" stopIfTrue="1" operator="equal">
      <formula>"Napkin Hs"</formula>
    </cfRule>
  </conditionalFormatting>
  <conditionalFormatting sqref="B126:C126">
    <cfRule type="cellIs" dxfId="14998" priority="21843" stopIfTrue="1" operator="equal">
      <formula>"Towel"</formula>
    </cfRule>
  </conditionalFormatting>
  <conditionalFormatting sqref="C126">
    <cfRule type="cellIs" dxfId="14997" priority="21842" stopIfTrue="1" operator="equal">
      <formula>"Napkin Hs"</formula>
    </cfRule>
  </conditionalFormatting>
  <conditionalFormatting sqref="C126">
    <cfRule type="cellIs" dxfId="14996" priority="21839" stopIfTrue="1" operator="equal">
      <formula>"Towel"</formula>
    </cfRule>
    <cfRule type="cellIs" dxfId="14995" priority="21840" stopIfTrue="1" operator="equal">
      <formula>"Napkin Hs"</formula>
    </cfRule>
  </conditionalFormatting>
  <conditionalFormatting sqref="C126">
    <cfRule type="cellIs" dxfId="14994" priority="21841" stopIfTrue="1" operator="equal">
      <formula>"Towel"</formula>
    </cfRule>
  </conditionalFormatting>
  <conditionalFormatting sqref="B127:C127">
    <cfRule type="cellIs" dxfId="14993" priority="21838" stopIfTrue="1" operator="equal">
      <formula>"Napkin Hs"</formula>
    </cfRule>
  </conditionalFormatting>
  <conditionalFormatting sqref="B127:C127">
    <cfRule type="cellIs" dxfId="14992" priority="21837" stopIfTrue="1" operator="equal">
      <formula>"Towel"</formula>
    </cfRule>
  </conditionalFormatting>
  <conditionalFormatting sqref="C127">
    <cfRule type="cellIs" dxfId="14991" priority="21836" stopIfTrue="1" operator="equal">
      <formula>"Napkin Hs"</formula>
    </cfRule>
  </conditionalFormatting>
  <conditionalFormatting sqref="C127">
    <cfRule type="cellIs" dxfId="14990" priority="21833" stopIfTrue="1" operator="equal">
      <formula>"Towel"</formula>
    </cfRule>
    <cfRule type="cellIs" dxfId="14989" priority="21834" stopIfTrue="1" operator="equal">
      <formula>"Napkin Hs"</formula>
    </cfRule>
  </conditionalFormatting>
  <conditionalFormatting sqref="C127">
    <cfRule type="cellIs" dxfId="14988" priority="21835" stopIfTrue="1" operator="equal">
      <formula>"Towel"</formula>
    </cfRule>
  </conditionalFormatting>
  <conditionalFormatting sqref="B135:C135">
    <cfRule type="cellIs" dxfId="14987" priority="21832" stopIfTrue="1" operator="equal">
      <formula>"Napkin Hs"</formula>
    </cfRule>
  </conditionalFormatting>
  <conditionalFormatting sqref="B135:C135">
    <cfRule type="cellIs" dxfId="14986" priority="21831" stopIfTrue="1" operator="equal">
      <formula>"Towel"</formula>
    </cfRule>
  </conditionalFormatting>
  <conditionalFormatting sqref="C135">
    <cfRule type="cellIs" dxfId="14985" priority="21830" stopIfTrue="1" operator="equal">
      <formula>"Napkin Hs"</formula>
    </cfRule>
  </conditionalFormatting>
  <conditionalFormatting sqref="C135">
    <cfRule type="cellIs" dxfId="14984" priority="21829" stopIfTrue="1" operator="equal">
      <formula>"Towel"</formula>
    </cfRule>
  </conditionalFormatting>
  <conditionalFormatting sqref="C135">
    <cfRule type="cellIs" dxfId="14983" priority="21827" stopIfTrue="1" operator="equal">
      <formula>"Towel"</formula>
    </cfRule>
    <cfRule type="cellIs" dxfId="14982" priority="21828" stopIfTrue="1" operator="equal">
      <formula>"Napkin Hs"</formula>
    </cfRule>
  </conditionalFormatting>
  <conditionalFormatting sqref="C134">
    <cfRule type="cellIs" dxfId="14981" priority="21823" stopIfTrue="1" operator="equal">
      <formula>"Towel"</formula>
    </cfRule>
    <cfRule type="cellIs" dxfId="14980" priority="21824" stopIfTrue="1" operator="equal">
      <formula>"Napkin Hs"</formula>
    </cfRule>
  </conditionalFormatting>
  <conditionalFormatting sqref="C134">
    <cfRule type="cellIs" dxfId="14979" priority="21821" stopIfTrue="1" operator="equal">
      <formula>"Towel"</formula>
    </cfRule>
    <cfRule type="cellIs" dxfId="14978" priority="21822" stopIfTrue="1" operator="equal">
      <formula>"Napkin Hs"</formula>
    </cfRule>
  </conditionalFormatting>
  <conditionalFormatting sqref="B134:C134">
    <cfRule type="cellIs" dxfId="14977" priority="21772" stopIfTrue="1" operator="equal">
      <formula>"Napkin Hs"</formula>
    </cfRule>
  </conditionalFormatting>
  <conditionalFormatting sqref="B134:C134">
    <cfRule type="cellIs" dxfId="14976" priority="21771" stopIfTrue="1" operator="equal">
      <formula>"Towel"</formula>
    </cfRule>
  </conditionalFormatting>
  <conditionalFormatting sqref="B134:C134">
    <cfRule type="cellIs" dxfId="14975" priority="21825" stopIfTrue="1" operator="equal">
      <formula>"Towel"</formula>
    </cfRule>
    <cfRule type="cellIs" dxfId="14974" priority="21826" stopIfTrue="1" operator="equal">
      <formula>"Napkin Hs"</formula>
    </cfRule>
  </conditionalFormatting>
  <conditionalFormatting sqref="C134">
    <cfRule type="cellIs" dxfId="14973" priority="21770" stopIfTrue="1" operator="equal">
      <formula>"Napkin Hs"</formula>
    </cfRule>
  </conditionalFormatting>
  <conditionalFormatting sqref="C134">
    <cfRule type="cellIs" dxfId="14972" priority="21769" stopIfTrue="1" operator="equal">
      <formula>"Towel"</formula>
    </cfRule>
  </conditionalFormatting>
  <conditionalFormatting sqref="C134">
    <cfRule type="cellIs" dxfId="14971" priority="21767" stopIfTrue="1" operator="equal">
      <formula>"Towel"</formula>
    </cfRule>
    <cfRule type="cellIs" dxfId="14970" priority="21768" stopIfTrue="1" operator="equal">
      <formula>"Napkin Hs"</formula>
    </cfRule>
  </conditionalFormatting>
  <conditionalFormatting sqref="B134:C134">
    <cfRule type="cellIs" dxfId="14969" priority="21820" stopIfTrue="1" operator="equal">
      <formula>"Napkin Hs"</formula>
    </cfRule>
  </conditionalFormatting>
  <conditionalFormatting sqref="B134:C134">
    <cfRule type="cellIs" dxfId="14968" priority="21819" stopIfTrue="1" operator="equal">
      <formula>"Towel"</formula>
    </cfRule>
  </conditionalFormatting>
  <conditionalFormatting sqref="C134">
    <cfRule type="cellIs" dxfId="14967" priority="21818" stopIfTrue="1" operator="equal">
      <formula>"Napkin Hs"</formula>
    </cfRule>
  </conditionalFormatting>
  <conditionalFormatting sqref="C134">
    <cfRule type="cellIs" dxfId="14966" priority="21817" stopIfTrue="1" operator="equal">
      <formula>"Towel"</formula>
    </cfRule>
  </conditionalFormatting>
  <conditionalFormatting sqref="C134">
    <cfRule type="cellIs" dxfId="14965" priority="21815" stopIfTrue="1" operator="equal">
      <formula>"Towel"</formula>
    </cfRule>
    <cfRule type="cellIs" dxfId="14964" priority="21816" stopIfTrue="1" operator="equal">
      <formula>"Napkin Hs"</formula>
    </cfRule>
  </conditionalFormatting>
  <conditionalFormatting sqref="B134:C134">
    <cfRule type="cellIs" dxfId="14963" priority="21813" stopIfTrue="1" operator="equal">
      <formula>"Towel"</formula>
    </cfRule>
    <cfRule type="cellIs" dxfId="14962" priority="21814" stopIfTrue="1" operator="equal">
      <formula>"Napkin Hs"</formula>
    </cfRule>
  </conditionalFormatting>
  <conditionalFormatting sqref="C134">
    <cfRule type="cellIs" dxfId="14961" priority="21809" stopIfTrue="1" operator="equal">
      <formula>"Towel"</formula>
    </cfRule>
    <cfRule type="cellIs" dxfId="14960" priority="21810" stopIfTrue="1" operator="equal">
      <formula>"Napkin Hs"</formula>
    </cfRule>
  </conditionalFormatting>
  <conditionalFormatting sqref="C134">
    <cfRule type="cellIs" dxfId="14959" priority="21811" stopIfTrue="1" operator="equal">
      <formula>"Towel"</formula>
    </cfRule>
    <cfRule type="cellIs" dxfId="14958" priority="21812" stopIfTrue="1" operator="equal">
      <formula>"Napkin Hs"</formula>
    </cfRule>
  </conditionalFormatting>
  <conditionalFormatting sqref="B134:C134">
    <cfRule type="cellIs" dxfId="14957" priority="21808" stopIfTrue="1" operator="equal">
      <formula>"Napkin Hs"</formula>
    </cfRule>
  </conditionalFormatting>
  <conditionalFormatting sqref="B134:C134">
    <cfRule type="cellIs" dxfId="14956" priority="21807" stopIfTrue="1" operator="equal">
      <formula>"Towel"</formula>
    </cfRule>
  </conditionalFormatting>
  <conditionalFormatting sqref="C134">
    <cfRule type="cellIs" dxfId="14955" priority="21806" stopIfTrue="1" operator="equal">
      <formula>"Napkin Hs"</formula>
    </cfRule>
  </conditionalFormatting>
  <conditionalFormatting sqref="C134">
    <cfRule type="cellIs" dxfId="14954" priority="21805" stopIfTrue="1" operator="equal">
      <formula>"Towel"</formula>
    </cfRule>
  </conditionalFormatting>
  <conditionalFormatting sqref="C134">
    <cfRule type="cellIs" dxfId="14953" priority="21803" stopIfTrue="1" operator="equal">
      <formula>"Towel"</formula>
    </cfRule>
    <cfRule type="cellIs" dxfId="14952" priority="21804" stopIfTrue="1" operator="equal">
      <formula>"Napkin Hs"</formula>
    </cfRule>
  </conditionalFormatting>
  <conditionalFormatting sqref="B134:C134">
    <cfRule type="cellIs" dxfId="14951" priority="21801" stopIfTrue="1" operator="equal">
      <formula>"Towel"</formula>
    </cfRule>
    <cfRule type="cellIs" dxfId="14950" priority="21802" stopIfTrue="1" operator="equal">
      <formula>"Napkin Hs"</formula>
    </cfRule>
  </conditionalFormatting>
  <conditionalFormatting sqref="C134">
    <cfRule type="cellIs" dxfId="14949" priority="21799" stopIfTrue="1" operator="equal">
      <formula>"Towel"</formula>
    </cfRule>
    <cfRule type="cellIs" dxfId="14948" priority="21800" stopIfTrue="1" operator="equal">
      <formula>"Napkin Hs"</formula>
    </cfRule>
  </conditionalFormatting>
  <conditionalFormatting sqref="C134">
    <cfRule type="cellIs" dxfId="14947" priority="21797" stopIfTrue="1" operator="equal">
      <formula>"Towel"</formula>
    </cfRule>
    <cfRule type="cellIs" dxfId="14946" priority="21798" stopIfTrue="1" operator="equal">
      <formula>"Napkin Hs"</formula>
    </cfRule>
  </conditionalFormatting>
  <conditionalFormatting sqref="B134:C134">
    <cfRule type="cellIs" dxfId="14945" priority="21795" stopIfTrue="1" operator="equal">
      <formula>"Towel"</formula>
    </cfRule>
    <cfRule type="cellIs" dxfId="14944" priority="21796" stopIfTrue="1" operator="equal">
      <formula>"Napkin Hs"</formula>
    </cfRule>
  </conditionalFormatting>
  <conditionalFormatting sqref="C134">
    <cfRule type="cellIs" dxfId="14943" priority="21793" stopIfTrue="1" operator="equal">
      <formula>"Towel"</formula>
    </cfRule>
    <cfRule type="cellIs" dxfId="14942" priority="21794" stopIfTrue="1" operator="equal">
      <formula>"Napkin Hs"</formula>
    </cfRule>
  </conditionalFormatting>
  <conditionalFormatting sqref="C134">
    <cfRule type="cellIs" dxfId="14941" priority="21791" stopIfTrue="1" operator="equal">
      <formula>"Towel"</formula>
    </cfRule>
    <cfRule type="cellIs" dxfId="14940" priority="21792" stopIfTrue="1" operator="equal">
      <formula>"Napkin Hs"</formula>
    </cfRule>
  </conditionalFormatting>
  <conditionalFormatting sqref="B134:C134">
    <cfRule type="cellIs" dxfId="14939" priority="21789" stopIfTrue="1" operator="equal">
      <formula>"Towel"</formula>
    </cfRule>
    <cfRule type="cellIs" dxfId="14938" priority="21790" stopIfTrue="1" operator="equal">
      <formula>"Napkin Hs"</formula>
    </cfRule>
  </conditionalFormatting>
  <conditionalFormatting sqref="C134">
    <cfRule type="cellIs" dxfId="14937" priority="21787" stopIfTrue="1" operator="equal">
      <formula>"Towel"</formula>
    </cfRule>
    <cfRule type="cellIs" dxfId="14936" priority="21788" stopIfTrue="1" operator="equal">
      <formula>"Napkin Hs"</formula>
    </cfRule>
  </conditionalFormatting>
  <conditionalFormatting sqref="C134">
    <cfRule type="cellIs" dxfId="14935" priority="21785" stopIfTrue="1" operator="equal">
      <formula>"Towel"</formula>
    </cfRule>
    <cfRule type="cellIs" dxfId="14934" priority="21786" stopIfTrue="1" operator="equal">
      <formula>"Napkin Hs"</formula>
    </cfRule>
  </conditionalFormatting>
  <conditionalFormatting sqref="B134:C134">
    <cfRule type="cellIs" dxfId="14933" priority="21783" stopIfTrue="1" operator="equal">
      <formula>"Towel"</formula>
    </cfRule>
    <cfRule type="cellIs" dxfId="14932" priority="21784" stopIfTrue="1" operator="equal">
      <formula>"Napkin Hs"</formula>
    </cfRule>
  </conditionalFormatting>
  <conditionalFormatting sqref="C134">
    <cfRule type="cellIs" dxfId="14931" priority="21781" stopIfTrue="1" operator="equal">
      <formula>"Towel"</formula>
    </cfRule>
    <cfRule type="cellIs" dxfId="14930" priority="21782" stopIfTrue="1" operator="equal">
      <formula>"Napkin Hs"</formula>
    </cfRule>
  </conditionalFormatting>
  <conditionalFormatting sqref="C134">
    <cfRule type="cellIs" dxfId="14929" priority="21779" stopIfTrue="1" operator="equal">
      <formula>"Towel"</formula>
    </cfRule>
    <cfRule type="cellIs" dxfId="14928" priority="21780" stopIfTrue="1" operator="equal">
      <formula>"Napkin Hs"</formula>
    </cfRule>
  </conditionalFormatting>
  <conditionalFormatting sqref="B134:C134">
    <cfRule type="cellIs" dxfId="14927" priority="21777" stopIfTrue="1" operator="equal">
      <formula>"Towel"</formula>
    </cfRule>
    <cfRule type="cellIs" dxfId="14926" priority="21778" stopIfTrue="1" operator="equal">
      <formula>"Napkin Hs"</formula>
    </cfRule>
  </conditionalFormatting>
  <conditionalFormatting sqref="C134">
    <cfRule type="cellIs" dxfId="14925" priority="21775" stopIfTrue="1" operator="equal">
      <formula>"Towel"</formula>
    </cfRule>
    <cfRule type="cellIs" dxfId="14924" priority="21776" stopIfTrue="1" operator="equal">
      <formula>"Napkin Hs"</formula>
    </cfRule>
  </conditionalFormatting>
  <conditionalFormatting sqref="C134">
    <cfRule type="cellIs" dxfId="14923" priority="21773" stopIfTrue="1" operator="equal">
      <formula>"Towel"</formula>
    </cfRule>
    <cfRule type="cellIs" dxfId="14922" priority="21774" stopIfTrue="1" operator="equal">
      <formula>"Napkin Hs"</formula>
    </cfRule>
  </conditionalFormatting>
  <conditionalFormatting sqref="B133:C133">
    <cfRule type="cellIs" dxfId="14921" priority="21766" stopIfTrue="1" operator="equal">
      <formula>"Napkin Hs"</formula>
    </cfRule>
  </conditionalFormatting>
  <conditionalFormatting sqref="B133:C133">
    <cfRule type="cellIs" dxfId="14920" priority="21765" stopIfTrue="1" operator="equal">
      <formula>"Towel"</formula>
    </cfRule>
  </conditionalFormatting>
  <conditionalFormatting sqref="C133">
    <cfRule type="cellIs" dxfId="14919" priority="21764" stopIfTrue="1" operator="equal">
      <formula>"Napkin Hs"</formula>
    </cfRule>
  </conditionalFormatting>
  <conditionalFormatting sqref="C133">
    <cfRule type="cellIs" dxfId="14918" priority="21761" stopIfTrue="1" operator="equal">
      <formula>"Towel"</formula>
    </cfRule>
    <cfRule type="cellIs" dxfId="14917" priority="21762" stopIfTrue="1" operator="equal">
      <formula>"Napkin Hs"</formula>
    </cfRule>
  </conditionalFormatting>
  <conditionalFormatting sqref="C133">
    <cfRule type="cellIs" dxfId="14916" priority="21763" stopIfTrue="1" operator="equal">
      <formula>"Towel"</formula>
    </cfRule>
  </conditionalFormatting>
  <conditionalFormatting sqref="B132:C132">
    <cfRule type="cellIs" dxfId="14915" priority="21760" stopIfTrue="1" operator="equal">
      <formula>"Napkin Hs"</formula>
    </cfRule>
  </conditionalFormatting>
  <conditionalFormatting sqref="B132:C132">
    <cfRule type="cellIs" dxfId="14914" priority="21759" stopIfTrue="1" operator="equal">
      <formula>"Towel"</formula>
    </cfRule>
  </conditionalFormatting>
  <conditionalFormatting sqref="C132">
    <cfRule type="cellIs" dxfId="14913" priority="21758" stopIfTrue="1" operator="equal">
      <formula>"Napkin Hs"</formula>
    </cfRule>
  </conditionalFormatting>
  <conditionalFormatting sqref="C132">
    <cfRule type="cellIs" dxfId="14912" priority="21755" stopIfTrue="1" operator="equal">
      <formula>"Towel"</formula>
    </cfRule>
    <cfRule type="cellIs" dxfId="14911" priority="21756" stopIfTrue="1" operator="equal">
      <formula>"Napkin Hs"</formula>
    </cfRule>
  </conditionalFormatting>
  <conditionalFormatting sqref="C132">
    <cfRule type="cellIs" dxfId="14910" priority="21757" stopIfTrue="1" operator="equal">
      <formula>"Towel"</formula>
    </cfRule>
  </conditionalFormatting>
  <conditionalFormatting sqref="B136:C136">
    <cfRule type="cellIs" dxfId="14909" priority="21604" stopIfTrue="1" operator="equal">
      <formula>"Napkin Hs"</formula>
    </cfRule>
  </conditionalFormatting>
  <conditionalFormatting sqref="B136:C136">
    <cfRule type="cellIs" dxfId="14908" priority="21603" stopIfTrue="1" operator="equal">
      <formula>"Towel"</formula>
    </cfRule>
  </conditionalFormatting>
  <conditionalFormatting sqref="C136">
    <cfRule type="cellIs" dxfId="14907" priority="21602" stopIfTrue="1" operator="equal">
      <formula>"Napkin Hs"</formula>
    </cfRule>
  </conditionalFormatting>
  <conditionalFormatting sqref="C136">
    <cfRule type="cellIs" dxfId="14906" priority="21599" stopIfTrue="1" operator="equal">
      <formula>"Towel"</formula>
    </cfRule>
    <cfRule type="cellIs" dxfId="14905" priority="21600" stopIfTrue="1" operator="equal">
      <formula>"Napkin Hs"</formula>
    </cfRule>
  </conditionalFormatting>
  <conditionalFormatting sqref="C136">
    <cfRule type="cellIs" dxfId="14904" priority="21601" stopIfTrue="1" operator="equal">
      <formula>"Towel"</formula>
    </cfRule>
  </conditionalFormatting>
  <conditionalFormatting sqref="B12:C12">
    <cfRule type="cellIs" dxfId="14903" priority="20438" stopIfTrue="1" operator="equal">
      <formula>"Napkin Hs"</formula>
    </cfRule>
  </conditionalFormatting>
  <conditionalFormatting sqref="B12:C12">
    <cfRule type="cellIs" dxfId="14902" priority="20437" stopIfTrue="1" operator="equal">
      <formula>"Towel"</formula>
    </cfRule>
  </conditionalFormatting>
  <conditionalFormatting sqref="C12">
    <cfRule type="cellIs" dxfId="14901" priority="20436" stopIfTrue="1" operator="equal">
      <formula>"Napkin Hs"</formula>
    </cfRule>
  </conditionalFormatting>
  <conditionalFormatting sqref="C12">
    <cfRule type="cellIs" dxfId="14900" priority="20433" stopIfTrue="1" operator="equal">
      <formula>"Towel"</formula>
    </cfRule>
    <cfRule type="cellIs" dxfId="14899" priority="20434" stopIfTrue="1" operator="equal">
      <formula>"Napkin Hs"</formula>
    </cfRule>
  </conditionalFormatting>
  <conditionalFormatting sqref="C12">
    <cfRule type="cellIs" dxfId="14898" priority="20435" stopIfTrue="1" operator="equal">
      <formula>"Towel"</formula>
    </cfRule>
  </conditionalFormatting>
  <conditionalFormatting sqref="B10:C11">
    <cfRule type="cellIs" dxfId="14897" priority="20432" stopIfTrue="1" operator="equal">
      <formula>"Napkin Hs"</formula>
    </cfRule>
  </conditionalFormatting>
  <conditionalFormatting sqref="B10:C11">
    <cfRule type="cellIs" dxfId="14896" priority="20431" stopIfTrue="1" operator="equal">
      <formula>"Towel"</formula>
    </cfRule>
  </conditionalFormatting>
  <conditionalFormatting sqref="C10:C11">
    <cfRule type="cellIs" dxfId="14895" priority="20430" stopIfTrue="1" operator="equal">
      <formula>"Napkin Hs"</formula>
    </cfRule>
  </conditionalFormatting>
  <conditionalFormatting sqref="C10:C11">
    <cfRule type="cellIs" dxfId="14894" priority="20429" stopIfTrue="1" operator="equal">
      <formula>"Towel"</formula>
    </cfRule>
  </conditionalFormatting>
  <conditionalFormatting sqref="C10:C11">
    <cfRule type="cellIs" dxfId="14893" priority="20427" stopIfTrue="1" operator="equal">
      <formula>"Towel"</formula>
    </cfRule>
    <cfRule type="cellIs" dxfId="14892" priority="20428" stopIfTrue="1" operator="equal">
      <formula>"Napkin Hs"</formula>
    </cfRule>
  </conditionalFormatting>
  <conditionalFormatting sqref="C9">
    <cfRule type="cellIs" dxfId="14891" priority="20423" stopIfTrue="1" operator="equal">
      <formula>"Towel"</formula>
    </cfRule>
    <cfRule type="cellIs" dxfId="14890" priority="20424" stopIfTrue="1" operator="equal">
      <formula>"Napkin Hs"</formula>
    </cfRule>
  </conditionalFormatting>
  <conditionalFormatting sqref="C9">
    <cfRule type="cellIs" dxfId="14889" priority="20421" stopIfTrue="1" operator="equal">
      <formula>"Towel"</formula>
    </cfRule>
    <cfRule type="cellIs" dxfId="14888" priority="20422" stopIfTrue="1" operator="equal">
      <formula>"Napkin Hs"</formula>
    </cfRule>
  </conditionalFormatting>
  <conditionalFormatting sqref="B9:C9">
    <cfRule type="cellIs" dxfId="14887" priority="20372" stopIfTrue="1" operator="equal">
      <formula>"Napkin Hs"</formula>
    </cfRule>
  </conditionalFormatting>
  <conditionalFormatting sqref="B9:C9">
    <cfRule type="cellIs" dxfId="14886" priority="20371" stopIfTrue="1" operator="equal">
      <formula>"Towel"</formula>
    </cfRule>
  </conditionalFormatting>
  <conditionalFormatting sqref="B9:C9">
    <cfRule type="cellIs" dxfId="14885" priority="20425" stopIfTrue="1" operator="equal">
      <formula>"Towel"</formula>
    </cfRule>
    <cfRule type="cellIs" dxfId="14884" priority="20426" stopIfTrue="1" operator="equal">
      <formula>"Napkin Hs"</formula>
    </cfRule>
  </conditionalFormatting>
  <conditionalFormatting sqref="C9">
    <cfRule type="cellIs" dxfId="14883" priority="20370" stopIfTrue="1" operator="equal">
      <formula>"Napkin Hs"</formula>
    </cfRule>
  </conditionalFormatting>
  <conditionalFormatting sqref="C9">
    <cfRule type="cellIs" dxfId="14882" priority="20369" stopIfTrue="1" operator="equal">
      <formula>"Towel"</formula>
    </cfRule>
  </conditionalFormatting>
  <conditionalFormatting sqref="C9">
    <cfRule type="cellIs" dxfId="14881" priority="20367" stopIfTrue="1" operator="equal">
      <formula>"Towel"</formula>
    </cfRule>
    <cfRule type="cellIs" dxfId="14880" priority="20368" stopIfTrue="1" operator="equal">
      <formula>"Napkin Hs"</formula>
    </cfRule>
  </conditionalFormatting>
  <conditionalFormatting sqref="B9:C9">
    <cfRule type="cellIs" dxfId="14879" priority="20420" stopIfTrue="1" operator="equal">
      <formula>"Napkin Hs"</formula>
    </cfRule>
  </conditionalFormatting>
  <conditionalFormatting sqref="B9:C9">
    <cfRule type="cellIs" dxfId="14878" priority="20419" stopIfTrue="1" operator="equal">
      <formula>"Towel"</formula>
    </cfRule>
  </conditionalFormatting>
  <conditionalFormatting sqref="C9">
    <cfRule type="cellIs" dxfId="14877" priority="20418" stopIfTrue="1" operator="equal">
      <formula>"Napkin Hs"</formula>
    </cfRule>
  </conditionalFormatting>
  <conditionalFormatting sqref="C9">
    <cfRule type="cellIs" dxfId="14876" priority="20417" stopIfTrue="1" operator="equal">
      <formula>"Towel"</formula>
    </cfRule>
  </conditionalFormatting>
  <conditionalFormatting sqref="C9">
    <cfRule type="cellIs" dxfId="14875" priority="20415" stopIfTrue="1" operator="equal">
      <formula>"Towel"</formula>
    </cfRule>
    <cfRule type="cellIs" dxfId="14874" priority="20416" stopIfTrue="1" operator="equal">
      <formula>"Napkin Hs"</formula>
    </cfRule>
  </conditionalFormatting>
  <conditionalFormatting sqref="B9:C9">
    <cfRule type="cellIs" dxfId="14873" priority="20413" stopIfTrue="1" operator="equal">
      <formula>"Towel"</formula>
    </cfRule>
    <cfRule type="cellIs" dxfId="14872" priority="20414" stopIfTrue="1" operator="equal">
      <formula>"Napkin Hs"</formula>
    </cfRule>
  </conditionalFormatting>
  <conditionalFormatting sqref="C9">
    <cfRule type="cellIs" dxfId="14871" priority="20409" stopIfTrue="1" operator="equal">
      <formula>"Towel"</formula>
    </cfRule>
    <cfRule type="cellIs" dxfId="14870" priority="20410" stopIfTrue="1" operator="equal">
      <formula>"Napkin Hs"</formula>
    </cfRule>
  </conditionalFormatting>
  <conditionalFormatting sqref="C9">
    <cfRule type="cellIs" dxfId="14869" priority="20411" stopIfTrue="1" operator="equal">
      <formula>"Towel"</formula>
    </cfRule>
    <cfRule type="cellIs" dxfId="14868" priority="20412" stopIfTrue="1" operator="equal">
      <formula>"Napkin Hs"</formula>
    </cfRule>
  </conditionalFormatting>
  <conditionalFormatting sqref="B9:C9">
    <cfRule type="cellIs" dxfId="14867" priority="20408" stopIfTrue="1" operator="equal">
      <formula>"Napkin Hs"</formula>
    </cfRule>
  </conditionalFormatting>
  <conditionalFormatting sqref="B9:C9">
    <cfRule type="cellIs" dxfId="14866" priority="20407" stopIfTrue="1" operator="equal">
      <formula>"Towel"</formula>
    </cfRule>
  </conditionalFormatting>
  <conditionalFormatting sqref="C9">
    <cfRule type="cellIs" dxfId="14865" priority="20406" stopIfTrue="1" operator="equal">
      <formula>"Napkin Hs"</formula>
    </cfRule>
  </conditionalFormatting>
  <conditionalFormatting sqref="C9">
    <cfRule type="cellIs" dxfId="14864" priority="20405" stopIfTrue="1" operator="equal">
      <formula>"Towel"</formula>
    </cfRule>
  </conditionalFormatting>
  <conditionalFormatting sqref="C9">
    <cfRule type="cellIs" dxfId="14863" priority="20403" stopIfTrue="1" operator="equal">
      <formula>"Towel"</formula>
    </cfRule>
    <cfRule type="cellIs" dxfId="14862" priority="20404" stopIfTrue="1" operator="equal">
      <formula>"Napkin Hs"</formula>
    </cfRule>
  </conditionalFormatting>
  <conditionalFormatting sqref="B9:C9">
    <cfRule type="cellIs" dxfId="14861" priority="20401" stopIfTrue="1" operator="equal">
      <formula>"Towel"</formula>
    </cfRule>
    <cfRule type="cellIs" dxfId="14860" priority="20402" stopIfTrue="1" operator="equal">
      <formula>"Napkin Hs"</formula>
    </cfRule>
  </conditionalFormatting>
  <conditionalFormatting sqref="C9">
    <cfRule type="cellIs" dxfId="14859" priority="20399" stopIfTrue="1" operator="equal">
      <formula>"Towel"</formula>
    </cfRule>
    <cfRule type="cellIs" dxfId="14858" priority="20400" stopIfTrue="1" operator="equal">
      <formula>"Napkin Hs"</formula>
    </cfRule>
  </conditionalFormatting>
  <conditionalFormatting sqref="C9">
    <cfRule type="cellIs" dxfId="14857" priority="20397" stopIfTrue="1" operator="equal">
      <formula>"Towel"</formula>
    </cfRule>
    <cfRule type="cellIs" dxfId="14856" priority="20398" stopIfTrue="1" operator="equal">
      <formula>"Napkin Hs"</formula>
    </cfRule>
  </conditionalFormatting>
  <conditionalFormatting sqref="B9:C9">
    <cfRule type="cellIs" dxfId="14855" priority="20395" stopIfTrue="1" operator="equal">
      <formula>"Towel"</formula>
    </cfRule>
    <cfRule type="cellIs" dxfId="14854" priority="20396" stopIfTrue="1" operator="equal">
      <formula>"Napkin Hs"</formula>
    </cfRule>
  </conditionalFormatting>
  <conditionalFormatting sqref="C9">
    <cfRule type="cellIs" dxfId="14853" priority="20393" stopIfTrue="1" operator="equal">
      <formula>"Towel"</formula>
    </cfRule>
    <cfRule type="cellIs" dxfId="14852" priority="20394" stopIfTrue="1" operator="equal">
      <formula>"Napkin Hs"</formula>
    </cfRule>
  </conditionalFormatting>
  <conditionalFormatting sqref="C9">
    <cfRule type="cellIs" dxfId="14851" priority="20391" stopIfTrue="1" operator="equal">
      <formula>"Towel"</formula>
    </cfRule>
    <cfRule type="cellIs" dxfId="14850" priority="20392" stopIfTrue="1" operator="equal">
      <formula>"Napkin Hs"</formula>
    </cfRule>
  </conditionalFormatting>
  <conditionalFormatting sqref="B9:C9">
    <cfRule type="cellIs" dxfId="14849" priority="20389" stopIfTrue="1" operator="equal">
      <formula>"Towel"</formula>
    </cfRule>
    <cfRule type="cellIs" dxfId="14848" priority="20390" stopIfTrue="1" operator="equal">
      <formula>"Napkin Hs"</formula>
    </cfRule>
  </conditionalFormatting>
  <conditionalFormatting sqref="C9">
    <cfRule type="cellIs" dxfId="14847" priority="20387" stopIfTrue="1" operator="equal">
      <formula>"Towel"</formula>
    </cfRule>
    <cfRule type="cellIs" dxfId="14846" priority="20388" stopIfTrue="1" operator="equal">
      <formula>"Napkin Hs"</formula>
    </cfRule>
  </conditionalFormatting>
  <conditionalFormatting sqref="C9">
    <cfRule type="cellIs" dxfId="14845" priority="20385" stopIfTrue="1" operator="equal">
      <formula>"Towel"</formula>
    </cfRule>
    <cfRule type="cellIs" dxfId="14844" priority="20386" stopIfTrue="1" operator="equal">
      <formula>"Napkin Hs"</formula>
    </cfRule>
  </conditionalFormatting>
  <conditionalFormatting sqref="B9:C9">
    <cfRule type="cellIs" dxfId="14843" priority="20383" stopIfTrue="1" operator="equal">
      <formula>"Towel"</formula>
    </cfRule>
    <cfRule type="cellIs" dxfId="14842" priority="20384" stopIfTrue="1" operator="equal">
      <formula>"Napkin Hs"</formula>
    </cfRule>
  </conditionalFormatting>
  <conditionalFormatting sqref="C9">
    <cfRule type="cellIs" dxfId="14841" priority="20381" stopIfTrue="1" operator="equal">
      <formula>"Towel"</formula>
    </cfRule>
    <cfRule type="cellIs" dxfId="14840" priority="20382" stopIfTrue="1" operator="equal">
      <formula>"Napkin Hs"</formula>
    </cfRule>
  </conditionalFormatting>
  <conditionalFormatting sqref="C9">
    <cfRule type="cellIs" dxfId="14839" priority="20379" stopIfTrue="1" operator="equal">
      <formula>"Towel"</formula>
    </cfRule>
    <cfRule type="cellIs" dxfId="14838" priority="20380" stopIfTrue="1" operator="equal">
      <formula>"Napkin Hs"</formula>
    </cfRule>
  </conditionalFormatting>
  <conditionalFormatting sqref="B9:C9">
    <cfRule type="cellIs" dxfId="14837" priority="20377" stopIfTrue="1" operator="equal">
      <formula>"Towel"</formula>
    </cfRule>
    <cfRule type="cellIs" dxfId="14836" priority="20378" stopIfTrue="1" operator="equal">
      <formula>"Napkin Hs"</formula>
    </cfRule>
  </conditionalFormatting>
  <conditionalFormatting sqref="C9">
    <cfRule type="cellIs" dxfId="14835" priority="20375" stopIfTrue="1" operator="equal">
      <formula>"Towel"</formula>
    </cfRule>
    <cfRule type="cellIs" dxfId="14834" priority="20376" stopIfTrue="1" operator="equal">
      <formula>"Napkin Hs"</formula>
    </cfRule>
  </conditionalFormatting>
  <conditionalFormatting sqref="C9">
    <cfRule type="cellIs" dxfId="14833" priority="20373" stopIfTrue="1" operator="equal">
      <formula>"Towel"</formula>
    </cfRule>
    <cfRule type="cellIs" dxfId="14832" priority="20374" stopIfTrue="1" operator="equal">
      <formula>"Napkin Hs"</formula>
    </cfRule>
  </conditionalFormatting>
  <conditionalFormatting sqref="C8">
    <cfRule type="cellIs" dxfId="14831" priority="20353" stopIfTrue="1" operator="equal">
      <formula>"Towel"</formula>
    </cfRule>
    <cfRule type="cellIs" dxfId="14830" priority="20354" stopIfTrue="1" operator="equal">
      <formula>"Napkin Hs"</formula>
    </cfRule>
  </conditionalFormatting>
  <conditionalFormatting sqref="C8">
    <cfRule type="cellIs" dxfId="14829" priority="20351" stopIfTrue="1" operator="equal">
      <formula>"Towel"</formula>
    </cfRule>
    <cfRule type="cellIs" dxfId="14828" priority="20352" stopIfTrue="1" operator="equal">
      <formula>"Napkin Hs"</formula>
    </cfRule>
  </conditionalFormatting>
  <conditionalFormatting sqref="C8">
    <cfRule type="cellIs" dxfId="14827" priority="20349" stopIfTrue="1" operator="equal">
      <formula>"Towel"</formula>
    </cfRule>
    <cfRule type="cellIs" dxfId="14826" priority="20350" stopIfTrue="1" operator="equal">
      <formula>"Napkin Hs"</formula>
    </cfRule>
  </conditionalFormatting>
  <conditionalFormatting sqref="C8">
    <cfRule type="cellIs" dxfId="14825" priority="20348" stopIfTrue="1" operator="equal">
      <formula>"Napkin Hs"</formula>
    </cfRule>
  </conditionalFormatting>
  <conditionalFormatting sqref="C8">
    <cfRule type="cellIs" dxfId="14824" priority="20347" stopIfTrue="1" operator="equal">
      <formula>"Towel"</formula>
    </cfRule>
  </conditionalFormatting>
  <conditionalFormatting sqref="C8">
    <cfRule type="cellIs" dxfId="14823" priority="20346" stopIfTrue="1" operator="equal">
      <formula>"Napkin Hs"</formula>
    </cfRule>
  </conditionalFormatting>
  <conditionalFormatting sqref="C8">
    <cfRule type="cellIs" dxfId="14822" priority="20345" stopIfTrue="1" operator="equal">
      <formula>"Towel"</formula>
    </cfRule>
  </conditionalFormatting>
  <conditionalFormatting sqref="C8">
    <cfRule type="cellIs" dxfId="14821" priority="20343" stopIfTrue="1" operator="equal">
      <formula>"Towel"</formula>
    </cfRule>
    <cfRule type="cellIs" dxfId="14820" priority="20344" stopIfTrue="1" operator="equal">
      <formula>"Napkin Hs"</formula>
    </cfRule>
  </conditionalFormatting>
  <conditionalFormatting sqref="C8">
    <cfRule type="cellIs" dxfId="14819" priority="20341" stopIfTrue="1" operator="equal">
      <formula>"Towel"</formula>
    </cfRule>
    <cfRule type="cellIs" dxfId="14818" priority="20342" stopIfTrue="1" operator="equal">
      <formula>"Napkin Hs"</formula>
    </cfRule>
  </conditionalFormatting>
  <conditionalFormatting sqref="C8">
    <cfRule type="cellIs" dxfId="14817" priority="20337" stopIfTrue="1" operator="equal">
      <formula>"Towel"</formula>
    </cfRule>
    <cfRule type="cellIs" dxfId="14816" priority="20338" stopIfTrue="1" operator="equal">
      <formula>"Napkin Hs"</formula>
    </cfRule>
  </conditionalFormatting>
  <conditionalFormatting sqref="C8">
    <cfRule type="cellIs" dxfId="14815" priority="20339" stopIfTrue="1" operator="equal">
      <formula>"Towel"</formula>
    </cfRule>
    <cfRule type="cellIs" dxfId="14814" priority="20340" stopIfTrue="1" operator="equal">
      <formula>"Napkin Hs"</formula>
    </cfRule>
  </conditionalFormatting>
  <conditionalFormatting sqref="C8">
    <cfRule type="cellIs" dxfId="14813" priority="20331" stopIfTrue="1" operator="equal">
      <formula>"Towel"</formula>
    </cfRule>
    <cfRule type="cellIs" dxfId="14812" priority="20332" stopIfTrue="1" operator="equal">
      <formula>"Napkin Hs"</formula>
    </cfRule>
  </conditionalFormatting>
  <conditionalFormatting sqref="C8">
    <cfRule type="cellIs" dxfId="14811" priority="20329" stopIfTrue="1" operator="equal">
      <formula>"Towel"</formula>
    </cfRule>
    <cfRule type="cellIs" dxfId="14810" priority="20330" stopIfTrue="1" operator="equal">
      <formula>"Napkin Hs"</formula>
    </cfRule>
  </conditionalFormatting>
  <conditionalFormatting sqref="C8">
    <cfRule type="cellIs" dxfId="14809" priority="20327" stopIfTrue="1" operator="equal">
      <formula>"Towel"</formula>
    </cfRule>
    <cfRule type="cellIs" dxfId="14808" priority="20328" stopIfTrue="1" operator="equal">
      <formula>"Napkin Hs"</formula>
    </cfRule>
  </conditionalFormatting>
  <conditionalFormatting sqref="C8">
    <cfRule type="cellIs" dxfId="14807" priority="20325" stopIfTrue="1" operator="equal">
      <formula>"Towel"</formula>
    </cfRule>
    <cfRule type="cellIs" dxfId="14806" priority="20326" stopIfTrue="1" operator="equal">
      <formula>"Napkin Hs"</formula>
    </cfRule>
  </conditionalFormatting>
  <conditionalFormatting sqref="C8">
    <cfRule type="cellIs" dxfId="14805" priority="20323" stopIfTrue="1" operator="equal">
      <formula>"Towel"</formula>
    </cfRule>
    <cfRule type="cellIs" dxfId="14804" priority="20324" stopIfTrue="1" operator="equal">
      <formula>"Napkin Hs"</formula>
    </cfRule>
  </conditionalFormatting>
  <conditionalFormatting sqref="C8">
    <cfRule type="cellIs" dxfId="14803" priority="20321" stopIfTrue="1" operator="equal">
      <formula>"Towel"</formula>
    </cfRule>
    <cfRule type="cellIs" dxfId="14802" priority="20322" stopIfTrue="1" operator="equal">
      <formula>"Napkin Hs"</formula>
    </cfRule>
  </conditionalFormatting>
  <conditionalFormatting sqref="C8">
    <cfRule type="cellIs" dxfId="14801" priority="20319" stopIfTrue="1" operator="equal">
      <formula>"Towel"</formula>
    </cfRule>
    <cfRule type="cellIs" dxfId="14800" priority="20320" stopIfTrue="1" operator="equal">
      <formula>"Napkin Hs"</formula>
    </cfRule>
  </conditionalFormatting>
  <conditionalFormatting sqref="C8">
    <cfRule type="cellIs" dxfId="14799" priority="20317" stopIfTrue="1" operator="equal">
      <formula>"Towel"</formula>
    </cfRule>
    <cfRule type="cellIs" dxfId="14798" priority="20318" stopIfTrue="1" operator="equal">
      <formula>"Napkin Hs"</formula>
    </cfRule>
  </conditionalFormatting>
  <conditionalFormatting sqref="C8">
    <cfRule type="cellIs" dxfId="14797" priority="20315" stopIfTrue="1" operator="equal">
      <formula>"Towel"</formula>
    </cfRule>
    <cfRule type="cellIs" dxfId="14796" priority="20316" stopIfTrue="1" operator="equal">
      <formula>"Napkin Hs"</formula>
    </cfRule>
  </conditionalFormatting>
  <conditionalFormatting sqref="C8">
    <cfRule type="cellIs" dxfId="14795" priority="20313" stopIfTrue="1" operator="equal">
      <formula>"Towel"</formula>
    </cfRule>
    <cfRule type="cellIs" dxfId="14794" priority="20314" stopIfTrue="1" operator="equal">
      <formula>"Napkin Hs"</formula>
    </cfRule>
  </conditionalFormatting>
  <conditionalFormatting sqref="C8">
    <cfRule type="cellIs" dxfId="14793" priority="20307" stopIfTrue="1" operator="equal">
      <formula>"Towel"</formula>
    </cfRule>
    <cfRule type="cellIs" dxfId="14792" priority="20308" stopIfTrue="1" operator="equal">
      <formula>"Napkin Hs"</formula>
    </cfRule>
  </conditionalFormatting>
  <conditionalFormatting sqref="C8">
    <cfRule type="cellIs" dxfId="14791" priority="20301" stopIfTrue="1" operator="equal">
      <formula>"Towel"</formula>
    </cfRule>
    <cfRule type="cellIs" dxfId="14790" priority="20302" stopIfTrue="1" operator="equal">
      <formula>"Napkin Hs"</formula>
    </cfRule>
  </conditionalFormatting>
  <conditionalFormatting sqref="C8">
    <cfRule type="cellIs" dxfId="14789" priority="20295" stopIfTrue="1" operator="equal">
      <formula>"Towel"</formula>
    </cfRule>
    <cfRule type="cellIs" dxfId="14788" priority="20296" stopIfTrue="1" operator="equal">
      <formula>"Napkin Hs"</formula>
    </cfRule>
  </conditionalFormatting>
  <conditionalFormatting sqref="C8">
    <cfRule type="cellIs" dxfId="14787" priority="20294" stopIfTrue="1" operator="equal">
      <formula>"Napkin Hs"</formula>
    </cfRule>
  </conditionalFormatting>
  <conditionalFormatting sqref="C8">
    <cfRule type="cellIs" dxfId="14786" priority="20293" stopIfTrue="1" operator="equal">
      <formula>"Towel"</formula>
    </cfRule>
  </conditionalFormatting>
  <conditionalFormatting sqref="C8">
    <cfRule type="cellIs" dxfId="14785" priority="20292" stopIfTrue="1" operator="equal">
      <formula>"Napkin Hs"</formula>
    </cfRule>
  </conditionalFormatting>
  <conditionalFormatting sqref="C8">
    <cfRule type="cellIs" dxfId="14784" priority="20291" stopIfTrue="1" operator="equal">
      <formula>"Towel"</formula>
    </cfRule>
  </conditionalFormatting>
  <conditionalFormatting sqref="C8">
    <cfRule type="cellIs" dxfId="14783" priority="20289" stopIfTrue="1" operator="equal">
      <formula>"Towel"</formula>
    </cfRule>
    <cfRule type="cellIs" dxfId="14782" priority="20290" stopIfTrue="1" operator="equal">
      <formula>"Napkin Hs"</formula>
    </cfRule>
  </conditionalFormatting>
  <conditionalFormatting sqref="C8">
    <cfRule type="cellIs" dxfId="14781" priority="20287" stopIfTrue="1" operator="equal">
      <formula>"Towel"</formula>
    </cfRule>
    <cfRule type="cellIs" dxfId="14780" priority="20288" stopIfTrue="1" operator="equal">
      <formula>"Napkin Hs"</formula>
    </cfRule>
  </conditionalFormatting>
  <conditionalFormatting sqref="C8">
    <cfRule type="cellIs" dxfId="14779" priority="20283" stopIfTrue="1" operator="equal">
      <formula>"Towel"</formula>
    </cfRule>
    <cfRule type="cellIs" dxfId="14778" priority="20284" stopIfTrue="1" operator="equal">
      <formula>"Napkin Hs"</formula>
    </cfRule>
  </conditionalFormatting>
  <conditionalFormatting sqref="C8">
    <cfRule type="cellIs" dxfId="14777" priority="20285" stopIfTrue="1" operator="equal">
      <formula>"Towel"</formula>
    </cfRule>
    <cfRule type="cellIs" dxfId="14776" priority="20286" stopIfTrue="1" operator="equal">
      <formula>"Napkin Hs"</formula>
    </cfRule>
  </conditionalFormatting>
  <conditionalFormatting sqref="C8">
    <cfRule type="cellIs" dxfId="14775" priority="20277" stopIfTrue="1" operator="equal">
      <formula>"Towel"</formula>
    </cfRule>
    <cfRule type="cellIs" dxfId="14774" priority="20278" stopIfTrue="1" operator="equal">
      <formula>"Napkin Hs"</formula>
    </cfRule>
  </conditionalFormatting>
  <conditionalFormatting sqref="C8">
    <cfRule type="cellIs" dxfId="14773" priority="20275" stopIfTrue="1" operator="equal">
      <formula>"Towel"</formula>
    </cfRule>
    <cfRule type="cellIs" dxfId="14772" priority="20276" stopIfTrue="1" operator="equal">
      <formula>"Napkin Hs"</formula>
    </cfRule>
  </conditionalFormatting>
  <conditionalFormatting sqref="C8">
    <cfRule type="cellIs" dxfId="14771" priority="20273" stopIfTrue="1" operator="equal">
      <formula>"Towel"</formula>
    </cfRule>
    <cfRule type="cellIs" dxfId="14770" priority="20274" stopIfTrue="1" operator="equal">
      <formula>"Napkin Hs"</formula>
    </cfRule>
  </conditionalFormatting>
  <conditionalFormatting sqref="C8">
    <cfRule type="cellIs" dxfId="14769" priority="20271" stopIfTrue="1" operator="equal">
      <formula>"Towel"</formula>
    </cfRule>
    <cfRule type="cellIs" dxfId="14768" priority="20272" stopIfTrue="1" operator="equal">
      <formula>"Napkin Hs"</formula>
    </cfRule>
  </conditionalFormatting>
  <conditionalFormatting sqref="C8">
    <cfRule type="cellIs" dxfId="14767" priority="20269" stopIfTrue="1" operator="equal">
      <formula>"Towel"</formula>
    </cfRule>
    <cfRule type="cellIs" dxfId="14766" priority="20270" stopIfTrue="1" operator="equal">
      <formula>"Napkin Hs"</formula>
    </cfRule>
  </conditionalFormatting>
  <conditionalFormatting sqref="C8">
    <cfRule type="cellIs" dxfId="14765" priority="20267" stopIfTrue="1" operator="equal">
      <formula>"Towel"</formula>
    </cfRule>
    <cfRule type="cellIs" dxfId="14764" priority="20268" stopIfTrue="1" operator="equal">
      <formula>"Napkin Hs"</formula>
    </cfRule>
  </conditionalFormatting>
  <conditionalFormatting sqref="C8">
    <cfRule type="cellIs" dxfId="14763" priority="20265" stopIfTrue="1" operator="equal">
      <formula>"Towel"</formula>
    </cfRule>
    <cfRule type="cellIs" dxfId="14762" priority="20266" stopIfTrue="1" operator="equal">
      <formula>"Napkin Hs"</formula>
    </cfRule>
  </conditionalFormatting>
  <conditionalFormatting sqref="C8">
    <cfRule type="cellIs" dxfId="14761" priority="20263" stopIfTrue="1" operator="equal">
      <formula>"Towel"</formula>
    </cfRule>
    <cfRule type="cellIs" dxfId="14760" priority="20264" stopIfTrue="1" operator="equal">
      <formula>"Napkin Hs"</formula>
    </cfRule>
  </conditionalFormatting>
  <conditionalFormatting sqref="C8">
    <cfRule type="cellIs" dxfId="14759" priority="20261" stopIfTrue="1" operator="equal">
      <formula>"Towel"</formula>
    </cfRule>
    <cfRule type="cellIs" dxfId="14758" priority="20262" stopIfTrue="1" operator="equal">
      <formula>"Napkin Hs"</formula>
    </cfRule>
  </conditionalFormatting>
  <conditionalFormatting sqref="C8">
    <cfRule type="cellIs" dxfId="14757" priority="20259" stopIfTrue="1" operator="equal">
      <formula>"Towel"</formula>
    </cfRule>
    <cfRule type="cellIs" dxfId="14756" priority="20260" stopIfTrue="1" operator="equal">
      <formula>"Napkin Hs"</formula>
    </cfRule>
  </conditionalFormatting>
  <conditionalFormatting sqref="C8">
    <cfRule type="cellIs" dxfId="14755" priority="20253" stopIfTrue="1" operator="equal">
      <formula>"Towel"</formula>
    </cfRule>
    <cfRule type="cellIs" dxfId="14754" priority="20254" stopIfTrue="1" operator="equal">
      <formula>"Napkin Hs"</formula>
    </cfRule>
  </conditionalFormatting>
  <conditionalFormatting sqref="C8">
    <cfRule type="cellIs" dxfId="14753" priority="20247" stopIfTrue="1" operator="equal">
      <formula>"Towel"</formula>
    </cfRule>
    <cfRule type="cellIs" dxfId="14752" priority="20248" stopIfTrue="1" operator="equal">
      <formula>"Napkin Hs"</formula>
    </cfRule>
  </conditionalFormatting>
  <conditionalFormatting sqref="C8">
    <cfRule type="cellIs" dxfId="14751" priority="20246" stopIfTrue="1" operator="equal">
      <formula>"Napkin Hs"</formula>
    </cfRule>
  </conditionalFormatting>
  <conditionalFormatting sqref="C8">
    <cfRule type="cellIs" dxfId="14750" priority="20245" stopIfTrue="1" operator="equal">
      <formula>"Towel"</formula>
    </cfRule>
  </conditionalFormatting>
  <conditionalFormatting sqref="C8">
    <cfRule type="cellIs" dxfId="14749" priority="20244" stopIfTrue="1" operator="equal">
      <formula>"Napkin Hs"</formula>
    </cfRule>
  </conditionalFormatting>
  <conditionalFormatting sqref="C8">
    <cfRule type="cellIs" dxfId="14748" priority="20241" stopIfTrue="1" operator="equal">
      <formula>"Towel"</formula>
    </cfRule>
    <cfRule type="cellIs" dxfId="14747" priority="20242" stopIfTrue="1" operator="equal">
      <formula>"Napkin Hs"</formula>
    </cfRule>
  </conditionalFormatting>
  <conditionalFormatting sqref="C8">
    <cfRule type="cellIs" dxfId="14746" priority="20243" stopIfTrue="1" operator="equal">
      <formula>"Towel"</formula>
    </cfRule>
  </conditionalFormatting>
  <conditionalFormatting sqref="C8">
    <cfRule type="cellIs" dxfId="14745" priority="20361" stopIfTrue="1" operator="equal">
      <formula>"Towel"</formula>
    </cfRule>
    <cfRule type="cellIs" dxfId="14744" priority="20362" stopIfTrue="1" operator="equal">
      <formula>"Napkin Hs"</formula>
    </cfRule>
  </conditionalFormatting>
  <conditionalFormatting sqref="C8">
    <cfRule type="cellIs" dxfId="14743" priority="20360" stopIfTrue="1" operator="equal">
      <formula>"Napkin Hs"</formula>
    </cfRule>
  </conditionalFormatting>
  <conditionalFormatting sqref="C8">
    <cfRule type="cellIs" dxfId="14742" priority="20359" stopIfTrue="1" operator="equal">
      <formula>"Towel"</formula>
    </cfRule>
  </conditionalFormatting>
  <conditionalFormatting sqref="C8">
    <cfRule type="cellIs" dxfId="14741" priority="20358" stopIfTrue="1" operator="equal">
      <formula>"Napkin Hs"</formula>
    </cfRule>
  </conditionalFormatting>
  <conditionalFormatting sqref="C8">
    <cfRule type="cellIs" dxfId="14740" priority="20355" stopIfTrue="1" operator="equal">
      <formula>"Towel"</formula>
    </cfRule>
    <cfRule type="cellIs" dxfId="14739" priority="20356" stopIfTrue="1" operator="equal">
      <formula>"Napkin Hs"</formula>
    </cfRule>
  </conditionalFormatting>
  <conditionalFormatting sqref="C8">
    <cfRule type="cellIs" dxfId="14738" priority="20357" stopIfTrue="1" operator="equal">
      <formula>"Towel"</formula>
    </cfRule>
  </conditionalFormatting>
  <conditionalFormatting sqref="C8">
    <cfRule type="cellIs" dxfId="14737" priority="20365" stopIfTrue="1" operator="equal">
      <formula>"Towel"</formula>
    </cfRule>
    <cfRule type="cellIs" dxfId="14736" priority="20366" stopIfTrue="1" operator="equal">
      <formula>"Napkin Hs"</formula>
    </cfRule>
  </conditionalFormatting>
  <conditionalFormatting sqref="C8">
    <cfRule type="cellIs" dxfId="14735" priority="20363" stopIfTrue="1" operator="equal">
      <formula>"Towel"</formula>
    </cfRule>
    <cfRule type="cellIs" dxfId="14734" priority="20364" stopIfTrue="1" operator="equal">
      <formula>"Napkin Hs"</formula>
    </cfRule>
  </conditionalFormatting>
  <conditionalFormatting sqref="C8">
    <cfRule type="cellIs" dxfId="14733" priority="20335" stopIfTrue="1" operator="equal">
      <formula>"Towel"</formula>
    </cfRule>
    <cfRule type="cellIs" dxfId="14732" priority="20336" stopIfTrue="1" operator="equal">
      <formula>"Napkin Hs"</formula>
    </cfRule>
  </conditionalFormatting>
  <conditionalFormatting sqref="C8">
    <cfRule type="cellIs" dxfId="14731" priority="20333" stopIfTrue="1" operator="equal">
      <formula>"Towel"</formula>
    </cfRule>
    <cfRule type="cellIs" dxfId="14730" priority="20334" stopIfTrue="1" operator="equal">
      <formula>"Napkin Hs"</formula>
    </cfRule>
  </conditionalFormatting>
  <conditionalFormatting sqref="C8">
    <cfRule type="cellIs" dxfId="14729" priority="20312" stopIfTrue="1" operator="equal">
      <formula>"Napkin Hs"</formula>
    </cfRule>
  </conditionalFormatting>
  <conditionalFormatting sqref="C8">
    <cfRule type="cellIs" dxfId="14728" priority="20311" stopIfTrue="1" operator="equal">
      <formula>"Towel"</formula>
    </cfRule>
  </conditionalFormatting>
  <conditionalFormatting sqref="C8">
    <cfRule type="cellIs" dxfId="14727" priority="20310" stopIfTrue="1" operator="equal">
      <formula>"Napkin Hs"</formula>
    </cfRule>
  </conditionalFormatting>
  <conditionalFormatting sqref="C8">
    <cfRule type="cellIs" dxfId="14726" priority="20309" stopIfTrue="1" operator="equal">
      <formula>"Towel"</formula>
    </cfRule>
  </conditionalFormatting>
  <conditionalFormatting sqref="C8">
    <cfRule type="cellIs" dxfId="14725" priority="20306" stopIfTrue="1" operator="equal">
      <formula>"Napkin Hs"</formula>
    </cfRule>
  </conditionalFormatting>
  <conditionalFormatting sqref="C8">
    <cfRule type="cellIs" dxfId="14724" priority="20305" stopIfTrue="1" operator="equal">
      <formula>"Towel"</formula>
    </cfRule>
  </conditionalFormatting>
  <conditionalFormatting sqref="C8">
    <cfRule type="cellIs" dxfId="14723" priority="20304" stopIfTrue="1" operator="equal">
      <formula>"Napkin Hs"</formula>
    </cfRule>
  </conditionalFormatting>
  <conditionalFormatting sqref="C8">
    <cfRule type="cellIs" dxfId="14722" priority="20303" stopIfTrue="1" operator="equal">
      <formula>"Towel"</formula>
    </cfRule>
  </conditionalFormatting>
  <conditionalFormatting sqref="C8">
    <cfRule type="cellIs" dxfId="14721" priority="20299" stopIfTrue="1" operator="equal">
      <formula>"Towel"</formula>
    </cfRule>
    <cfRule type="cellIs" dxfId="14720" priority="20300" stopIfTrue="1" operator="equal">
      <formula>"Napkin Hs"</formula>
    </cfRule>
  </conditionalFormatting>
  <conditionalFormatting sqref="C8">
    <cfRule type="cellIs" dxfId="14719" priority="20297" stopIfTrue="1" operator="equal">
      <formula>"Towel"</formula>
    </cfRule>
    <cfRule type="cellIs" dxfId="14718" priority="20298" stopIfTrue="1" operator="equal">
      <formula>"Napkin Hs"</formula>
    </cfRule>
  </conditionalFormatting>
  <conditionalFormatting sqref="C8">
    <cfRule type="cellIs" dxfId="14717" priority="20281" stopIfTrue="1" operator="equal">
      <formula>"Towel"</formula>
    </cfRule>
    <cfRule type="cellIs" dxfId="14716" priority="20282" stopIfTrue="1" operator="equal">
      <formula>"Napkin Hs"</formula>
    </cfRule>
  </conditionalFormatting>
  <conditionalFormatting sqref="C8">
    <cfRule type="cellIs" dxfId="14715" priority="20279" stopIfTrue="1" operator="equal">
      <formula>"Towel"</formula>
    </cfRule>
    <cfRule type="cellIs" dxfId="14714" priority="20280" stopIfTrue="1" operator="equal">
      <formula>"Napkin Hs"</formula>
    </cfRule>
  </conditionalFormatting>
  <conditionalFormatting sqref="C8">
    <cfRule type="cellIs" dxfId="14713" priority="20258" stopIfTrue="1" operator="equal">
      <formula>"Napkin Hs"</formula>
    </cfRule>
  </conditionalFormatting>
  <conditionalFormatting sqref="C8">
    <cfRule type="cellIs" dxfId="14712" priority="20257" stopIfTrue="1" operator="equal">
      <formula>"Towel"</formula>
    </cfRule>
  </conditionalFormatting>
  <conditionalFormatting sqref="C8">
    <cfRule type="cellIs" dxfId="14711" priority="20256" stopIfTrue="1" operator="equal">
      <formula>"Napkin Hs"</formula>
    </cfRule>
  </conditionalFormatting>
  <conditionalFormatting sqref="C8">
    <cfRule type="cellIs" dxfId="14710" priority="20255" stopIfTrue="1" operator="equal">
      <formula>"Towel"</formula>
    </cfRule>
  </conditionalFormatting>
  <conditionalFormatting sqref="C8">
    <cfRule type="cellIs" dxfId="14709" priority="20252" stopIfTrue="1" operator="equal">
      <formula>"Napkin Hs"</formula>
    </cfRule>
  </conditionalFormatting>
  <conditionalFormatting sqref="C8">
    <cfRule type="cellIs" dxfId="14708" priority="20251" stopIfTrue="1" operator="equal">
      <formula>"Towel"</formula>
    </cfRule>
  </conditionalFormatting>
  <conditionalFormatting sqref="C8">
    <cfRule type="cellIs" dxfId="14707" priority="20250" stopIfTrue="1" operator="equal">
      <formula>"Napkin Hs"</formula>
    </cfRule>
  </conditionalFormatting>
  <conditionalFormatting sqref="C8">
    <cfRule type="cellIs" dxfId="14706" priority="20249" stopIfTrue="1" operator="equal">
      <formula>"Towel"</formula>
    </cfRule>
  </conditionalFormatting>
  <conditionalFormatting sqref="B8:C8">
    <cfRule type="cellIs" dxfId="14705" priority="20240" stopIfTrue="1" operator="equal">
      <formula>"Napkin Hs"</formula>
    </cfRule>
  </conditionalFormatting>
  <conditionalFormatting sqref="B8:C8">
    <cfRule type="cellIs" dxfId="14704" priority="20239" stopIfTrue="1" operator="equal">
      <formula>"Towel"</formula>
    </cfRule>
  </conditionalFormatting>
  <conditionalFormatting sqref="C8">
    <cfRule type="cellIs" dxfId="14703" priority="20238" stopIfTrue="1" operator="equal">
      <formula>"Napkin Hs"</formula>
    </cfRule>
  </conditionalFormatting>
  <conditionalFormatting sqref="C8">
    <cfRule type="cellIs" dxfId="14702" priority="20235" stopIfTrue="1" operator="equal">
      <formula>"Towel"</formula>
    </cfRule>
    <cfRule type="cellIs" dxfId="14701" priority="20236" stopIfTrue="1" operator="equal">
      <formula>"Napkin Hs"</formula>
    </cfRule>
  </conditionalFormatting>
  <conditionalFormatting sqref="C8">
    <cfRule type="cellIs" dxfId="14700" priority="20237" stopIfTrue="1" operator="equal">
      <formula>"Towel"</formula>
    </cfRule>
  </conditionalFormatting>
  <conditionalFormatting sqref="C6">
    <cfRule type="cellIs" dxfId="14699" priority="20221" stopIfTrue="1" operator="equal">
      <formula>"Towel"</formula>
    </cfRule>
    <cfRule type="cellIs" dxfId="14698" priority="20222" stopIfTrue="1" operator="equal">
      <formula>"Napkin Hs"</formula>
    </cfRule>
  </conditionalFormatting>
  <conditionalFormatting sqref="C6">
    <cfRule type="cellIs" dxfId="14697" priority="20219" stopIfTrue="1" operator="equal">
      <formula>"Towel"</formula>
    </cfRule>
    <cfRule type="cellIs" dxfId="14696" priority="20220" stopIfTrue="1" operator="equal">
      <formula>"Napkin Hs"</formula>
    </cfRule>
  </conditionalFormatting>
  <conditionalFormatting sqref="C6">
    <cfRule type="cellIs" dxfId="14695" priority="20217" stopIfTrue="1" operator="equal">
      <formula>"Towel"</formula>
    </cfRule>
    <cfRule type="cellIs" dxfId="14694" priority="20218" stopIfTrue="1" operator="equal">
      <formula>"Napkin Hs"</formula>
    </cfRule>
  </conditionalFormatting>
  <conditionalFormatting sqref="C6">
    <cfRule type="cellIs" dxfId="14693" priority="20216" stopIfTrue="1" operator="equal">
      <formula>"Napkin Hs"</formula>
    </cfRule>
  </conditionalFormatting>
  <conditionalFormatting sqref="C6">
    <cfRule type="cellIs" dxfId="14692" priority="20215" stopIfTrue="1" operator="equal">
      <formula>"Towel"</formula>
    </cfRule>
  </conditionalFormatting>
  <conditionalFormatting sqref="C6">
    <cfRule type="cellIs" dxfId="14691" priority="20214" stopIfTrue="1" operator="equal">
      <formula>"Napkin Hs"</formula>
    </cfRule>
  </conditionalFormatting>
  <conditionalFormatting sqref="C6">
    <cfRule type="cellIs" dxfId="14690" priority="20213" stopIfTrue="1" operator="equal">
      <formula>"Towel"</formula>
    </cfRule>
  </conditionalFormatting>
  <conditionalFormatting sqref="C6">
    <cfRule type="cellIs" dxfId="14689" priority="20211" stopIfTrue="1" operator="equal">
      <formula>"Towel"</formula>
    </cfRule>
    <cfRule type="cellIs" dxfId="14688" priority="20212" stopIfTrue="1" operator="equal">
      <formula>"Napkin Hs"</formula>
    </cfRule>
  </conditionalFormatting>
  <conditionalFormatting sqref="C6">
    <cfRule type="cellIs" dxfId="14687" priority="20209" stopIfTrue="1" operator="equal">
      <formula>"Towel"</formula>
    </cfRule>
    <cfRule type="cellIs" dxfId="14686" priority="20210" stopIfTrue="1" operator="equal">
      <formula>"Napkin Hs"</formula>
    </cfRule>
  </conditionalFormatting>
  <conditionalFormatting sqref="C6">
    <cfRule type="cellIs" dxfId="14685" priority="20205" stopIfTrue="1" operator="equal">
      <formula>"Towel"</formula>
    </cfRule>
    <cfRule type="cellIs" dxfId="14684" priority="20206" stopIfTrue="1" operator="equal">
      <formula>"Napkin Hs"</formula>
    </cfRule>
  </conditionalFormatting>
  <conditionalFormatting sqref="C6">
    <cfRule type="cellIs" dxfId="14683" priority="20207" stopIfTrue="1" operator="equal">
      <formula>"Towel"</formula>
    </cfRule>
    <cfRule type="cellIs" dxfId="14682" priority="20208" stopIfTrue="1" operator="equal">
      <formula>"Napkin Hs"</formula>
    </cfRule>
  </conditionalFormatting>
  <conditionalFormatting sqref="C6">
    <cfRule type="cellIs" dxfId="14681" priority="20199" stopIfTrue="1" operator="equal">
      <formula>"Towel"</formula>
    </cfRule>
    <cfRule type="cellIs" dxfId="14680" priority="20200" stopIfTrue="1" operator="equal">
      <formula>"Napkin Hs"</formula>
    </cfRule>
  </conditionalFormatting>
  <conditionalFormatting sqref="C6">
    <cfRule type="cellIs" dxfId="14679" priority="20197" stopIfTrue="1" operator="equal">
      <formula>"Towel"</formula>
    </cfRule>
    <cfRule type="cellIs" dxfId="14678" priority="20198" stopIfTrue="1" operator="equal">
      <formula>"Napkin Hs"</formula>
    </cfRule>
  </conditionalFormatting>
  <conditionalFormatting sqref="C6">
    <cfRule type="cellIs" dxfId="14677" priority="20195" stopIfTrue="1" operator="equal">
      <formula>"Towel"</formula>
    </cfRule>
    <cfRule type="cellIs" dxfId="14676" priority="20196" stopIfTrue="1" operator="equal">
      <formula>"Napkin Hs"</formula>
    </cfRule>
  </conditionalFormatting>
  <conditionalFormatting sqref="C6">
    <cfRule type="cellIs" dxfId="14675" priority="20193" stopIfTrue="1" operator="equal">
      <formula>"Towel"</formula>
    </cfRule>
    <cfRule type="cellIs" dxfId="14674" priority="20194" stopIfTrue="1" operator="equal">
      <formula>"Napkin Hs"</formula>
    </cfRule>
  </conditionalFormatting>
  <conditionalFormatting sqref="C6">
    <cfRule type="cellIs" dxfId="14673" priority="20191" stopIfTrue="1" operator="equal">
      <formula>"Towel"</formula>
    </cfRule>
    <cfRule type="cellIs" dxfId="14672" priority="20192" stopIfTrue="1" operator="equal">
      <formula>"Napkin Hs"</formula>
    </cfRule>
  </conditionalFormatting>
  <conditionalFormatting sqref="C6">
    <cfRule type="cellIs" dxfId="14671" priority="20189" stopIfTrue="1" operator="equal">
      <formula>"Towel"</formula>
    </cfRule>
    <cfRule type="cellIs" dxfId="14670" priority="20190" stopIfTrue="1" operator="equal">
      <formula>"Napkin Hs"</formula>
    </cfRule>
  </conditionalFormatting>
  <conditionalFormatting sqref="C6">
    <cfRule type="cellIs" dxfId="14669" priority="20187" stopIfTrue="1" operator="equal">
      <formula>"Towel"</formula>
    </cfRule>
    <cfRule type="cellIs" dxfId="14668" priority="20188" stopIfTrue="1" operator="equal">
      <formula>"Napkin Hs"</formula>
    </cfRule>
  </conditionalFormatting>
  <conditionalFormatting sqref="C6">
    <cfRule type="cellIs" dxfId="14667" priority="20185" stopIfTrue="1" operator="equal">
      <formula>"Towel"</formula>
    </cfRule>
    <cfRule type="cellIs" dxfId="14666" priority="20186" stopIfTrue="1" operator="equal">
      <formula>"Napkin Hs"</formula>
    </cfRule>
  </conditionalFormatting>
  <conditionalFormatting sqref="C6">
    <cfRule type="cellIs" dxfId="14665" priority="20183" stopIfTrue="1" operator="equal">
      <formula>"Towel"</formula>
    </cfRule>
    <cfRule type="cellIs" dxfId="14664" priority="20184" stopIfTrue="1" operator="equal">
      <formula>"Napkin Hs"</formula>
    </cfRule>
  </conditionalFormatting>
  <conditionalFormatting sqref="C6">
    <cfRule type="cellIs" dxfId="14663" priority="20181" stopIfTrue="1" operator="equal">
      <formula>"Towel"</formula>
    </cfRule>
    <cfRule type="cellIs" dxfId="14662" priority="20182" stopIfTrue="1" operator="equal">
      <formula>"Napkin Hs"</formula>
    </cfRule>
  </conditionalFormatting>
  <conditionalFormatting sqref="C6">
    <cfRule type="cellIs" dxfId="14661" priority="20175" stopIfTrue="1" operator="equal">
      <formula>"Towel"</formula>
    </cfRule>
    <cfRule type="cellIs" dxfId="14660" priority="20176" stopIfTrue="1" operator="equal">
      <formula>"Napkin Hs"</formula>
    </cfRule>
  </conditionalFormatting>
  <conditionalFormatting sqref="C6">
    <cfRule type="cellIs" dxfId="14659" priority="20169" stopIfTrue="1" operator="equal">
      <formula>"Towel"</formula>
    </cfRule>
    <cfRule type="cellIs" dxfId="14658" priority="20170" stopIfTrue="1" operator="equal">
      <formula>"Napkin Hs"</formula>
    </cfRule>
  </conditionalFormatting>
  <conditionalFormatting sqref="C6">
    <cfRule type="cellIs" dxfId="14657" priority="20163" stopIfTrue="1" operator="equal">
      <formula>"Towel"</formula>
    </cfRule>
    <cfRule type="cellIs" dxfId="14656" priority="20164" stopIfTrue="1" operator="equal">
      <formula>"Napkin Hs"</formula>
    </cfRule>
  </conditionalFormatting>
  <conditionalFormatting sqref="C6">
    <cfRule type="cellIs" dxfId="14655" priority="20162" stopIfTrue="1" operator="equal">
      <formula>"Napkin Hs"</formula>
    </cfRule>
  </conditionalFormatting>
  <conditionalFormatting sqref="C6">
    <cfRule type="cellIs" dxfId="14654" priority="20161" stopIfTrue="1" operator="equal">
      <formula>"Towel"</formula>
    </cfRule>
  </conditionalFormatting>
  <conditionalFormatting sqref="C6">
    <cfRule type="cellIs" dxfId="14653" priority="20160" stopIfTrue="1" operator="equal">
      <formula>"Napkin Hs"</formula>
    </cfRule>
  </conditionalFormatting>
  <conditionalFormatting sqref="C6">
    <cfRule type="cellIs" dxfId="14652" priority="20159" stopIfTrue="1" operator="equal">
      <formula>"Towel"</formula>
    </cfRule>
  </conditionalFormatting>
  <conditionalFormatting sqref="C6">
    <cfRule type="cellIs" dxfId="14651" priority="20157" stopIfTrue="1" operator="equal">
      <formula>"Towel"</formula>
    </cfRule>
    <cfRule type="cellIs" dxfId="14650" priority="20158" stopIfTrue="1" operator="equal">
      <formula>"Napkin Hs"</formula>
    </cfRule>
  </conditionalFormatting>
  <conditionalFormatting sqref="C6">
    <cfRule type="cellIs" dxfId="14649" priority="20155" stopIfTrue="1" operator="equal">
      <formula>"Towel"</formula>
    </cfRule>
    <cfRule type="cellIs" dxfId="14648" priority="20156" stopIfTrue="1" operator="equal">
      <formula>"Napkin Hs"</formula>
    </cfRule>
  </conditionalFormatting>
  <conditionalFormatting sqref="C6">
    <cfRule type="cellIs" dxfId="14647" priority="20151" stopIfTrue="1" operator="equal">
      <formula>"Towel"</formula>
    </cfRule>
    <cfRule type="cellIs" dxfId="14646" priority="20152" stopIfTrue="1" operator="equal">
      <formula>"Napkin Hs"</formula>
    </cfRule>
  </conditionalFormatting>
  <conditionalFormatting sqref="C6">
    <cfRule type="cellIs" dxfId="14645" priority="20153" stopIfTrue="1" operator="equal">
      <formula>"Towel"</formula>
    </cfRule>
    <cfRule type="cellIs" dxfId="14644" priority="20154" stopIfTrue="1" operator="equal">
      <formula>"Napkin Hs"</formula>
    </cfRule>
  </conditionalFormatting>
  <conditionalFormatting sqref="C6">
    <cfRule type="cellIs" dxfId="14643" priority="20145" stopIfTrue="1" operator="equal">
      <formula>"Towel"</formula>
    </cfRule>
    <cfRule type="cellIs" dxfId="14642" priority="20146" stopIfTrue="1" operator="equal">
      <formula>"Napkin Hs"</formula>
    </cfRule>
  </conditionalFormatting>
  <conditionalFormatting sqref="C6">
    <cfRule type="cellIs" dxfId="14641" priority="20143" stopIfTrue="1" operator="equal">
      <formula>"Towel"</formula>
    </cfRule>
    <cfRule type="cellIs" dxfId="14640" priority="20144" stopIfTrue="1" operator="equal">
      <formula>"Napkin Hs"</formula>
    </cfRule>
  </conditionalFormatting>
  <conditionalFormatting sqref="C6">
    <cfRule type="cellIs" dxfId="14639" priority="20141" stopIfTrue="1" operator="equal">
      <formula>"Towel"</formula>
    </cfRule>
    <cfRule type="cellIs" dxfId="14638" priority="20142" stopIfTrue="1" operator="equal">
      <formula>"Napkin Hs"</formula>
    </cfRule>
  </conditionalFormatting>
  <conditionalFormatting sqref="C6">
    <cfRule type="cellIs" dxfId="14637" priority="20139" stopIfTrue="1" operator="equal">
      <formula>"Towel"</formula>
    </cfRule>
    <cfRule type="cellIs" dxfId="14636" priority="20140" stopIfTrue="1" operator="equal">
      <formula>"Napkin Hs"</formula>
    </cfRule>
  </conditionalFormatting>
  <conditionalFormatting sqref="C6">
    <cfRule type="cellIs" dxfId="14635" priority="20137" stopIfTrue="1" operator="equal">
      <formula>"Towel"</formula>
    </cfRule>
    <cfRule type="cellIs" dxfId="14634" priority="20138" stopIfTrue="1" operator="equal">
      <formula>"Napkin Hs"</formula>
    </cfRule>
  </conditionalFormatting>
  <conditionalFormatting sqref="C6">
    <cfRule type="cellIs" dxfId="14633" priority="20135" stopIfTrue="1" operator="equal">
      <formula>"Towel"</formula>
    </cfRule>
    <cfRule type="cellIs" dxfId="14632" priority="20136" stopIfTrue="1" operator="equal">
      <formula>"Napkin Hs"</formula>
    </cfRule>
  </conditionalFormatting>
  <conditionalFormatting sqref="C6">
    <cfRule type="cellIs" dxfId="14631" priority="20133" stopIfTrue="1" operator="equal">
      <formula>"Towel"</formula>
    </cfRule>
    <cfRule type="cellIs" dxfId="14630" priority="20134" stopIfTrue="1" operator="equal">
      <formula>"Napkin Hs"</formula>
    </cfRule>
  </conditionalFormatting>
  <conditionalFormatting sqref="C6">
    <cfRule type="cellIs" dxfId="14629" priority="20131" stopIfTrue="1" operator="equal">
      <formula>"Towel"</formula>
    </cfRule>
    <cfRule type="cellIs" dxfId="14628" priority="20132" stopIfTrue="1" operator="equal">
      <formula>"Napkin Hs"</formula>
    </cfRule>
  </conditionalFormatting>
  <conditionalFormatting sqref="C6">
    <cfRule type="cellIs" dxfId="14627" priority="20129" stopIfTrue="1" operator="equal">
      <formula>"Towel"</formula>
    </cfRule>
    <cfRule type="cellIs" dxfId="14626" priority="20130" stopIfTrue="1" operator="equal">
      <formula>"Napkin Hs"</formula>
    </cfRule>
  </conditionalFormatting>
  <conditionalFormatting sqref="C6">
    <cfRule type="cellIs" dxfId="14625" priority="20127" stopIfTrue="1" operator="equal">
      <formula>"Towel"</formula>
    </cfRule>
    <cfRule type="cellIs" dxfId="14624" priority="20128" stopIfTrue="1" operator="equal">
      <formula>"Napkin Hs"</formula>
    </cfRule>
  </conditionalFormatting>
  <conditionalFormatting sqref="C6">
    <cfRule type="cellIs" dxfId="14623" priority="20121" stopIfTrue="1" operator="equal">
      <formula>"Towel"</formula>
    </cfRule>
    <cfRule type="cellIs" dxfId="14622" priority="20122" stopIfTrue="1" operator="equal">
      <formula>"Napkin Hs"</formula>
    </cfRule>
  </conditionalFormatting>
  <conditionalFormatting sqref="C6">
    <cfRule type="cellIs" dxfId="14621" priority="20115" stopIfTrue="1" operator="equal">
      <formula>"Towel"</formula>
    </cfRule>
    <cfRule type="cellIs" dxfId="14620" priority="20116" stopIfTrue="1" operator="equal">
      <formula>"Napkin Hs"</formula>
    </cfRule>
  </conditionalFormatting>
  <conditionalFormatting sqref="C6">
    <cfRule type="cellIs" dxfId="14619" priority="20114" stopIfTrue="1" operator="equal">
      <formula>"Napkin Hs"</formula>
    </cfRule>
  </conditionalFormatting>
  <conditionalFormatting sqref="C6">
    <cfRule type="cellIs" dxfId="14618" priority="20113" stopIfTrue="1" operator="equal">
      <formula>"Towel"</formula>
    </cfRule>
  </conditionalFormatting>
  <conditionalFormatting sqref="C6">
    <cfRule type="cellIs" dxfId="14617" priority="20112" stopIfTrue="1" operator="equal">
      <formula>"Napkin Hs"</formula>
    </cfRule>
  </conditionalFormatting>
  <conditionalFormatting sqref="C6">
    <cfRule type="cellIs" dxfId="14616" priority="20109" stopIfTrue="1" operator="equal">
      <formula>"Towel"</formula>
    </cfRule>
    <cfRule type="cellIs" dxfId="14615" priority="20110" stopIfTrue="1" operator="equal">
      <formula>"Napkin Hs"</formula>
    </cfRule>
  </conditionalFormatting>
  <conditionalFormatting sqref="C6">
    <cfRule type="cellIs" dxfId="14614" priority="20111" stopIfTrue="1" operator="equal">
      <formula>"Towel"</formula>
    </cfRule>
  </conditionalFormatting>
  <conditionalFormatting sqref="C6">
    <cfRule type="cellIs" dxfId="14613" priority="20229" stopIfTrue="1" operator="equal">
      <formula>"Towel"</formula>
    </cfRule>
    <cfRule type="cellIs" dxfId="14612" priority="20230" stopIfTrue="1" operator="equal">
      <formula>"Napkin Hs"</formula>
    </cfRule>
  </conditionalFormatting>
  <conditionalFormatting sqref="C6">
    <cfRule type="cellIs" dxfId="14611" priority="20228" stopIfTrue="1" operator="equal">
      <formula>"Napkin Hs"</formula>
    </cfRule>
  </conditionalFormatting>
  <conditionalFormatting sqref="C6">
    <cfRule type="cellIs" dxfId="14610" priority="20227" stopIfTrue="1" operator="equal">
      <formula>"Towel"</formula>
    </cfRule>
  </conditionalFormatting>
  <conditionalFormatting sqref="C6">
    <cfRule type="cellIs" dxfId="14609" priority="20226" stopIfTrue="1" operator="equal">
      <formula>"Napkin Hs"</formula>
    </cfRule>
  </conditionalFormatting>
  <conditionalFormatting sqref="C6">
    <cfRule type="cellIs" dxfId="14608" priority="20223" stopIfTrue="1" operator="equal">
      <formula>"Towel"</formula>
    </cfRule>
    <cfRule type="cellIs" dxfId="14607" priority="20224" stopIfTrue="1" operator="equal">
      <formula>"Napkin Hs"</formula>
    </cfRule>
  </conditionalFormatting>
  <conditionalFormatting sqref="C6">
    <cfRule type="cellIs" dxfId="14606" priority="20225" stopIfTrue="1" operator="equal">
      <formula>"Towel"</formula>
    </cfRule>
  </conditionalFormatting>
  <conditionalFormatting sqref="C6">
    <cfRule type="cellIs" dxfId="14605" priority="20233" stopIfTrue="1" operator="equal">
      <formula>"Towel"</formula>
    </cfRule>
    <cfRule type="cellIs" dxfId="14604" priority="20234" stopIfTrue="1" operator="equal">
      <formula>"Napkin Hs"</formula>
    </cfRule>
  </conditionalFormatting>
  <conditionalFormatting sqref="C6">
    <cfRule type="cellIs" dxfId="14603" priority="20231" stopIfTrue="1" operator="equal">
      <formula>"Towel"</formula>
    </cfRule>
    <cfRule type="cellIs" dxfId="14602" priority="20232" stopIfTrue="1" operator="equal">
      <formula>"Napkin Hs"</formula>
    </cfRule>
  </conditionalFormatting>
  <conditionalFormatting sqref="C6">
    <cfRule type="cellIs" dxfId="14601" priority="20203" stopIfTrue="1" operator="equal">
      <formula>"Towel"</formula>
    </cfRule>
    <cfRule type="cellIs" dxfId="14600" priority="20204" stopIfTrue="1" operator="equal">
      <formula>"Napkin Hs"</formula>
    </cfRule>
  </conditionalFormatting>
  <conditionalFormatting sqref="C6">
    <cfRule type="cellIs" dxfId="14599" priority="20201" stopIfTrue="1" operator="equal">
      <formula>"Towel"</formula>
    </cfRule>
    <cfRule type="cellIs" dxfId="14598" priority="20202" stopIfTrue="1" operator="equal">
      <formula>"Napkin Hs"</formula>
    </cfRule>
  </conditionalFormatting>
  <conditionalFormatting sqref="C6">
    <cfRule type="cellIs" dxfId="14597" priority="20180" stopIfTrue="1" operator="equal">
      <formula>"Napkin Hs"</formula>
    </cfRule>
  </conditionalFormatting>
  <conditionalFormatting sqref="C6">
    <cfRule type="cellIs" dxfId="14596" priority="20179" stopIfTrue="1" operator="equal">
      <formula>"Towel"</formula>
    </cfRule>
  </conditionalFormatting>
  <conditionalFormatting sqref="C6">
    <cfRule type="cellIs" dxfId="14595" priority="20178" stopIfTrue="1" operator="equal">
      <formula>"Napkin Hs"</formula>
    </cfRule>
  </conditionalFormatting>
  <conditionalFormatting sqref="C6">
    <cfRule type="cellIs" dxfId="14594" priority="20177" stopIfTrue="1" operator="equal">
      <formula>"Towel"</formula>
    </cfRule>
  </conditionalFormatting>
  <conditionalFormatting sqref="C6">
    <cfRule type="cellIs" dxfId="14593" priority="20174" stopIfTrue="1" operator="equal">
      <formula>"Napkin Hs"</formula>
    </cfRule>
  </conditionalFormatting>
  <conditionalFormatting sqref="C6">
    <cfRule type="cellIs" dxfId="14592" priority="20173" stopIfTrue="1" operator="equal">
      <formula>"Towel"</formula>
    </cfRule>
  </conditionalFormatting>
  <conditionalFormatting sqref="C6">
    <cfRule type="cellIs" dxfId="14591" priority="20172" stopIfTrue="1" operator="equal">
      <formula>"Napkin Hs"</formula>
    </cfRule>
  </conditionalFormatting>
  <conditionalFormatting sqref="C6">
    <cfRule type="cellIs" dxfId="14590" priority="20171" stopIfTrue="1" operator="equal">
      <formula>"Towel"</formula>
    </cfRule>
  </conditionalFormatting>
  <conditionalFormatting sqref="C6">
    <cfRule type="cellIs" dxfId="14589" priority="20167" stopIfTrue="1" operator="equal">
      <formula>"Towel"</formula>
    </cfRule>
    <cfRule type="cellIs" dxfId="14588" priority="20168" stopIfTrue="1" operator="equal">
      <formula>"Napkin Hs"</formula>
    </cfRule>
  </conditionalFormatting>
  <conditionalFormatting sqref="C6">
    <cfRule type="cellIs" dxfId="14587" priority="20165" stopIfTrue="1" operator="equal">
      <formula>"Towel"</formula>
    </cfRule>
    <cfRule type="cellIs" dxfId="14586" priority="20166" stopIfTrue="1" operator="equal">
      <formula>"Napkin Hs"</formula>
    </cfRule>
  </conditionalFormatting>
  <conditionalFormatting sqref="C6">
    <cfRule type="cellIs" dxfId="14585" priority="20149" stopIfTrue="1" operator="equal">
      <formula>"Towel"</formula>
    </cfRule>
    <cfRule type="cellIs" dxfId="14584" priority="20150" stopIfTrue="1" operator="equal">
      <formula>"Napkin Hs"</formula>
    </cfRule>
  </conditionalFormatting>
  <conditionalFormatting sqref="C6">
    <cfRule type="cellIs" dxfId="14583" priority="20147" stopIfTrue="1" operator="equal">
      <formula>"Towel"</formula>
    </cfRule>
    <cfRule type="cellIs" dxfId="14582" priority="20148" stopIfTrue="1" operator="equal">
      <formula>"Napkin Hs"</formula>
    </cfRule>
  </conditionalFormatting>
  <conditionalFormatting sqref="C6">
    <cfRule type="cellIs" dxfId="14581" priority="20126" stopIfTrue="1" operator="equal">
      <formula>"Napkin Hs"</formula>
    </cfRule>
  </conditionalFormatting>
  <conditionalFormatting sqref="C6">
    <cfRule type="cellIs" dxfId="14580" priority="20125" stopIfTrue="1" operator="equal">
      <formula>"Towel"</formula>
    </cfRule>
  </conditionalFormatting>
  <conditionalFormatting sqref="C6">
    <cfRule type="cellIs" dxfId="14579" priority="20124" stopIfTrue="1" operator="equal">
      <formula>"Napkin Hs"</formula>
    </cfRule>
  </conditionalFormatting>
  <conditionalFormatting sqref="C6">
    <cfRule type="cellIs" dxfId="14578" priority="20123" stopIfTrue="1" operator="equal">
      <formula>"Towel"</formula>
    </cfRule>
  </conditionalFormatting>
  <conditionalFormatting sqref="C6">
    <cfRule type="cellIs" dxfId="14577" priority="20120" stopIfTrue="1" operator="equal">
      <formula>"Napkin Hs"</formula>
    </cfRule>
  </conditionalFormatting>
  <conditionalFormatting sqref="C6">
    <cfRule type="cellIs" dxfId="14576" priority="20119" stopIfTrue="1" operator="equal">
      <formula>"Towel"</formula>
    </cfRule>
  </conditionalFormatting>
  <conditionalFormatting sqref="C6">
    <cfRule type="cellIs" dxfId="14575" priority="20118" stopIfTrue="1" operator="equal">
      <formula>"Napkin Hs"</formula>
    </cfRule>
  </conditionalFormatting>
  <conditionalFormatting sqref="C6">
    <cfRule type="cellIs" dxfId="14574" priority="20117" stopIfTrue="1" operator="equal">
      <formula>"Towel"</formula>
    </cfRule>
  </conditionalFormatting>
  <conditionalFormatting sqref="B6:C6">
    <cfRule type="cellIs" dxfId="14573" priority="20108" stopIfTrue="1" operator="equal">
      <formula>"Napkin Hs"</formula>
    </cfRule>
  </conditionalFormatting>
  <conditionalFormatting sqref="B6:C6">
    <cfRule type="cellIs" dxfId="14572" priority="20107" stopIfTrue="1" operator="equal">
      <formula>"Towel"</formula>
    </cfRule>
  </conditionalFormatting>
  <conditionalFormatting sqref="C6">
    <cfRule type="cellIs" dxfId="14571" priority="20106" stopIfTrue="1" operator="equal">
      <formula>"Napkin Hs"</formula>
    </cfRule>
  </conditionalFormatting>
  <conditionalFormatting sqref="C6">
    <cfRule type="cellIs" dxfId="14570" priority="20103" stopIfTrue="1" operator="equal">
      <formula>"Towel"</formula>
    </cfRule>
    <cfRule type="cellIs" dxfId="14569" priority="20104" stopIfTrue="1" operator="equal">
      <formula>"Napkin Hs"</formula>
    </cfRule>
  </conditionalFormatting>
  <conditionalFormatting sqref="C6">
    <cfRule type="cellIs" dxfId="14568" priority="20105" stopIfTrue="1" operator="equal">
      <formula>"Towel"</formula>
    </cfRule>
  </conditionalFormatting>
  <conditionalFormatting sqref="C7">
    <cfRule type="cellIs" dxfId="14567" priority="20089" stopIfTrue="1" operator="equal">
      <formula>"Towel"</formula>
    </cfRule>
    <cfRule type="cellIs" dxfId="14566" priority="20090" stopIfTrue="1" operator="equal">
      <formula>"Napkin Hs"</formula>
    </cfRule>
  </conditionalFormatting>
  <conditionalFormatting sqref="C7">
    <cfRule type="cellIs" dxfId="14565" priority="20087" stopIfTrue="1" operator="equal">
      <formula>"Towel"</formula>
    </cfRule>
    <cfRule type="cellIs" dxfId="14564" priority="20088" stopIfTrue="1" operator="equal">
      <formula>"Napkin Hs"</formula>
    </cfRule>
  </conditionalFormatting>
  <conditionalFormatting sqref="C7">
    <cfRule type="cellIs" dxfId="14563" priority="20085" stopIfTrue="1" operator="equal">
      <formula>"Towel"</formula>
    </cfRule>
    <cfRule type="cellIs" dxfId="14562" priority="20086" stopIfTrue="1" operator="equal">
      <formula>"Napkin Hs"</formula>
    </cfRule>
  </conditionalFormatting>
  <conditionalFormatting sqref="C7">
    <cfRule type="cellIs" dxfId="14561" priority="20084" stopIfTrue="1" operator="equal">
      <formula>"Napkin Hs"</formula>
    </cfRule>
  </conditionalFormatting>
  <conditionalFormatting sqref="C7">
    <cfRule type="cellIs" dxfId="14560" priority="20083" stopIfTrue="1" operator="equal">
      <formula>"Towel"</formula>
    </cfRule>
  </conditionalFormatting>
  <conditionalFormatting sqref="C7">
    <cfRule type="cellIs" dxfId="14559" priority="20082" stopIfTrue="1" operator="equal">
      <formula>"Napkin Hs"</formula>
    </cfRule>
  </conditionalFormatting>
  <conditionalFormatting sqref="C7">
    <cfRule type="cellIs" dxfId="14558" priority="20081" stopIfTrue="1" operator="equal">
      <formula>"Towel"</formula>
    </cfRule>
  </conditionalFormatting>
  <conditionalFormatting sqref="C7">
    <cfRule type="cellIs" dxfId="14557" priority="20079" stopIfTrue="1" operator="equal">
      <formula>"Towel"</formula>
    </cfRule>
    <cfRule type="cellIs" dxfId="14556" priority="20080" stopIfTrue="1" operator="equal">
      <formula>"Napkin Hs"</formula>
    </cfRule>
  </conditionalFormatting>
  <conditionalFormatting sqref="C7">
    <cfRule type="cellIs" dxfId="14555" priority="20077" stopIfTrue="1" operator="equal">
      <formula>"Towel"</formula>
    </cfRule>
    <cfRule type="cellIs" dxfId="14554" priority="20078" stopIfTrue="1" operator="equal">
      <formula>"Napkin Hs"</formula>
    </cfRule>
  </conditionalFormatting>
  <conditionalFormatting sqref="C7">
    <cfRule type="cellIs" dxfId="14553" priority="20073" stopIfTrue="1" operator="equal">
      <formula>"Towel"</formula>
    </cfRule>
    <cfRule type="cellIs" dxfId="14552" priority="20074" stopIfTrue="1" operator="equal">
      <formula>"Napkin Hs"</formula>
    </cfRule>
  </conditionalFormatting>
  <conditionalFormatting sqref="C7">
    <cfRule type="cellIs" dxfId="14551" priority="20075" stopIfTrue="1" operator="equal">
      <formula>"Towel"</formula>
    </cfRule>
    <cfRule type="cellIs" dxfId="14550" priority="20076" stopIfTrue="1" operator="equal">
      <formula>"Napkin Hs"</formula>
    </cfRule>
  </conditionalFormatting>
  <conditionalFormatting sqref="C7">
    <cfRule type="cellIs" dxfId="14549" priority="20067" stopIfTrue="1" operator="equal">
      <formula>"Towel"</formula>
    </cfRule>
    <cfRule type="cellIs" dxfId="14548" priority="20068" stopIfTrue="1" operator="equal">
      <formula>"Napkin Hs"</formula>
    </cfRule>
  </conditionalFormatting>
  <conditionalFormatting sqref="C7">
    <cfRule type="cellIs" dxfId="14547" priority="20065" stopIfTrue="1" operator="equal">
      <formula>"Towel"</formula>
    </cfRule>
    <cfRule type="cellIs" dxfId="14546" priority="20066" stopIfTrue="1" operator="equal">
      <formula>"Napkin Hs"</formula>
    </cfRule>
  </conditionalFormatting>
  <conditionalFormatting sqref="C7">
    <cfRule type="cellIs" dxfId="14545" priority="20063" stopIfTrue="1" operator="equal">
      <formula>"Towel"</formula>
    </cfRule>
    <cfRule type="cellIs" dxfId="14544" priority="20064" stopIfTrue="1" operator="equal">
      <formula>"Napkin Hs"</formula>
    </cfRule>
  </conditionalFormatting>
  <conditionalFormatting sqref="C7">
    <cfRule type="cellIs" dxfId="14543" priority="20061" stopIfTrue="1" operator="equal">
      <formula>"Towel"</formula>
    </cfRule>
    <cfRule type="cellIs" dxfId="14542" priority="20062" stopIfTrue="1" operator="equal">
      <formula>"Napkin Hs"</formula>
    </cfRule>
  </conditionalFormatting>
  <conditionalFormatting sqref="C7">
    <cfRule type="cellIs" dxfId="14541" priority="20059" stopIfTrue="1" operator="equal">
      <formula>"Towel"</formula>
    </cfRule>
    <cfRule type="cellIs" dxfId="14540" priority="20060" stopIfTrue="1" operator="equal">
      <formula>"Napkin Hs"</formula>
    </cfRule>
  </conditionalFormatting>
  <conditionalFormatting sqref="C7">
    <cfRule type="cellIs" dxfId="14539" priority="20057" stopIfTrue="1" operator="equal">
      <formula>"Towel"</formula>
    </cfRule>
    <cfRule type="cellIs" dxfId="14538" priority="20058" stopIfTrue="1" operator="equal">
      <formula>"Napkin Hs"</formula>
    </cfRule>
  </conditionalFormatting>
  <conditionalFormatting sqref="C7">
    <cfRule type="cellIs" dxfId="14537" priority="20055" stopIfTrue="1" operator="equal">
      <formula>"Towel"</formula>
    </cfRule>
    <cfRule type="cellIs" dxfId="14536" priority="20056" stopIfTrue="1" operator="equal">
      <formula>"Napkin Hs"</formula>
    </cfRule>
  </conditionalFormatting>
  <conditionalFormatting sqref="C7">
    <cfRule type="cellIs" dxfId="14535" priority="20053" stopIfTrue="1" operator="equal">
      <formula>"Towel"</formula>
    </cfRule>
    <cfRule type="cellIs" dxfId="14534" priority="20054" stopIfTrue="1" operator="equal">
      <formula>"Napkin Hs"</formula>
    </cfRule>
  </conditionalFormatting>
  <conditionalFormatting sqref="C7">
    <cfRule type="cellIs" dxfId="14533" priority="20051" stopIfTrue="1" operator="equal">
      <formula>"Towel"</formula>
    </cfRule>
    <cfRule type="cellIs" dxfId="14532" priority="20052" stopIfTrue="1" operator="equal">
      <formula>"Napkin Hs"</formula>
    </cfRule>
  </conditionalFormatting>
  <conditionalFormatting sqref="C7">
    <cfRule type="cellIs" dxfId="14531" priority="20049" stopIfTrue="1" operator="equal">
      <formula>"Towel"</formula>
    </cfRule>
    <cfRule type="cellIs" dxfId="14530" priority="20050" stopIfTrue="1" operator="equal">
      <formula>"Napkin Hs"</formula>
    </cfRule>
  </conditionalFormatting>
  <conditionalFormatting sqref="C7">
    <cfRule type="cellIs" dxfId="14529" priority="20043" stopIfTrue="1" operator="equal">
      <formula>"Towel"</formula>
    </cfRule>
    <cfRule type="cellIs" dxfId="14528" priority="20044" stopIfTrue="1" operator="equal">
      <formula>"Napkin Hs"</formula>
    </cfRule>
  </conditionalFormatting>
  <conditionalFormatting sqref="C7">
    <cfRule type="cellIs" dxfId="14527" priority="20037" stopIfTrue="1" operator="equal">
      <formula>"Towel"</formula>
    </cfRule>
    <cfRule type="cellIs" dxfId="14526" priority="20038" stopIfTrue="1" operator="equal">
      <formula>"Napkin Hs"</formula>
    </cfRule>
  </conditionalFormatting>
  <conditionalFormatting sqref="C7">
    <cfRule type="cellIs" dxfId="14525" priority="20031" stopIfTrue="1" operator="equal">
      <formula>"Towel"</formula>
    </cfRule>
    <cfRule type="cellIs" dxfId="14524" priority="20032" stopIfTrue="1" operator="equal">
      <formula>"Napkin Hs"</formula>
    </cfRule>
  </conditionalFormatting>
  <conditionalFormatting sqref="C7">
    <cfRule type="cellIs" dxfId="14523" priority="20030" stopIfTrue="1" operator="equal">
      <formula>"Napkin Hs"</formula>
    </cfRule>
  </conditionalFormatting>
  <conditionalFormatting sqref="C7">
    <cfRule type="cellIs" dxfId="14522" priority="20029" stopIfTrue="1" operator="equal">
      <formula>"Towel"</formula>
    </cfRule>
  </conditionalFormatting>
  <conditionalFormatting sqref="C7">
    <cfRule type="cellIs" dxfId="14521" priority="20028" stopIfTrue="1" operator="equal">
      <formula>"Napkin Hs"</formula>
    </cfRule>
  </conditionalFormatting>
  <conditionalFormatting sqref="C7">
    <cfRule type="cellIs" dxfId="14520" priority="20027" stopIfTrue="1" operator="equal">
      <formula>"Towel"</formula>
    </cfRule>
  </conditionalFormatting>
  <conditionalFormatting sqref="C7">
    <cfRule type="cellIs" dxfId="14519" priority="20025" stopIfTrue="1" operator="equal">
      <formula>"Towel"</formula>
    </cfRule>
    <cfRule type="cellIs" dxfId="14518" priority="20026" stopIfTrue="1" operator="equal">
      <formula>"Napkin Hs"</formula>
    </cfRule>
  </conditionalFormatting>
  <conditionalFormatting sqref="C7">
    <cfRule type="cellIs" dxfId="14517" priority="20023" stopIfTrue="1" operator="equal">
      <formula>"Towel"</formula>
    </cfRule>
    <cfRule type="cellIs" dxfId="14516" priority="20024" stopIfTrue="1" operator="equal">
      <formula>"Napkin Hs"</formula>
    </cfRule>
  </conditionalFormatting>
  <conditionalFormatting sqref="C7">
    <cfRule type="cellIs" dxfId="14515" priority="20019" stopIfTrue="1" operator="equal">
      <formula>"Towel"</formula>
    </cfRule>
    <cfRule type="cellIs" dxfId="14514" priority="20020" stopIfTrue="1" operator="equal">
      <formula>"Napkin Hs"</formula>
    </cfRule>
  </conditionalFormatting>
  <conditionalFormatting sqref="C7">
    <cfRule type="cellIs" dxfId="14513" priority="20021" stopIfTrue="1" operator="equal">
      <formula>"Towel"</formula>
    </cfRule>
    <cfRule type="cellIs" dxfId="14512" priority="20022" stopIfTrue="1" operator="equal">
      <formula>"Napkin Hs"</formula>
    </cfRule>
  </conditionalFormatting>
  <conditionalFormatting sqref="C7">
    <cfRule type="cellIs" dxfId="14511" priority="20013" stopIfTrue="1" operator="equal">
      <formula>"Towel"</formula>
    </cfRule>
    <cfRule type="cellIs" dxfId="14510" priority="20014" stopIfTrue="1" operator="equal">
      <formula>"Napkin Hs"</formula>
    </cfRule>
  </conditionalFormatting>
  <conditionalFormatting sqref="C7">
    <cfRule type="cellIs" dxfId="14509" priority="20011" stopIfTrue="1" operator="equal">
      <formula>"Towel"</formula>
    </cfRule>
    <cfRule type="cellIs" dxfId="14508" priority="20012" stopIfTrue="1" operator="equal">
      <formula>"Napkin Hs"</formula>
    </cfRule>
  </conditionalFormatting>
  <conditionalFormatting sqref="C7">
    <cfRule type="cellIs" dxfId="14507" priority="20009" stopIfTrue="1" operator="equal">
      <formula>"Towel"</formula>
    </cfRule>
    <cfRule type="cellIs" dxfId="14506" priority="20010" stopIfTrue="1" operator="equal">
      <formula>"Napkin Hs"</formula>
    </cfRule>
  </conditionalFormatting>
  <conditionalFormatting sqref="C7">
    <cfRule type="cellIs" dxfId="14505" priority="20007" stopIfTrue="1" operator="equal">
      <formula>"Towel"</formula>
    </cfRule>
    <cfRule type="cellIs" dxfId="14504" priority="20008" stopIfTrue="1" operator="equal">
      <formula>"Napkin Hs"</formula>
    </cfRule>
  </conditionalFormatting>
  <conditionalFormatting sqref="C7">
    <cfRule type="cellIs" dxfId="14503" priority="20005" stopIfTrue="1" operator="equal">
      <formula>"Towel"</formula>
    </cfRule>
    <cfRule type="cellIs" dxfId="14502" priority="20006" stopIfTrue="1" operator="equal">
      <formula>"Napkin Hs"</formula>
    </cfRule>
  </conditionalFormatting>
  <conditionalFormatting sqref="C7">
    <cfRule type="cellIs" dxfId="14501" priority="20003" stopIfTrue="1" operator="equal">
      <formula>"Towel"</formula>
    </cfRule>
    <cfRule type="cellIs" dxfId="14500" priority="20004" stopIfTrue="1" operator="equal">
      <formula>"Napkin Hs"</formula>
    </cfRule>
  </conditionalFormatting>
  <conditionalFormatting sqref="C7">
    <cfRule type="cellIs" dxfId="14499" priority="20001" stopIfTrue="1" operator="equal">
      <formula>"Towel"</formula>
    </cfRule>
    <cfRule type="cellIs" dxfId="14498" priority="20002" stopIfTrue="1" operator="equal">
      <formula>"Napkin Hs"</formula>
    </cfRule>
  </conditionalFormatting>
  <conditionalFormatting sqref="C7">
    <cfRule type="cellIs" dxfId="14497" priority="19999" stopIfTrue="1" operator="equal">
      <formula>"Towel"</formula>
    </cfRule>
    <cfRule type="cellIs" dxfId="14496" priority="20000" stopIfTrue="1" operator="equal">
      <formula>"Napkin Hs"</formula>
    </cfRule>
  </conditionalFormatting>
  <conditionalFormatting sqref="C7">
    <cfRule type="cellIs" dxfId="14495" priority="19997" stopIfTrue="1" operator="equal">
      <formula>"Towel"</formula>
    </cfRule>
    <cfRule type="cellIs" dxfId="14494" priority="19998" stopIfTrue="1" operator="equal">
      <formula>"Napkin Hs"</formula>
    </cfRule>
  </conditionalFormatting>
  <conditionalFormatting sqref="C7">
    <cfRule type="cellIs" dxfId="14493" priority="19995" stopIfTrue="1" operator="equal">
      <formula>"Towel"</formula>
    </cfRule>
    <cfRule type="cellIs" dxfId="14492" priority="19996" stopIfTrue="1" operator="equal">
      <formula>"Napkin Hs"</formula>
    </cfRule>
  </conditionalFormatting>
  <conditionalFormatting sqref="C7">
    <cfRule type="cellIs" dxfId="14491" priority="19989" stopIfTrue="1" operator="equal">
      <formula>"Towel"</formula>
    </cfRule>
    <cfRule type="cellIs" dxfId="14490" priority="19990" stopIfTrue="1" operator="equal">
      <formula>"Napkin Hs"</formula>
    </cfRule>
  </conditionalFormatting>
  <conditionalFormatting sqref="C7">
    <cfRule type="cellIs" dxfId="14489" priority="19983" stopIfTrue="1" operator="equal">
      <formula>"Towel"</formula>
    </cfRule>
    <cfRule type="cellIs" dxfId="14488" priority="19984" stopIfTrue="1" operator="equal">
      <formula>"Napkin Hs"</formula>
    </cfRule>
  </conditionalFormatting>
  <conditionalFormatting sqref="C7">
    <cfRule type="cellIs" dxfId="14487" priority="19982" stopIfTrue="1" operator="equal">
      <formula>"Napkin Hs"</formula>
    </cfRule>
  </conditionalFormatting>
  <conditionalFormatting sqref="C7">
    <cfRule type="cellIs" dxfId="14486" priority="19981" stopIfTrue="1" operator="equal">
      <formula>"Towel"</formula>
    </cfRule>
  </conditionalFormatting>
  <conditionalFormatting sqref="C7">
    <cfRule type="cellIs" dxfId="14485" priority="19980" stopIfTrue="1" operator="equal">
      <formula>"Napkin Hs"</formula>
    </cfRule>
  </conditionalFormatting>
  <conditionalFormatting sqref="C7">
    <cfRule type="cellIs" dxfId="14484" priority="19977" stopIfTrue="1" operator="equal">
      <formula>"Towel"</formula>
    </cfRule>
    <cfRule type="cellIs" dxfId="14483" priority="19978" stopIfTrue="1" operator="equal">
      <formula>"Napkin Hs"</formula>
    </cfRule>
  </conditionalFormatting>
  <conditionalFormatting sqref="C7">
    <cfRule type="cellIs" dxfId="14482" priority="19979" stopIfTrue="1" operator="equal">
      <formula>"Towel"</formula>
    </cfRule>
  </conditionalFormatting>
  <conditionalFormatting sqref="C7">
    <cfRule type="cellIs" dxfId="14481" priority="20097" stopIfTrue="1" operator="equal">
      <formula>"Towel"</formula>
    </cfRule>
    <cfRule type="cellIs" dxfId="14480" priority="20098" stopIfTrue="1" operator="equal">
      <formula>"Napkin Hs"</formula>
    </cfRule>
  </conditionalFormatting>
  <conditionalFormatting sqref="C7">
    <cfRule type="cellIs" dxfId="14479" priority="20096" stopIfTrue="1" operator="equal">
      <formula>"Napkin Hs"</formula>
    </cfRule>
  </conditionalFormatting>
  <conditionalFormatting sqref="C7">
    <cfRule type="cellIs" dxfId="14478" priority="20095" stopIfTrue="1" operator="equal">
      <formula>"Towel"</formula>
    </cfRule>
  </conditionalFormatting>
  <conditionalFormatting sqref="C7">
    <cfRule type="cellIs" dxfId="14477" priority="20094" stopIfTrue="1" operator="equal">
      <formula>"Napkin Hs"</formula>
    </cfRule>
  </conditionalFormatting>
  <conditionalFormatting sqref="C7">
    <cfRule type="cellIs" dxfId="14476" priority="20091" stopIfTrue="1" operator="equal">
      <formula>"Towel"</formula>
    </cfRule>
    <cfRule type="cellIs" dxfId="14475" priority="20092" stopIfTrue="1" operator="equal">
      <formula>"Napkin Hs"</formula>
    </cfRule>
  </conditionalFormatting>
  <conditionalFormatting sqref="C7">
    <cfRule type="cellIs" dxfId="14474" priority="20093" stopIfTrue="1" operator="equal">
      <formula>"Towel"</formula>
    </cfRule>
  </conditionalFormatting>
  <conditionalFormatting sqref="C7">
    <cfRule type="cellIs" dxfId="14473" priority="20101" stopIfTrue="1" operator="equal">
      <formula>"Towel"</formula>
    </cfRule>
    <cfRule type="cellIs" dxfId="14472" priority="20102" stopIfTrue="1" operator="equal">
      <formula>"Napkin Hs"</formula>
    </cfRule>
  </conditionalFormatting>
  <conditionalFormatting sqref="C7">
    <cfRule type="cellIs" dxfId="14471" priority="20099" stopIfTrue="1" operator="equal">
      <formula>"Towel"</formula>
    </cfRule>
    <cfRule type="cellIs" dxfId="14470" priority="20100" stopIfTrue="1" operator="equal">
      <formula>"Napkin Hs"</formula>
    </cfRule>
  </conditionalFormatting>
  <conditionalFormatting sqref="C7">
    <cfRule type="cellIs" dxfId="14469" priority="20071" stopIfTrue="1" operator="equal">
      <formula>"Towel"</formula>
    </cfRule>
    <cfRule type="cellIs" dxfId="14468" priority="20072" stopIfTrue="1" operator="equal">
      <formula>"Napkin Hs"</formula>
    </cfRule>
  </conditionalFormatting>
  <conditionalFormatting sqref="C7">
    <cfRule type="cellIs" dxfId="14467" priority="20069" stopIfTrue="1" operator="equal">
      <formula>"Towel"</formula>
    </cfRule>
    <cfRule type="cellIs" dxfId="14466" priority="20070" stopIfTrue="1" operator="equal">
      <formula>"Napkin Hs"</formula>
    </cfRule>
  </conditionalFormatting>
  <conditionalFormatting sqref="C7">
    <cfRule type="cellIs" dxfId="14465" priority="20048" stopIfTrue="1" operator="equal">
      <formula>"Napkin Hs"</formula>
    </cfRule>
  </conditionalFormatting>
  <conditionalFormatting sqref="C7">
    <cfRule type="cellIs" dxfId="14464" priority="20047" stopIfTrue="1" operator="equal">
      <formula>"Towel"</formula>
    </cfRule>
  </conditionalFormatting>
  <conditionalFormatting sqref="C7">
    <cfRule type="cellIs" dxfId="14463" priority="20046" stopIfTrue="1" operator="equal">
      <formula>"Napkin Hs"</formula>
    </cfRule>
  </conditionalFormatting>
  <conditionalFormatting sqref="C7">
    <cfRule type="cellIs" dxfId="14462" priority="20045" stopIfTrue="1" operator="equal">
      <formula>"Towel"</formula>
    </cfRule>
  </conditionalFormatting>
  <conditionalFormatting sqref="C7">
    <cfRule type="cellIs" dxfId="14461" priority="20042" stopIfTrue="1" operator="equal">
      <formula>"Napkin Hs"</formula>
    </cfRule>
  </conditionalFormatting>
  <conditionalFormatting sqref="C7">
    <cfRule type="cellIs" dxfId="14460" priority="20041" stopIfTrue="1" operator="equal">
      <formula>"Towel"</formula>
    </cfRule>
  </conditionalFormatting>
  <conditionalFormatting sqref="C7">
    <cfRule type="cellIs" dxfId="14459" priority="20040" stopIfTrue="1" operator="equal">
      <formula>"Napkin Hs"</formula>
    </cfRule>
  </conditionalFormatting>
  <conditionalFormatting sqref="C7">
    <cfRule type="cellIs" dxfId="14458" priority="20039" stopIfTrue="1" operator="equal">
      <formula>"Towel"</formula>
    </cfRule>
  </conditionalFormatting>
  <conditionalFormatting sqref="C7">
    <cfRule type="cellIs" dxfId="14457" priority="20035" stopIfTrue="1" operator="equal">
      <formula>"Towel"</formula>
    </cfRule>
    <cfRule type="cellIs" dxfId="14456" priority="20036" stopIfTrue="1" operator="equal">
      <formula>"Napkin Hs"</formula>
    </cfRule>
  </conditionalFormatting>
  <conditionalFormatting sqref="C7">
    <cfRule type="cellIs" dxfId="14455" priority="20033" stopIfTrue="1" operator="equal">
      <formula>"Towel"</formula>
    </cfRule>
    <cfRule type="cellIs" dxfId="14454" priority="20034" stopIfTrue="1" operator="equal">
      <formula>"Napkin Hs"</formula>
    </cfRule>
  </conditionalFormatting>
  <conditionalFormatting sqref="C7">
    <cfRule type="cellIs" dxfId="14453" priority="20017" stopIfTrue="1" operator="equal">
      <formula>"Towel"</formula>
    </cfRule>
    <cfRule type="cellIs" dxfId="14452" priority="20018" stopIfTrue="1" operator="equal">
      <formula>"Napkin Hs"</formula>
    </cfRule>
  </conditionalFormatting>
  <conditionalFormatting sqref="C7">
    <cfRule type="cellIs" dxfId="14451" priority="20015" stopIfTrue="1" operator="equal">
      <formula>"Towel"</formula>
    </cfRule>
    <cfRule type="cellIs" dxfId="14450" priority="20016" stopIfTrue="1" operator="equal">
      <formula>"Napkin Hs"</formula>
    </cfRule>
  </conditionalFormatting>
  <conditionalFormatting sqref="C7">
    <cfRule type="cellIs" dxfId="14449" priority="19994" stopIfTrue="1" operator="equal">
      <formula>"Napkin Hs"</formula>
    </cfRule>
  </conditionalFormatting>
  <conditionalFormatting sqref="C7">
    <cfRule type="cellIs" dxfId="14448" priority="19993" stopIfTrue="1" operator="equal">
      <formula>"Towel"</formula>
    </cfRule>
  </conditionalFormatting>
  <conditionalFormatting sqref="C7">
    <cfRule type="cellIs" dxfId="14447" priority="19992" stopIfTrue="1" operator="equal">
      <formula>"Napkin Hs"</formula>
    </cfRule>
  </conditionalFormatting>
  <conditionalFormatting sqref="C7">
    <cfRule type="cellIs" dxfId="14446" priority="19991" stopIfTrue="1" operator="equal">
      <formula>"Towel"</formula>
    </cfRule>
  </conditionalFormatting>
  <conditionalFormatting sqref="C7">
    <cfRule type="cellIs" dxfId="14445" priority="19988" stopIfTrue="1" operator="equal">
      <formula>"Napkin Hs"</formula>
    </cfRule>
  </conditionalFormatting>
  <conditionalFormatting sqref="C7">
    <cfRule type="cellIs" dxfId="14444" priority="19987" stopIfTrue="1" operator="equal">
      <formula>"Towel"</formula>
    </cfRule>
  </conditionalFormatting>
  <conditionalFormatting sqref="C7">
    <cfRule type="cellIs" dxfId="14443" priority="19986" stopIfTrue="1" operator="equal">
      <formula>"Napkin Hs"</formula>
    </cfRule>
  </conditionalFormatting>
  <conditionalFormatting sqref="C7">
    <cfRule type="cellIs" dxfId="14442" priority="19985" stopIfTrue="1" operator="equal">
      <formula>"Towel"</formula>
    </cfRule>
  </conditionalFormatting>
  <conditionalFormatting sqref="B7:C7">
    <cfRule type="cellIs" dxfId="14441" priority="19976" stopIfTrue="1" operator="equal">
      <formula>"Napkin Hs"</formula>
    </cfRule>
  </conditionalFormatting>
  <conditionalFormatting sqref="B7:C7">
    <cfRule type="cellIs" dxfId="14440" priority="19975" stopIfTrue="1" operator="equal">
      <formula>"Towel"</formula>
    </cfRule>
  </conditionalFormatting>
  <conditionalFormatting sqref="C7">
    <cfRule type="cellIs" dxfId="14439" priority="19974" stopIfTrue="1" operator="equal">
      <formula>"Napkin Hs"</formula>
    </cfRule>
  </conditionalFormatting>
  <conditionalFormatting sqref="C7">
    <cfRule type="cellIs" dxfId="14438" priority="19971" stopIfTrue="1" operator="equal">
      <formula>"Towel"</formula>
    </cfRule>
    <cfRule type="cellIs" dxfId="14437" priority="19972" stopIfTrue="1" operator="equal">
      <formula>"Napkin Hs"</formula>
    </cfRule>
  </conditionalFormatting>
  <conditionalFormatting sqref="C7">
    <cfRule type="cellIs" dxfId="14436" priority="19973" stopIfTrue="1" operator="equal">
      <formula>"Towel"</formula>
    </cfRule>
  </conditionalFormatting>
  <conditionalFormatting sqref="B16:C16">
    <cfRule type="cellIs" dxfId="14435" priority="19568" stopIfTrue="1" operator="equal">
      <formula>"Napkin Hs"</formula>
    </cfRule>
  </conditionalFormatting>
  <conditionalFormatting sqref="B16:C16">
    <cfRule type="cellIs" dxfId="14434" priority="19567" stopIfTrue="1" operator="equal">
      <formula>"Towel"</formula>
    </cfRule>
  </conditionalFormatting>
  <conditionalFormatting sqref="C16">
    <cfRule type="cellIs" dxfId="14433" priority="19566" stopIfTrue="1" operator="equal">
      <formula>"Napkin Hs"</formula>
    </cfRule>
  </conditionalFormatting>
  <conditionalFormatting sqref="C16">
    <cfRule type="cellIs" dxfId="14432" priority="19563" stopIfTrue="1" operator="equal">
      <formula>"Towel"</formula>
    </cfRule>
    <cfRule type="cellIs" dxfId="14431" priority="19564" stopIfTrue="1" operator="equal">
      <formula>"Napkin Hs"</formula>
    </cfRule>
  </conditionalFormatting>
  <conditionalFormatting sqref="C16">
    <cfRule type="cellIs" dxfId="14430" priority="19565" stopIfTrue="1" operator="equal">
      <formula>"Towel"</formula>
    </cfRule>
  </conditionalFormatting>
  <conditionalFormatting sqref="B17:C17">
    <cfRule type="cellIs" dxfId="14429" priority="19550" stopIfTrue="1" operator="equal">
      <formula>"Napkin Hs"</formula>
    </cfRule>
  </conditionalFormatting>
  <conditionalFormatting sqref="B17:C17">
    <cfRule type="cellIs" dxfId="14428" priority="19549" stopIfTrue="1" operator="equal">
      <formula>"Towel"</formula>
    </cfRule>
  </conditionalFormatting>
  <conditionalFormatting sqref="C17">
    <cfRule type="cellIs" dxfId="14427" priority="19548" stopIfTrue="1" operator="equal">
      <formula>"Napkin Hs"</formula>
    </cfRule>
  </conditionalFormatting>
  <conditionalFormatting sqref="C17">
    <cfRule type="cellIs" dxfId="14426" priority="19545" stopIfTrue="1" operator="equal">
      <formula>"Towel"</formula>
    </cfRule>
    <cfRule type="cellIs" dxfId="14425" priority="19546" stopIfTrue="1" operator="equal">
      <formula>"Napkin Hs"</formula>
    </cfRule>
  </conditionalFormatting>
  <conditionalFormatting sqref="C17">
    <cfRule type="cellIs" dxfId="14424" priority="19547" stopIfTrue="1" operator="equal">
      <formula>"Towel"</formula>
    </cfRule>
  </conditionalFormatting>
  <conditionalFormatting sqref="C14">
    <cfRule type="cellIs" dxfId="14423" priority="19519" stopIfTrue="1" operator="equal">
      <formula>"Towel"</formula>
    </cfRule>
    <cfRule type="cellIs" dxfId="14422" priority="19520" stopIfTrue="1" operator="equal">
      <formula>"Napkin Hs"</formula>
    </cfRule>
  </conditionalFormatting>
  <conditionalFormatting sqref="C14">
    <cfRule type="cellIs" dxfId="14421" priority="19517" stopIfTrue="1" operator="equal">
      <formula>"Towel"</formula>
    </cfRule>
    <cfRule type="cellIs" dxfId="14420" priority="19518" stopIfTrue="1" operator="equal">
      <formula>"Napkin Hs"</formula>
    </cfRule>
  </conditionalFormatting>
  <conditionalFormatting sqref="C14">
    <cfRule type="cellIs" dxfId="14419" priority="19515" stopIfTrue="1" operator="equal">
      <formula>"Towel"</formula>
    </cfRule>
    <cfRule type="cellIs" dxfId="14418" priority="19516" stopIfTrue="1" operator="equal">
      <formula>"Napkin Hs"</formula>
    </cfRule>
  </conditionalFormatting>
  <conditionalFormatting sqref="C14">
    <cfRule type="cellIs" dxfId="14417" priority="19514" stopIfTrue="1" operator="equal">
      <formula>"Napkin Hs"</formula>
    </cfRule>
  </conditionalFormatting>
  <conditionalFormatting sqref="C14">
    <cfRule type="cellIs" dxfId="14416" priority="19513" stopIfTrue="1" operator="equal">
      <formula>"Towel"</formula>
    </cfRule>
  </conditionalFormatting>
  <conditionalFormatting sqref="C14">
    <cfRule type="cellIs" dxfId="14415" priority="19512" stopIfTrue="1" operator="equal">
      <formula>"Napkin Hs"</formula>
    </cfRule>
  </conditionalFormatting>
  <conditionalFormatting sqref="C14">
    <cfRule type="cellIs" dxfId="14414" priority="19511" stopIfTrue="1" operator="equal">
      <formula>"Towel"</formula>
    </cfRule>
  </conditionalFormatting>
  <conditionalFormatting sqref="C14">
    <cfRule type="cellIs" dxfId="14413" priority="19509" stopIfTrue="1" operator="equal">
      <formula>"Towel"</formula>
    </cfRule>
    <cfRule type="cellIs" dxfId="14412" priority="19510" stopIfTrue="1" operator="equal">
      <formula>"Napkin Hs"</formula>
    </cfRule>
  </conditionalFormatting>
  <conditionalFormatting sqref="C14">
    <cfRule type="cellIs" dxfId="14411" priority="19507" stopIfTrue="1" operator="equal">
      <formula>"Towel"</formula>
    </cfRule>
    <cfRule type="cellIs" dxfId="14410" priority="19508" stopIfTrue="1" operator="equal">
      <formula>"Napkin Hs"</formula>
    </cfRule>
  </conditionalFormatting>
  <conditionalFormatting sqref="C14">
    <cfRule type="cellIs" dxfId="14409" priority="19503" stopIfTrue="1" operator="equal">
      <formula>"Towel"</formula>
    </cfRule>
    <cfRule type="cellIs" dxfId="14408" priority="19504" stopIfTrue="1" operator="equal">
      <formula>"Napkin Hs"</formula>
    </cfRule>
  </conditionalFormatting>
  <conditionalFormatting sqref="C14">
    <cfRule type="cellIs" dxfId="14407" priority="19505" stopIfTrue="1" operator="equal">
      <formula>"Towel"</formula>
    </cfRule>
    <cfRule type="cellIs" dxfId="14406" priority="19506" stopIfTrue="1" operator="equal">
      <formula>"Napkin Hs"</formula>
    </cfRule>
  </conditionalFormatting>
  <conditionalFormatting sqref="C14">
    <cfRule type="cellIs" dxfId="14405" priority="19497" stopIfTrue="1" operator="equal">
      <formula>"Towel"</formula>
    </cfRule>
    <cfRule type="cellIs" dxfId="14404" priority="19498" stopIfTrue="1" operator="equal">
      <formula>"Napkin Hs"</formula>
    </cfRule>
  </conditionalFormatting>
  <conditionalFormatting sqref="C14">
    <cfRule type="cellIs" dxfId="14403" priority="19495" stopIfTrue="1" operator="equal">
      <formula>"Towel"</formula>
    </cfRule>
    <cfRule type="cellIs" dxfId="14402" priority="19496" stopIfTrue="1" operator="equal">
      <formula>"Napkin Hs"</formula>
    </cfRule>
  </conditionalFormatting>
  <conditionalFormatting sqref="C14">
    <cfRule type="cellIs" dxfId="14401" priority="19493" stopIfTrue="1" operator="equal">
      <formula>"Towel"</formula>
    </cfRule>
    <cfRule type="cellIs" dxfId="14400" priority="19494" stopIfTrue="1" operator="equal">
      <formula>"Napkin Hs"</formula>
    </cfRule>
  </conditionalFormatting>
  <conditionalFormatting sqref="C14">
    <cfRule type="cellIs" dxfId="14399" priority="19491" stopIfTrue="1" operator="equal">
      <formula>"Towel"</formula>
    </cfRule>
    <cfRule type="cellIs" dxfId="14398" priority="19492" stopIfTrue="1" operator="equal">
      <formula>"Napkin Hs"</formula>
    </cfRule>
  </conditionalFormatting>
  <conditionalFormatting sqref="C14">
    <cfRule type="cellIs" dxfId="14397" priority="19489" stopIfTrue="1" operator="equal">
      <formula>"Towel"</formula>
    </cfRule>
    <cfRule type="cellIs" dxfId="14396" priority="19490" stopIfTrue="1" operator="equal">
      <formula>"Napkin Hs"</formula>
    </cfRule>
  </conditionalFormatting>
  <conditionalFormatting sqref="C14">
    <cfRule type="cellIs" dxfId="14395" priority="19487" stopIfTrue="1" operator="equal">
      <formula>"Towel"</formula>
    </cfRule>
    <cfRule type="cellIs" dxfId="14394" priority="19488" stopIfTrue="1" operator="equal">
      <formula>"Napkin Hs"</formula>
    </cfRule>
  </conditionalFormatting>
  <conditionalFormatting sqref="C14">
    <cfRule type="cellIs" dxfId="14393" priority="19485" stopIfTrue="1" operator="equal">
      <formula>"Towel"</formula>
    </cfRule>
    <cfRule type="cellIs" dxfId="14392" priority="19486" stopIfTrue="1" operator="equal">
      <formula>"Napkin Hs"</formula>
    </cfRule>
  </conditionalFormatting>
  <conditionalFormatting sqref="C14">
    <cfRule type="cellIs" dxfId="14391" priority="19483" stopIfTrue="1" operator="equal">
      <formula>"Towel"</formula>
    </cfRule>
    <cfRule type="cellIs" dxfId="14390" priority="19484" stopIfTrue="1" operator="equal">
      <formula>"Napkin Hs"</formula>
    </cfRule>
  </conditionalFormatting>
  <conditionalFormatting sqref="C14">
    <cfRule type="cellIs" dxfId="14389" priority="19481" stopIfTrue="1" operator="equal">
      <formula>"Towel"</formula>
    </cfRule>
    <cfRule type="cellIs" dxfId="14388" priority="19482" stopIfTrue="1" operator="equal">
      <formula>"Napkin Hs"</formula>
    </cfRule>
  </conditionalFormatting>
  <conditionalFormatting sqref="C14">
    <cfRule type="cellIs" dxfId="14387" priority="19479" stopIfTrue="1" operator="equal">
      <formula>"Towel"</formula>
    </cfRule>
    <cfRule type="cellIs" dxfId="14386" priority="19480" stopIfTrue="1" operator="equal">
      <formula>"Napkin Hs"</formula>
    </cfRule>
  </conditionalFormatting>
  <conditionalFormatting sqref="C14">
    <cfRule type="cellIs" dxfId="14385" priority="19473" stopIfTrue="1" operator="equal">
      <formula>"Towel"</formula>
    </cfRule>
    <cfRule type="cellIs" dxfId="14384" priority="19474" stopIfTrue="1" operator="equal">
      <formula>"Napkin Hs"</formula>
    </cfRule>
  </conditionalFormatting>
  <conditionalFormatting sqref="C14">
    <cfRule type="cellIs" dxfId="14383" priority="19467" stopIfTrue="1" operator="equal">
      <formula>"Towel"</formula>
    </cfRule>
    <cfRule type="cellIs" dxfId="14382" priority="19468" stopIfTrue="1" operator="equal">
      <formula>"Napkin Hs"</formula>
    </cfRule>
  </conditionalFormatting>
  <conditionalFormatting sqref="C14">
    <cfRule type="cellIs" dxfId="14381" priority="19461" stopIfTrue="1" operator="equal">
      <formula>"Towel"</formula>
    </cfRule>
    <cfRule type="cellIs" dxfId="14380" priority="19462" stopIfTrue="1" operator="equal">
      <formula>"Napkin Hs"</formula>
    </cfRule>
  </conditionalFormatting>
  <conditionalFormatting sqref="C14">
    <cfRule type="cellIs" dxfId="14379" priority="19460" stopIfTrue="1" operator="equal">
      <formula>"Napkin Hs"</formula>
    </cfRule>
  </conditionalFormatting>
  <conditionalFormatting sqref="C14">
    <cfRule type="cellIs" dxfId="14378" priority="19459" stopIfTrue="1" operator="equal">
      <formula>"Towel"</formula>
    </cfRule>
  </conditionalFormatting>
  <conditionalFormatting sqref="C14">
    <cfRule type="cellIs" dxfId="14377" priority="19458" stopIfTrue="1" operator="equal">
      <formula>"Napkin Hs"</formula>
    </cfRule>
  </conditionalFormatting>
  <conditionalFormatting sqref="C14">
    <cfRule type="cellIs" dxfId="14376" priority="19457" stopIfTrue="1" operator="equal">
      <formula>"Towel"</formula>
    </cfRule>
  </conditionalFormatting>
  <conditionalFormatting sqref="C14">
    <cfRule type="cellIs" dxfId="14375" priority="19455" stopIfTrue="1" operator="equal">
      <formula>"Towel"</formula>
    </cfRule>
    <cfRule type="cellIs" dxfId="14374" priority="19456" stopIfTrue="1" operator="equal">
      <formula>"Napkin Hs"</formula>
    </cfRule>
  </conditionalFormatting>
  <conditionalFormatting sqref="C14">
    <cfRule type="cellIs" dxfId="14373" priority="19453" stopIfTrue="1" operator="equal">
      <formula>"Towel"</formula>
    </cfRule>
    <cfRule type="cellIs" dxfId="14372" priority="19454" stopIfTrue="1" operator="equal">
      <formula>"Napkin Hs"</formula>
    </cfRule>
  </conditionalFormatting>
  <conditionalFormatting sqref="C14">
    <cfRule type="cellIs" dxfId="14371" priority="19449" stopIfTrue="1" operator="equal">
      <formula>"Towel"</formula>
    </cfRule>
    <cfRule type="cellIs" dxfId="14370" priority="19450" stopIfTrue="1" operator="equal">
      <formula>"Napkin Hs"</formula>
    </cfRule>
  </conditionalFormatting>
  <conditionalFormatting sqref="C14">
    <cfRule type="cellIs" dxfId="14369" priority="19451" stopIfTrue="1" operator="equal">
      <formula>"Towel"</formula>
    </cfRule>
    <cfRule type="cellIs" dxfId="14368" priority="19452" stopIfTrue="1" operator="equal">
      <formula>"Napkin Hs"</formula>
    </cfRule>
  </conditionalFormatting>
  <conditionalFormatting sqref="C14">
    <cfRule type="cellIs" dxfId="14367" priority="19443" stopIfTrue="1" operator="equal">
      <formula>"Towel"</formula>
    </cfRule>
    <cfRule type="cellIs" dxfId="14366" priority="19444" stopIfTrue="1" operator="equal">
      <formula>"Napkin Hs"</formula>
    </cfRule>
  </conditionalFormatting>
  <conditionalFormatting sqref="C14">
    <cfRule type="cellIs" dxfId="14365" priority="19441" stopIfTrue="1" operator="equal">
      <formula>"Towel"</formula>
    </cfRule>
    <cfRule type="cellIs" dxfId="14364" priority="19442" stopIfTrue="1" operator="equal">
      <formula>"Napkin Hs"</formula>
    </cfRule>
  </conditionalFormatting>
  <conditionalFormatting sqref="C14">
    <cfRule type="cellIs" dxfId="14363" priority="19439" stopIfTrue="1" operator="equal">
      <formula>"Towel"</formula>
    </cfRule>
    <cfRule type="cellIs" dxfId="14362" priority="19440" stopIfTrue="1" operator="equal">
      <formula>"Napkin Hs"</formula>
    </cfRule>
  </conditionalFormatting>
  <conditionalFormatting sqref="C14">
    <cfRule type="cellIs" dxfId="14361" priority="19437" stopIfTrue="1" operator="equal">
      <formula>"Towel"</formula>
    </cfRule>
    <cfRule type="cellIs" dxfId="14360" priority="19438" stopIfTrue="1" operator="equal">
      <formula>"Napkin Hs"</formula>
    </cfRule>
  </conditionalFormatting>
  <conditionalFormatting sqref="C14">
    <cfRule type="cellIs" dxfId="14359" priority="19435" stopIfTrue="1" operator="equal">
      <formula>"Towel"</formula>
    </cfRule>
    <cfRule type="cellIs" dxfId="14358" priority="19436" stopIfTrue="1" operator="equal">
      <formula>"Napkin Hs"</formula>
    </cfRule>
  </conditionalFormatting>
  <conditionalFormatting sqref="C14">
    <cfRule type="cellIs" dxfId="14357" priority="19433" stopIfTrue="1" operator="equal">
      <formula>"Towel"</formula>
    </cfRule>
    <cfRule type="cellIs" dxfId="14356" priority="19434" stopIfTrue="1" operator="equal">
      <formula>"Napkin Hs"</formula>
    </cfRule>
  </conditionalFormatting>
  <conditionalFormatting sqref="C14">
    <cfRule type="cellIs" dxfId="14355" priority="19431" stopIfTrue="1" operator="equal">
      <formula>"Towel"</formula>
    </cfRule>
    <cfRule type="cellIs" dxfId="14354" priority="19432" stopIfTrue="1" operator="equal">
      <formula>"Napkin Hs"</formula>
    </cfRule>
  </conditionalFormatting>
  <conditionalFormatting sqref="C14">
    <cfRule type="cellIs" dxfId="14353" priority="19429" stopIfTrue="1" operator="equal">
      <formula>"Towel"</formula>
    </cfRule>
    <cfRule type="cellIs" dxfId="14352" priority="19430" stopIfTrue="1" operator="equal">
      <formula>"Napkin Hs"</formula>
    </cfRule>
  </conditionalFormatting>
  <conditionalFormatting sqref="C14">
    <cfRule type="cellIs" dxfId="14351" priority="19427" stopIfTrue="1" operator="equal">
      <formula>"Towel"</formula>
    </cfRule>
    <cfRule type="cellIs" dxfId="14350" priority="19428" stopIfTrue="1" operator="equal">
      <formula>"Napkin Hs"</formula>
    </cfRule>
  </conditionalFormatting>
  <conditionalFormatting sqref="C14">
    <cfRule type="cellIs" dxfId="14349" priority="19425" stopIfTrue="1" operator="equal">
      <formula>"Towel"</formula>
    </cfRule>
    <cfRule type="cellIs" dxfId="14348" priority="19426" stopIfTrue="1" operator="equal">
      <formula>"Napkin Hs"</formula>
    </cfRule>
  </conditionalFormatting>
  <conditionalFormatting sqref="C14">
    <cfRule type="cellIs" dxfId="14347" priority="19419" stopIfTrue="1" operator="equal">
      <formula>"Towel"</formula>
    </cfRule>
    <cfRule type="cellIs" dxfId="14346" priority="19420" stopIfTrue="1" operator="equal">
      <formula>"Napkin Hs"</formula>
    </cfRule>
  </conditionalFormatting>
  <conditionalFormatting sqref="C14">
    <cfRule type="cellIs" dxfId="14345" priority="19413" stopIfTrue="1" operator="equal">
      <formula>"Towel"</formula>
    </cfRule>
    <cfRule type="cellIs" dxfId="14344" priority="19414" stopIfTrue="1" operator="equal">
      <formula>"Napkin Hs"</formula>
    </cfRule>
  </conditionalFormatting>
  <conditionalFormatting sqref="C14">
    <cfRule type="cellIs" dxfId="14343" priority="19412" stopIfTrue="1" operator="equal">
      <formula>"Napkin Hs"</formula>
    </cfRule>
  </conditionalFormatting>
  <conditionalFormatting sqref="C14">
    <cfRule type="cellIs" dxfId="14342" priority="19411" stopIfTrue="1" operator="equal">
      <formula>"Towel"</formula>
    </cfRule>
  </conditionalFormatting>
  <conditionalFormatting sqref="C14">
    <cfRule type="cellIs" dxfId="14341" priority="19410" stopIfTrue="1" operator="equal">
      <formula>"Napkin Hs"</formula>
    </cfRule>
  </conditionalFormatting>
  <conditionalFormatting sqref="C14">
    <cfRule type="cellIs" dxfId="14340" priority="19407" stopIfTrue="1" operator="equal">
      <formula>"Towel"</formula>
    </cfRule>
    <cfRule type="cellIs" dxfId="14339" priority="19408" stopIfTrue="1" operator="equal">
      <formula>"Napkin Hs"</formula>
    </cfRule>
  </conditionalFormatting>
  <conditionalFormatting sqref="C14">
    <cfRule type="cellIs" dxfId="14338" priority="19409" stopIfTrue="1" operator="equal">
      <formula>"Towel"</formula>
    </cfRule>
  </conditionalFormatting>
  <conditionalFormatting sqref="C14">
    <cfRule type="cellIs" dxfId="14337" priority="19527" stopIfTrue="1" operator="equal">
      <formula>"Towel"</formula>
    </cfRule>
    <cfRule type="cellIs" dxfId="14336" priority="19528" stopIfTrue="1" operator="equal">
      <formula>"Napkin Hs"</formula>
    </cfRule>
  </conditionalFormatting>
  <conditionalFormatting sqref="C14">
    <cfRule type="cellIs" dxfId="14335" priority="19526" stopIfTrue="1" operator="equal">
      <formula>"Napkin Hs"</formula>
    </cfRule>
  </conditionalFormatting>
  <conditionalFormatting sqref="C14">
    <cfRule type="cellIs" dxfId="14334" priority="19525" stopIfTrue="1" operator="equal">
      <formula>"Towel"</formula>
    </cfRule>
  </conditionalFormatting>
  <conditionalFormatting sqref="C14">
    <cfRule type="cellIs" dxfId="14333" priority="19524" stopIfTrue="1" operator="equal">
      <formula>"Napkin Hs"</formula>
    </cfRule>
  </conditionalFormatting>
  <conditionalFormatting sqref="C14">
    <cfRule type="cellIs" dxfId="14332" priority="19521" stopIfTrue="1" operator="equal">
      <formula>"Towel"</formula>
    </cfRule>
    <cfRule type="cellIs" dxfId="14331" priority="19522" stopIfTrue="1" operator="equal">
      <formula>"Napkin Hs"</formula>
    </cfRule>
  </conditionalFormatting>
  <conditionalFormatting sqref="C14">
    <cfRule type="cellIs" dxfId="14330" priority="19523" stopIfTrue="1" operator="equal">
      <formula>"Towel"</formula>
    </cfRule>
  </conditionalFormatting>
  <conditionalFormatting sqref="C14">
    <cfRule type="cellIs" dxfId="14329" priority="19531" stopIfTrue="1" operator="equal">
      <formula>"Towel"</formula>
    </cfRule>
    <cfRule type="cellIs" dxfId="14328" priority="19532" stopIfTrue="1" operator="equal">
      <formula>"Napkin Hs"</formula>
    </cfRule>
  </conditionalFormatting>
  <conditionalFormatting sqref="C14">
    <cfRule type="cellIs" dxfId="14327" priority="19529" stopIfTrue="1" operator="equal">
      <formula>"Towel"</formula>
    </cfRule>
    <cfRule type="cellIs" dxfId="14326" priority="19530" stopIfTrue="1" operator="equal">
      <formula>"Napkin Hs"</formula>
    </cfRule>
  </conditionalFormatting>
  <conditionalFormatting sqref="C14">
    <cfRule type="cellIs" dxfId="14325" priority="19501" stopIfTrue="1" operator="equal">
      <formula>"Towel"</formula>
    </cfRule>
    <cfRule type="cellIs" dxfId="14324" priority="19502" stopIfTrue="1" operator="equal">
      <formula>"Napkin Hs"</formula>
    </cfRule>
  </conditionalFormatting>
  <conditionalFormatting sqref="C14">
    <cfRule type="cellIs" dxfId="14323" priority="19499" stopIfTrue="1" operator="equal">
      <formula>"Towel"</formula>
    </cfRule>
    <cfRule type="cellIs" dxfId="14322" priority="19500" stopIfTrue="1" operator="equal">
      <formula>"Napkin Hs"</formula>
    </cfRule>
  </conditionalFormatting>
  <conditionalFormatting sqref="C14">
    <cfRule type="cellIs" dxfId="14321" priority="19478" stopIfTrue="1" operator="equal">
      <formula>"Napkin Hs"</formula>
    </cfRule>
  </conditionalFormatting>
  <conditionalFormatting sqref="C14">
    <cfRule type="cellIs" dxfId="14320" priority="19477" stopIfTrue="1" operator="equal">
      <formula>"Towel"</formula>
    </cfRule>
  </conditionalFormatting>
  <conditionalFormatting sqref="C14">
    <cfRule type="cellIs" dxfId="14319" priority="19476" stopIfTrue="1" operator="equal">
      <formula>"Napkin Hs"</formula>
    </cfRule>
  </conditionalFormatting>
  <conditionalFormatting sqref="C14">
    <cfRule type="cellIs" dxfId="14318" priority="19475" stopIfTrue="1" operator="equal">
      <formula>"Towel"</formula>
    </cfRule>
  </conditionalFormatting>
  <conditionalFormatting sqref="C14">
    <cfRule type="cellIs" dxfId="14317" priority="19472" stopIfTrue="1" operator="equal">
      <formula>"Napkin Hs"</formula>
    </cfRule>
  </conditionalFormatting>
  <conditionalFormatting sqref="C14">
    <cfRule type="cellIs" dxfId="14316" priority="19471" stopIfTrue="1" operator="equal">
      <formula>"Towel"</formula>
    </cfRule>
  </conditionalFormatting>
  <conditionalFormatting sqref="C14">
    <cfRule type="cellIs" dxfId="14315" priority="19470" stopIfTrue="1" operator="equal">
      <formula>"Napkin Hs"</formula>
    </cfRule>
  </conditionalFormatting>
  <conditionalFormatting sqref="C14">
    <cfRule type="cellIs" dxfId="14314" priority="19469" stopIfTrue="1" operator="equal">
      <formula>"Towel"</formula>
    </cfRule>
  </conditionalFormatting>
  <conditionalFormatting sqref="C14">
    <cfRule type="cellIs" dxfId="14313" priority="19465" stopIfTrue="1" operator="equal">
      <formula>"Towel"</formula>
    </cfRule>
    <cfRule type="cellIs" dxfId="14312" priority="19466" stopIfTrue="1" operator="equal">
      <formula>"Napkin Hs"</formula>
    </cfRule>
  </conditionalFormatting>
  <conditionalFormatting sqref="C14">
    <cfRule type="cellIs" dxfId="14311" priority="19463" stopIfTrue="1" operator="equal">
      <formula>"Towel"</formula>
    </cfRule>
    <cfRule type="cellIs" dxfId="14310" priority="19464" stopIfTrue="1" operator="equal">
      <formula>"Napkin Hs"</formula>
    </cfRule>
  </conditionalFormatting>
  <conditionalFormatting sqref="C14">
    <cfRule type="cellIs" dxfId="14309" priority="19447" stopIfTrue="1" operator="equal">
      <formula>"Towel"</formula>
    </cfRule>
    <cfRule type="cellIs" dxfId="14308" priority="19448" stopIfTrue="1" operator="equal">
      <formula>"Napkin Hs"</formula>
    </cfRule>
  </conditionalFormatting>
  <conditionalFormatting sqref="C14">
    <cfRule type="cellIs" dxfId="14307" priority="19445" stopIfTrue="1" operator="equal">
      <formula>"Towel"</formula>
    </cfRule>
    <cfRule type="cellIs" dxfId="14306" priority="19446" stopIfTrue="1" operator="equal">
      <formula>"Napkin Hs"</formula>
    </cfRule>
  </conditionalFormatting>
  <conditionalFormatting sqref="C14">
    <cfRule type="cellIs" dxfId="14305" priority="19424" stopIfTrue="1" operator="equal">
      <formula>"Napkin Hs"</formula>
    </cfRule>
  </conditionalFormatting>
  <conditionalFormatting sqref="C14">
    <cfRule type="cellIs" dxfId="14304" priority="19423" stopIfTrue="1" operator="equal">
      <formula>"Towel"</formula>
    </cfRule>
  </conditionalFormatting>
  <conditionalFormatting sqref="C14">
    <cfRule type="cellIs" dxfId="14303" priority="19422" stopIfTrue="1" operator="equal">
      <formula>"Napkin Hs"</formula>
    </cfRule>
  </conditionalFormatting>
  <conditionalFormatting sqref="C14">
    <cfRule type="cellIs" dxfId="14302" priority="19421" stopIfTrue="1" operator="equal">
      <formula>"Towel"</formula>
    </cfRule>
  </conditionalFormatting>
  <conditionalFormatting sqref="C14">
    <cfRule type="cellIs" dxfId="14301" priority="19418" stopIfTrue="1" operator="equal">
      <formula>"Napkin Hs"</formula>
    </cfRule>
  </conditionalFormatting>
  <conditionalFormatting sqref="C14">
    <cfRule type="cellIs" dxfId="14300" priority="19417" stopIfTrue="1" operator="equal">
      <formula>"Towel"</formula>
    </cfRule>
  </conditionalFormatting>
  <conditionalFormatting sqref="C14">
    <cfRule type="cellIs" dxfId="14299" priority="19416" stopIfTrue="1" operator="equal">
      <formula>"Napkin Hs"</formula>
    </cfRule>
  </conditionalFormatting>
  <conditionalFormatting sqref="C14">
    <cfRule type="cellIs" dxfId="14298" priority="19415" stopIfTrue="1" operator="equal">
      <formula>"Towel"</formula>
    </cfRule>
  </conditionalFormatting>
  <conditionalFormatting sqref="B14:C14">
    <cfRule type="cellIs" dxfId="14297" priority="19406" stopIfTrue="1" operator="equal">
      <formula>"Napkin Hs"</formula>
    </cfRule>
  </conditionalFormatting>
  <conditionalFormatting sqref="B14:C14">
    <cfRule type="cellIs" dxfId="14296" priority="19405" stopIfTrue="1" operator="equal">
      <formula>"Towel"</formula>
    </cfRule>
  </conditionalFormatting>
  <conditionalFormatting sqref="C14">
    <cfRule type="cellIs" dxfId="14295" priority="19404" stopIfTrue="1" operator="equal">
      <formula>"Napkin Hs"</formula>
    </cfRule>
  </conditionalFormatting>
  <conditionalFormatting sqref="C14">
    <cfRule type="cellIs" dxfId="14294" priority="19401" stopIfTrue="1" operator="equal">
      <formula>"Towel"</formula>
    </cfRule>
    <cfRule type="cellIs" dxfId="14293" priority="19402" stopIfTrue="1" operator="equal">
      <formula>"Napkin Hs"</formula>
    </cfRule>
  </conditionalFormatting>
  <conditionalFormatting sqref="C14">
    <cfRule type="cellIs" dxfId="14292" priority="19403" stopIfTrue="1" operator="equal">
      <formula>"Towel"</formula>
    </cfRule>
  </conditionalFormatting>
  <conditionalFormatting sqref="C13">
    <cfRule type="cellIs" dxfId="14291" priority="19387" stopIfTrue="1" operator="equal">
      <formula>"Towel"</formula>
    </cfRule>
    <cfRule type="cellIs" dxfId="14290" priority="19388" stopIfTrue="1" operator="equal">
      <formula>"Napkin Hs"</formula>
    </cfRule>
  </conditionalFormatting>
  <conditionalFormatting sqref="C13">
    <cfRule type="cellIs" dxfId="14289" priority="19385" stopIfTrue="1" operator="equal">
      <formula>"Towel"</formula>
    </cfRule>
    <cfRule type="cellIs" dxfId="14288" priority="19386" stopIfTrue="1" operator="equal">
      <formula>"Napkin Hs"</formula>
    </cfRule>
  </conditionalFormatting>
  <conditionalFormatting sqref="C13">
    <cfRule type="cellIs" dxfId="14287" priority="19383" stopIfTrue="1" operator="equal">
      <formula>"Towel"</formula>
    </cfRule>
    <cfRule type="cellIs" dxfId="14286" priority="19384" stopIfTrue="1" operator="equal">
      <formula>"Napkin Hs"</formula>
    </cfRule>
  </conditionalFormatting>
  <conditionalFormatting sqref="C13">
    <cfRule type="cellIs" dxfId="14285" priority="19382" stopIfTrue="1" operator="equal">
      <formula>"Napkin Hs"</formula>
    </cfRule>
  </conditionalFormatting>
  <conditionalFormatting sqref="C13">
    <cfRule type="cellIs" dxfId="14284" priority="19381" stopIfTrue="1" operator="equal">
      <formula>"Towel"</formula>
    </cfRule>
  </conditionalFormatting>
  <conditionalFormatting sqref="C13">
    <cfRule type="cellIs" dxfId="14283" priority="19380" stopIfTrue="1" operator="equal">
      <formula>"Napkin Hs"</formula>
    </cfRule>
  </conditionalFormatting>
  <conditionalFormatting sqref="C13">
    <cfRule type="cellIs" dxfId="14282" priority="19379" stopIfTrue="1" operator="equal">
      <formula>"Towel"</formula>
    </cfRule>
  </conditionalFormatting>
  <conditionalFormatting sqref="C13">
    <cfRule type="cellIs" dxfId="14281" priority="19377" stopIfTrue="1" operator="equal">
      <formula>"Towel"</formula>
    </cfRule>
    <cfRule type="cellIs" dxfId="14280" priority="19378" stopIfTrue="1" operator="equal">
      <formula>"Napkin Hs"</formula>
    </cfRule>
  </conditionalFormatting>
  <conditionalFormatting sqref="C13">
    <cfRule type="cellIs" dxfId="14279" priority="19375" stopIfTrue="1" operator="equal">
      <formula>"Towel"</formula>
    </cfRule>
    <cfRule type="cellIs" dxfId="14278" priority="19376" stopIfTrue="1" operator="equal">
      <formula>"Napkin Hs"</formula>
    </cfRule>
  </conditionalFormatting>
  <conditionalFormatting sqref="C13">
    <cfRule type="cellIs" dxfId="14277" priority="19371" stopIfTrue="1" operator="equal">
      <formula>"Towel"</formula>
    </cfRule>
    <cfRule type="cellIs" dxfId="14276" priority="19372" stopIfTrue="1" operator="equal">
      <formula>"Napkin Hs"</formula>
    </cfRule>
  </conditionalFormatting>
  <conditionalFormatting sqref="C13">
    <cfRule type="cellIs" dxfId="14275" priority="19373" stopIfTrue="1" operator="equal">
      <formula>"Towel"</formula>
    </cfRule>
    <cfRule type="cellIs" dxfId="14274" priority="19374" stopIfTrue="1" operator="equal">
      <formula>"Napkin Hs"</formula>
    </cfRule>
  </conditionalFormatting>
  <conditionalFormatting sqref="C13">
    <cfRule type="cellIs" dxfId="14273" priority="19365" stopIfTrue="1" operator="equal">
      <formula>"Towel"</formula>
    </cfRule>
    <cfRule type="cellIs" dxfId="14272" priority="19366" stopIfTrue="1" operator="equal">
      <formula>"Napkin Hs"</formula>
    </cfRule>
  </conditionalFormatting>
  <conditionalFormatting sqref="C13">
    <cfRule type="cellIs" dxfId="14271" priority="19363" stopIfTrue="1" operator="equal">
      <formula>"Towel"</formula>
    </cfRule>
    <cfRule type="cellIs" dxfId="14270" priority="19364" stopIfTrue="1" operator="equal">
      <formula>"Napkin Hs"</formula>
    </cfRule>
  </conditionalFormatting>
  <conditionalFormatting sqref="C13">
    <cfRule type="cellIs" dxfId="14269" priority="19361" stopIfTrue="1" operator="equal">
      <formula>"Towel"</formula>
    </cfRule>
    <cfRule type="cellIs" dxfId="14268" priority="19362" stopIfTrue="1" operator="equal">
      <formula>"Napkin Hs"</formula>
    </cfRule>
  </conditionalFormatting>
  <conditionalFormatting sqref="C13">
    <cfRule type="cellIs" dxfId="14267" priority="19359" stopIfTrue="1" operator="equal">
      <formula>"Towel"</formula>
    </cfRule>
    <cfRule type="cellIs" dxfId="14266" priority="19360" stopIfTrue="1" operator="equal">
      <formula>"Napkin Hs"</formula>
    </cfRule>
  </conditionalFormatting>
  <conditionalFormatting sqref="C13">
    <cfRule type="cellIs" dxfId="14265" priority="19357" stopIfTrue="1" operator="equal">
      <formula>"Towel"</formula>
    </cfRule>
    <cfRule type="cellIs" dxfId="14264" priority="19358" stopIfTrue="1" operator="equal">
      <formula>"Napkin Hs"</formula>
    </cfRule>
  </conditionalFormatting>
  <conditionalFormatting sqref="C13">
    <cfRule type="cellIs" dxfId="14263" priority="19355" stopIfTrue="1" operator="equal">
      <formula>"Towel"</formula>
    </cfRule>
    <cfRule type="cellIs" dxfId="14262" priority="19356" stopIfTrue="1" operator="equal">
      <formula>"Napkin Hs"</formula>
    </cfRule>
  </conditionalFormatting>
  <conditionalFormatting sqref="C13">
    <cfRule type="cellIs" dxfId="14261" priority="19353" stopIfTrue="1" operator="equal">
      <formula>"Towel"</formula>
    </cfRule>
    <cfRule type="cellIs" dxfId="14260" priority="19354" stopIfTrue="1" operator="equal">
      <formula>"Napkin Hs"</formula>
    </cfRule>
  </conditionalFormatting>
  <conditionalFormatting sqref="C13">
    <cfRule type="cellIs" dxfId="14259" priority="19351" stopIfTrue="1" operator="equal">
      <formula>"Towel"</formula>
    </cfRule>
    <cfRule type="cellIs" dxfId="14258" priority="19352" stopIfTrue="1" operator="equal">
      <formula>"Napkin Hs"</formula>
    </cfRule>
  </conditionalFormatting>
  <conditionalFormatting sqref="C13">
    <cfRule type="cellIs" dxfId="14257" priority="19349" stopIfTrue="1" operator="equal">
      <formula>"Towel"</formula>
    </cfRule>
    <cfRule type="cellIs" dxfId="14256" priority="19350" stopIfTrue="1" operator="equal">
      <formula>"Napkin Hs"</formula>
    </cfRule>
  </conditionalFormatting>
  <conditionalFormatting sqref="C13">
    <cfRule type="cellIs" dxfId="14255" priority="19347" stopIfTrue="1" operator="equal">
      <formula>"Towel"</formula>
    </cfRule>
    <cfRule type="cellIs" dxfId="14254" priority="19348" stopIfTrue="1" operator="equal">
      <formula>"Napkin Hs"</formula>
    </cfRule>
  </conditionalFormatting>
  <conditionalFormatting sqref="C13">
    <cfRule type="cellIs" dxfId="14253" priority="19341" stopIfTrue="1" operator="equal">
      <formula>"Towel"</formula>
    </cfRule>
    <cfRule type="cellIs" dxfId="14252" priority="19342" stopIfTrue="1" operator="equal">
      <formula>"Napkin Hs"</formula>
    </cfRule>
  </conditionalFormatting>
  <conditionalFormatting sqref="C13">
    <cfRule type="cellIs" dxfId="14251" priority="19335" stopIfTrue="1" operator="equal">
      <formula>"Towel"</formula>
    </cfRule>
    <cfRule type="cellIs" dxfId="14250" priority="19336" stopIfTrue="1" operator="equal">
      <formula>"Napkin Hs"</formula>
    </cfRule>
  </conditionalFormatting>
  <conditionalFormatting sqref="C13">
    <cfRule type="cellIs" dxfId="14249" priority="19329" stopIfTrue="1" operator="equal">
      <formula>"Towel"</formula>
    </cfRule>
    <cfRule type="cellIs" dxfId="14248" priority="19330" stopIfTrue="1" operator="equal">
      <formula>"Napkin Hs"</formula>
    </cfRule>
  </conditionalFormatting>
  <conditionalFormatting sqref="C13">
    <cfRule type="cellIs" dxfId="14247" priority="19328" stopIfTrue="1" operator="equal">
      <formula>"Napkin Hs"</formula>
    </cfRule>
  </conditionalFormatting>
  <conditionalFormatting sqref="C13">
    <cfRule type="cellIs" dxfId="14246" priority="19327" stopIfTrue="1" operator="equal">
      <formula>"Towel"</formula>
    </cfRule>
  </conditionalFormatting>
  <conditionalFormatting sqref="C13">
    <cfRule type="cellIs" dxfId="14245" priority="19326" stopIfTrue="1" operator="equal">
      <formula>"Napkin Hs"</formula>
    </cfRule>
  </conditionalFormatting>
  <conditionalFormatting sqref="C13">
    <cfRule type="cellIs" dxfId="14244" priority="19325" stopIfTrue="1" operator="equal">
      <formula>"Towel"</formula>
    </cfRule>
  </conditionalFormatting>
  <conditionalFormatting sqref="C13">
    <cfRule type="cellIs" dxfId="14243" priority="19323" stopIfTrue="1" operator="equal">
      <formula>"Towel"</formula>
    </cfRule>
    <cfRule type="cellIs" dxfId="14242" priority="19324" stopIfTrue="1" operator="equal">
      <formula>"Napkin Hs"</formula>
    </cfRule>
  </conditionalFormatting>
  <conditionalFormatting sqref="C13">
    <cfRule type="cellIs" dxfId="14241" priority="19321" stopIfTrue="1" operator="equal">
      <formula>"Towel"</formula>
    </cfRule>
    <cfRule type="cellIs" dxfId="14240" priority="19322" stopIfTrue="1" operator="equal">
      <formula>"Napkin Hs"</formula>
    </cfRule>
  </conditionalFormatting>
  <conditionalFormatting sqref="C13">
    <cfRule type="cellIs" dxfId="14239" priority="19317" stopIfTrue="1" operator="equal">
      <formula>"Towel"</formula>
    </cfRule>
    <cfRule type="cellIs" dxfId="14238" priority="19318" stopIfTrue="1" operator="equal">
      <formula>"Napkin Hs"</formula>
    </cfRule>
  </conditionalFormatting>
  <conditionalFormatting sqref="C13">
    <cfRule type="cellIs" dxfId="14237" priority="19319" stopIfTrue="1" operator="equal">
      <formula>"Towel"</formula>
    </cfRule>
    <cfRule type="cellIs" dxfId="14236" priority="19320" stopIfTrue="1" operator="equal">
      <formula>"Napkin Hs"</formula>
    </cfRule>
  </conditionalFormatting>
  <conditionalFormatting sqref="C13">
    <cfRule type="cellIs" dxfId="14235" priority="19311" stopIfTrue="1" operator="equal">
      <formula>"Towel"</formula>
    </cfRule>
    <cfRule type="cellIs" dxfId="14234" priority="19312" stopIfTrue="1" operator="equal">
      <formula>"Napkin Hs"</formula>
    </cfRule>
  </conditionalFormatting>
  <conditionalFormatting sqref="C13">
    <cfRule type="cellIs" dxfId="14233" priority="19309" stopIfTrue="1" operator="equal">
      <formula>"Towel"</formula>
    </cfRule>
    <cfRule type="cellIs" dxfId="14232" priority="19310" stopIfTrue="1" operator="equal">
      <formula>"Napkin Hs"</formula>
    </cfRule>
  </conditionalFormatting>
  <conditionalFormatting sqref="C13">
    <cfRule type="cellIs" dxfId="14231" priority="19307" stopIfTrue="1" operator="equal">
      <formula>"Towel"</formula>
    </cfRule>
    <cfRule type="cellIs" dxfId="14230" priority="19308" stopIfTrue="1" operator="equal">
      <formula>"Napkin Hs"</formula>
    </cfRule>
  </conditionalFormatting>
  <conditionalFormatting sqref="C13">
    <cfRule type="cellIs" dxfId="14229" priority="19305" stopIfTrue="1" operator="equal">
      <formula>"Towel"</formula>
    </cfRule>
    <cfRule type="cellIs" dxfId="14228" priority="19306" stopIfTrue="1" operator="equal">
      <formula>"Napkin Hs"</formula>
    </cfRule>
  </conditionalFormatting>
  <conditionalFormatting sqref="C13">
    <cfRule type="cellIs" dxfId="14227" priority="19303" stopIfTrue="1" operator="equal">
      <formula>"Towel"</formula>
    </cfRule>
    <cfRule type="cellIs" dxfId="14226" priority="19304" stopIfTrue="1" operator="equal">
      <formula>"Napkin Hs"</formula>
    </cfRule>
  </conditionalFormatting>
  <conditionalFormatting sqref="C13">
    <cfRule type="cellIs" dxfId="14225" priority="19301" stopIfTrue="1" operator="equal">
      <formula>"Towel"</formula>
    </cfRule>
    <cfRule type="cellIs" dxfId="14224" priority="19302" stopIfTrue="1" operator="equal">
      <formula>"Napkin Hs"</formula>
    </cfRule>
  </conditionalFormatting>
  <conditionalFormatting sqref="C13">
    <cfRule type="cellIs" dxfId="14223" priority="19299" stopIfTrue="1" operator="equal">
      <formula>"Towel"</formula>
    </cfRule>
    <cfRule type="cellIs" dxfId="14222" priority="19300" stopIfTrue="1" operator="equal">
      <formula>"Napkin Hs"</formula>
    </cfRule>
  </conditionalFormatting>
  <conditionalFormatting sqref="C13">
    <cfRule type="cellIs" dxfId="14221" priority="19297" stopIfTrue="1" operator="equal">
      <formula>"Towel"</formula>
    </cfRule>
    <cfRule type="cellIs" dxfId="14220" priority="19298" stopIfTrue="1" operator="equal">
      <formula>"Napkin Hs"</formula>
    </cfRule>
  </conditionalFormatting>
  <conditionalFormatting sqref="C13">
    <cfRule type="cellIs" dxfId="14219" priority="19295" stopIfTrue="1" operator="equal">
      <formula>"Towel"</formula>
    </cfRule>
    <cfRule type="cellIs" dxfId="14218" priority="19296" stopIfTrue="1" operator="equal">
      <formula>"Napkin Hs"</formula>
    </cfRule>
  </conditionalFormatting>
  <conditionalFormatting sqref="C13">
    <cfRule type="cellIs" dxfId="14217" priority="19293" stopIfTrue="1" operator="equal">
      <formula>"Towel"</formula>
    </cfRule>
    <cfRule type="cellIs" dxfId="14216" priority="19294" stopIfTrue="1" operator="equal">
      <formula>"Napkin Hs"</formula>
    </cfRule>
  </conditionalFormatting>
  <conditionalFormatting sqref="C13">
    <cfRule type="cellIs" dxfId="14215" priority="19287" stopIfTrue="1" operator="equal">
      <formula>"Towel"</formula>
    </cfRule>
    <cfRule type="cellIs" dxfId="14214" priority="19288" stopIfTrue="1" operator="equal">
      <formula>"Napkin Hs"</formula>
    </cfRule>
  </conditionalFormatting>
  <conditionalFormatting sqref="C13">
    <cfRule type="cellIs" dxfId="14213" priority="19281" stopIfTrue="1" operator="equal">
      <formula>"Towel"</formula>
    </cfRule>
    <cfRule type="cellIs" dxfId="14212" priority="19282" stopIfTrue="1" operator="equal">
      <formula>"Napkin Hs"</formula>
    </cfRule>
  </conditionalFormatting>
  <conditionalFormatting sqref="C13">
    <cfRule type="cellIs" dxfId="14211" priority="19280" stopIfTrue="1" operator="equal">
      <formula>"Napkin Hs"</formula>
    </cfRule>
  </conditionalFormatting>
  <conditionalFormatting sqref="C13">
    <cfRule type="cellIs" dxfId="14210" priority="19279" stopIfTrue="1" operator="equal">
      <formula>"Towel"</formula>
    </cfRule>
  </conditionalFormatting>
  <conditionalFormatting sqref="C13">
    <cfRule type="cellIs" dxfId="14209" priority="19278" stopIfTrue="1" operator="equal">
      <formula>"Napkin Hs"</formula>
    </cfRule>
  </conditionalFormatting>
  <conditionalFormatting sqref="C13">
    <cfRule type="cellIs" dxfId="14208" priority="19275" stopIfTrue="1" operator="equal">
      <formula>"Towel"</formula>
    </cfRule>
    <cfRule type="cellIs" dxfId="14207" priority="19276" stopIfTrue="1" operator="equal">
      <formula>"Napkin Hs"</formula>
    </cfRule>
  </conditionalFormatting>
  <conditionalFormatting sqref="C13">
    <cfRule type="cellIs" dxfId="14206" priority="19277" stopIfTrue="1" operator="equal">
      <formula>"Towel"</formula>
    </cfRule>
  </conditionalFormatting>
  <conditionalFormatting sqref="C13">
    <cfRule type="cellIs" dxfId="14205" priority="19395" stopIfTrue="1" operator="equal">
      <formula>"Towel"</formula>
    </cfRule>
    <cfRule type="cellIs" dxfId="14204" priority="19396" stopIfTrue="1" operator="equal">
      <formula>"Napkin Hs"</formula>
    </cfRule>
  </conditionalFormatting>
  <conditionalFormatting sqref="C13">
    <cfRule type="cellIs" dxfId="14203" priority="19394" stopIfTrue="1" operator="equal">
      <formula>"Napkin Hs"</formula>
    </cfRule>
  </conditionalFormatting>
  <conditionalFormatting sqref="C13">
    <cfRule type="cellIs" dxfId="14202" priority="19393" stopIfTrue="1" operator="equal">
      <formula>"Towel"</formula>
    </cfRule>
  </conditionalFormatting>
  <conditionalFormatting sqref="C13">
    <cfRule type="cellIs" dxfId="14201" priority="19392" stopIfTrue="1" operator="equal">
      <formula>"Napkin Hs"</formula>
    </cfRule>
  </conditionalFormatting>
  <conditionalFormatting sqref="C13">
    <cfRule type="cellIs" dxfId="14200" priority="19389" stopIfTrue="1" operator="equal">
      <formula>"Towel"</formula>
    </cfRule>
    <cfRule type="cellIs" dxfId="14199" priority="19390" stopIfTrue="1" operator="equal">
      <formula>"Napkin Hs"</formula>
    </cfRule>
  </conditionalFormatting>
  <conditionalFormatting sqref="C13">
    <cfRule type="cellIs" dxfId="14198" priority="19391" stopIfTrue="1" operator="equal">
      <formula>"Towel"</formula>
    </cfRule>
  </conditionalFormatting>
  <conditionalFormatting sqref="C13">
    <cfRule type="cellIs" dxfId="14197" priority="19399" stopIfTrue="1" operator="equal">
      <formula>"Towel"</formula>
    </cfRule>
    <cfRule type="cellIs" dxfId="14196" priority="19400" stopIfTrue="1" operator="equal">
      <formula>"Napkin Hs"</formula>
    </cfRule>
  </conditionalFormatting>
  <conditionalFormatting sqref="C13">
    <cfRule type="cellIs" dxfId="14195" priority="19397" stopIfTrue="1" operator="equal">
      <formula>"Towel"</formula>
    </cfRule>
    <cfRule type="cellIs" dxfId="14194" priority="19398" stopIfTrue="1" operator="equal">
      <formula>"Napkin Hs"</formula>
    </cfRule>
  </conditionalFormatting>
  <conditionalFormatting sqref="C13">
    <cfRule type="cellIs" dxfId="14193" priority="19369" stopIfTrue="1" operator="equal">
      <formula>"Towel"</formula>
    </cfRule>
    <cfRule type="cellIs" dxfId="14192" priority="19370" stopIfTrue="1" operator="equal">
      <formula>"Napkin Hs"</formula>
    </cfRule>
  </conditionalFormatting>
  <conditionalFormatting sqref="C13">
    <cfRule type="cellIs" dxfId="14191" priority="19367" stopIfTrue="1" operator="equal">
      <formula>"Towel"</formula>
    </cfRule>
    <cfRule type="cellIs" dxfId="14190" priority="19368" stopIfTrue="1" operator="equal">
      <formula>"Napkin Hs"</formula>
    </cfRule>
  </conditionalFormatting>
  <conditionalFormatting sqref="C13">
    <cfRule type="cellIs" dxfId="14189" priority="19346" stopIfTrue="1" operator="equal">
      <formula>"Napkin Hs"</formula>
    </cfRule>
  </conditionalFormatting>
  <conditionalFormatting sqref="C13">
    <cfRule type="cellIs" dxfId="14188" priority="19345" stopIfTrue="1" operator="equal">
      <formula>"Towel"</formula>
    </cfRule>
  </conditionalFormatting>
  <conditionalFormatting sqref="C13">
    <cfRule type="cellIs" dxfId="14187" priority="19344" stopIfTrue="1" operator="equal">
      <formula>"Napkin Hs"</formula>
    </cfRule>
  </conditionalFormatting>
  <conditionalFormatting sqref="C13">
    <cfRule type="cellIs" dxfId="14186" priority="19343" stopIfTrue="1" operator="equal">
      <formula>"Towel"</formula>
    </cfRule>
  </conditionalFormatting>
  <conditionalFormatting sqref="C13">
    <cfRule type="cellIs" dxfId="14185" priority="19340" stopIfTrue="1" operator="equal">
      <formula>"Napkin Hs"</formula>
    </cfRule>
  </conditionalFormatting>
  <conditionalFormatting sqref="C13">
    <cfRule type="cellIs" dxfId="14184" priority="19339" stopIfTrue="1" operator="equal">
      <formula>"Towel"</formula>
    </cfRule>
  </conditionalFormatting>
  <conditionalFormatting sqref="C13">
    <cfRule type="cellIs" dxfId="14183" priority="19338" stopIfTrue="1" operator="equal">
      <formula>"Napkin Hs"</formula>
    </cfRule>
  </conditionalFormatting>
  <conditionalFormatting sqref="C13">
    <cfRule type="cellIs" dxfId="14182" priority="19337" stopIfTrue="1" operator="equal">
      <formula>"Towel"</formula>
    </cfRule>
  </conditionalFormatting>
  <conditionalFormatting sqref="C13">
    <cfRule type="cellIs" dxfId="14181" priority="19333" stopIfTrue="1" operator="equal">
      <formula>"Towel"</formula>
    </cfRule>
    <cfRule type="cellIs" dxfId="14180" priority="19334" stopIfTrue="1" operator="equal">
      <formula>"Napkin Hs"</formula>
    </cfRule>
  </conditionalFormatting>
  <conditionalFormatting sqref="C13">
    <cfRule type="cellIs" dxfId="14179" priority="19331" stopIfTrue="1" operator="equal">
      <formula>"Towel"</formula>
    </cfRule>
    <cfRule type="cellIs" dxfId="14178" priority="19332" stopIfTrue="1" operator="equal">
      <formula>"Napkin Hs"</formula>
    </cfRule>
  </conditionalFormatting>
  <conditionalFormatting sqref="C13">
    <cfRule type="cellIs" dxfId="14177" priority="19315" stopIfTrue="1" operator="equal">
      <formula>"Towel"</formula>
    </cfRule>
    <cfRule type="cellIs" dxfId="14176" priority="19316" stopIfTrue="1" operator="equal">
      <formula>"Napkin Hs"</formula>
    </cfRule>
  </conditionalFormatting>
  <conditionalFormatting sqref="C13">
    <cfRule type="cellIs" dxfId="14175" priority="19313" stopIfTrue="1" operator="equal">
      <formula>"Towel"</formula>
    </cfRule>
    <cfRule type="cellIs" dxfId="14174" priority="19314" stopIfTrue="1" operator="equal">
      <formula>"Napkin Hs"</formula>
    </cfRule>
  </conditionalFormatting>
  <conditionalFormatting sqref="C13">
    <cfRule type="cellIs" dxfId="14173" priority="19292" stopIfTrue="1" operator="equal">
      <formula>"Napkin Hs"</formula>
    </cfRule>
  </conditionalFormatting>
  <conditionalFormatting sqref="C13">
    <cfRule type="cellIs" dxfId="14172" priority="19291" stopIfTrue="1" operator="equal">
      <formula>"Towel"</formula>
    </cfRule>
  </conditionalFormatting>
  <conditionalFormatting sqref="C13">
    <cfRule type="cellIs" dxfId="14171" priority="19290" stopIfTrue="1" operator="equal">
      <formula>"Napkin Hs"</formula>
    </cfRule>
  </conditionalFormatting>
  <conditionalFormatting sqref="C13">
    <cfRule type="cellIs" dxfId="14170" priority="19289" stopIfTrue="1" operator="equal">
      <formula>"Towel"</formula>
    </cfRule>
  </conditionalFormatting>
  <conditionalFormatting sqref="C13">
    <cfRule type="cellIs" dxfId="14169" priority="19286" stopIfTrue="1" operator="equal">
      <formula>"Napkin Hs"</formula>
    </cfRule>
  </conditionalFormatting>
  <conditionalFormatting sqref="C13">
    <cfRule type="cellIs" dxfId="14168" priority="19285" stopIfTrue="1" operator="equal">
      <formula>"Towel"</formula>
    </cfRule>
  </conditionalFormatting>
  <conditionalFormatting sqref="C13">
    <cfRule type="cellIs" dxfId="14167" priority="19284" stopIfTrue="1" operator="equal">
      <formula>"Napkin Hs"</formula>
    </cfRule>
  </conditionalFormatting>
  <conditionalFormatting sqref="C13">
    <cfRule type="cellIs" dxfId="14166" priority="19283" stopIfTrue="1" operator="equal">
      <formula>"Towel"</formula>
    </cfRule>
  </conditionalFormatting>
  <conditionalFormatting sqref="B13:C13">
    <cfRule type="cellIs" dxfId="14165" priority="19274" stopIfTrue="1" operator="equal">
      <formula>"Napkin Hs"</formula>
    </cfRule>
  </conditionalFormatting>
  <conditionalFormatting sqref="B13:C13">
    <cfRule type="cellIs" dxfId="14164" priority="19273" stopIfTrue="1" operator="equal">
      <formula>"Towel"</formula>
    </cfRule>
  </conditionalFormatting>
  <conditionalFormatting sqref="C13">
    <cfRule type="cellIs" dxfId="14163" priority="19272" stopIfTrue="1" operator="equal">
      <formula>"Napkin Hs"</formula>
    </cfRule>
  </conditionalFormatting>
  <conditionalFormatting sqref="C13">
    <cfRule type="cellIs" dxfId="14162" priority="19269" stopIfTrue="1" operator="equal">
      <formula>"Towel"</formula>
    </cfRule>
    <cfRule type="cellIs" dxfId="14161" priority="19270" stopIfTrue="1" operator="equal">
      <formula>"Napkin Hs"</formula>
    </cfRule>
  </conditionalFormatting>
  <conditionalFormatting sqref="C13">
    <cfRule type="cellIs" dxfId="14160" priority="19271" stopIfTrue="1" operator="equal">
      <formula>"Towel"</formula>
    </cfRule>
  </conditionalFormatting>
  <conditionalFormatting sqref="C15">
    <cfRule type="cellIs" dxfId="14159" priority="19255" stopIfTrue="1" operator="equal">
      <formula>"Towel"</formula>
    </cfRule>
    <cfRule type="cellIs" dxfId="14158" priority="19256" stopIfTrue="1" operator="equal">
      <formula>"Napkin Hs"</formula>
    </cfRule>
  </conditionalFormatting>
  <conditionalFormatting sqref="C15">
    <cfRule type="cellIs" dxfId="14157" priority="19253" stopIfTrue="1" operator="equal">
      <formula>"Towel"</formula>
    </cfRule>
    <cfRule type="cellIs" dxfId="14156" priority="19254" stopIfTrue="1" operator="equal">
      <formula>"Napkin Hs"</formula>
    </cfRule>
  </conditionalFormatting>
  <conditionalFormatting sqref="C15">
    <cfRule type="cellIs" dxfId="14155" priority="19251" stopIfTrue="1" operator="equal">
      <formula>"Towel"</formula>
    </cfRule>
    <cfRule type="cellIs" dxfId="14154" priority="19252" stopIfTrue="1" operator="equal">
      <formula>"Napkin Hs"</formula>
    </cfRule>
  </conditionalFormatting>
  <conditionalFormatting sqref="C15">
    <cfRule type="cellIs" dxfId="14153" priority="19250" stopIfTrue="1" operator="equal">
      <formula>"Napkin Hs"</formula>
    </cfRule>
  </conditionalFormatting>
  <conditionalFormatting sqref="C15">
    <cfRule type="cellIs" dxfId="14152" priority="19249" stopIfTrue="1" operator="equal">
      <formula>"Towel"</formula>
    </cfRule>
  </conditionalFormatting>
  <conditionalFormatting sqref="C15">
    <cfRule type="cellIs" dxfId="14151" priority="19248" stopIfTrue="1" operator="equal">
      <formula>"Napkin Hs"</formula>
    </cfRule>
  </conditionalFormatting>
  <conditionalFormatting sqref="C15">
    <cfRule type="cellIs" dxfId="14150" priority="19247" stopIfTrue="1" operator="equal">
      <formula>"Towel"</formula>
    </cfRule>
  </conditionalFormatting>
  <conditionalFormatting sqref="C15">
    <cfRule type="cellIs" dxfId="14149" priority="19245" stopIfTrue="1" operator="equal">
      <formula>"Towel"</formula>
    </cfRule>
    <cfRule type="cellIs" dxfId="14148" priority="19246" stopIfTrue="1" operator="equal">
      <formula>"Napkin Hs"</formula>
    </cfRule>
  </conditionalFormatting>
  <conditionalFormatting sqref="C15">
    <cfRule type="cellIs" dxfId="14147" priority="19243" stopIfTrue="1" operator="equal">
      <formula>"Towel"</formula>
    </cfRule>
    <cfRule type="cellIs" dxfId="14146" priority="19244" stopIfTrue="1" operator="equal">
      <formula>"Napkin Hs"</formula>
    </cfRule>
  </conditionalFormatting>
  <conditionalFormatting sqref="C15">
    <cfRule type="cellIs" dxfId="14145" priority="19239" stopIfTrue="1" operator="equal">
      <formula>"Towel"</formula>
    </cfRule>
    <cfRule type="cellIs" dxfId="14144" priority="19240" stopIfTrue="1" operator="equal">
      <formula>"Napkin Hs"</formula>
    </cfRule>
  </conditionalFormatting>
  <conditionalFormatting sqref="C15">
    <cfRule type="cellIs" dxfId="14143" priority="19241" stopIfTrue="1" operator="equal">
      <formula>"Towel"</formula>
    </cfRule>
    <cfRule type="cellIs" dxfId="14142" priority="19242" stopIfTrue="1" operator="equal">
      <formula>"Napkin Hs"</formula>
    </cfRule>
  </conditionalFormatting>
  <conditionalFormatting sqref="C15">
    <cfRule type="cellIs" dxfId="14141" priority="19233" stopIfTrue="1" operator="equal">
      <formula>"Towel"</formula>
    </cfRule>
    <cfRule type="cellIs" dxfId="14140" priority="19234" stopIfTrue="1" operator="equal">
      <formula>"Napkin Hs"</formula>
    </cfRule>
  </conditionalFormatting>
  <conditionalFormatting sqref="C15">
    <cfRule type="cellIs" dxfId="14139" priority="19231" stopIfTrue="1" operator="equal">
      <formula>"Towel"</formula>
    </cfRule>
    <cfRule type="cellIs" dxfId="14138" priority="19232" stopIfTrue="1" operator="equal">
      <formula>"Napkin Hs"</formula>
    </cfRule>
  </conditionalFormatting>
  <conditionalFormatting sqref="C15">
    <cfRule type="cellIs" dxfId="14137" priority="19229" stopIfTrue="1" operator="equal">
      <formula>"Towel"</formula>
    </cfRule>
    <cfRule type="cellIs" dxfId="14136" priority="19230" stopIfTrue="1" operator="equal">
      <formula>"Napkin Hs"</formula>
    </cfRule>
  </conditionalFormatting>
  <conditionalFormatting sqref="C15">
    <cfRule type="cellIs" dxfId="14135" priority="19227" stopIfTrue="1" operator="equal">
      <formula>"Towel"</formula>
    </cfRule>
    <cfRule type="cellIs" dxfId="14134" priority="19228" stopIfTrue="1" operator="equal">
      <formula>"Napkin Hs"</formula>
    </cfRule>
  </conditionalFormatting>
  <conditionalFormatting sqref="C15">
    <cfRule type="cellIs" dxfId="14133" priority="19225" stopIfTrue="1" operator="equal">
      <formula>"Towel"</formula>
    </cfRule>
    <cfRule type="cellIs" dxfId="14132" priority="19226" stopIfTrue="1" operator="equal">
      <formula>"Napkin Hs"</formula>
    </cfRule>
  </conditionalFormatting>
  <conditionalFormatting sqref="C15">
    <cfRule type="cellIs" dxfId="14131" priority="19223" stopIfTrue="1" operator="equal">
      <formula>"Towel"</formula>
    </cfRule>
    <cfRule type="cellIs" dxfId="14130" priority="19224" stopIfTrue="1" operator="equal">
      <formula>"Napkin Hs"</formula>
    </cfRule>
  </conditionalFormatting>
  <conditionalFormatting sqref="C15">
    <cfRule type="cellIs" dxfId="14129" priority="19221" stopIfTrue="1" operator="equal">
      <formula>"Towel"</formula>
    </cfRule>
    <cfRule type="cellIs" dxfId="14128" priority="19222" stopIfTrue="1" operator="equal">
      <formula>"Napkin Hs"</formula>
    </cfRule>
  </conditionalFormatting>
  <conditionalFormatting sqref="C15">
    <cfRule type="cellIs" dxfId="14127" priority="19219" stopIfTrue="1" operator="equal">
      <formula>"Towel"</formula>
    </cfRule>
    <cfRule type="cellIs" dxfId="14126" priority="19220" stopIfTrue="1" operator="equal">
      <formula>"Napkin Hs"</formula>
    </cfRule>
  </conditionalFormatting>
  <conditionalFormatting sqref="C15">
    <cfRule type="cellIs" dxfId="14125" priority="19217" stopIfTrue="1" operator="equal">
      <formula>"Towel"</formula>
    </cfRule>
    <cfRule type="cellIs" dxfId="14124" priority="19218" stopIfTrue="1" operator="equal">
      <formula>"Napkin Hs"</formula>
    </cfRule>
  </conditionalFormatting>
  <conditionalFormatting sqref="C15">
    <cfRule type="cellIs" dxfId="14123" priority="19215" stopIfTrue="1" operator="equal">
      <formula>"Towel"</formula>
    </cfRule>
    <cfRule type="cellIs" dxfId="14122" priority="19216" stopIfTrue="1" operator="equal">
      <formula>"Napkin Hs"</formula>
    </cfRule>
  </conditionalFormatting>
  <conditionalFormatting sqref="C15">
    <cfRule type="cellIs" dxfId="14121" priority="19209" stopIfTrue="1" operator="equal">
      <formula>"Towel"</formula>
    </cfRule>
    <cfRule type="cellIs" dxfId="14120" priority="19210" stopIfTrue="1" operator="equal">
      <formula>"Napkin Hs"</formula>
    </cfRule>
  </conditionalFormatting>
  <conditionalFormatting sqref="C15">
    <cfRule type="cellIs" dxfId="14119" priority="19203" stopIfTrue="1" operator="equal">
      <formula>"Towel"</formula>
    </cfRule>
    <cfRule type="cellIs" dxfId="14118" priority="19204" stopIfTrue="1" operator="equal">
      <formula>"Napkin Hs"</formula>
    </cfRule>
  </conditionalFormatting>
  <conditionalFormatting sqref="C15">
    <cfRule type="cellIs" dxfId="14117" priority="19197" stopIfTrue="1" operator="equal">
      <formula>"Towel"</formula>
    </cfRule>
    <cfRule type="cellIs" dxfId="14116" priority="19198" stopIfTrue="1" operator="equal">
      <formula>"Napkin Hs"</formula>
    </cfRule>
  </conditionalFormatting>
  <conditionalFormatting sqref="C15">
    <cfRule type="cellIs" dxfId="14115" priority="19196" stopIfTrue="1" operator="equal">
      <formula>"Napkin Hs"</formula>
    </cfRule>
  </conditionalFormatting>
  <conditionalFormatting sqref="C15">
    <cfRule type="cellIs" dxfId="14114" priority="19195" stopIfTrue="1" operator="equal">
      <formula>"Towel"</formula>
    </cfRule>
  </conditionalFormatting>
  <conditionalFormatting sqref="C15">
    <cfRule type="cellIs" dxfId="14113" priority="19194" stopIfTrue="1" operator="equal">
      <formula>"Napkin Hs"</formula>
    </cfRule>
  </conditionalFormatting>
  <conditionalFormatting sqref="C15">
    <cfRule type="cellIs" dxfId="14112" priority="19193" stopIfTrue="1" operator="equal">
      <formula>"Towel"</formula>
    </cfRule>
  </conditionalFormatting>
  <conditionalFormatting sqref="C15">
    <cfRule type="cellIs" dxfId="14111" priority="19191" stopIfTrue="1" operator="equal">
      <formula>"Towel"</formula>
    </cfRule>
    <cfRule type="cellIs" dxfId="14110" priority="19192" stopIfTrue="1" operator="equal">
      <formula>"Napkin Hs"</formula>
    </cfRule>
  </conditionalFormatting>
  <conditionalFormatting sqref="C15">
    <cfRule type="cellIs" dxfId="14109" priority="19189" stopIfTrue="1" operator="equal">
      <formula>"Towel"</formula>
    </cfRule>
    <cfRule type="cellIs" dxfId="14108" priority="19190" stopIfTrue="1" operator="equal">
      <formula>"Napkin Hs"</formula>
    </cfRule>
  </conditionalFormatting>
  <conditionalFormatting sqref="C15">
    <cfRule type="cellIs" dxfId="14107" priority="19185" stopIfTrue="1" operator="equal">
      <formula>"Towel"</formula>
    </cfRule>
    <cfRule type="cellIs" dxfId="14106" priority="19186" stopIfTrue="1" operator="equal">
      <formula>"Napkin Hs"</formula>
    </cfRule>
  </conditionalFormatting>
  <conditionalFormatting sqref="C15">
    <cfRule type="cellIs" dxfId="14105" priority="19187" stopIfTrue="1" operator="equal">
      <formula>"Towel"</formula>
    </cfRule>
    <cfRule type="cellIs" dxfId="14104" priority="19188" stopIfTrue="1" operator="equal">
      <formula>"Napkin Hs"</formula>
    </cfRule>
  </conditionalFormatting>
  <conditionalFormatting sqref="C15">
    <cfRule type="cellIs" dxfId="14103" priority="19179" stopIfTrue="1" operator="equal">
      <formula>"Towel"</formula>
    </cfRule>
    <cfRule type="cellIs" dxfId="14102" priority="19180" stopIfTrue="1" operator="equal">
      <formula>"Napkin Hs"</formula>
    </cfRule>
  </conditionalFormatting>
  <conditionalFormatting sqref="C15">
    <cfRule type="cellIs" dxfId="14101" priority="19177" stopIfTrue="1" operator="equal">
      <formula>"Towel"</formula>
    </cfRule>
    <cfRule type="cellIs" dxfId="14100" priority="19178" stopIfTrue="1" operator="equal">
      <formula>"Napkin Hs"</formula>
    </cfRule>
  </conditionalFormatting>
  <conditionalFormatting sqref="C15">
    <cfRule type="cellIs" dxfId="14099" priority="19175" stopIfTrue="1" operator="equal">
      <formula>"Towel"</formula>
    </cfRule>
    <cfRule type="cellIs" dxfId="14098" priority="19176" stopIfTrue="1" operator="equal">
      <formula>"Napkin Hs"</formula>
    </cfRule>
  </conditionalFormatting>
  <conditionalFormatting sqref="C15">
    <cfRule type="cellIs" dxfId="14097" priority="19173" stopIfTrue="1" operator="equal">
      <formula>"Towel"</formula>
    </cfRule>
    <cfRule type="cellIs" dxfId="14096" priority="19174" stopIfTrue="1" operator="equal">
      <formula>"Napkin Hs"</formula>
    </cfRule>
  </conditionalFormatting>
  <conditionalFormatting sqref="C15">
    <cfRule type="cellIs" dxfId="14095" priority="19171" stopIfTrue="1" operator="equal">
      <formula>"Towel"</formula>
    </cfRule>
    <cfRule type="cellIs" dxfId="14094" priority="19172" stopIfTrue="1" operator="equal">
      <formula>"Napkin Hs"</formula>
    </cfRule>
  </conditionalFormatting>
  <conditionalFormatting sqref="C15">
    <cfRule type="cellIs" dxfId="14093" priority="19169" stopIfTrue="1" operator="equal">
      <formula>"Towel"</formula>
    </cfRule>
    <cfRule type="cellIs" dxfId="14092" priority="19170" stopIfTrue="1" operator="equal">
      <formula>"Napkin Hs"</formula>
    </cfRule>
  </conditionalFormatting>
  <conditionalFormatting sqref="C15">
    <cfRule type="cellIs" dxfId="14091" priority="19167" stopIfTrue="1" operator="equal">
      <formula>"Towel"</formula>
    </cfRule>
    <cfRule type="cellIs" dxfId="14090" priority="19168" stopIfTrue="1" operator="equal">
      <formula>"Napkin Hs"</formula>
    </cfRule>
  </conditionalFormatting>
  <conditionalFormatting sqref="C15">
    <cfRule type="cellIs" dxfId="14089" priority="19165" stopIfTrue="1" operator="equal">
      <formula>"Towel"</formula>
    </cfRule>
    <cfRule type="cellIs" dxfId="14088" priority="19166" stopIfTrue="1" operator="equal">
      <formula>"Napkin Hs"</formula>
    </cfRule>
  </conditionalFormatting>
  <conditionalFormatting sqref="C15">
    <cfRule type="cellIs" dxfId="14087" priority="19163" stopIfTrue="1" operator="equal">
      <formula>"Towel"</formula>
    </cfRule>
    <cfRule type="cellIs" dxfId="14086" priority="19164" stopIfTrue="1" operator="equal">
      <formula>"Napkin Hs"</formula>
    </cfRule>
  </conditionalFormatting>
  <conditionalFormatting sqref="C15">
    <cfRule type="cellIs" dxfId="14085" priority="19161" stopIfTrue="1" operator="equal">
      <formula>"Towel"</formula>
    </cfRule>
    <cfRule type="cellIs" dxfId="14084" priority="19162" stopIfTrue="1" operator="equal">
      <formula>"Napkin Hs"</formula>
    </cfRule>
  </conditionalFormatting>
  <conditionalFormatting sqref="C15">
    <cfRule type="cellIs" dxfId="14083" priority="19155" stopIfTrue="1" operator="equal">
      <formula>"Towel"</formula>
    </cfRule>
    <cfRule type="cellIs" dxfId="14082" priority="19156" stopIfTrue="1" operator="equal">
      <formula>"Napkin Hs"</formula>
    </cfRule>
  </conditionalFormatting>
  <conditionalFormatting sqref="C15">
    <cfRule type="cellIs" dxfId="14081" priority="19149" stopIfTrue="1" operator="equal">
      <formula>"Towel"</formula>
    </cfRule>
    <cfRule type="cellIs" dxfId="14080" priority="19150" stopIfTrue="1" operator="equal">
      <formula>"Napkin Hs"</formula>
    </cfRule>
  </conditionalFormatting>
  <conditionalFormatting sqref="C15">
    <cfRule type="cellIs" dxfId="14079" priority="19148" stopIfTrue="1" operator="equal">
      <formula>"Napkin Hs"</formula>
    </cfRule>
  </conditionalFormatting>
  <conditionalFormatting sqref="C15">
    <cfRule type="cellIs" dxfId="14078" priority="19147" stopIfTrue="1" operator="equal">
      <formula>"Towel"</formula>
    </cfRule>
  </conditionalFormatting>
  <conditionalFormatting sqref="C15">
    <cfRule type="cellIs" dxfId="14077" priority="19146" stopIfTrue="1" operator="equal">
      <formula>"Napkin Hs"</formula>
    </cfRule>
  </conditionalFormatting>
  <conditionalFormatting sqref="C15">
    <cfRule type="cellIs" dxfId="14076" priority="19143" stopIfTrue="1" operator="equal">
      <formula>"Towel"</formula>
    </cfRule>
    <cfRule type="cellIs" dxfId="14075" priority="19144" stopIfTrue="1" operator="equal">
      <formula>"Napkin Hs"</formula>
    </cfRule>
  </conditionalFormatting>
  <conditionalFormatting sqref="C15">
    <cfRule type="cellIs" dxfId="14074" priority="19145" stopIfTrue="1" operator="equal">
      <formula>"Towel"</formula>
    </cfRule>
  </conditionalFormatting>
  <conditionalFormatting sqref="C15">
    <cfRule type="cellIs" dxfId="14073" priority="19263" stopIfTrue="1" operator="equal">
      <formula>"Towel"</formula>
    </cfRule>
    <cfRule type="cellIs" dxfId="14072" priority="19264" stopIfTrue="1" operator="equal">
      <formula>"Napkin Hs"</formula>
    </cfRule>
  </conditionalFormatting>
  <conditionalFormatting sqref="C15">
    <cfRule type="cellIs" dxfId="14071" priority="19262" stopIfTrue="1" operator="equal">
      <formula>"Napkin Hs"</formula>
    </cfRule>
  </conditionalFormatting>
  <conditionalFormatting sqref="C15">
    <cfRule type="cellIs" dxfId="14070" priority="19261" stopIfTrue="1" operator="equal">
      <formula>"Towel"</formula>
    </cfRule>
  </conditionalFormatting>
  <conditionalFormatting sqref="C15">
    <cfRule type="cellIs" dxfId="14069" priority="19260" stopIfTrue="1" operator="equal">
      <formula>"Napkin Hs"</formula>
    </cfRule>
  </conditionalFormatting>
  <conditionalFormatting sqref="C15">
    <cfRule type="cellIs" dxfId="14068" priority="19257" stopIfTrue="1" operator="equal">
      <formula>"Towel"</formula>
    </cfRule>
    <cfRule type="cellIs" dxfId="14067" priority="19258" stopIfTrue="1" operator="equal">
      <formula>"Napkin Hs"</formula>
    </cfRule>
  </conditionalFormatting>
  <conditionalFormatting sqref="C15">
    <cfRule type="cellIs" dxfId="14066" priority="19259" stopIfTrue="1" operator="equal">
      <formula>"Towel"</formula>
    </cfRule>
  </conditionalFormatting>
  <conditionalFormatting sqref="C15">
    <cfRule type="cellIs" dxfId="14065" priority="19267" stopIfTrue="1" operator="equal">
      <formula>"Towel"</formula>
    </cfRule>
    <cfRule type="cellIs" dxfId="14064" priority="19268" stopIfTrue="1" operator="equal">
      <formula>"Napkin Hs"</formula>
    </cfRule>
  </conditionalFormatting>
  <conditionalFormatting sqref="C15">
    <cfRule type="cellIs" dxfId="14063" priority="19265" stopIfTrue="1" operator="equal">
      <formula>"Towel"</formula>
    </cfRule>
    <cfRule type="cellIs" dxfId="14062" priority="19266" stopIfTrue="1" operator="equal">
      <formula>"Napkin Hs"</formula>
    </cfRule>
  </conditionalFormatting>
  <conditionalFormatting sqref="C15">
    <cfRule type="cellIs" dxfId="14061" priority="19237" stopIfTrue="1" operator="equal">
      <formula>"Towel"</formula>
    </cfRule>
    <cfRule type="cellIs" dxfId="14060" priority="19238" stopIfTrue="1" operator="equal">
      <formula>"Napkin Hs"</formula>
    </cfRule>
  </conditionalFormatting>
  <conditionalFormatting sqref="C15">
    <cfRule type="cellIs" dxfId="14059" priority="19235" stopIfTrue="1" operator="equal">
      <formula>"Towel"</formula>
    </cfRule>
    <cfRule type="cellIs" dxfId="14058" priority="19236" stopIfTrue="1" operator="equal">
      <formula>"Napkin Hs"</formula>
    </cfRule>
  </conditionalFormatting>
  <conditionalFormatting sqref="C15">
    <cfRule type="cellIs" dxfId="14057" priority="19214" stopIfTrue="1" operator="equal">
      <formula>"Napkin Hs"</formula>
    </cfRule>
  </conditionalFormatting>
  <conditionalFormatting sqref="C15">
    <cfRule type="cellIs" dxfId="14056" priority="19213" stopIfTrue="1" operator="equal">
      <formula>"Towel"</formula>
    </cfRule>
  </conditionalFormatting>
  <conditionalFormatting sqref="C15">
    <cfRule type="cellIs" dxfId="14055" priority="19212" stopIfTrue="1" operator="equal">
      <formula>"Napkin Hs"</formula>
    </cfRule>
  </conditionalFormatting>
  <conditionalFormatting sqref="C15">
    <cfRule type="cellIs" dxfId="14054" priority="19211" stopIfTrue="1" operator="equal">
      <formula>"Towel"</formula>
    </cfRule>
  </conditionalFormatting>
  <conditionalFormatting sqref="C15">
    <cfRule type="cellIs" dxfId="14053" priority="19208" stopIfTrue="1" operator="equal">
      <formula>"Napkin Hs"</formula>
    </cfRule>
  </conditionalFormatting>
  <conditionalFormatting sqref="C15">
    <cfRule type="cellIs" dxfId="14052" priority="19207" stopIfTrue="1" operator="equal">
      <formula>"Towel"</formula>
    </cfRule>
  </conditionalFormatting>
  <conditionalFormatting sqref="C15">
    <cfRule type="cellIs" dxfId="14051" priority="19206" stopIfTrue="1" operator="equal">
      <formula>"Napkin Hs"</formula>
    </cfRule>
  </conditionalFormatting>
  <conditionalFormatting sqref="C15">
    <cfRule type="cellIs" dxfId="14050" priority="19205" stopIfTrue="1" operator="equal">
      <formula>"Towel"</formula>
    </cfRule>
  </conditionalFormatting>
  <conditionalFormatting sqref="C15">
    <cfRule type="cellIs" dxfId="14049" priority="19201" stopIfTrue="1" operator="equal">
      <formula>"Towel"</formula>
    </cfRule>
    <cfRule type="cellIs" dxfId="14048" priority="19202" stopIfTrue="1" operator="equal">
      <formula>"Napkin Hs"</formula>
    </cfRule>
  </conditionalFormatting>
  <conditionalFormatting sqref="C15">
    <cfRule type="cellIs" dxfId="14047" priority="19199" stopIfTrue="1" operator="equal">
      <formula>"Towel"</formula>
    </cfRule>
    <cfRule type="cellIs" dxfId="14046" priority="19200" stopIfTrue="1" operator="equal">
      <formula>"Napkin Hs"</formula>
    </cfRule>
  </conditionalFormatting>
  <conditionalFormatting sqref="C15">
    <cfRule type="cellIs" dxfId="14045" priority="19183" stopIfTrue="1" operator="equal">
      <formula>"Towel"</formula>
    </cfRule>
    <cfRule type="cellIs" dxfId="14044" priority="19184" stopIfTrue="1" operator="equal">
      <formula>"Napkin Hs"</formula>
    </cfRule>
  </conditionalFormatting>
  <conditionalFormatting sqref="C15">
    <cfRule type="cellIs" dxfId="14043" priority="19181" stopIfTrue="1" operator="equal">
      <formula>"Towel"</formula>
    </cfRule>
    <cfRule type="cellIs" dxfId="14042" priority="19182" stopIfTrue="1" operator="equal">
      <formula>"Napkin Hs"</formula>
    </cfRule>
  </conditionalFormatting>
  <conditionalFormatting sqref="C15">
    <cfRule type="cellIs" dxfId="14041" priority="19160" stopIfTrue="1" operator="equal">
      <formula>"Napkin Hs"</formula>
    </cfRule>
  </conditionalFormatting>
  <conditionalFormatting sqref="C15">
    <cfRule type="cellIs" dxfId="14040" priority="19159" stopIfTrue="1" operator="equal">
      <formula>"Towel"</formula>
    </cfRule>
  </conditionalFormatting>
  <conditionalFormatting sqref="C15">
    <cfRule type="cellIs" dxfId="14039" priority="19158" stopIfTrue="1" operator="equal">
      <formula>"Napkin Hs"</formula>
    </cfRule>
  </conditionalFormatting>
  <conditionalFormatting sqref="C15">
    <cfRule type="cellIs" dxfId="14038" priority="19157" stopIfTrue="1" operator="equal">
      <formula>"Towel"</formula>
    </cfRule>
  </conditionalFormatting>
  <conditionalFormatting sqref="C15">
    <cfRule type="cellIs" dxfId="14037" priority="19154" stopIfTrue="1" operator="equal">
      <formula>"Napkin Hs"</formula>
    </cfRule>
  </conditionalFormatting>
  <conditionalFormatting sqref="C15">
    <cfRule type="cellIs" dxfId="14036" priority="19153" stopIfTrue="1" operator="equal">
      <formula>"Towel"</formula>
    </cfRule>
  </conditionalFormatting>
  <conditionalFormatting sqref="C15">
    <cfRule type="cellIs" dxfId="14035" priority="19152" stopIfTrue="1" operator="equal">
      <formula>"Napkin Hs"</formula>
    </cfRule>
  </conditionalFormatting>
  <conditionalFormatting sqref="C15">
    <cfRule type="cellIs" dxfId="14034" priority="19151" stopIfTrue="1" operator="equal">
      <formula>"Towel"</formula>
    </cfRule>
  </conditionalFormatting>
  <conditionalFormatting sqref="B15:C15">
    <cfRule type="cellIs" dxfId="14033" priority="19142" stopIfTrue="1" operator="equal">
      <formula>"Napkin Hs"</formula>
    </cfRule>
  </conditionalFormatting>
  <conditionalFormatting sqref="B15:C15">
    <cfRule type="cellIs" dxfId="14032" priority="19141" stopIfTrue="1" operator="equal">
      <formula>"Towel"</formula>
    </cfRule>
  </conditionalFormatting>
  <conditionalFormatting sqref="C15">
    <cfRule type="cellIs" dxfId="14031" priority="19140" stopIfTrue="1" operator="equal">
      <formula>"Napkin Hs"</formula>
    </cfRule>
  </conditionalFormatting>
  <conditionalFormatting sqref="C15">
    <cfRule type="cellIs" dxfId="14030" priority="19137" stopIfTrue="1" operator="equal">
      <formula>"Towel"</formula>
    </cfRule>
    <cfRule type="cellIs" dxfId="14029" priority="19138" stopIfTrue="1" operator="equal">
      <formula>"Napkin Hs"</formula>
    </cfRule>
  </conditionalFormatting>
  <conditionalFormatting sqref="C15">
    <cfRule type="cellIs" dxfId="14028" priority="19139" stopIfTrue="1" operator="equal">
      <formula>"Towel"</formula>
    </cfRule>
  </conditionalFormatting>
  <conditionalFormatting sqref="B23:C23">
    <cfRule type="cellIs" dxfId="14027" priority="17722" stopIfTrue="1" operator="equal">
      <formula>"Napkin Hs"</formula>
    </cfRule>
  </conditionalFormatting>
  <conditionalFormatting sqref="B23:C23">
    <cfRule type="cellIs" dxfId="14026" priority="17721" stopIfTrue="1" operator="equal">
      <formula>"Towel"</formula>
    </cfRule>
  </conditionalFormatting>
  <conditionalFormatting sqref="C23">
    <cfRule type="cellIs" dxfId="14025" priority="17720" stopIfTrue="1" operator="equal">
      <formula>"Napkin Hs"</formula>
    </cfRule>
  </conditionalFormatting>
  <conditionalFormatting sqref="C23">
    <cfRule type="cellIs" dxfId="14024" priority="17717" stopIfTrue="1" operator="equal">
      <formula>"Towel"</formula>
    </cfRule>
    <cfRule type="cellIs" dxfId="14023" priority="17718" stopIfTrue="1" operator="equal">
      <formula>"Napkin Hs"</formula>
    </cfRule>
  </conditionalFormatting>
  <conditionalFormatting sqref="C23">
    <cfRule type="cellIs" dxfId="14022" priority="17719" stopIfTrue="1" operator="equal">
      <formula>"Towel"</formula>
    </cfRule>
  </conditionalFormatting>
  <conditionalFormatting sqref="B28:C28">
    <cfRule type="cellIs" dxfId="14021" priority="17716" stopIfTrue="1" operator="equal">
      <formula>"Napkin Hs"</formula>
    </cfRule>
  </conditionalFormatting>
  <conditionalFormatting sqref="B28:C28">
    <cfRule type="cellIs" dxfId="14020" priority="17715" stopIfTrue="1" operator="equal">
      <formula>"Towel"</formula>
    </cfRule>
  </conditionalFormatting>
  <conditionalFormatting sqref="C28">
    <cfRule type="cellIs" dxfId="14019" priority="17714" stopIfTrue="1" operator="equal">
      <formula>"Napkin Hs"</formula>
    </cfRule>
  </conditionalFormatting>
  <conditionalFormatting sqref="C28">
    <cfRule type="cellIs" dxfId="14018" priority="17711" stopIfTrue="1" operator="equal">
      <formula>"Towel"</formula>
    </cfRule>
    <cfRule type="cellIs" dxfId="14017" priority="17712" stopIfTrue="1" operator="equal">
      <formula>"Napkin Hs"</formula>
    </cfRule>
  </conditionalFormatting>
  <conditionalFormatting sqref="C28">
    <cfRule type="cellIs" dxfId="14016" priority="17713" stopIfTrue="1" operator="equal">
      <formula>"Towel"</formula>
    </cfRule>
  </conditionalFormatting>
  <conditionalFormatting sqref="B28:C28">
    <cfRule type="cellIs" dxfId="14015" priority="17710" stopIfTrue="1" operator="equal">
      <formula>"Napkin Hs"</formula>
    </cfRule>
  </conditionalFormatting>
  <conditionalFormatting sqref="B28:C28">
    <cfRule type="cellIs" dxfId="14014" priority="17709" stopIfTrue="1" operator="equal">
      <formula>"Towel"</formula>
    </cfRule>
  </conditionalFormatting>
  <conditionalFormatting sqref="C28">
    <cfRule type="cellIs" dxfId="14013" priority="17708" stopIfTrue="1" operator="equal">
      <formula>"Napkin Hs"</formula>
    </cfRule>
  </conditionalFormatting>
  <conditionalFormatting sqref="C28">
    <cfRule type="cellIs" dxfId="14012" priority="17705" stopIfTrue="1" operator="equal">
      <formula>"Towel"</formula>
    </cfRule>
    <cfRule type="cellIs" dxfId="14011" priority="17706" stopIfTrue="1" operator="equal">
      <formula>"Napkin Hs"</formula>
    </cfRule>
  </conditionalFormatting>
  <conditionalFormatting sqref="C28">
    <cfRule type="cellIs" dxfId="14010" priority="17707" stopIfTrue="1" operator="equal">
      <formula>"Towel"</formula>
    </cfRule>
  </conditionalFormatting>
  <conditionalFormatting sqref="B32:C32">
    <cfRule type="cellIs" dxfId="14009" priority="17704" stopIfTrue="1" operator="equal">
      <formula>"Napkin Hs"</formula>
    </cfRule>
  </conditionalFormatting>
  <conditionalFormatting sqref="B32:C32">
    <cfRule type="cellIs" dxfId="14008" priority="17703" stopIfTrue="1" operator="equal">
      <formula>"Towel"</formula>
    </cfRule>
  </conditionalFormatting>
  <conditionalFormatting sqref="C32">
    <cfRule type="cellIs" dxfId="14007" priority="17702" stopIfTrue="1" operator="equal">
      <formula>"Napkin Hs"</formula>
    </cfRule>
  </conditionalFormatting>
  <conditionalFormatting sqref="C32">
    <cfRule type="cellIs" dxfId="14006" priority="17699" stopIfTrue="1" operator="equal">
      <formula>"Towel"</formula>
    </cfRule>
    <cfRule type="cellIs" dxfId="14005" priority="17700" stopIfTrue="1" operator="equal">
      <formula>"Napkin Hs"</formula>
    </cfRule>
  </conditionalFormatting>
  <conditionalFormatting sqref="C32">
    <cfRule type="cellIs" dxfId="14004" priority="17701" stopIfTrue="1" operator="equal">
      <formula>"Towel"</formula>
    </cfRule>
  </conditionalFormatting>
  <conditionalFormatting sqref="B32:C32">
    <cfRule type="cellIs" dxfId="14003" priority="17698" stopIfTrue="1" operator="equal">
      <formula>"Napkin Hs"</formula>
    </cfRule>
  </conditionalFormatting>
  <conditionalFormatting sqref="B32:C32">
    <cfRule type="cellIs" dxfId="14002" priority="17697" stopIfTrue="1" operator="equal">
      <formula>"Towel"</formula>
    </cfRule>
  </conditionalFormatting>
  <conditionalFormatting sqref="C32">
    <cfRule type="cellIs" dxfId="14001" priority="17696" stopIfTrue="1" operator="equal">
      <formula>"Napkin Hs"</formula>
    </cfRule>
  </conditionalFormatting>
  <conditionalFormatting sqref="C32">
    <cfRule type="cellIs" dxfId="14000" priority="17693" stopIfTrue="1" operator="equal">
      <formula>"Towel"</formula>
    </cfRule>
    <cfRule type="cellIs" dxfId="13999" priority="17694" stopIfTrue="1" operator="equal">
      <formula>"Napkin Hs"</formula>
    </cfRule>
  </conditionalFormatting>
  <conditionalFormatting sqref="C32">
    <cfRule type="cellIs" dxfId="13998" priority="17695" stopIfTrue="1" operator="equal">
      <formula>"Towel"</formula>
    </cfRule>
  </conditionalFormatting>
  <conditionalFormatting sqref="B21:C21">
    <cfRule type="cellIs" dxfId="13997" priority="17680" stopIfTrue="1" operator="equal">
      <formula>"Napkin Hs"</formula>
    </cfRule>
  </conditionalFormatting>
  <conditionalFormatting sqref="B21:C21">
    <cfRule type="cellIs" dxfId="13996" priority="17679" stopIfTrue="1" operator="equal">
      <formula>"Towel"</formula>
    </cfRule>
  </conditionalFormatting>
  <conditionalFormatting sqref="C21">
    <cfRule type="cellIs" dxfId="13995" priority="17678" stopIfTrue="1" operator="equal">
      <formula>"Napkin Hs"</formula>
    </cfRule>
  </conditionalFormatting>
  <conditionalFormatting sqref="C21">
    <cfRule type="cellIs" dxfId="13994" priority="17675" stopIfTrue="1" operator="equal">
      <formula>"Towel"</formula>
    </cfRule>
    <cfRule type="cellIs" dxfId="13993" priority="17676" stopIfTrue="1" operator="equal">
      <formula>"Napkin Hs"</formula>
    </cfRule>
  </conditionalFormatting>
  <conditionalFormatting sqref="C21">
    <cfRule type="cellIs" dxfId="13992" priority="17677" stopIfTrue="1" operator="equal">
      <formula>"Towel"</formula>
    </cfRule>
  </conditionalFormatting>
  <conditionalFormatting sqref="B22:C22">
    <cfRule type="cellIs" dxfId="13991" priority="17674" stopIfTrue="1" operator="equal">
      <formula>"Napkin Hs"</formula>
    </cfRule>
  </conditionalFormatting>
  <conditionalFormatting sqref="B22:C22">
    <cfRule type="cellIs" dxfId="13990" priority="17673" stopIfTrue="1" operator="equal">
      <formula>"Towel"</formula>
    </cfRule>
  </conditionalFormatting>
  <conditionalFormatting sqref="C22">
    <cfRule type="cellIs" dxfId="13989" priority="17672" stopIfTrue="1" operator="equal">
      <formula>"Napkin Hs"</formula>
    </cfRule>
  </conditionalFormatting>
  <conditionalFormatting sqref="C22">
    <cfRule type="cellIs" dxfId="13988" priority="17669" stopIfTrue="1" operator="equal">
      <formula>"Towel"</formula>
    </cfRule>
    <cfRule type="cellIs" dxfId="13987" priority="17670" stopIfTrue="1" operator="equal">
      <formula>"Napkin Hs"</formula>
    </cfRule>
  </conditionalFormatting>
  <conditionalFormatting sqref="C22">
    <cfRule type="cellIs" dxfId="13986" priority="17671" stopIfTrue="1" operator="equal">
      <formula>"Towel"</formula>
    </cfRule>
  </conditionalFormatting>
  <conditionalFormatting sqref="C19">
    <cfRule type="cellIs" dxfId="13985" priority="17655" stopIfTrue="1" operator="equal">
      <formula>"Towel"</formula>
    </cfRule>
    <cfRule type="cellIs" dxfId="13984" priority="17656" stopIfTrue="1" operator="equal">
      <formula>"Napkin Hs"</formula>
    </cfRule>
  </conditionalFormatting>
  <conditionalFormatting sqref="C19">
    <cfRule type="cellIs" dxfId="13983" priority="17653" stopIfTrue="1" operator="equal">
      <formula>"Towel"</formula>
    </cfRule>
    <cfRule type="cellIs" dxfId="13982" priority="17654" stopIfTrue="1" operator="equal">
      <formula>"Napkin Hs"</formula>
    </cfRule>
  </conditionalFormatting>
  <conditionalFormatting sqref="C19">
    <cfRule type="cellIs" dxfId="13981" priority="17651" stopIfTrue="1" operator="equal">
      <formula>"Towel"</formula>
    </cfRule>
    <cfRule type="cellIs" dxfId="13980" priority="17652" stopIfTrue="1" operator="equal">
      <formula>"Napkin Hs"</formula>
    </cfRule>
  </conditionalFormatting>
  <conditionalFormatting sqref="C19">
    <cfRule type="cellIs" dxfId="13979" priority="17650" stopIfTrue="1" operator="equal">
      <formula>"Napkin Hs"</formula>
    </cfRule>
  </conditionalFormatting>
  <conditionalFormatting sqref="C19">
    <cfRule type="cellIs" dxfId="13978" priority="17649" stopIfTrue="1" operator="equal">
      <formula>"Towel"</formula>
    </cfRule>
  </conditionalFormatting>
  <conditionalFormatting sqref="C19">
    <cfRule type="cellIs" dxfId="13977" priority="17648" stopIfTrue="1" operator="equal">
      <formula>"Napkin Hs"</formula>
    </cfRule>
  </conditionalFormatting>
  <conditionalFormatting sqref="C19">
    <cfRule type="cellIs" dxfId="13976" priority="17647" stopIfTrue="1" operator="equal">
      <formula>"Towel"</formula>
    </cfRule>
  </conditionalFormatting>
  <conditionalFormatting sqref="C19">
    <cfRule type="cellIs" dxfId="13975" priority="17645" stopIfTrue="1" operator="equal">
      <formula>"Towel"</formula>
    </cfRule>
    <cfRule type="cellIs" dxfId="13974" priority="17646" stopIfTrue="1" operator="equal">
      <formula>"Napkin Hs"</formula>
    </cfRule>
  </conditionalFormatting>
  <conditionalFormatting sqref="C19">
    <cfRule type="cellIs" dxfId="13973" priority="17643" stopIfTrue="1" operator="equal">
      <formula>"Towel"</formula>
    </cfRule>
    <cfRule type="cellIs" dxfId="13972" priority="17644" stopIfTrue="1" operator="equal">
      <formula>"Napkin Hs"</formula>
    </cfRule>
  </conditionalFormatting>
  <conditionalFormatting sqref="C19">
    <cfRule type="cellIs" dxfId="13971" priority="17639" stopIfTrue="1" operator="equal">
      <formula>"Towel"</formula>
    </cfRule>
    <cfRule type="cellIs" dxfId="13970" priority="17640" stopIfTrue="1" operator="equal">
      <formula>"Napkin Hs"</formula>
    </cfRule>
  </conditionalFormatting>
  <conditionalFormatting sqref="C19">
    <cfRule type="cellIs" dxfId="13969" priority="17641" stopIfTrue="1" operator="equal">
      <formula>"Towel"</formula>
    </cfRule>
    <cfRule type="cellIs" dxfId="13968" priority="17642" stopIfTrue="1" operator="equal">
      <formula>"Napkin Hs"</formula>
    </cfRule>
  </conditionalFormatting>
  <conditionalFormatting sqref="C19">
    <cfRule type="cellIs" dxfId="13967" priority="17633" stopIfTrue="1" operator="equal">
      <formula>"Towel"</formula>
    </cfRule>
    <cfRule type="cellIs" dxfId="13966" priority="17634" stopIfTrue="1" operator="equal">
      <formula>"Napkin Hs"</formula>
    </cfRule>
  </conditionalFormatting>
  <conditionalFormatting sqref="C19">
    <cfRule type="cellIs" dxfId="13965" priority="17631" stopIfTrue="1" operator="equal">
      <formula>"Towel"</formula>
    </cfRule>
    <cfRule type="cellIs" dxfId="13964" priority="17632" stopIfTrue="1" operator="equal">
      <formula>"Napkin Hs"</formula>
    </cfRule>
  </conditionalFormatting>
  <conditionalFormatting sqref="C19">
    <cfRule type="cellIs" dxfId="13963" priority="17629" stopIfTrue="1" operator="equal">
      <formula>"Towel"</formula>
    </cfRule>
    <cfRule type="cellIs" dxfId="13962" priority="17630" stopIfTrue="1" operator="equal">
      <formula>"Napkin Hs"</formula>
    </cfRule>
  </conditionalFormatting>
  <conditionalFormatting sqref="C19">
    <cfRule type="cellIs" dxfId="13961" priority="17627" stopIfTrue="1" operator="equal">
      <formula>"Towel"</formula>
    </cfRule>
    <cfRule type="cellIs" dxfId="13960" priority="17628" stopIfTrue="1" operator="equal">
      <formula>"Napkin Hs"</formula>
    </cfRule>
  </conditionalFormatting>
  <conditionalFormatting sqref="C19">
    <cfRule type="cellIs" dxfId="13959" priority="17625" stopIfTrue="1" operator="equal">
      <formula>"Towel"</formula>
    </cfRule>
    <cfRule type="cellIs" dxfId="13958" priority="17626" stopIfTrue="1" operator="equal">
      <formula>"Napkin Hs"</formula>
    </cfRule>
  </conditionalFormatting>
  <conditionalFormatting sqref="C19">
    <cfRule type="cellIs" dxfId="13957" priority="17623" stopIfTrue="1" operator="equal">
      <formula>"Towel"</formula>
    </cfRule>
    <cfRule type="cellIs" dxfId="13956" priority="17624" stopIfTrue="1" operator="equal">
      <formula>"Napkin Hs"</formula>
    </cfRule>
  </conditionalFormatting>
  <conditionalFormatting sqref="C19">
    <cfRule type="cellIs" dxfId="13955" priority="17621" stopIfTrue="1" operator="equal">
      <formula>"Towel"</formula>
    </cfRule>
    <cfRule type="cellIs" dxfId="13954" priority="17622" stopIfTrue="1" operator="equal">
      <formula>"Napkin Hs"</formula>
    </cfRule>
  </conditionalFormatting>
  <conditionalFormatting sqref="C19">
    <cfRule type="cellIs" dxfId="13953" priority="17619" stopIfTrue="1" operator="equal">
      <formula>"Towel"</formula>
    </cfRule>
    <cfRule type="cellIs" dxfId="13952" priority="17620" stopIfTrue="1" operator="equal">
      <formula>"Napkin Hs"</formula>
    </cfRule>
  </conditionalFormatting>
  <conditionalFormatting sqref="C19">
    <cfRule type="cellIs" dxfId="13951" priority="17617" stopIfTrue="1" operator="equal">
      <formula>"Towel"</formula>
    </cfRule>
    <cfRule type="cellIs" dxfId="13950" priority="17618" stopIfTrue="1" operator="equal">
      <formula>"Napkin Hs"</formula>
    </cfRule>
  </conditionalFormatting>
  <conditionalFormatting sqref="C19">
    <cfRule type="cellIs" dxfId="13949" priority="17615" stopIfTrue="1" operator="equal">
      <formula>"Towel"</formula>
    </cfRule>
    <cfRule type="cellIs" dxfId="13948" priority="17616" stopIfTrue="1" operator="equal">
      <formula>"Napkin Hs"</formula>
    </cfRule>
  </conditionalFormatting>
  <conditionalFormatting sqref="C19">
    <cfRule type="cellIs" dxfId="13947" priority="17609" stopIfTrue="1" operator="equal">
      <formula>"Towel"</formula>
    </cfRule>
    <cfRule type="cellIs" dxfId="13946" priority="17610" stopIfTrue="1" operator="equal">
      <formula>"Napkin Hs"</formula>
    </cfRule>
  </conditionalFormatting>
  <conditionalFormatting sqref="C19">
    <cfRule type="cellIs" dxfId="13945" priority="17603" stopIfTrue="1" operator="equal">
      <formula>"Towel"</formula>
    </cfRule>
    <cfRule type="cellIs" dxfId="13944" priority="17604" stopIfTrue="1" operator="equal">
      <formula>"Napkin Hs"</formula>
    </cfRule>
  </conditionalFormatting>
  <conditionalFormatting sqref="C19">
    <cfRule type="cellIs" dxfId="13943" priority="17597" stopIfTrue="1" operator="equal">
      <formula>"Towel"</formula>
    </cfRule>
    <cfRule type="cellIs" dxfId="13942" priority="17598" stopIfTrue="1" operator="equal">
      <formula>"Napkin Hs"</formula>
    </cfRule>
  </conditionalFormatting>
  <conditionalFormatting sqref="C19">
    <cfRule type="cellIs" dxfId="13941" priority="17596" stopIfTrue="1" operator="equal">
      <formula>"Napkin Hs"</formula>
    </cfRule>
  </conditionalFormatting>
  <conditionalFormatting sqref="C19">
    <cfRule type="cellIs" dxfId="13940" priority="17595" stopIfTrue="1" operator="equal">
      <formula>"Towel"</formula>
    </cfRule>
  </conditionalFormatting>
  <conditionalFormatting sqref="C19">
    <cfRule type="cellIs" dxfId="13939" priority="17594" stopIfTrue="1" operator="equal">
      <formula>"Napkin Hs"</formula>
    </cfRule>
  </conditionalFormatting>
  <conditionalFormatting sqref="C19">
    <cfRule type="cellIs" dxfId="13938" priority="17593" stopIfTrue="1" operator="equal">
      <formula>"Towel"</formula>
    </cfRule>
  </conditionalFormatting>
  <conditionalFormatting sqref="C19">
    <cfRule type="cellIs" dxfId="13937" priority="17591" stopIfTrue="1" operator="equal">
      <formula>"Towel"</formula>
    </cfRule>
    <cfRule type="cellIs" dxfId="13936" priority="17592" stopIfTrue="1" operator="equal">
      <formula>"Napkin Hs"</formula>
    </cfRule>
  </conditionalFormatting>
  <conditionalFormatting sqref="C19">
    <cfRule type="cellIs" dxfId="13935" priority="17589" stopIfTrue="1" operator="equal">
      <formula>"Towel"</formula>
    </cfRule>
    <cfRule type="cellIs" dxfId="13934" priority="17590" stopIfTrue="1" operator="equal">
      <formula>"Napkin Hs"</formula>
    </cfRule>
  </conditionalFormatting>
  <conditionalFormatting sqref="C19">
    <cfRule type="cellIs" dxfId="13933" priority="17585" stopIfTrue="1" operator="equal">
      <formula>"Towel"</formula>
    </cfRule>
    <cfRule type="cellIs" dxfId="13932" priority="17586" stopIfTrue="1" operator="equal">
      <formula>"Napkin Hs"</formula>
    </cfRule>
  </conditionalFormatting>
  <conditionalFormatting sqref="C19">
    <cfRule type="cellIs" dxfId="13931" priority="17587" stopIfTrue="1" operator="equal">
      <formula>"Towel"</formula>
    </cfRule>
    <cfRule type="cellIs" dxfId="13930" priority="17588" stopIfTrue="1" operator="equal">
      <formula>"Napkin Hs"</formula>
    </cfRule>
  </conditionalFormatting>
  <conditionalFormatting sqref="C19">
    <cfRule type="cellIs" dxfId="13929" priority="17579" stopIfTrue="1" operator="equal">
      <formula>"Towel"</formula>
    </cfRule>
    <cfRule type="cellIs" dxfId="13928" priority="17580" stopIfTrue="1" operator="equal">
      <formula>"Napkin Hs"</formula>
    </cfRule>
  </conditionalFormatting>
  <conditionalFormatting sqref="C19">
    <cfRule type="cellIs" dxfId="13927" priority="17577" stopIfTrue="1" operator="equal">
      <formula>"Towel"</formula>
    </cfRule>
    <cfRule type="cellIs" dxfId="13926" priority="17578" stopIfTrue="1" operator="equal">
      <formula>"Napkin Hs"</formula>
    </cfRule>
  </conditionalFormatting>
  <conditionalFormatting sqref="C19">
    <cfRule type="cellIs" dxfId="13925" priority="17575" stopIfTrue="1" operator="equal">
      <formula>"Towel"</formula>
    </cfRule>
    <cfRule type="cellIs" dxfId="13924" priority="17576" stopIfTrue="1" operator="equal">
      <formula>"Napkin Hs"</formula>
    </cfRule>
  </conditionalFormatting>
  <conditionalFormatting sqref="C19">
    <cfRule type="cellIs" dxfId="13923" priority="17573" stopIfTrue="1" operator="equal">
      <formula>"Towel"</formula>
    </cfRule>
    <cfRule type="cellIs" dxfId="13922" priority="17574" stopIfTrue="1" operator="equal">
      <formula>"Napkin Hs"</formula>
    </cfRule>
  </conditionalFormatting>
  <conditionalFormatting sqref="C19">
    <cfRule type="cellIs" dxfId="13921" priority="17571" stopIfTrue="1" operator="equal">
      <formula>"Towel"</formula>
    </cfRule>
    <cfRule type="cellIs" dxfId="13920" priority="17572" stopIfTrue="1" operator="equal">
      <formula>"Napkin Hs"</formula>
    </cfRule>
  </conditionalFormatting>
  <conditionalFormatting sqref="C19">
    <cfRule type="cellIs" dxfId="13919" priority="17569" stopIfTrue="1" operator="equal">
      <formula>"Towel"</formula>
    </cfRule>
    <cfRule type="cellIs" dxfId="13918" priority="17570" stopIfTrue="1" operator="equal">
      <formula>"Napkin Hs"</formula>
    </cfRule>
  </conditionalFormatting>
  <conditionalFormatting sqref="C19">
    <cfRule type="cellIs" dxfId="13917" priority="17567" stopIfTrue="1" operator="equal">
      <formula>"Towel"</formula>
    </cfRule>
    <cfRule type="cellIs" dxfId="13916" priority="17568" stopIfTrue="1" operator="equal">
      <formula>"Napkin Hs"</formula>
    </cfRule>
  </conditionalFormatting>
  <conditionalFormatting sqref="C19">
    <cfRule type="cellIs" dxfId="13915" priority="17565" stopIfTrue="1" operator="equal">
      <formula>"Towel"</formula>
    </cfRule>
    <cfRule type="cellIs" dxfId="13914" priority="17566" stopIfTrue="1" operator="equal">
      <formula>"Napkin Hs"</formula>
    </cfRule>
  </conditionalFormatting>
  <conditionalFormatting sqref="C19">
    <cfRule type="cellIs" dxfId="13913" priority="17563" stopIfTrue="1" operator="equal">
      <formula>"Towel"</formula>
    </cfRule>
    <cfRule type="cellIs" dxfId="13912" priority="17564" stopIfTrue="1" operator="equal">
      <formula>"Napkin Hs"</formula>
    </cfRule>
  </conditionalFormatting>
  <conditionalFormatting sqref="C19">
    <cfRule type="cellIs" dxfId="13911" priority="17561" stopIfTrue="1" operator="equal">
      <formula>"Towel"</formula>
    </cfRule>
    <cfRule type="cellIs" dxfId="13910" priority="17562" stopIfTrue="1" operator="equal">
      <formula>"Napkin Hs"</formula>
    </cfRule>
  </conditionalFormatting>
  <conditionalFormatting sqref="C19">
    <cfRule type="cellIs" dxfId="13909" priority="17555" stopIfTrue="1" operator="equal">
      <formula>"Towel"</formula>
    </cfRule>
    <cfRule type="cellIs" dxfId="13908" priority="17556" stopIfTrue="1" operator="equal">
      <formula>"Napkin Hs"</formula>
    </cfRule>
  </conditionalFormatting>
  <conditionalFormatting sqref="C19">
    <cfRule type="cellIs" dxfId="13907" priority="17549" stopIfTrue="1" operator="equal">
      <formula>"Towel"</formula>
    </cfRule>
    <cfRule type="cellIs" dxfId="13906" priority="17550" stopIfTrue="1" operator="equal">
      <formula>"Napkin Hs"</formula>
    </cfRule>
  </conditionalFormatting>
  <conditionalFormatting sqref="C19">
    <cfRule type="cellIs" dxfId="13905" priority="17548" stopIfTrue="1" operator="equal">
      <formula>"Napkin Hs"</formula>
    </cfRule>
  </conditionalFormatting>
  <conditionalFormatting sqref="C19">
    <cfRule type="cellIs" dxfId="13904" priority="17547" stopIfTrue="1" operator="equal">
      <formula>"Towel"</formula>
    </cfRule>
  </conditionalFormatting>
  <conditionalFormatting sqref="C19">
    <cfRule type="cellIs" dxfId="13903" priority="17546" stopIfTrue="1" operator="equal">
      <formula>"Napkin Hs"</formula>
    </cfRule>
  </conditionalFormatting>
  <conditionalFormatting sqref="C19">
    <cfRule type="cellIs" dxfId="13902" priority="17543" stopIfTrue="1" operator="equal">
      <formula>"Towel"</formula>
    </cfRule>
    <cfRule type="cellIs" dxfId="13901" priority="17544" stopIfTrue="1" operator="equal">
      <formula>"Napkin Hs"</formula>
    </cfRule>
  </conditionalFormatting>
  <conditionalFormatting sqref="C19">
    <cfRule type="cellIs" dxfId="13900" priority="17545" stopIfTrue="1" operator="equal">
      <formula>"Towel"</formula>
    </cfRule>
  </conditionalFormatting>
  <conditionalFormatting sqref="C19">
    <cfRule type="cellIs" dxfId="13899" priority="17663" stopIfTrue="1" operator="equal">
      <formula>"Towel"</formula>
    </cfRule>
    <cfRule type="cellIs" dxfId="13898" priority="17664" stopIfTrue="1" operator="equal">
      <formula>"Napkin Hs"</formula>
    </cfRule>
  </conditionalFormatting>
  <conditionalFormatting sqref="C19">
    <cfRule type="cellIs" dxfId="13897" priority="17662" stopIfTrue="1" operator="equal">
      <formula>"Napkin Hs"</formula>
    </cfRule>
  </conditionalFormatting>
  <conditionalFormatting sqref="C19">
    <cfRule type="cellIs" dxfId="13896" priority="17661" stopIfTrue="1" operator="equal">
      <formula>"Towel"</formula>
    </cfRule>
  </conditionalFormatting>
  <conditionalFormatting sqref="C19">
    <cfRule type="cellIs" dxfId="13895" priority="17660" stopIfTrue="1" operator="equal">
      <formula>"Napkin Hs"</formula>
    </cfRule>
  </conditionalFormatting>
  <conditionalFormatting sqref="C19">
    <cfRule type="cellIs" dxfId="13894" priority="17657" stopIfTrue="1" operator="equal">
      <formula>"Towel"</formula>
    </cfRule>
    <cfRule type="cellIs" dxfId="13893" priority="17658" stopIfTrue="1" operator="equal">
      <formula>"Napkin Hs"</formula>
    </cfRule>
  </conditionalFormatting>
  <conditionalFormatting sqref="C19">
    <cfRule type="cellIs" dxfId="13892" priority="17659" stopIfTrue="1" operator="equal">
      <formula>"Towel"</formula>
    </cfRule>
  </conditionalFormatting>
  <conditionalFormatting sqref="C19">
    <cfRule type="cellIs" dxfId="13891" priority="17667" stopIfTrue="1" operator="equal">
      <formula>"Towel"</formula>
    </cfRule>
    <cfRule type="cellIs" dxfId="13890" priority="17668" stopIfTrue="1" operator="equal">
      <formula>"Napkin Hs"</formula>
    </cfRule>
  </conditionalFormatting>
  <conditionalFormatting sqref="C19">
    <cfRule type="cellIs" dxfId="13889" priority="17665" stopIfTrue="1" operator="equal">
      <formula>"Towel"</formula>
    </cfRule>
    <cfRule type="cellIs" dxfId="13888" priority="17666" stopIfTrue="1" operator="equal">
      <formula>"Napkin Hs"</formula>
    </cfRule>
  </conditionalFormatting>
  <conditionalFormatting sqref="C19">
    <cfRule type="cellIs" dxfId="13887" priority="17637" stopIfTrue="1" operator="equal">
      <formula>"Towel"</formula>
    </cfRule>
    <cfRule type="cellIs" dxfId="13886" priority="17638" stopIfTrue="1" operator="equal">
      <formula>"Napkin Hs"</formula>
    </cfRule>
  </conditionalFormatting>
  <conditionalFormatting sqref="C19">
    <cfRule type="cellIs" dxfId="13885" priority="17635" stopIfTrue="1" operator="equal">
      <formula>"Towel"</formula>
    </cfRule>
    <cfRule type="cellIs" dxfId="13884" priority="17636" stopIfTrue="1" operator="equal">
      <formula>"Napkin Hs"</formula>
    </cfRule>
  </conditionalFormatting>
  <conditionalFormatting sqref="C19">
    <cfRule type="cellIs" dxfId="13883" priority="17614" stopIfTrue="1" operator="equal">
      <formula>"Napkin Hs"</formula>
    </cfRule>
  </conditionalFormatting>
  <conditionalFormatting sqref="C19">
    <cfRule type="cellIs" dxfId="13882" priority="17613" stopIfTrue="1" operator="equal">
      <formula>"Towel"</formula>
    </cfRule>
  </conditionalFormatting>
  <conditionalFormatting sqref="C19">
    <cfRule type="cellIs" dxfId="13881" priority="17612" stopIfTrue="1" operator="equal">
      <formula>"Napkin Hs"</formula>
    </cfRule>
  </conditionalFormatting>
  <conditionalFormatting sqref="C19">
    <cfRule type="cellIs" dxfId="13880" priority="17611" stopIfTrue="1" operator="equal">
      <formula>"Towel"</formula>
    </cfRule>
  </conditionalFormatting>
  <conditionalFormatting sqref="C19">
    <cfRule type="cellIs" dxfId="13879" priority="17608" stopIfTrue="1" operator="equal">
      <formula>"Napkin Hs"</formula>
    </cfRule>
  </conditionalFormatting>
  <conditionalFormatting sqref="C19">
    <cfRule type="cellIs" dxfId="13878" priority="17607" stopIfTrue="1" operator="equal">
      <formula>"Towel"</formula>
    </cfRule>
  </conditionalFormatting>
  <conditionalFormatting sqref="C19">
    <cfRule type="cellIs" dxfId="13877" priority="17606" stopIfTrue="1" operator="equal">
      <formula>"Napkin Hs"</formula>
    </cfRule>
  </conditionalFormatting>
  <conditionalFormatting sqref="C19">
    <cfRule type="cellIs" dxfId="13876" priority="17605" stopIfTrue="1" operator="equal">
      <formula>"Towel"</formula>
    </cfRule>
  </conditionalFormatting>
  <conditionalFormatting sqref="C19">
    <cfRule type="cellIs" dxfId="13875" priority="17601" stopIfTrue="1" operator="equal">
      <formula>"Towel"</formula>
    </cfRule>
    <cfRule type="cellIs" dxfId="13874" priority="17602" stopIfTrue="1" operator="equal">
      <formula>"Napkin Hs"</formula>
    </cfRule>
  </conditionalFormatting>
  <conditionalFormatting sqref="C19">
    <cfRule type="cellIs" dxfId="13873" priority="17599" stopIfTrue="1" operator="equal">
      <formula>"Towel"</formula>
    </cfRule>
    <cfRule type="cellIs" dxfId="13872" priority="17600" stopIfTrue="1" operator="equal">
      <formula>"Napkin Hs"</formula>
    </cfRule>
  </conditionalFormatting>
  <conditionalFormatting sqref="C19">
    <cfRule type="cellIs" dxfId="13871" priority="17583" stopIfTrue="1" operator="equal">
      <formula>"Towel"</formula>
    </cfRule>
    <cfRule type="cellIs" dxfId="13870" priority="17584" stopIfTrue="1" operator="equal">
      <formula>"Napkin Hs"</formula>
    </cfRule>
  </conditionalFormatting>
  <conditionalFormatting sqref="C19">
    <cfRule type="cellIs" dxfId="13869" priority="17581" stopIfTrue="1" operator="equal">
      <formula>"Towel"</formula>
    </cfRule>
    <cfRule type="cellIs" dxfId="13868" priority="17582" stopIfTrue="1" operator="equal">
      <formula>"Napkin Hs"</formula>
    </cfRule>
  </conditionalFormatting>
  <conditionalFormatting sqref="C19">
    <cfRule type="cellIs" dxfId="13867" priority="17560" stopIfTrue="1" operator="equal">
      <formula>"Napkin Hs"</formula>
    </cfRule>
  </conditionalFormatting>
  <conditionalFormatting sqref="C19">
    <cfRule type="cellIs" dxfId="13866" priority="17559" stopIfTrue="1" operator="equal">
      <formula>"Towel"</formula>
    </cfRule>
  </conditionalFormatting>
  <conditionalFormatting sqref="C19">
    <cfRule type="cellIs" dxfId="13865" priority="17558" stopIfTrue="1" operator="equal">
      <formula>"Napkin Hs"</formula>
    </cfRule>
  </conditionalFormatting>
  <conditionalFormatting sqref="C19">
    <cfRule type="cellIs" dxfId="13864" priority="17557" stopIfTrue="1" operator="equal">
      <formula>"Towel"</formula>
    </cfRule>
  </conditionalFormatting>
  <conditionalFormatting sqref="C19">
    <cfRule type="cellIs" dxfId="13863" priority="17554" stopIfTrue="1" operator="equal">
      <formula>"Napkin Hs"</formula>
    </cfRule>
  </conditionalFormatting>
  <conditionalFormatting sqref="C19">
    <cfRule type="cellIs" dxfId="13862" priority="17553" stopIfTrue="1" operator="equal">
      <formula>"Towel"</formula>
    </cfRule>
  </conditionalFormatting>
  <conditionalFormatting sqref="C19">
    <cfRule type="cellIs" dxfId="13861" priority="17552" stopIfTrue="1" operator="equal">
      <formula>"Napkin Hs"</formula>
    </cfRule>
  </conditionalFormatting>
  <conditionalFormatting sqref="C19">
    <cfRule type="cellIs" dxfId="13860" priority="17551" stopIfTrue="1" operator="equal">
      <formula>"Towel"</formula>
    </cfRule>
  </conditionalFormatting>
  <conditionalFormatting sqref="B19:C19 B20">
    <cfRule type="cellIs" dxfId="13859" priority="17542" stopIfTrue="1" operator="equal">
      <formula>"Napkin Hs"</formula>
    </cfRule>
  </conditionalFormatting>
  <conditionalFormatting sqref="B19:C19 B20">
    <cfRule type="cellIs" dxfId="13858" priority="17541" stopIfTrue="1" operator="equal">
      <formula>"Towel"</formula>
    </cfRule>
  </conditionalFormatting>
  <conditionalFormatting sqref="C19">
    <cfRule type="cellIs" dxfId="13857" priority="17540" stopIfTrue="1" operator="equal">
      <formula>"Napkin Hs"</formula>
    </cfRule>
  </conditionalFormatting>
  <conditionalFormatting sqref="C19">
    <cfRule type="cellIs" dxfId="13856" priority="17537" stopIfTrue="1" operator="equal">
      <formula>"Towel"</formula>
    </cfRule>
    <cfRule type="cellIs" dxfId="13855" priority="17538" stopIfTrue="1" operator="equal">
      <formula>"Napkin Hs"</formula>
    </cfRule>
  </conditionalFormatting>
  <conditionalFormatting sqref="C19">
    <cfRule type="cellIs" dxfId="13854" priority="17539" stopIfTrue="1" operator="equal">
      <formula>"Towel"</formula>
    </cfRule>
  </conditionalFormatting>
  <conditionalFormatting sqref="C20">
    <cfRule type="cellIs" dxfId="13853" priority="17523" stopIfTrue="1" operator="equal">
      <formula>"Towel"</formula>
    </cfRule>
    <cfRule type="cellIs" dxfId="13852" priority="17524" stopIfTrue="1" operator="equal">
      <formula>"Napkin Hs"</formula>
    </cfRule>
  </conditionalFormatting>
  <conditionalFormatting sqref="C20">
    <cfRule type="cellIs" dxfId="13851" priority="17521" stopIfTrue="1" operator="equal">
      <formula>"Towel"</formula>
    </cfRule>
    <cfRule type="cellIs" dxfId="13850" priority="17522" stopIfTrue="1" operator="equal">
      <formula>"Napkin Hs"</formula>
    </cfRule>
  </conditionalFormatting>
  <conditionalFormatting sqref="C20">
    <cfRule type="cellIs" dxfId="13849" priority="17519" stopIfTrue="1" operator="equal">
      <formula>"Towel"</formula>
    </cfRule>
    <cfRule type="cellIs" dxfId="13848" priority="17520" stopIfTrue="1" operator="equal">
      <formula>"Napkin Hs"</formula>
    </cfRule>
  </conditionalFormatting>
  <conditionalFormatting sqref="C20">
    <cfRule type="cellIs" dxfId="13847" priority="17518" stopIfTrue="1" operator="equal">
      <formula>"Napkin Hs"</formula>
    </cfRule>
  </conditionalFormatting>
  <conditionalFormatting sqref="C20">
    <cfRule type="cellIs" dxfId="13846" priority="17517" stopIfTrue="1" operator="equal">
      <formula>"Towel"</formula>
    </cfRule>
  </conditionalFormatting>
  <conditionalFormatting sqref="C20">
    <cfRule type="cellIs" dxfId="13845" priority="17516" stopIfTrue="1" operator="equal">
      <formula>"Napkin Hs"</formula>
    </cfRule>
  </conditionalFormatting>
  <conditionalFormatting sqref="C20">
    <cfRule type="cellIs" dxfId="13844" priority="17515" stopIfTrue="1" operator="equal">
      <formula>"Towel"</formula>
    </cfRule>
  </conditionalFormatting>
  <conditionalFormatting sqref="C20">
    <cfRule type="cellIs" dxfId="13843" priority="17513" stopIfTrue="1" operator="equal">
      <formula>"Towel"</formula>
    </cfRule>
    <cfRule type="cellIs" dxfId="13842" priority="17514" stopIfTrue="1" operator="equal">
      <formula>"Napkin Hs"</formula>
    </cfRule>
  </conditionalFormatting>
  <conditionalFormatting sqref="C20">
    <cfRule type="cellIs" dxfId="13841" priority="17511" stopIfTrue="1" operator="equal">
      <formula>"Towel"</formula>
    </cfRule>
    <cfRule type="cellIs" dxfId="13840" priority="17512" stopIfTrue="1" operator="equal">
      <formula>"Napkin Hs"</formula>
    </cfRule>
  </conditionalFormatting>
  <conditionalFormatting sqref="C20">
    <cfRule type="cellIs" dxfId="13839" priority="17507" stopIfTrue="1" operator="equal">
      <formula>"Towel"</formula>
    </cfRule>
    <cfRule type="cellIs" dxfId="13838" priority="17508" stopIfTrue="1" operator="equal">
      <formula>"Napkin Hs"</formula>
    </cfRule>
  </conditionalFormatting>
  <conditionalFormatting sqref="C20">
    <cfRule type="cellIs" dxfId="13837" priority="17509" stopIfTrue="1" operator="equal">
      <formula>"Towel"</formula>
    </cfRule>
    <cfRule type="cellIs" dxfId="13836" priority="17510" stopIfTrue="1" operator="equal">
      <formula>"Napkin Hs"</formula>
    </cfRule>
  </conditionalFormatting>
  <conditionalFormatting sqref="C20">
    <cfRule type="cellIs" dxfId="13835" priority="17501" stopIfTrue="1" operator="equal">
      <formula>"Towel"</formula>
    </cfRule>
    <cfRule type="cellIs" dxfId="13834" priority="17502" stopIfTrue="1" operator="equal">
      <formula>"Napkin Hs"</formula>
    </cfRule>
  </conditionalFormatting>
  <conditionalFormatting sqref="C20">
    <cfRule type="cellIs" dxfId="13833" priority="17499" stopIfTrue="1" operator="equal">
      <formula>"Towel"</formula>
    </cfRule>
    <cfRule type="cellIs" dxfId="13832" priority="17500" stopIfTrue="1" operator="equal">
      <formula>"Napkin Hs"</formula>
    </cfRule>
  </conditionalFormatting>
  <conditionalFormatting sqref="C20">
    <cfRule type="cellIs" dxfId="13831" priority="17497" stopIfTrue="1" operator="equal">
      <formula>"Towel"</formula>
    </cfRule>
    <cfRule type="cellIs" dxfId="13830" priority="17498" stopIfTrue="1" operator="equal">
      <formula>"Napkin Hs"</formula>
    </cfRule>
  </conditionalFormatting>
  <conditionalFormatting sqref="C20">
    <cfRule type="cellIs" dxfId="13829" priority="17495" stopIfTrue="1" operator="equal">
      <formula>"Towel"</formula>
    </cfRule>
    <cfRule type="cellIs" dxfId="13828" priority="17496" stopIfTrue="1" operator="equal">
      <formula>"Napkin Hs"</formula>
    </cfRule>
  </conditionalFormatting>
  <conditionalFormatting sqref="C20">
    <cfRule type="cellIs" dxfId="13827" priority="17493" stopIfTrue="1" operator="equal">
      <formula>"Towel"</formula>
    </cfRule>
    <cfRule type="cellIs" dxfId="13826" priority="17494" stopIfTrue="1" operator="equal">
      <formula>"Napkin Hs"</formula>
    </cfRule>
  </conditionalFormatting>
  <conditionalFormatting sqref="C20">
    <cfRule type="cellIs" dxfId="13825" priority="17491" stopIfTrue="1" operator="equal">
      <formula>"Towel"</formula>
    </cfRule>
    <cfRule type="cellIs" dxfId="13824" priority="17492" stopIfTrue="1" operator="equal">
      <formula>"Napkin Hs"</formula>
    </cfRule>
  </conditionalFormatting>
  <conditionalFormatting sqref="C20">
    <cfRule type="cellIs" dxfId="13823" priority="17489" stopIfTrue="1" operator="equal">
      <formula>"Towel"</formula>
    </cfRule>
    <cfRule type="cellIs" dxfId="13822" priority="17490" stopIfTrue="1" operator="equal">
      <formula>"Napkin Hs"</formula>
    </cfRule>
  </conditionalFormatting>
  <conditionalFormatting sqref="C20">
    <cfRule type="cellIs" dxfId="13821" priority="17487" stopIfTrue="1" operator="equal">
      <formula>"Towel"</formula>
    </cfRule>
    <cfRule type="cellIs" dxfId="13820" priority="17488" stopIfTrue="1" operator="equal">
      <formula>"Napkin Hs"</formula>
    </cfRule>
  </conditionalFormatting>
  <conditionalFormatting sqref="C20">
    <cfRule type="cellIs" dxfId="13819" priority="17485" stopIfTrue="1" operator="equal">
      <formula>"Towel"</formula>
    </cfRule>
    <cfRule type="cellIs" dxfId="13818" priority="17486" stopIfTrue="1" operator="equal">
      <formula>"Napkin Hs"</formula>
    </cfRule>
  </conditionalFormatting>
  <conditionalFormatting sqref="C20">
    <cfRule type="cellIs" dxfId="13817" priority="17483" stopIfTrue="1" operator="equal">
      <formula>"Towel"</formula>
    </cfRule>
    <cfRule type="cellIs" dxfId="13816" priority="17484" stopIfTrue="1" operator="equal">
      <formula>"Napkin Hs"</formula>
    </cfRule>
  </conditionalFormatting>
  <conditionalFormatting sqref="C20">
    <cfRule type="cellIs" dxfId="13815" priority="17477" stopIfTrue="1" operator="equal">
      <formula>"Towel"</formula>
    </cfRule>
    <cfRule type="cellIs" dxfId="13814" priority="17478" stopIfTrue="1" operator="equal">
      <formula>"Napkin Hs"</formula>
    </cfRule>
  </conditionalFormatting>
  <conditionalFormatting sqref="C20">
    <cfRule type="cellIs" dxfId="13813" priority="17471" stopIfTrue="1" operator="equal">
      <formula>"Towel"</formula>
    </cfRule>
    <cfRule type="cellIs" dxfId="13812" priority="17472" stopIfTrue="1" operator="equal">
      <formula>"Napkin Hs"</formula>
    </cfRule>
  </conditionalFormatting>
  <conditionalFormatting sqref="C20">
    <cfRule type="cellIs" dxfId="13811" priority="17465" stopIfTrue="1" operator="equal">
      <formula>"Towel"</formula>
    </cfRule>
    <cfRule type="cellIs" dxfId="13810" priority="17466" stopIfTrue="1" operator="equal">
      <formula>"Napkin Hs"</formula>
    </cfRule>
  </conditionalFormatting>
  <conditionalFormatting sqref="C20">
    <cfRule type="cellIs" dxfId="13809" priority="17464" stopIfTrue="1" operator="equal">
      <formula>"Napkin Hs"</formula>
    </cfRule>
  </conditionalFormatting>
  <conditionalFormatting sqref="C20">
    <cfRule type="cellIs" dxfId="13808" priority="17463" stopIfTrue="1" operator="equal">
      <formula>"Towel"</formula>
    </cfRule>
  </conditionalFormatting>
  <conditionalFormatting sqref="C20">
    <cfRule type="cellIs" dxfId="13807" priority="17462" stopIfTrue="1" operator="equal">
      <formula>"Napkin Hs"</formula>
    </cfRule>
  </conditionalFormatting>
  <conditionalFormatting sqref="C20">
    <cfRule type="cellIs" dxfId="13806" priority="17461" stopIfTrue="1" operator="equal">
      <formula>"Towel"</formula>
    </cfRule>
  </conditionalFormatting>
  <conditionalFormatting sqref="C20">
    <cfRule type="cellIs" dxfId="13805" priority="17459" stopIfTrue="1" operator="equal">
      <formula>"Towel"</formula>
    </cfRule>
    <cfRule type="cellIs" dxfId="13804" priority="17460" stopIfTrue="1" operator="equal">
      <formula>"Napkin Hs"</formula>
    </cfRule>
  </conditionalFormatting>
  <conditionalFormatting sqref="C20">
    <cfRule type="cellIs" dxfId="13803" priority="17457" stopIfTrue="1" operator="equal">
      <formula>"Towel"</formula>
    </cfRule>
    <cfRule type="cellIs" dxfId="13802" priority="17458" stopIfTrue="1" operator="equal">
      <formula>"Napkin Hs"</formula>
    </cfRule>
  </conditionalFormatting>
  <conditionalFormatting sqref="C20">
    <cfRule type="cellIs" dxfId="13801" priority="17453" stopIfTrue="1" operator="equal">
      <formula>"Towel"</formula>
    </cfRule>
    <cfRule type="cellIs" dxfId="13800" priority="17454" stopIfTrue="1" operator="equal">
      <formula>"Napkin Hs"</formula>
    </cfRule>
  </conditionalFormatting>
  <conditionalFormatting sqref="C20">
    <cfRule type="cellIs" dxfId="13799" priority="17455" stopIfTrue="1" operator="equal">
      <formula>"Towel"</formula>
    </cfRule>
    <cfRule type="cellIs" dxfId="13798" priority="17456" stopIfTrue="1" operator="equal">
      <formula>"Napkin Hs"</formula>
    </cfRule>
  </conditionalFormatting>
  <conditionalFormatting sqref="C20">
    <cfRule type="cellIs" dxfId="13797" priority="17447" stopIfTrue="1" operator="equal">
      <formula>"Towel"</formula>
    </cfRule>
    <cfRule type="cellIs" dxfId="13796" priority="17448" stopIfTrue="1" operator="equal">
      <formula>"Napkin Hs"</formula>
    </cfRule>
  </conditionalFormatting>
  <conditionalFormatting sqref="C20">
    <cfRule type="cellIs" dxfId="13795" priority="17445" stopIfTrue="1" operator="equal">
      <formula>"Towel"</formula>
    </cfRule>
    <cfRule type="cellIs" dxfId="13794" priority="17446" stopIfTrue="1" operator="equal">
      <formula>"Napkin Hs"</formula>
    </cfRule>
  </conditionalFormatting>
  <conditionalFormatting sqref="C20">
    <cfRule type="cellIs" dxfId="13793" priority="17443" stopIfTrue="1" operator="equal">
      <formula>"Towel"</formula>
    </cfRule>
    <cfRule type="cellIs" dxfId="13792" priority="17444" stopIfTrue="1" operator="equal">
      <formula>"Napkin Hs"</formula>
    </cfRule>
  </conditionalFormatting>
  <conditionalFormatting sqref="C20">
    <cfRule type="cellIs" dxfId="13791" priority="17441" stopIfTrue="1" operator="equal">
      <formula>"Towel"</formula>
    </cfRule>
    <cfRule type="cellIs" dxfId="13790" priority="17442" stopIfTrue="1" operator="equal">
      <formula>"Napkin Hs"</formula>
    </cfRule>
  </conditionalFormatting>
  <conditionalFormatting sqref="C20">
    <cfRule type="cellIs" dxfId="13789" priority="17439" stopIfTrue="1" operator="equal">
      <formula>"Towel"</formula>
    </cfRule>
    <cfRule type="cellIs" dxfId="13788" priority="17440" stopIfTrue="1" operator="equal">
      <formula>"Napkin Hs"</formula>
    </cfRule>
  </conditionalFormatting>
  <conditionalFormatting sqref="C20">
    <cfRule type="cellIs" dxfId="13787" priority="17437" stopIfTrue="1" operator="equal">
      <formula>"Towel"</formula>
    </cfRule>
    <cfRule type="cellIs" dxfId="13786" priority="17438" stopIfTrue="1" operator="equal">
      <formula>"Napkin Hs"</formula>
    </cfRule>
  </conditionalFormatting>
  <conditionalFormatting sqref="C20">
    <cfRule type="cellIs" dxfId="13785" priority="17435" stopIfTrue="1" operator="equal">
      <formula>"Towel"</formula>
    </cfRule>
    <cfRule type="cellIs" dxfId="13784" priority="17436" stopIfTrue="1" operator="equal">
      <formula>"Napkin Hs"</formula>
    </cfRule>
  </conditionalFormatting>
  <conditionalFormatting sqref="C20">
    <cfRule type="cellIs" dxfId="13783" priority="17433" stopIfTrue="1" operator="equal">
      <formula>"Towel"</formula>
    </cfRule>
    <cfRule type="cellIs" dxfId="13782" priority="17434" stopIfTrue="1" operator="equal">
      <formula>"Napkin Hs"</formula>
    </cfRule>
  </conditionalFormatting>
  <conditionalFormatting sqref="C20">
    <cfRule type="cellIs" dxfId="13781" priority="17431" stopIfTrue="1" operator="equal">
      <formula>"Towel"</formula>
    </cfRule>
    <cfRule type="cellIs" dxfId="13780" priority="17432" stopIfTrue="1" operator="equal">
      <formula>"Napkin Hs"</formula>
    </cfRule>
  </conditionalFormatting>
  <conditionalFormatting sqref="C20">
    <cfRule type="cellIs" dxfId="13779" priority="17429" stopIfTrue="1" operator="equal">
      <formula>"Towel"</formula>
    </cfRule>
    <cfRule type="cellIs" dxfId="13778" priority="17430" stopIfTrue="1" operator="equal">
      <formula>"Napkin Hs"</formula>
    </cfRule>
  </conditionalFormatting>
  <conditionalFormatting sqref="C20">
    <cfRule type="cellIs" dxfId="13777" priority="17423" stopIfTrue="1" operator="equal">
      <formula>"Towel"</formula>
    </cfRule>
    <cfRule type="cellIs" dxfId="13776" priority="17424" stopIfTrue="1" operator="equal">
      <formula>"Napkin Hs"</formula>
    </cfRule>
  </conditionalFormatting>
  <conditionalFormatting sqref="C20">
    <cfRule type="cellIs" dxfId="13775" priority="17417" stopIfTrue="1" operator="equal">
      <formula>"Towel"</formula>
    </cfRule>
    <cfRule type="cellIs" dxfId="13774" priority="17418" stopIfTrue="1" operator="equal">
      <formula>"Napkin Hs"</formula>
    </cfRule>
  </conditionalFormatting>
  <conditionalFormatting sqref="C20">
    <cfRule type="cellIs" dxfId="13773" priority="17416" stopIfTrue="1" operator="equal">
      <formula>"Napkin Hs"</formula>
    </cfRule>
  </conditionalFormatting>
  <conditionalFormatting sqref="C20">
    <cfRule type="cellIs" dxfId="13772" priority="17415" stopIfTrue="1" operator="equal">
      <formula>"Towel"</formula>
    </cfRule>
  </conditionalFormatting>
  <conditionalFormatting sqref="C20">
    <cfRule type="cellIs" dxfId="13771" priority="17414" stopIfTrue="1" operator="equal">
      <formula>"Napkin Hs"</formula>
    </cfRule>
  </conditionalFormatting>
  <conditionalFormatting sqref="C20">
    <cfRule type="cellIs" dxfId="13770" priority="17411" stopIfTrue="1" operator="equal">
      <formula>"Towel"</formula>
    </cfRule>
    <cfRule type="cellIs" dxfId="13769" priority="17412" stopIfTrue="1" operator="equal">
      <formula>"Napkin Hs"</formula>
    </cfRule>
  </conditionalFormatting>
  <conditionalFormatting sqref="C20">
    <cfRule type="cellIs" dxfId="13768" priority="17413" stopIfTrue="1" operator="equal">
      <formula>"Towel"</formula>
    </cfRule>
  </conditionalFormatting>
  <conditionalFormatting sqref="C20">
    <cfRule type="cellIs" dxfId="13767" priority="17531" stopIfTrue="1" operator="equal">
      <formula>"Towel"</formula>
    </cfRule>
    <cfRule type="cellIs" dxfId="13766" priority="17532" stopIfTrue="1" operator="equal">
      <formula>"Napkin Hs"</formula>
    </cfRule>
  </conditionalFormatting>
  <conditionalFormatting sqref="C20">
    <cfRule type="cellIs" dxfId="13765" priority="17530" stopIfTrue="1" operator="equal">
      <formula>"Napkin Hs"</formula>
    </cfRule>
  </conditionalFormatting>
  <conditionalFormatting sqref="C20">
    <cfRule type="cellIs" dxfId="13764" priority="17529" stopIfTrue="1" operator="equal">
      <formula>"Towel"</formula>
    </cfRule>
  </conditionalFormatting>
  <conditionalFormatting sqref="C20">
    <cfRule type="cellIs" dxfId="13763" priority="17528" stopIfTrue="1" operator="equal">
      <formula>"Napkin Hs"</formula>
    </cfRule>
  </conditionalFormatting>
  <conditionalFormatting sqref="C20">
    <cfRule type="cellIs" dxfId="13762" priority="17525" stopIfTrue="1" operator="equal">
      <formula>"Towel"</formula>
    </cfRule>
    <cfRule type="cellIs" dxfId="13761" priority="17526" stopIfTrue="1" operator="equal">
      <formula>"Napkin Hs"</formula>
    </cfRule>
  </conditionalFormatting>
  <conditionalFormatting sqref="C20">
    <cfRule type="cellIs" dxfId="13760" priority="17527" stopIfTrue="1" operator="equal">
      <formula>"Towel"</formula>
    </cfRule>
  </conditionalFormatting>
  <conditionalFormatting sqref="C20">
    <cfRule type="cellIs" dxfId="13759" priority="17535" stopIfTrue="1" operator="equal">
      <formula>"Towel"</formula>
    </cfRule>
    <cfRule type="cellIs" dxfId="13758" priority="17536" stopIfTrue="1" operator="equal">
      <formula>"Napkin Hs"</formula>
    </cfRule>
  </conditionalFormatting>
  <conditionalFormatting sqref="C20">
    <cfRule type="cellIs" dxfId="13757" priority="17533" stopIfTrue="1" operator="equal">
      <formula>"Towel"</formula>
    </cfRule>
    <cfRule type="cellIs" dxfId="13756" priority="17534" stopIfTrue="1" operator="equal">
      <formula>"Napkin Hs"</formula>
    </cfRule>
  </conditionalFormatting>
  <conditionalFormatting sqref="C20">
    <cfRule type="cellIs" dxfId="13755" priority="17505" stopIfTrue="1" operator="equal">
      <formula>"Towel"</formula>
    </cfRule>
    <cfRule type="cellIs" dxfId="13754" priority="17506" stopIfTrue="1" operator="equal">
      <formula>"Napkin Hs"</formula>
    </cfRule>
  </conditionalFormatting>
  <conditionalFormatting sqref="C20">
    <cfRule type="cellIs" dxfId="13753" priority="17503" stopIfTrue="1" operator="equal">
      <formula>"Towel"</formula>
    </cfRule>
    <cfRule type="cellIs" dxfId="13752" priority="17504" stopIfTrue="1" operator="equal">
      <formula>"Napkin Hs"</formula>
    </cfRule>
  </conditionalFormatting>
  <conditionalFormatting sqref="C20">
    <cfRule type="cellIs" dxfId="13751" priority="17482" stopIfTrue="1" operator="equal">
      <formula>"Napkin Hs"</formula>
    </cfRule>
  </conditionalFormatting>
  <conditionalFormatting sqref="C20">
    <cfRule type="cellIs" dxfId="13750" priority="17481" stopIfTrue="1" operator="equal">
      <formula>"Towel"</formula>
    </cfRule>
  </conditionalFormatting>
  <conditionalFormatting sqref="C20">
    <cfRule type="cellIs" dxfId="13749" priority="17480" stopIfTrue="1" operator="equal">
      <formula>"Napkin Hs"</formula>
    </cfRule>
  </conditionalFormatting>
  <conditionalFormatting sqref="C20">
    <cfRule type="cellIs" dxfId="13748" priority="17479" stopIfTrue="1" operator="equal">
      <formula>"Towel"</formula>
    </cfRule>
  </conditionalFormatting>
  <conditionalFormatting sqref="C20">
    <cfRule type="cellIs" dxfId="13747" priority="17476" stopIfTrue="1" operator="equal">
      <formula>"Napkin Hs"</formula>
    </cfRule>
  </conditionalFormatting>
  <conditionalFormatting sqref="C20">
    <cfRule type="cellIs" dxfId="13746" priority="17475" stopIfTrue="1" operator="equal">
      <formula>"Towel"</formula>
    </cfRule>
  </conditionalFormatting>
  <conditionalFormatting sqref="C20">
    <cfRule type="cellIs" dxfId="13745" priority="17474" stopIfTrue="1" operator="equal">
      <formula>"Napkin Hs"</formula>
    </cfRule>
  </conditionalFormatting>
  <conditionalFormatting sqref="C20">
    <cfRule type="cellIs" dxfId="13744" priority="17473" stopIfTrue="1" operator="equal">
      <formula>"Towel"</formula>
    </cfRule>
  </conditionalFormatting>
  <conditionalFormatting sqref="C20">
    <cfRule type="cellIs" dxfId="13743" priority="17469" stopIfTrue="1" operator="equal">
      <formula>"Towel"</formula>
    </cfRule>
    <cfRule type="cellIs" dxfId="13742" priority="17470" stopIfTrue="1" operator="equal">
      <formula>"Napkin Hs"</formula>
    </cfRule>
  </conditionalFormatting>
  <conditionalFormatting sqref="C20">
    <cfRule type="cellIs" dxfId="13741" priority="17467" stopIfTrue="1" operator="equal">
      <formula>"Towel"</formula>
    </cfRule>
    <cfRule type="cellIs" dxfId="13740" priority="17468" stopIfTrue="1" operator="equal">
      <formula>"Napkin Hs"</formula>
    </cfRule>
  </conditionalFormatting>
  <conditionalFormatting sqref="C20">
    <cfRule type="cellIs" dxfId="13739" priority="17451" stopIfTrue="1" operator="equal">
      <formula>"Towel"</formula>
    </cfRule>
    <cfRule type="cellIs" dxfId="13738" priority="17452" stopIfTrue="1" operator="equal">
      <formula>"Napkin Hs"</formula>
    </cfRule>
  </conditionalFormatting>
  <conditionalFormatting sqref="C20">
    <cfRule type="cellIs" dxfId="13737" priority="17449" stopIfTrue="1" operator="equal">
      <formula>"Towel"</formula>
    </cfRule>
    <cfRule type="cellIs" dxfId="13736" priority="17450" stopIfTrue="1" operator="equal">
      <formula>"Napkin Hs"</formula>
    </cfRule>
  </conditionalFormatting>
  <conditionalFormatting sqref="C20">
    <cfRule type="cellIs" dxfId="13735" priority="17428" stopIfTrue="1" operator="equal">
      <formula>"Napkin Hs"</formula>
    </cfRule>
  </conditionalFormatting>
  <conditionalFormatting sqref="C20">
    <cfRule type="cellIs" dxfId="13734" priority="17427" stopIfTrue="1" operator="equal">
      <formula>"Towel"</formula>
    </cfRule>
  </conditionalFormatting>
  <conditionalFormatting sqref="C20">
    <cfRule type="cellIs" dxfId="13733" priority="17426" stopIfTrue="1" operator="equal">
      <formula>"Napkin Hs"</formula>
    </cfRule>
  </conditionalFormatting>
  <conditionalFormatting sqref="C20">
    <cfRule type="cellIs" dxfId="13732" priority="17425" stopIfTrue="1" operator="equal">
      <formula>"Towel"</formula>
    </cfRule>
  </conditionalFormatting>
  <conditionalFormatting sqref="C20">
    <cfRule type="cellIs" dxfId="13731" priority="17422" stopIfTrue="1" operator="equal">
      <formula>"Napkin Hs"</formula>
    </cfRule>
  </conditionalFormatting>
  <conditionalFormatting sqref="C20">
    <cfRule type="cellIs" dxfId="13730" priority="17421" stopIfTrue="1" operator="equal">
      <formula>"Towel"</formula>
    </cfRule>
  </conditionalFormatting>
  <conditionalFormatting sqref="C20">
    <cfRule type="cellIs" dxfId="13729" priority="17420" stopIfTrue="1" operator="equal">
      <formula>"Napkin Hs"</formula>
    </cfRule>
  </conditionalFormatting>
  <conditionalFormatting sqref="C20">
    <cfRule type="cellIs" dxfId="13728" priority="17419" stopIfTrue="1" operator="equal">
      <formula>"Towel"</formula>
    </cfRule>
  </conditionalFormatting>
  <conditionalFormatting sqref="C20">
    <cfRule type="cellIs" dxfId="13727" priority="17410" stopIfTrue="1" operator="equal">
      <formula>"Napkin Hs"</formula>
    </cfRule>
  </conditionalFormatting>
  <conditionalFormatting sqref="C20">
    <cfRule type="cellIs" dxfId="13726" priority="17409" stopIfTrue="1" operator="equal">
      <formula>"Towel"</formula>
    </cfRule>
  </conditionalFormatting>
  <conditionalFormatting sqref="C20">
    <cfRule type="cellIs" dxfId="13725" priority="17408" stopIfTrue="1" operator="equal">
      <formula>"Napkin Hs"</formula>
    </cfRule>
  </conditionalFormatting>
  <conditionalFormatting sqref="C20">
    <cfRule type="cellIs" dxfId="13724" priority="17405" stopIfTrue="1" operator="equal">
      <formula>"Towel"</formula>
    </cfRule>
    <cfRule type="cellIs" dxfId="13723" priority="17406" stopIfTrue="1" operator="equal">
      <formula>"Napkin Hs"</formula>
    </cfRule>
  </conditionalFormatting>
  <conditionalFormatting sqref="C20">
    <cfRule type="cellIs" dxfId="13722" priority="17407" stopIfTrue="1" operator="equal">
      <formula>"Towel"</formula>
    </cfRule>
  </conditionalFormatting>
  <conditionalFormatting sqref="C18">
    <cfRule type="cellIs" dxfId="13721" priority="17391" stopIfTrue="1" operator="equal">
      <formula>"Towel"</formula>
    </cfRule>
    <cfRule type="cellIs" dxfId="13720" priority="17392" stopIfTrue="1" operator="equal">
      <formula>"Napkin Hs"</formula>
    </cfRule>
  </conditionalFormatting>
  <conditionalFormatting sqref="C18">
    <cfRule type="cellIs" dxfId="13719" priority="17389" stopIfTrue="1" operator="equal">
      <formula>"Towel"</formula>
    </cfRule>
    <cfRule type="cellIs" dxfId="13718" priority="17390" stopIfTrue="1" operator="equal">
      <formula>"Napkin Hs"</formula>
    </cfRule>
  </conditionalFormatting>
  <conditionalFormatting sqref="C18">
    <cfRule type="cellIs" dxfId="13717" priority="17387" stopIfTrue="1" operator="equal">
      <formula>"Towel"</formula>
    </cfRule>
    <cfRule type="cellIs" dxfId="13716" priority="17388" stopIfTrue="1" operator="equal">
      <formula>"Napkin Hs"</formula>
    </cfRule>
  </conditionalFormatting>
  <conditionalFormatting sqref="C18">
    <cfRule type="cellIs" dxfId="13715" priority="17386" stopIfTrue="1" operator="equal">
      <formula>"Napkin Hs"</formula>
    </cfRule>
  </conditionalFormatting>
  <conditionalFormatting sqref="C18">
    <cfRule type="cellIs" dxfId="13714" priority="17385" stopIfTrue="1" operator="equal">
      <formula>"Towel"</formula>
    </cfRule>
  </conditionalFormatting>
  <conditionalFormatting sqref="C18">
    <cfRule type="cellIs" dxfId="13713" priority="17384" stopIfTrue="1" operator="equal">
      <formula>"Napkin Hs"</formula>
    </cfRule>
  </conditionalFormatting>
  <conditionalFormatting sqref="C18">
    <cfRule type="cellIs" dxfId="13712" priority="17383" stopIfTrue="1" operator="equal">
      <formula>"Towel"</formula>
    </cfRule>
  </conditionalFormatting>
  <conditionalFormatting sqref="C18">
    <cfRule type="cellIs" dxfId="13711" priority="17381" stopIfTrue="1" operator="equal">
      <formula>"Towel"</formula>
    </cfRule>
    <cfRule type="cellIs" dxfId="13710" priority="17382" stopIfTrue="1" operator="equal">
      <formula>"Napkin Hs"</formula>
    </cfRule>
  </conditionalFormatting>
  <conditionalFormatting sqref="C18">
    <cfRule type="cellIs" dxfId="13709" priority="17379" stopIfTrue="1" operator="equal">
      <formula>"Towel"</formula>
    </cfRule>
    <cfRule type="cellIs" dxfId="13708" priority="17380" stopIfTrue="1" operator="equal">
      <formula>"Napkin Hs"</formula>
    </cfRule>
  </conditionalFormatting>
  <conditionalFormatting sqref="C18">
    <cfRule type="cellIs" dxfId="13707" priority="17375" stopIfTrue="1" operator="equal">
      <formula>"Towel"</formula>
    </cfRule>
    <cfRule type="cellIs" dxfId="13706" priority="17376" stopIfTrue="1" operator="equal">
      <formula>"Napkin Hs"</formula>
    </cfRule>
  </conditionalFormatting>
  <conditionalFormatting sqref="C18">
    <cfRule type="cellIs" dxfId="13705" priority="17377" stopIfTrue="1" operator="equal">
      <formula>"Towel"</formula>
    </cfRule>
    <cfRule type="cellIs" dxfId="13704" priority="17378" stopIfTrue="1" operator="equal">
      <formula>"Napkin Hs"</formula>
    </cfRule>
  </conditionalFormatting>
  <conditionalFormatting sqref="C18">
    <cfRule type="cellIs" dxfId="13703" priority="17369" stopIfTrue="1" operator="equal">
      <formula>"Towel"</formula>
    </cfRule>
    <cfRule type="cellIs" dxfId="13702" priority="17370" stopIfTrue="1" operator="equal">
      <formula>"Napkin Hs"</formula>
    </cfRule>
  </conditionalFormatting>
  <conditionalFormatting sqref="C18">
    <cfRule type="cellIs" dxfId="13701" priority="17367" stopIfTrue="1" operator="equal">
      <formula>"Towel"</formula>
    </cfRule>
    <cfRule type="cellIs" dxfId="13700" priority="17368" stopIfTrue="1" operator="equal">
      <formula>"Napkin Hs"</formula>
    </cfRule>
  </conditionalFormatting>
  <conditionalFormatting sqref="C18">
    <cfRule type="cellIs" dxfId="13699" priority="17365" stopIfTrue="1" operator="equal">
      <formula>"Towel"</formula>
    </cfRule>
    <cfRule type="cellIs" dxfId="13698" priority="17366" stopIfTrue="1" operator="equal">
      <formula>"Napkin Hs"</formula>
    </cfRule>
  </conditionalFormatting>
  <conditionalFormatting sqref="C18">
    <cfRule type="cellIs" dxfId="13697" priority="17363" stopIfTrue="1" operator="equal">
      <formula>"Towel"</formula>
    </cfRule>
    <cfRule type="cellIs" dxfId="13696" priority="17364" stopIfTrue="1" operator="equal">
      <formula>"Napkin Hs"</formula>
    </cfRule>
  </conditionalFormatting>
  <conditionalFormatting sqref="C18">
    <cfRule type="cellIs" dxfId="13695" priority="17361" stopIfTrue="1" operator="equal">
      <formula>"Towel"</formula>
    </cfRule>
    <cfRule type="cellIs" dxfId="13694" priority="17362" stopIfTrue="1" operator="equal">
      <formula>"Napkin Hs"</formula>
    </cfRule>
  </conditionalFormatting>
  <conditionalFormatting sqref="C18">
    <cfRule type="cellIs" dxfId="13693" priority="17359" stopIfTrue="1" operator="equal">
      <formula>"Towel"</formula>
    </cfRule>
    <cfRule type="cellIs" dxfId="13692" priority="17360" stopIfTrue="1" operator="equal">
      <formula>"Napkin Hs"</formula>
    </cfRule>
  </conditionalFormatting>
  <conditionalFormatting sqref="C18">
    <cfRule type="cellIs" dxfId="13691" priority="17357" stopIfTrue="1" operator="equal">
      <formula>"Towel"</formula>
    </cfRule>
    <cfRule type="cellIs" dxfId="13690" priority="17358" stopIfTrue="1" operator="equal">
      <formula>"Napkin Hs"</formula>
    </cfRule>
  </conditionalFormatting>
  <conditionalFormatting sqref="C18">
    <cfRule type="cellIs" dxfId="13689" priority="17355" stopIfTrue="1" operator="equal">
      <formula>"Towel"</formula>
    </cfRule>
    <cfRule type="cellIs" dxfId="13688" priority="17356" stopIfTrue="1" operator="equal">
      <formula>"Napkin Hs"</formula>
    </cfRule>
  </conditionalFormatting>
  <conditionalFormatting sqref="C18">
    <cfRule type="cellIs" dxfId="13687" priority="17353" stopIfTrue="1" operator="equal">
      <formula>"Towel"</formula>
    </cfRule>
    <cfRule type="cellIs" dxfId="13686" priority="17354" stopIfTrue="1" operator="equal">
      <formula>"Napkin Hs"</formula>
    </cfRule>
  </conditionalFormatting>
  <conditionalFormatting sqref="C18">
    <cfRule type="cellIs" dxfId="13685" priority="17351" stopIfTrue="1" operator="equal">
      <formula>"Towel"</formula>
    </cfRule>
    <cfRule type="cellIs" dxfId="13684" priority="17352" stopIfTrue="1" operator="equal">
      <formula>"Napkin Hs"</formula>
    </cfRule>
  </conditionalFormatting>
  <conditionalFormatting sqref="C18">
    <cfRule type="cellIs" dxfId="13683" priority="17345" stopIfTrue="1" operator="equal">
      <formula>"Towel"</formula>
    </cfRule>
    <cfRule type="cellIs" dxfId="13682" priority="17346" stopIfTrue="1" operator="equal">
      <formula>"Napkin Hs"</formula>
    </cfRule>
  </conditionalFormatting>
  <conditionalFormatting sqref="C18">
    <cfRule type="cellIs" dxfId="13681" priority="17339" stopIfTrue="1" operator="equal">
      <formula>"Towel"</formula>
    </cfRule>
    <cfRule type="cellIs" dxfId="13680" priority="17340" stopIfTrue="1" operator="equal">
      <formula>"Napkin Hs"</formula>
    </cfRule>
  </conditionalFormatting>
  <conditionalFormatting sqref="C18">
    <cfRule type="cellIs" dxfId="13679" priority="17333" stopIfTrue="1" operator="equal">
      <formula>"Towel"</formula>
    </cfRule>
    <cfRule type="cellIs" dxfId="13678" priority="17334" stopIfTrue="1" operator="equal">
      <formula>"Napkin Hs"</formula>
    </cfRule>
  </conditionalFormatting>
  <conditionalFormatting sqref="C18">
    <cfRule type="cellIs" dxfId="13677" priority="17332" stopIfTrue="1" operator="equal">
      <formula>"Napkin Hs"</formula>
    </cfRule>
  </conditionalFormatting>
  <conditionalFormatting sqref="C18">
    <cfRule type="cellIs" dxfId="13676" priority="17331" stopIfTrue="1" operator="equal">
      <formula>"Towel"</formula>
    </cfRule>
  </conditionalFormatting>
  <conditionalFormatting sqref="C18">
    <cfRule type="cellIs" dxfId="13675" priority="17330" stopIfTrue="1" operator="equal">
      <formula>"Napkin Hs"</formula>
    </cfRule>
  </conditionalFormatting>
  <conditionalFormatting sqref="C18">
    <cfRule type="cellIs" dxfId="13674" priority="17329" stopIfTrue="1" operator="equal">
      <formula>"Towel"</formula>
    </cfRule>
  </conditionalFormatting>
  <conditionalFormatting sqref="C18">
    <cfRule type="cellIs" dxfId="13673" priority="17327" stopIfTrue="1" operator="equal">
      <formula>"Towel"</formula>
    </cfRule>
    <cfRule type="cellIs" dxfId="13672" priority="17328" stopIfTrue="1" operator="equal">
      <formula>"Napkin Hs"</formula>
    </cfRule>
  </conditionalFormatting>
  <conditionalFormatting sqref="C18">
    <cfRule type="cellIs" dxfId="13671" priority="17325" stopIfTrue="1" operator="equal">
      <formula>"Towel"</formula>
    </cfRule>
    <cfRule type="cellIs" dxfId="13670" priority="17326" stopIfTrue="1" operator="equal">
      <formula>"Napkin Hs"</formula>
    </cfRule>
  </conditionalFormatting>
  <conditionalFormatting sqref="C18">
    <cfRule type="cellIs" dxfId="13669" priority="17321" stopIfTrue="1" operator="equal">
      <formula>"Towel"</formula>
    </cfRule>
    <cfRule type="cellIs" dxfId="13668" priority="17322" stopIfTrue="1" operator="equal">
      <formula>"Napkin Hs"</formula>
    </cfRule>
  </conditionalFormatting>
  <conditionalFormatting sqref="C18">
    <cfRule type="cellIs" dxfId="13667" priority="17323" stopIfTrue="1" operator="equal">
      <formula>"Towel"</formula>
    </cfRule>
    <cfRule type="cellIs" dxfId="13666" priority="17324" stopIfTrue="1" operator="equal">
      <formula>"Napkin Hs"</formula>
    </cfRule>
  </conditionalFormatting>
  <conditionalFormatting sqref="C18">
    <cfRule type="cellIs" dxfId="13665" priority="17315" stopIfTrue="1" operator="equal">
      <formula>"Towel"</formula>
    </cfRule>
    <cfRule type="cellIs" dxfId="13664" priority="17316" stopIfTrue="1" operator="equal">
      <formula>"Napkin Hs"</formula>
    </cfRule>
  </conditionalFormatting>
  <conditionalFormatting sqref="C18">
    <cfRule type="cellIs" dxfId="13663" priority="17313" stopIfTrue="1" operator="equal">
      <formula>"Towel"</formula>
    </cfRule>
    <cfRule type="cellIs" dxfId="13662" priority="17314" stopIfTrue="1" operator="equal">
      <formula>"Napkin Hs"</formula>
    </cfRule>
  </conditionalFormatting>
  <conditionalFormatting sqref="C18">
    <cfRule type="cellIs" dxfId="13661" priority="17311" stopIfTrue="1" operator="equal">
      <formula>"Towel"</formula>
    </cfRule>
    <cfRule type="cellIs" dxfId="13660" priority="17312" stopIfTrue="1" operator="equal">
      <formula>"Napkin Hs"</formula>
    </cfRule>
  </conditionalFormatting>
  <conditionalFormatting sqref="C18">
    <cfRule type="cellIs" dxfId="13659" priority="17309" stopIfTrue="1" operator="equal">
      <formula>"Towel"</formula>
    </cfRule>
    <cfRule type="cellIs" dxfId="13658" priority="17310" stopIfTrue="1" operator="equal">
      <formula>"Napkin Hs"</formula>
    </cfRule>
  </conditionalFormatting>
  <conditionalFormatting sqref="C18">
    <cfRule type="cellIs" dxfId="13657" priority="17307" stopIfTrue="1" operator="equal">
      <formula>"Towel"</formula>
    </cfRule>
    <cfRule type="cellIs" dxfId="13656" priority="17308" stopIfTrue="1" operator="equal">
      <formula>"Napkin Hs"</formula>
    </cfRule>
  </conditionalFormatting>
  <conditionalFormatting sqref="C18">
    <cfRule type="cellIs" dxfId="13655" priority="17305" stopIfTrue="1" operator="equal">
      <formula>"Towel"</formula>
    </cfRule>
    <cfRule type="cellIs" dxfId="13654" priority="17306" stopIfTrue="1" operator="equal">
      <formula>"Napkin Hs"</formula>
    </cfRule>
  </conditionalFormatting>
  <conditionalFormatting sqref="C18">
    <cfRule type="cellIs" dxfId="13653" priority="17303" stopIfTrue="1" operator="equal">
      <formula>"Towel"</formula>
    </cfRule>
    <cfRule type="cellIs" dxfId="13652" priority="17304" stopIfTrue="1" operator="equal">
      <formula>"Napkin Hs"</formula>
    </cfRule>
  </conditionalFormatting>
  <conditionalFormatting sqref="C18">
    <cfRule type="cellIs" dxfId="13651" priority="17301" stopIfTrue="1" operator="equal">
      <formula>"Towel"</formula>
    </cfRule>
    <cfRule type="cellIs" dxfId="13650" priority="17302" stopIfTrue="1" operator="equal">
      <formula>"Napkin Hs"</formula>
    </cfRule>
  </conditionalFormatting>
  <conditionalFormatting sqref="C18">
    <cfRule type="cellIs" dxfId="13649" priority="17299" stopIfTrue="1" operator="equal">
      <formula>"Towel"</formula>
    </cfRule>
    <cfRule type="cellIs" dxfId="13648" priority="17300" stopIfTrue="1" operator="equal">
      <formula>"Napkin Hs"</formula>
    </cfRule>
  </conditionalFormatting>
  <conditionalFormatting sqref="C18">
    <cfRule type="cellIs" dxfId="13647" priority="17297" stopIfTrue="1" operator="equal">
      <formula>"Towel"</formula>
    </cfRule>
    <cfRule type="cellIs" dxfId="13646" priority="17298" stopIfTrue="1" operator="equal">
      <formula>"Napkin Hs"</formula>
    </cfRule>
  </conditionalFormatting>
  <conditionalFormatting sqref="C18">
    <cfRule type="cellIs" dxfId="13645" priority="17291" stopIfTrue="1" operator="equal">
      <formula>"Towel"</formula>
    </cfRule>
    <cfRule type="cellIs" dxfId="13644" priority="17292" stopIfTrue="1" operator="equal">
      <formula>"Napkin Hs"</formula>
    </cfRule>
  </conditionalFormatting>
  <conditionalFormatting sqref="C18">
    <cfRule type="cellIs" dxfId="13643" priority="17285" stopIfTrue="1" operator="equal">
      <formula>"Towel"</formula>
    </cfRule>
    <cfRule type="cellIs" dxfId="13642" priority="17286" stopIfTrue="1" operator="equal">
      <formula>"Napkin Hs"</formula>
    </cfRule>
  </conditionalFormatting>
  <conditionalFormatting sqref="C18">
    <cfRule type="cellIs" dxfId="13641" priority="17284" stopIfTrue="1" operator="equal">
      <formula>"Napkin Hs"</formula>
    </cfRule>
  </conditionalFormatting>
  <conditionalFormatting sqref="C18">
    <cfRule type="cellIs" dxfId="13640" priority="17283" stopIfTrue="1" operator="equal">
      <formula>"Towel"</formula>
    </cfRule>
  </conditionalFormatting>
  <conditionalFormatting sqref="C18">
    <cfRule type="cellIs" dxfId="13639" priority="17282" stopIfTrue="1" operator="equal">
      <formula>"Napkin Hs"</formula>
    </cfRule>
  </conditionalFormatting>
  <conditionalFormatting sqref="C18">
    <cfRule type="cellIs" dxfId="13638" priority="17279" stopIfTrue="1" operator="equal">
      <formula>"Towel"</formula>
    </cfRule>
    <cfRule type="cellIs" dxfId="13637" priority="17280" stopIfTrue="1" operator="equal">
      <formula>"Napkin Hs"</formula>
    </cfRule>
  </conditionalFormatting>
  <conditionalFormatting sqref="C18">
    <cfRule type="cellIs" dxfId="13636" priority="17281" stopIfTrue="1" operator="equal">
      <formula>"Towel"</formula>
    </cfRule>
  </conditionalFormatting>
  <conditionalFormatting sqref="C18">
    <cfRule type="cellIs" dxfId="13635" priority="17399" stopIfTrue="1" operator="equal">
      <formula>"Towel"</formula>
    </cfRule>
    <cfRule type="cellIs" dxfId="13634" priority="17400" stopIfTrue="1" operator="equal">
      <formula>"Napkin Hs"</formula>
    </cfRule>
  </conditionalFormatting>
  <conditionalFormatting sqref="C18">
    <cfRule type="cellIs" dxfId="13633" priority="17398" stopIfTrue="1" operator="equal">
      <formula>"Napkin Hs"</formula>
    </cfRule>
  </conditionalFormatting>
  <conditionalFormatting sqref="C18">
    <cfRule type="cellIs" dxfId="13632" priority="17397" stopIfTrue="1" operator="equal">
      <formula>"Towel"</formula>
    </cfRule>
  </conditionalFormatting>
  <conditionalFormatting sqref="C18">
    <cfRule type="cellIs" dxfId="13631" priority="17396" stopIfTrue="1" operator="equal">
      <formula>"Napkin Hs"</formula>
    </cfRule>
  </conditionalFormatting>
  <conditionalFormatting sqref="C18">
    <cfRule type="cellIs" dxfId="13630" priority="17393" stopIfTrue="1" operator="equal">
      <formula>"Towel"</formula>
    </cfRule>
    <cfRule type="cellIs" dxfId="13629" priority="17394" stopIfTrue="1" operator="equal">
      <formula>"Napkin Hs"</formula>
    </cfRule>
  </conditionalFormatting>
  <conditionalFormatting sqref="C18">
    <cfRule type="cellIs" dxfId="13628" priority="17395" stopIfTrue="1" operator="equal">
      <formula>"Towel"</formula>
    </cfRule>
  </conditionalFormatting>
  <conditionalFormatting sqref="C18">
    <cfRule type="cellIs" dxfId="13627" priority="17403" stopIfTrue="1" operator="equal">
      <formula>"Towel"</formula>
    </cfRule>
    <cfRule type="cellIs" dxfId="13626" priority="17404" stopIfTrue="1" operator="equal">
      <formula>"Napkin Hs"</formula>
    </cfRule>
  </conditionalFormatting>
  <conditionalFormatting sqref="C18">
    <cfRule type="cellIs" dxfId="13625" priority="17401" stopIfTrue="1" operator="equal">
      <formula>"Towel"</formula>
    </cfRule>
    <cfRule type="cellIs" dxfId="13624" priority="17402" stopIfTrue="1" operator="equal">
      <formula>"Napkin Hs"</formula>
    </cfRule>
  </conditionalFormatting>
  <conditionalFormatting sqref="C18">
    <cfRule type="cellIs" dxfId="13623" priority="17373" stopIfTrue="1" operator="equal">
      <formula>"Towel"</formula>
    </cfRule>
    <cfRule type="cellIs" dxfId="13622" priority="17374" stopIfTrue="1" operator="equal">
      <formula>"Napkin Hs"</formula>
    </cfRule>
  </conditionalFormatting>
  <conditionalFormatting sqref="C18">
    <cfRule type="cellIs" dxfId="13621" priority="17371" stopIfTrue="1" operator="equal">
      <formula>"Towel"</formula>
    </cfRule>
    <cfRule type="cellIs" dxfId="13620" priority="17372" stopIfTrue="1" operator="equal">
      <formula>"Napkin Hs"</formula>
    </cfRule>
  </conditionalFormatting>
  <conditionalFormatting sqref="C18">
    <cfRule type="cellIs" dxfId="13619" priority="17350" stopIfTrue="1" operator="equal">
      <formula>"Napkin Hs"</formula>
    </cfRule>
  </conditionalFormatting>
  <conditionalFormatting sqref="C18">
    <cfRule type="cellIs" dxfId="13618" priority="17349" stopIfTrue="1" operator="equal">
      <formula>"Towel"</formula>
    </cfRule>
  </conditionalFormatting>
  <conditionalFormatting sqref="C18">
    <cfRule type="cellIs" dxfId="13617" priority="17348" stopIfTrue="1" operator="equal">
      <formula>"Napkin Hs"</formula>
    </cfRule>
  </conditionalFormatting>
  <conditionalFormatting sqref="C18">
    <cfRule type="cellIs" dxfId="13616" priority="17347" stopIfTrue="1" operator="equal">
      <formula>"Towel"</formula>
    </cfRule>
  </conditionalFormatting>
  <conditionalFormatting sqref="C18">
    <cfRule type="cellIs" dxfId="13615" priority="17344" stopIfTrue="1" operator="equal">
      <formula>"Napkin Hs"</formula>
    </cfRule>
  </conditionalFormatting>
  <conditionalFormatting sqref="C18">
    <cfRule type="cellIs" dxfId="13614" priority="17343" stopIfTrue="1" operator="equal">
      <formula>"Towel"</formula>
    </cfRule>
  </conditionalFormatting>
  <conditionalFormatting sqref="C18">
    <cfRule type="cellIs" dxfId="13613" priority="17342" stopIfTrue="1" operator="equal">
      <formula>"Napkin Hs"</formula>
    </cfRule>
  </conditionalFormatting>
  <conditionalFormatting sqref="C18">
    <cfRule type="cellIs" dxfId="13612" priority="17341" stopIfTrue="1" operator="equal">
      <formula>"Towel"</formula>
    </cfRule>
  </conditionalFormatting>
  <conditionalFormatting sqref="C18">
    <cfRule type="cellIs" dxfId="13611" priority="17337" stopIfTrue="1" operator="equal">
      <formula>"Towel"</formula>
    </cfRule>
    <cfRule type="cellIs" dxfId="13610" priority="17338" stopIfTrue="1" operator="equal">
      <formula>"Napkin Hs"</formula>
    </cfRule>
  </conditionalFormatting>
  <conditionalFormatting sqref="C18">
    <cfRule type="cellIs" dxfId="13609" priority="17335" stopIfTrue="1" operator="equal">
      <formula>"Towel"</formula>
    </cfRule>
    <cfRule type="cellIs" dxfId="13608" priority="17336" stopIfTrue="1" operator="equal">
      <formula>"Napkin Hs"</formula>
    </cfRule>
  </conditionalFormatting>
  <conditionalFormatting sqref="C18">
    <cfRule type="cellIs" dxfId="13607" priority="17319" stopIfTrue="1" operator="equal">
      <formula>"Towel"</formula>
    </cfRule>
    <cfRule type="cellIs" dxfId="13606" priority="17320" stopIfTrue="1" operator="equal">
      <formula>"Napkin Hs"</formula>
    </cfRule>
  </conditionalFormatting>
  <conditionalFormatting sqref="C18">
    <cfRule type="cellIs" dxfId="13605" priority="17317" stopIfTrue="1" operator="equal">
      <formula>"Towel"</formula>
    </cfRule>
    <cfRule type="cellIs" dxfId="13604" priority="17318" stopIfTrue="1" operator="equal">
      <formula>"Napkin Hs"</formula>
    </cfRule>
  </conditionalFormatting>
  <conditionalFormatting sqref="C18">
    <cfRule type="cellIs" dxfId="13603" priority="17296" stopIfTrue="1" operator="equal">
      <formula>"Napkin Hs"</formula>
    </cfRule>
  </conditionalFormatting>
  <conditionalFormatting sqref="C18">
    <cfRule type="cellIs" dxfId="13602" priority="17295" stopIfTrue="1" operator="equal">
      <formula>"Towel"</formula>
    </cfRule>
  </conditionalFormatting>
  <conditionalFormatting sqref="C18">
    <cfRule type="cellIs" dxfId="13601" priority="17294" stopIfTrue="1" operator="equal">
      <formula>"Napkin Hs"</formula>
    </cfRule>
  </conditionalFormatting>
  <conditionalFormatting sqref="C18">
    <cfRule type="cellIs" dxfId="13600" priority="17293" stopIfTrue="1" operator="equal">
      <formula>"Towel"</formula>
    </cfRule>
  </conditionalFormatting>
  <conditionalFormatting sqref="C18">
    <cfRule type="cellIs" dxfId="13599" priority="17290" stopIfTrue="1" operator="equal">
      <formula>"Napkin Hs"</formula>
    </cfRule>
  </conditionalFormatting>
  <conditionalFormatting sqref="C18">
    <cfRule type="cellIs" dxfId="13598" priority="17289" stopIfTrue="1" operator="equal">
      <formula>"Towel"</formula>
    </cfRule>
  </conditionalFormatting>
  <conditionalFormatting sqref="C18">
    <cfRule type="cellIs" dxfId="13597" priority="17288" stopIfTrue="1" operator="equal">
      <formula>"Napkin Hs"</formula>
    </cfRule>
  </conditionalFormatting>
  <conditionalFormatting sqref="C18">
    <cfRule type="cellIs" dxfId="13596" priority="17287" stopIfTrue="1" operator="equal">
      <formula>"Towel"</formula>
    </cfRule>
  </conditionalFormatting>
  <conditionalFormatting sqref="B18:C18">
    <cfRule type="cellIs" dxfId="13595" priority="17278" stopIfTrue="1" operator="equal">
      <formula>"Napkin Hs"</formula>
    </cfRule>
  </conditionalFormatting>
  <conditionalFormatting sqref="B18:C18">
    <cfRule type="cellIs" dxfId="13594" priority="17277" stopIfTrue="1" operator="equal">
      <formula>"Towel"</formula>
    </cfRule>
  </conditionalFormatting>
  <conditionalFormatting sqref="C18">
    <cfRule type="cellIs" dxfId="13593" priority="17276" stopIfTrue="1" operator="equal">
      <formula>"Napkin Hs"</formula>
    </cfRule>
  </conditionalFormatting>
  <conditionalFormatting sqref="C18">
    <cfRule type="cellIs" dxfId="13592" priority="17273" stopIfTrue="1" operator="equal">
      <formula>"Towel"</formula>
    </cfRule>
    <cfRule type="cellIs" dxfId="13591" priority="17274" stopIfTrue="1" operator="equal">
      <formula>"Napkin Hs"</formula>
    </cfRule>
  </conditionalFormatting>
  <conditionalFormatting sqref="C18">
    <cfRule type="cellIs" dxfId="13590" priority="17275" stopIfTrue="1" operator="equal">
      <formula>"Towel"</formula>
    </cfRule>
  </conditionalFormatting>
  <conditionalFormatting sqref="B27:C27">
    <cfRule type="cellIs" dxfId="13589" priority="17272" stopIfTrue="1" operator="equal">
      <formula>"Napkin Hs"</formula>
    </cfRule>
  </conditionalFormatting>
  <conditionalFormatting sqref="B27:C27">
    <cfRule type="cellIs" dxfId="13588" priority="17271" stopIfTrue="1" operator="equal">
      <formula>"Towel"</formula>
    </cfRule>
  </conditionalFormatting>
  <conditionalFormatting sqref="C27">
    <cfRule type="cellIs" dxfId="13587" priority="17270" stopIfTrue="1" operator="equal">
      <formula>"Napkin Hs"</formula>
    </cfRule>
  </conditionalFormatting>
  <conditionalFormatting sqref="C27">
    <cfRule type="cellIs" dxfId="13586" priority="17267" stopIfTrue="1" operator="equal">
      <formula>"Towel"</formula>
    </cfRule>
    <cfRule type="cellIs" dxfId="13585" priority="17268" stopIfTrue="1" operator="equal">
      <formula>"Napkin Hs"</formula>
    </cfRule>
  </conditionalFormatting>
  <conditionalFormatting sqref="C27">
    <cfRule type="cellIs" dxfId="13584" priority="17269" stopIfTrue="1" operator="equal">
      <formula>"Towel"</formula>
    </cfRule>
  </conditionalFormatting>
  <conditionalFormatting sqref="C25">
    <cfRule type="cellIs" dxfId="13583" priority="17253" stopIfTrue="1" operator="equal">
      <formula>"Towel"</formula>
    </cfRule>
    <cfRule type="cellIs" dxfId="13582" priority="17254" stopIfTrue="1" operator="equal">
      <formula>"Napkin Hs"</formula>
    </cfRule>
  </conditionalFormatting>
  <conditionalFormatting sqref="C25">
    <cfRule type="cellIs" dxfId="13581" priority="17251" stopIfTrue="1" operator="equal">
      <formula>"Towel"</formula>
    </cfRule>
    <cfRule type="cellIs" dxfId="13580" priority="17252" stopIfTrue="1" operator="equal">
      <formula>"Napkin Hs"</formula>
    </cfRule>
  </conditionalFormatting>
  <conditionalFormatting sqref="C25">
    <cfRule type="cellIs" dxfId="13579" priority="17249" stopIfTrue="1" operator="equal">
      <formula>"Towel"</formula>
    </cfRule>
    <cfRule type="cellIs" dxfId="13578" priority="17250" stopIfTrue="1" operator="equal">
      <formula>"Napkin Hs"</formula>
    </cfRule>
  </conditionalFormatting>
  <conditionalFormatting sqref="C25">
    <cfRule type="cellIs" dxfId="13577" priority="17248" stopIfTrue="1" operator="equal">
      <formula>"Napkin Hs"</formula>
    </cfRule>
  </conditionalFormatting>
  <conditionalFormatting sqref="C25">
    <cfRule type="cellIs" dxfId="13576" priority="17247" stopIfTrue="1" operator="equal">
      <formula>"Towel"</formula>
    </cfRule>
  </conditionalFormatting>
  <conditionalFormatting sqref="C25">
    <cfRule type="cellIs" dxfId="13575" priority="17246" stopIfTrue="1" operator="equal">
      <formula>"Napkin Hs"</formula>
    </cfRule>
  </conditionalFormatting>
  <conditionalFormatting sqref="C25">
    <cfRule type="cellIs" dxfId="13574" priority="17245" stopIfTrue="1" operator="equal">
      <formula>"Towel"</formula>
    </cfRule>
  </conditionalFormatting>
  <conditionalFormatting sqref="C25">
    <cfRule type="cellIs" dxfId="13573" priority="17243" stopIfTrue="1" operator="equal">
      <formula>"Towel"</formula>
    </cfRule>
    <cfRule type="cellIs" dxfId="13572" priority="17244" stopIfTrue="1" operator="equal">
      <formula>"Napkin Hs"</formula>
    </cfRule>
  </conditionalFormatting>
  <conditionalFormatting sqref="C25">
    <cfRule type="cellIs" dxfId="13571" priority="17241" stopIfTrue="1" operator="equal">
      <formula>"Towel"</formula>
    </cfRule>
    <cfRule type="cellIs" dxfId="13570" priority="17242" stopIfTrue="1" operator="equal">
      <formula>"Napkin Hs"</formula>
    </cfRule>
  </conditionalFormatting>
  <conditionalFormatting sqref="C25">
    <cfRule type="cellIs" dxfId="13569" priority="17237" stopIfTrue="1" operator="equal">
      <formula>"Towel"</formula>
    </cfRule>
    <cfRule type="cellIs" dxfId="13568" priority="17238" stopIfTrue="1" operator="equal">
      <formula>"Napkin Hs"</formula>
    </cfRule>
  </conditionalFormatting>
  <conditionalFormatting sqref="C25">
    <cfRule type="cellIs" dxfId="13567" priority="17239" stopIfTrue="1" operator="equal">
      <formula>"Towel"</formula>
    </cfRule>
    <cfRule type="cellIs" dxfId="13566" priority="17240" stopIfTrue="1" operator="equal">
      <formula>"Napkin Hs"</formula>
    </cfRule>
  </conditionalFormatting>
  <conditionalFormatting sqref="C25">
    <cfRule type="cellIs" dxfId="13565" priority="17231" stopIfTrue="1" operator="equal">
      <formula>"Towel"</formula>
    </cfRule>
    <cfRule type="cellIs" dxfId="13564" priority="17232" stopIfTrue="1" operator="equal">
      <formula>"Napkin Hs"</formula>
    </cfRule>
  </conditionalFormatting>
  <conditionalFormatting sqref="C25">
    <cfRule type="cellIs" dxfId="13563" priority="17229" stopIfTrue="1" operator="equal">
      <formula>"Towel"</formula>
    </cfRule>
    <cfRule type="cellIs" dxfId="13562" priority="17230" stopIfTrue="1" operator="equal">
      <formula>"Napkin Hs"</formula>
    </cfRule>
  </conditionalFormatting>
  <conditionalFormatting sqref="C25">
    <cfRule type="cellIs" dxfId="13561" priority="17227" stopIfTrue="1" operator="equal">
      <formula>"Towel"</formula>
    </cfRule>
    <cfRule type="cellIs" dxfId="13560" priority="17228" stopIfTrue="1" operator="equal">
      <formula>"Napkin Hs"</formula>
    </cfRule>
  </conditionalFormatting>
  <conditionalFormatting sqref="C25">
    <cfRule type="cellIs" dxfId="13559" priority="17225" stopIfTrue="1" operator="equal">
      <formula>"Towel"</formula>
    </cfRule>
    <cfRule type="cellIs" dxfId="13558" priority="17226" stopIfTrue="1" operator="equal">
      <formula>"Napkin Hs"</formula>
    </cfRule>
  </conditionalFormatting>
  <conditionalFormatting sqref="C25">
    <cfRule type="cellIs" dxfId="13557" priority="17223" stopIfTrue="1" operator="equal">
      <formula>"Towel"</formula>
    </cfRule>
    <cfRule type="cellIs" dxfId="13556" priority="17224" stopIfTrue="1" operator="equal">
      <formula>"Napkin Hs"</formula>
    </cfRule>
  </conditionalFormatting>
  <conditionalFormatting sqref="C25">
    <cfRule type="cellIs" dxfId="13555" priority="17221" stopIfTrue="1" operator="equal">
      <formula>"Towel"</formula>
    </cfRule>
    <cfRule type="cellIs" dxfId="13554" priority="17222" stopIfTrue="1" operator="equal">
      <formula>"Napkin Hs"</formula>
    </cfRule>
  </conditionalFormatting>
  <conditionalFormatting sqref="C25">
    <cfRule type="cellIs" dxfId="13553" priority="17219" stopIfTrue="1" operator="equal">
      <formula>"Towel"</formula>
    </cfRule>
    <cfRule type="cellIs" dxfId="13552" priority="17220" stopIfTrue="1" operator="equal">
      <formula>"Napkin Hs"</formula>
    </cfRule>
  </conditionalFormatting>
  <conditionalFormatting sqref="C25">
    <cfRule type="cellIs" dxfId="13551" priority="17217" stopIfTrue="1" operator="equal">
      <formula>"Towel"</formula>
    </cfRule>
    <cfRule type="cellIs" dxfId="13550" priority="17218" stopIfTrue="1" operator="equal">
      <formula>"Napkin Hs"</formula>
    </cfRule>
  </conditionalFormatting>
  <conditionalFormatting sqref="C25">
    <cfRule type="cellIs" dxfId="13549" priority="17215" stopIfTrue="1" operator="equal">
      <formula>"Towel"</formula>
    </cfRule>
    <cfRule type="cellIs" dxfId="13548" priority="17216" stopIfTrue="1" operator="equal">
      <formula>"Napkin Hs"</formula>
    </cfRule>
  </conditionalFormatting>
  <conditionalFormatting sqref="C25">
    <cfRule type="cellIs" dxfId="13547" priority="17213" stopIfTrue="1" operator="equal">
      <formula>"Towel"</formula>
    </cfRule>
    <cfRule type="cellIs" dxfId="13546" priority="17214" stopIfTrue="1" operator="equal">
      <formula>"Napkin Hs"</formula>
    </cfRule>
  </conditionalFormatting>
  <conditionalFormatting sqref="C25">
    <cfRule type="cellIs" dxfId="13545" priority="17207" stopIfTrue="1" operator="equal">
      <formula>"Towel"</formula>
    </cfRule>
    <cfRule type="cellIs" dxfId="13544" priority="17208" stopIfTrue="1" operator="equal">
      <formula>"Napkin Hs"</formula>
    </cfRule>
  </conditionalFormatting>
  <conditionalFormatting sqref="C25">
    <cfRule type="cellIs" dxfId="13543" priority="17201" stopIfTrue="1" operator="equal">
      <formula>"Towel"</formula>
    </cfRule>
    <cfRule type="cellIs" dxfId="13542" priority="17202" stopIfTrue="1" operator="equal">
      <formula>"Napkin Hs"</formula>
    </cfRule>
  </conditionalFormatting>
  <conditionalFormatting sqref="C25">
    <cfRule type="cellIs" dxfId="13541" priority="17195" stopIfTrue="1" operator="equal">
      <formula>"Towel"</formula>
    </cfRule>
    <cfRule type="cellIs" dxfId="13540" priority="17196" stopIfTrue="1" operator="equal">
      <formula>"Napkin Hs"</formula>
    </cfRule>
  </conditionalFormatting>
  <conditionalFormatting sqref="C25">
    <cfRule type="cellIs" dxfId="13539" priority="17194" stopIfTrue="1" operator="equal">
      <formula>"Napkin Hs"</formula>
    </cfRule>
  </conditionalFormatting>
  <conditionalFormatting sqref="C25">
    <cfRule type="cellIs" dxfId="13538" priority="17193" stopIfTrue="1" operator="equal">
      <formula>"Towel"</formula>
    </cfRule>
  </conditionalFormatting>
  <conditionalFormatting sqref="C25">
    <cfRule type="cellIs" dxfId="13537" priority="17192" stopIfTrue="1" operator="equal">
      <formula>"Napkin Hs"</formula>
    </cfRule>
  </conditionalFormatting>
  <conditionalFormatting sqref="C25">
    <cfRule type="cellIs" dxfId="13536" priority="17191" stopIfTrue="1" operator="equal">
      <formula>"Towel"</formula>
    </cfRule>
  </conditionalFormatting>
  <conditionalFormatting sqref="C25">
    <cfRule type="cellIs" dxfId="13535" priority="17189" stopIfTrue="1" operator="equal">
      <formula>"Towel"</formula>
    </cfRule>
    <cfRule type="cellIs" dxfId="13534" priority="17190" stopIfTrue="1" operator="equal">
      <formula>"Napkin Hs"</formula>
    </cfRule>
  </conditionalFormatting>
  <conditionalFormatting sqref="C25">
    <cfRule type="cellIs" dxfId="13533" priority="17187" stopIfTrue="1" operator="equal">
      <formula>"Towel"</formula>
    </cfRule>
    <cfRule type="cellIs" dxfId="13532" priority="17188" stopIfTrue="1" operator="equal">
      <formula>"Napkin Hs"</formula>
    </cfRule>
  </conditionalFormatting>
  <conditionalFormatting sqref="C25">
    <cfRule type="cellIs" dxfId="13531" priority="17183" stopIfTrue="1" operator="equal">
      <formula>"Towel"</formula>
    </cfRule>
    <cfRule type="cellIs" dxfId="13530" priority="17184" stopIfTrue="1" operator="equal">
      <formula>"Napkin Hs"</formula>
    </cfRule>
  </conditionalFormatting>
  <conditionalFormatting sqref="C25">
    <cfRule type="cellIs" dxfId="13529" priority="17185" stopIfTrue="1" operator="equal">
      <formula>"Towel"</formula>
    </cfRule>
    <cfRule type="cellIs" dxfId="13528" priority="17186" stopIfTrue="1" operator="equal">
      <formula>"Napkin Hs"</formula>
    </cfRule>
  </conditionalFormatting>
  <conditionalFormatting sqref="C25">
    <cfRule type="cellIs" dxfId="13527" priority="17177" stopIfTrue="1" operator="equal">
      <formula>"Towel"</formula>
    </cfRule>
    <cfRule type="cellIs" dxfId="13526" priority="17178" stopIfTrue="1" operator="equal">
      <formula>"Napkin Hs"</formula>
    </cfRule>
  </conditionalFormatting>
  <conditionalFormatting sqref="C25">
    <cfRule type="cellIs" dxfId="13525" priority="17175" stopIfTrue="1" operator="equal">
      <formula>"Towel"</formula>
    </cfRule>
    <cfRule type="cellIs" dxfId="13524" priority="17176" stopIfTrue="1" operator="equal">
      <formula>"Napkin Hs"</formula>
    </cfRule>
  </conditionalFormatting>
  <conditionalFormatting sqref="C25">
    <cfRule type="cellIs" dxfId="13523" priority="17173" stopIfTrue="1" operator="equal">
      <formula>"Towel"</formula>
    </cfRule>
    <cfRule type="cellIs" dxfId="13522" priority="17174" stopIfTrue="1" operator="equal">
      <formula>"Napkin Hs"</formula>
    </cfRule>
  </conditionalFormatting>
  <conditionalFormatting sqref="C25">
    <cfRule type="cellIs" dxfId="13521" priority="17171" stopIfTrue="1" operator="equal">
      <formula>"Towel"</formula>
    </cfRule>
    <cfRule type="cellIs" dxfId="13520" priority="17172" stopIfTrue="1" operator="equal">
      <formula>"Napkin Hs"</formula>
    </cfRule>
  </conditionalFormatting>
  <conditionalFormatting sqref="C25">
    <cfRule type="cellIs" dxfId="13519" priority="17169" stopIfTrue="1" operator="equal">
      <formula>"Towel"</formula>
    </cfRule>
    <cfRule type="cellIs" dxfId="13518" priority="17170" stopIfTrue="1" operator="equal">
      <formula>"Napkin Hs"</formula>
    </cfRule>
  </conditionalFormatting>
  <conditionalFormatting sqref="C25">
    <cfRule type="cellIs" dxfId="13517" priority="17167" stopIfTrue="1" operator="equal">
      <formula>"Towel"</formula>
    </cfRule>
    <cfRule type="cellIs" dxfId="13516" priority="17168" stopIfTrue="1" operator="equal">
      <formula>"Napkin Hs"</formula>
    </cfRule>
  </conditionalFormatting>
  <conditionalFormatting sqref="C25">
    <cfRule type="cellIs" dxfId="13515" priority="17165" stopIfTrue="1" operator="equal">
      <formula>"Towel"</formula>
    </cfRule>
    <cfRule type="cellIs" dxfId="13514" priority="17166" stopIfTrue="1" operator="equal">
      <formula>"Napkin Hs"</formula>
    </cfRule>
  </conditionalFormatting>
  <conditionalFormatting sqref="C25">
    <cfRule type="cellIs" dxfId="13513" priority="17163" stopIfTrue="1" operator="equal">
      <formula>"Towel"</formula>
    </cfRule>
    <cfRule type="cellIs" dxfId="13512" priority="17164" stopIfTrue="1" operator="equal">
      <formula>"Napkin Hs"</formula>
    </cfRule>
  </conditionalFormatting>
  <conditionalFormatting sqref="C25">
    <cfRule type="cellIs" dxfId="13511" priority="17161" stopIfTrue="1" operator="equal">
      <formula>"Towel"</formula>
    </cfRule>
    <cfRule type="cellIs" dxfId="13510" priority="17162" stopIfTrue="1" operator="equal">
      <formula>"Napkin Hs"</formula>
    </cfRule>
  </conditionalFormatting>
  <conditionalFormatting sqref="C25">
    <cfRule type="cellIs" dxfId="13509" priority="17159" stopIfTrue="1" operator="equal">
      <formula>"Towel"</formula>
    </cfRule>
    <cfRule type="cellIs" dxfId="13508" priority="17160" stopIfTrue="1" operator="equal">
      <formula>"Napkin Hs"</formula>
    </cfRule>
  </conditionalFormatting>
  <conditionalFormatting sqref="C25">
    <cfRule type="cellIs" dxfId="13507" priority="17153" stopIfTrue="1" operator="equal">
      <formula>"Towel"</formula>
    </cfRule>
    <cfRule type="cellIs" dxfId="13506" priority="17154" stopIfTrue="1" operator="equal">
      <formula>"Napkin Hs"</formula>
    </cfRule>
  </conditionalFormatting>
  <conditionalFormatting sqref="C25">
    <cfRule type="cellIs" dxfId="13505" priority="17147" stopIfTrue="1" operator="equal">
      <formula>"Towel"</formula>
    </cfRule>
    <cfRule type="cellIs" dxfId="13504" priority="17148" stopIfTrue="1" operator="equal">
      <formula>"Napkin Hs"</formula>
    </cfRule>
  </conditionalFormatting>
  <conditionalFormatting sqref="C25">
    <cfRule type="cellIs" dxfId="13503" priority="17146" stopIfTrue="1" operator="equal">
      <formula>"Napkin Hs"</formula>
    </cfRule>
  </conditionalFormatting>
  <conditionalFormatting sqref="C25">
    <cfRule type="cellIs" dxfId="13502" priority="17145" stopIfTrue="1" operator="equal">
      <formula>"Towel"</formula>
    </cfRule>
  </conditionalFormatting>
  <conditionalFormatting sqref="C25">
    <cfRule type="cellIs" dxfId="13501" priority="17144" stopIfTrue="1" operator="equal">
      <formula>"Napkin Hs"</formula>
    </cfRule>
  </conditionalFormatting>
  <conditionalFormatting sqref="C25">
    <cfRule type="cellIs" dxfId="13500" priority="17141" stopIfTrue="1" operator="equal">
      <formula>"Towel"</formula>
    </cfRule>
    <cfRule type="cellIs" dxfId="13499" priority="17142" stopIfTrue="1" operator="equal">
      <formula>"Napkin Hs"</formula>
    </cfRule>
  </conditionalFormatting>
  <conditionalFormatting sqref="C25">
    <cfRule type="cellIs" dxfId="13498" priority="17143" stopIfTrue="1" operator="equal">
      <formula>"Towel"</formula>
    </cfRule>
  </conditionalFormatting>
  <conditionalFormatting sqref="C25">
    <cfRule type="cellIs" dxfId="13497" priority="17261" stopIfTrue="1" operator="equal">
      <formula>"Towel"</formula>
    </cfRule>
    <cfRule type="cellIs" dxfId="13496" priority="17262" stopIfTrue="1" operator="equal">
      <formula>"Napkin Hs"</formula>
    </cfRule>
  </conditionalFormatting>
  <conditionalFormatting sqref="C25">
    <cfRule type="cellIs" dxfId="13495" priority="17260" stopIfTrue="1" operator="equal">
      <formula>"Napkin Hs"</formula>
    </cfRule>
  </conditionalFormatting>
  <conditionalFormatting sqref="C25">
    <cfRule type="cellIs" dxfId="13494" priority="17259" stopIfTrue="1" operator="equal">
      <formula>"Towel"</formula>
    </cfRule>
  </conditionalFormatting>
  <conditionalFormatting sqref="C25">
    <cfRule type="cellIs" dxfId="13493" priority="17258" stopIfTrue="1" operator="equal">
      <formula>"Napkin Hs"</formula>
    </cfRule>
  </conditionalFormatting>
  <conditionalFormatting sqref="C25">
    <cfRule type="cellIs" dxfId="13492" priority="17255" stopIfTrue="1" operator="equal">
      <formula>"Towel"</formula>
    </cfRule>
    <cfRule type="cellIs" dxfId="13491" priority="17256" stopIfTrue="1" operator="equal">
      <formula>"Napkin Hs"</formula>
    </cfRule>
  </conditionalFormatting>
  <conditionalFormatting sqref="C25">
    <cfRule type="cellIs" dxfId="13490" priority="17257" stopIfTrue="1" operator="equal">
      <formula>"Towel"</formula>
    </cfRule>
  </conditionalFormatting>
  <conditionalFormatting sqref="C25">
    <cfRule type="cellIs" dxfId="13489" priority="17265" stopIfTrue="1" operator="equal">
      <formula>"Towel"</formula>
    </cfRule>
    <cfRule type="cellIs" dxfId="13488" priority="17266" stopIfTrue="1" operator="equal">
      <formula>"Napkin Hs"</formula>
    </cfRule>
  </conditionalFormatting>
  <conditionalFormatting sqref="C25">
    <cfRule type="cellIs" dxfId="13487" priority="17263" stopIfTrue="1" operator="equal">
      <formula>"Towel"</formula>
    </cfRule>
    <cfRule type="cellIs" dxfId="13486" priority="17264" stopIfTrue="1" operator="equal">
      <formula>"Napkin Hs"</formula>
    </cfRule>
  </conditionalFormatting>
  <conditionalFormatting sqref="C25">
    <cfRule type="cellIs" dxfId="13485" priority="17235" stopIfTrue="1" operator="equal">
      <formula>"Towel"</formula>
    </cfRule>
    <cfRule type="cellIs" dxfId="13484" priority="17236" stopIfTrue="1" operator="equal">
      <formula>"Napkin Hs"</formula>
    </cfRule>
  </conditionalFormatting>
  <conditionalFormatting sqref="C25">
    <cfRule type="cellIs" dxfId="13483" priority="17233" stopIfTrue="1" operator="equal">
      <formula>"Towel"</formula>
    </cfRule>
    <cfRule type="cellIs" dxfId="13482" priority="17234" stopIfTrue="1" operator="equal">
      <formula>"Napkin Hs"</formula>
    </cfRule>
  </conditionalFormatting>
  <conditionalFormatting sqref="C25">
    <cfRule type="cellIs" dxfId="13481" priority="17212" stopIfTrue="1" operator="equal">
      <formula>"Napkin Hs"</formula>
    </cfRule>
  </conditionalFormatting>
  <conditionalFormatting sqref="C25">
    <cfRule type="cellIs" dxfId="13480" priority="17211" stopIfTrue="1" operator="equal">
      <formula>"Towel"</formula>
    </cfRule>
  </conditionalFormatting>
  <conditionalFormatting sqref="C25">
    <cfRule type="cellIs" dxfId="13479" priority="17210" stopIfTrue="1" operator="equal">
      <formula>"Napkin Hs"</formula>
    </cfRule>
  </conditionalFormatting>
  <conditionalFormatting sqref="C25">
    <cfRule type="cellIs" dxfId="13478" priority="17209" stopIfTrue="1" operator="equal">
      <formula>"Towel"</formula>
    </cfRule>
  </conditionalFormatting>
  <conditionalFormatting sqref="C25">
    <cfRule type="cellIs" dxfId="13477" priority="17206" stopIfTrue="1" operator="equal">
      <formula>"Napkin Hs"</formula>
    </cfRule>
  </conditionalFormatting>
  <conditionalFormatting sqref="C25">
    <cfRule type="cellIs" dxfId="13476" priority="17205" stopIfTrue="1" operator="equal">
      <formula>"Towel"</formula>
    </cfRule>
  </conditionalFormatting>
  <conditionalFormatting sqref="C25">
    <cfRule type="cellIs" dxfId="13475" priority="17204" stopIfTrue="1" operator="equal">
      <formula>"Napkin Hs"</formula>
    </cfRule>
  </conditionalFormatting>
  <conditionalFormatting sqref="C25">
    <cfRule type="cellIs" dxfId="13474" priority="17203" stopIfTrue="1" operator="equal">
      <formula>"Towel"</formula>
    </cfRule>
  </conditionalFormatting>
  <conditionalFormatting sqref="C25">
    <cfRule type="cellIs" dxfId="13473" priority="17199" stopIfTrue="1" operator="equal">
      <formula>"Towel"</formula>
    </cfRule>
    <cfRule type="cellIs" dxfId="13472" priority="17200" stopIfTrue="1" operator="equal">
      <formula>"Napkin Hs"</formula>
    </cfRule>
  </conditionalFormatting>
  <conditionalFormatting sqref="C25">
    <cfRule type="cellIs" dxfId="13471" priority="17197" stopIfTrue="1" operator="equal">
      <formula>"Towel"</formula>
    </cfRule>
    <cfRule type="cellIs" dxfId="13470" priority="17198" stopIfTrue="1" operator="equal">
      <formula>"Napkin Hs"</formula>
    </cfRule>
  </conditionalFormatting>
  <conditionalFormatting sqref="C25">
    <cfRule type="cellIs" dxfId="13469" priority="17181" stopIfTrue="1" operator="equal">
      <formula>"Towel"</formula>
    </cfRule>
    <cfRule type="cellIs" dxfId="13468" priority="17182" stopIfTrue="1" operator="equal">
      <formula>"Napkin Hs"</formula>
    </cfRule>
  </conditionalFormatting>
  <conditionalFormatting sqref="C25">
    <cfRule type="cellIs" dxfId="13467" priority="17179" stopIfTrue="1" operator="equal">
      <formula>"Towel"</formula>
    </cfRule>
    <cfRule type="cellIs" dxfId="13466" priority="17180" stopIfTrue="1" operator="equal">
      <formula>"Napkin Hs"</formula>
    </cfRule>
  </conditionalFormatting>
  <conditionalFormatting sqref="C25">
    <cfRule type="cellIs" dxfId="13465" priority="17158" stopIfTrue="1" operator="equal">
      <formula>"Napkin Hs"</formula>
    </cfRule>
  </conditionalFormatting>
  <conditionalFormatting sqref="C25">
    <cfRule type="cellIs" dxfId="13464" priority="17157" stopIfTrue="1" operator="equal">
      <formula>"Towel"</formula>
    </cfRule>
  </conditionalFormatting>
  <conditionalFormatting sqref="C25">
    <cfRule type="cellIs" dxfId="13463" priority="17156" stopIfTrue="1" operator="equal">
      <formula>"Napkin Hs"</formula>
    </cfRule>
  </conditionalFormatting>
  <conditionalFormatting sqref="C25">
    <cfRule type="cellIs" dxfId="13462" priority="17155" stopIfTrue="1" operator="equal">
      <formula>"Towel"</formula>
    </cfRule>
  </conditionalFormatting>
  <conditionalFormatting sqref="C25">
    <cfRule type="cellIs" dxfId="13461" priority="17152" stopIfTrue="1" operator="equal">
      <formula>"Napkin Hs"</formula>
    </cfRule>
  </conditionalFormatting>
  <conditionalFormatting sqref="C25">
    <cfRule type="cellIs" dxfId="13460" priority="17151" stopIfTrue="1" operator="equal">
      <formula>"Towel"</formula>
    </cfRule>
  </conditionalFormatting>
  <conditionalFormatting sqref="C25">
    <cfRule type="cellIs" dxfId="13459" priority="17150" stopIfTrue="1" operator="equal">
      <formula>"Napkin Hs"</formula>
    </cfRule>
  </conditionalFormatting>
  <conditionalFormatting sqref="C25">
    <cfRule type="cellIs" dxfId="13458" priority="17149" stopIfTrue="1" operator="equal">
      <formula>"Towel"</formula>
    </cfRule>
  </conditionalFormatting>
  <conditionalFormatting sqref="B25:C25 B26">
    <cfRule type="cellIs" dxfId="13457" priority="17140" stopIfTrue="1" operator="equal">
      <formula>"Napkin Hs"</formula>
    </cfRule>
  </conditionalFormatting>
  <conditionalFormatting sqref="B25:C25 B26">
    <cfRule type="cellIs" dxfId="13456" priority="17139" stopIfTrue="1" operator="equal">
      <formula>"Towel"</formula>
    </cfRule>
  </conditionalFormatting>
  <conditionalFormatting sqref="C25">
    <cfRule type="cellIs" dxfId="13455" priority="17138" stopIfTrue="1" operator="equal">
      <formula>"Napkin Hs"</formula>
    </cfRule>
  </conditionalFormatting>
  <conditionalFormatting sqref="C25">
    <cfRule type="cellIs" dxfId="13454" priority="17135" stopIfTrue="1" operator="equal">
      <formula>"Towel"</formula>
    </cfRule>
    <cfRule type="cellIs" dxfId="13453" priority="17136" stopIfTrue="1" operator="equal">
      <formula>"Napkin Hs"</formula>
    </cfRule>
  </conditionalFormatting>
  <conditionalFormatting sqref="C25">
    <cfRule type="cellIs" dxfId="13452" priority="17137" stopIfTrue="1" operator="equal">
      <formula>"Towel"</formula>
    </cfRule>
  </conditionalFormatting>
  <conditionalFormatting sqref="C26">
    <cfRule type="cellIs" dxfId="13451" priority="17121" stopIfTrue="1" operator="equal">
      <formula>"Towel"</formula>
    </cfRule>
    <cfRule type="cellIs" dxfId="13450" priority="17122" stopIfTrue="1" operator="equal">
      <formula>"Napkin Hs"</formula>
    </cfRule>
  </conditionalFormatting>
  <conditionalFormatting sqref="C26">
    <cfRule type="cellIs" dxfId="13449" priority="17119" stopIfTrue="1" operator="equal">
      <formula>"Towel"</formula>
    </cfRule>
    <cfRule type="cellIs" dxfId="13448" priority="17120" stopIfTrue="1" operator="equal">
      <formula>"Napkin Hs"</formula>
    </cfRule>
  </conditionalFormatting>
  <conditionalFormatting sqref="C26">
    <cfRule type="cellIs" dxfId="13447" priority="17117" stopIfTrue="1" operator="equal">
      <formula>"Towel"</formula>
    </cfRule>
    <cfRule type="cellIs" dxfId="13446" priority="17118" stopIfTrue="1" operator="equal">
      <formula>"Napkin Hs"</formula>
    </cfRule>
  </conditionalFormatting>
  <conditionalFormatting sqref="C26">
    <cfRule type="cellIs" dxfId="13445" priority="17116" stopIfTrue="1" operator="equal">
      <formula>"Napkin Hs"</formula>
    </cfRule>
  </conditionalFormatting>
  <conditionalFormatting sqref="C26">
    <cfRule type="cellIs" dxfId="13444" priority="17115" stopIfTrue="1" operator="equal">
      <formula>"Towel"</formula>
    </cfRule>
  </conditionalFormatting>
  <conditionalFormatting sqref="C26">
    <cfRule type="cellIs" dxfId="13443" priority="17114" stopIfTrue="1" operator="equal">
      <formula>"Napkin Hs"</formula>
    </cfRule>
  </conditionalFormatting>
  <conditionalFormatting sqref="C26">
    <cfRule type="cellIs" dxfId="13442" priority="17113" stopIfTrue="1" operator="equal">
      <formula>"Towel"</formula>
    </cfRule>
  </conditionalFormatting>
  <conditionalFormatting sqref="C26">
    <cfRule type="cellIs" dxfId="13441" priority="17111" stopIfTrue="1" operator="equal">
      <formula>"Towel"</formula>
    </cfRule>
    <cfRule type="cellIs" dxfId="13440" priority="17112" stopIfTrue="1" operator="equal">
      <formula>"Napkin Hs"</formula>
    </cfRule>
  </conditionalFormatting>
  <conditionalFormatting sqref="C26">
    <cfRule type="cellIs" dxfId="13439" priority="17109" stopIfTrue="1" operator="equal">
      <formula>"Towel"</formula>
    </cfRule>
    <cfRule type="cellIs" dxfId="13438" priority="17110" stopIfTrue="1" operator="equal">
      <formula>"Napkin Hs"</formula>
    </cfRule>
  </conditionalFormatting>
  <conditionalFormatting sqref="C26">
    <cfRule type="cellIs" dxfId="13437" priority="17105" stopIfTrue="1" operator="equal">
      <formula>"Towel"</formula>
    </cfRule>
    <cfRule type="cellIs" dxfId="13436" priority="17106" stopIfTrue="1" operator="equal">
      <formula>"Napkin Hs"</formula>
    </cfRule>
  </conditionalFormatting>
  <conditionalFormatting sqref="C26">
    <cfRule type="cellIs" dxfId="13435" priority="17107" stopIfTrue="1" operator="equal">
      <formula>"Towel"</formula>
    </cfRule>
    <cfRule type="cellIs" dxfId="13434" priority="17108" stopIfTrue="1" operator="equal">
      <formula>"Napkin Hs"</formula>
    </cfRule>
  </conditionalFormatting>
  <conditionalFormatting sqref="C26">
    <cfRule type="cellIs" dxfId="13433" priority="17099" stopIfTrue="1" operator="equal">
      <formula>"Towel"</formula>
    </cfRule>
    <cfRule type="cellIs" dxfId="13432" priority="17100" stopIfTrue="1" operator="equal">
      <formula>"Napkin Hs"</formula>
    </cfRule>
  </conditionalFormatting>
  <conditionalFormatting sqref="C26">
    <cfRule type="cellIs" dxfId="13431" priority="17097" stopIfTrue="1" operator="equal">
      <formula>"Towel"</formula>
    </cfRule>
    <cfRule type="cellIs" dxfId="13430" priority="17098" stopIfTrue="1" operator="equal">
      <formula>"Napkin Hs"</formula>
    </cfRule>
  </conditionalFormatting>
  <conditionalFormatting sqref="C26">
    <cfRule type="cellIs" dxfId="13429" priority="17095" stopIfTrue="1" operator="equal">
      <formula>"Towel"</formula>
    </cfRule>
    <cfRule type="cellIs" dxfId="13428" priority="17096" stopIfTrue="1" operator="equal">
      <formula>"Napkin Hs"</formula>
    </cfRule>
  </conditionalFormatting>
  <conditionalFormatting sqref="C26">
    <cfRule type="cellIs" dxfId="13427" priority="17093" stopIfTrue="1" operator="equal">
      <formula>"Towel"</formula>
    </cfRule>
    <cfRule type="cellIs" dxfId="13426" priority="17094" stopIfTrue="1" operator="equal">
      <formula>"Napkin Hs"</formula>
    </cfRule>
  </conditionalFormatting>
  <conditionalFormatting sqref="C26">
    <cfRule type="cellIs" dxfId="13425" priority="17091" stopIfTrue="1" operator="equal">
      <formula>"Towel"</formula>
    </cfRule>
    <cfRule type="cellIs" dxfId="13424" priority="17092" stopIfTrue="1" operator="equal">
      <formula>"Napkin Hs"</formula>
    </cfRule>
  </conditionalFormatting>
  <conditionalFormatting sqref="C26">
    <cfRule type="cellIs" dxfId="13423" priority="17089" stopIfTrue="1" operator="equal">
      <formula>"Towel"</formula>
    </cfRule>
    <cfRule type="cellIs" dxfId="13422" priority="17090" stopIfTrue="1" operator="equal">
      <formula>"Napkin Hs"</formula>
    </cfRule>
  </conditionalFormatting>
  <conditionalFormatting sqref="C26">
    <cfRule type="cellIs" dxfId="13421" priority="17087" stopIfTrue="1" operator="equal">
      <formula>"Towel"</formula>
    </cfRule>
    <cfRule type="cellIs" dxfId="13420" priority="17088" stopIfTrue="1" operator="equal">
      <formula>"Napkin Hs"</formula>
    </cfRule>
  </conditionalFormatting>
  <conditionalFormatting sqref="C26">
    <cfRule type="cellIs" dxfId="13419" priority="17085" stopIfTrue="1" operator="equal">
      <formula>"Towel"</formula>
    </cfRule>
    <cfRule type="cellIs" dxfId="13418" priority="17086" stopIfTrue="1" operator="equal">
      <formula>"Napkin Hs"</formula>
    </cfRule>
  </conditionalFormatting>
  <conditionalFormatting sqref="C26">
    <cfRule type="cellIs" dxfId="13417" priority="17083" stopIfTrue="1" operator="equal">
      <formula>"Towel"</formula>
    </cfRule>
    <cfRule type="cellIs" dxfId="13416" priority="17084" stopIfTrue="1" operator="equal">
      <formula>"Napkin Hs"</formula>
    </cfRule>
  </conditionalFormatting>
  <conditionalFormatting sqref="C26">
    <cfRule type="cellIs" dxfId="13415" priority="17081" stopIfTrue="1" operator="equal">
      <formula>"Towel"</formula>
    </cfRule>
    <cfRule type="cellIs" dxfId="13414" priority="17082" stopIfTrue="1" operator="equal">
      <formula>"Napkin Hs"</formula>
    </cfRule>
  </conditionalFormatting>
  <conditionalFormatting sqref="C26">
    <cfRule type="cellIs" dxfId="13413" priority="17075" stopIfTrue="1" operator="equal">
      <formula>"Towel"</formula>
    </cfRule>
    <cfRule type="cellIs" dxfId="13412" priority="17076" stopIfTrue="1" operator="equal">
      <formula>"Napkin Hs"</formula>
    </cfRule>
  </conditionalFormatting>
  <conditionalFormatting sqref="C26">
    <cfRule type="cellIs" dxfId="13411" priority="17069" stopIfTrue="1" operator="equal">
      <formula>"Towel"</formula>
    </cfRule>
    <cfRule type="cellIs" dxfId="13410" priority="17070" stopIfTrue="1" operator="equal">
      <formula>"Napkin Hs"</formula>
    </cfRule>
  </conditionalFormatting>
  <conditionalFormatting sqref="C26">
    <cfRule type="cellIs" dxfId="13409" priority="17063" stopIfTrue="1" operator="equal">
      <formula>"Towel"</formula>
    </cfRule>
    <cfRule type="cellIs" dxfId="13408" priority="17064" stopIfTrue="1" operator="equal">
      <formula>"Napkin Hs"</formula>
    </cfRule>
  </conditionalFormatting>
  <conditionalFormatting sqref="C26">
    <cfRule type="cellIs" dxfId="13407" priority="17062" stopIfTrue="1" operator="equal">
      <formula>"Napkin Hs"</formula>
    </cfRule>
  </conditionalFormatting>
  <conditionalFormatting sqref="C26">
    <cfRule type="cellIs" dxfId="13406" priority="17061" stopIfTrue="1" operator="equal">
      <formula>"Towel"</formula>
    </cfRule>
  </conditionalFormatting>
  <conditionalFormatting sqref="C26">
    <cfRule type="cellIs" dxfId="13405" priority="17060" stopIfTrue="1" operator="equal">
      <formula>"Napkin Hs"</formula>
    </cfRule>
  </conditionalFormatting>
  <conditionalFormatting sqref="C26">
    <cfRule type="cellIs" dxfId="13404" priority="17059" stopIfTrue="1" operator="equal">
      <formula>"Towel"</formula>
    </cfRule>
  </conditionalFormatting>
  <conditionalFormatting sqref="C26">
    <cfRule type="cellIs" dxfId="13403" priority="17057" stopIfTrue="1" operator="equal">
      <formula>"Towel"</formula>
    </cfRule>
    <cfRule type="cellIs" dxfId="13402" priority="17058" stopIfTrue="1" operator="equal">
      <formula>"Napkin Hs"</formula>
    </cfRule>
  </conditionalFormatting>
  <conditionalFormatting sqref="C26">
    <cfRule type="cellIs" dxfId="13401" priority="17055" stopIfTrue="1" operator="equal">
      <formula>"Towel"</formula>
    </cfRule>
    <cfRule type="cellIs" dxfId="13400" priority="17056" stopIfTrue="1" operator="equal">
      <formula>"Napkin Hs"</formula>
    </cfRule>
  </conditionalFormatting>
  <conditionalFormatting sqref="C26">
    <cfRule type="cellIs" dxfId="13399" priority="17051" stopIfTrue="1" operator="equal">
      <formula>"Towel"</formula>
    </cfRule>
    <cfRule type="cellIs" dxfId="13398" priority="17052" stopIfTrue="1" operator="equal">
      <formula>"Napkin Hs"</formula>
    </cfRule>
  </conditionalFormatting>
  <conditionalFormatting sqref="C26">
    <cfRule type="cellIs" dxfId="13397" priority="17053" stopIfTrue="1" operator="equal">
      <formula>"Towel"</formula>
    </cfRule>
    <cfRule type="cellIs" dxfId="13396" priority="17054" stopIfTrue="1" operator="equal">
      <formula>"Napkin Hs"</formula>
    </cfRule>
  </conditionalFormatting>
  <conditionalFormatting sqref="C26">
    <cfRule type="cellIs" dxfId="13395" priority="17045" stopIfTrue="1" operator="equal">
      <formula>"Towel"</formula>
    </cfRule>
    <cfRule type="cellIs" dxfId="13394" priority="17046" stopIfTrue="1" operator="equal">
      <formula>"Napkin Hs"</formula>
    </cfRule>
  </conditionalFormatting>
  <conditionalFormatting sqref="C26">
    <cfRule type="cellIs" dxfId="13393" priority="17043" stopIfTrue="1" operator="equal">
      <formula>"Towel"</formula>
    </cfRule>
    <cfRule type="cellIs" dxfId="13392" priority="17044" stopIfTrue="1" operator="equal">
      <formula>"Napkin Hs"</formula>
    </cfRule>
  </conditionalFormatting>
  <conditionalFormatting sqref="C26">
    <cfRule type="cellIs" dxfId="13391" priority="17041" stopIfTrue="1" operator="equal">
      <formula>"Towel"</formula>
    </cfRule>
    <cfRule type="cellIs" dxfId="13390" priority="17042" stopIfTrue="1" operator="equal">
      <formula>"Napkin Hs"</formula>
    </cfRule>
  </conditionalFormatting>
  <conditionalFormatting sqref="C26">
    <cfRule type="cellIs" dxfId="13389" priority="17039" stopIfTrue="1" operator="equal">
      <formula>"Towel"</formula>
    </cfRule>
    <cfRule type="cellIs" dxfId="13388" priority="17040" stopIfTrue="1" operator="equal">
      <formula>"Napkin Hs"</formula>
    </cfRule>
  </conditionalFormatting>
  <conditionalFormatting sqref="C26">
    <cfRule type="cellIs" dxfId="13387" priority="17037" stopIfTrue="1" operator="equal">
      <formula>"Towel"</formula>
    </cfRule>
    <cfRule type="cellIs" dxfId="13386" priority="17038" stopIfTrue="1" operator="equal">
      <formula>"Napkin Hs"</formula>
    </cfRule>
  </conditionalFormatting>
  <conditionalFormatting sqref="C26">
    <cfRule type="cellIs" dxfId="13385" priority="17035" stopIfTrue="1" operator="equal">
      <formula>"Towel"</formula>
    </cfRule>
    <cfRule type="cellIs" dxfId="13384" priority="17036" stopIfTrue="1" operator="equal">
      <formula>"Napkin Hs"</formula>
    </cfRule>
  </conditionalFormatting>
  <conditionalFormatting sqref="C26">
    <cfRule type="cellIs" dxfId="13383" priority="17033" stopIfTrue="1" operator="equal">
      <formula>"Towel"</formula>
    </cfRule>
    <cfRule type="cellIs" dxfId="13382" priority="17034" stopIfTrue="1" operator="equal">
      <formula>"Napkin Hs"</formula>
    </cfRule>
  </conditionalFormatting>
  <conditionalFormatting sqref="C26">
    <cfRule type="cellIs" dxfId="13381" priority="17031" stopIfTrue="1" operator="equal">
      <formula>"Towel"</formula>
    </cfRule>
    <cfRule type="cellIs" dxfId="13380" priority="17032" stopIfTrue="1" operator="equal">
      <formula>"Napkin Hs"</formula>
    </cfRule>
  </conditionalFormatting>
  <conditionalFormatting sqref="C26">
    <cfRule type="cellIs" dxfId="13379" priority="17029" stopIfTrue="1" operator="equal">
      <formula>"Towel"</formula>
    </cfRule>
    <cfRule type="cellIs" dxfId="13378" priority="17030" stopIfTrue="1" operator="equal">
      <formula>"Napkin Hs"</formula>
    </cfRule>
  </conditionalFormatting>
  <conditionalFormatting sqref="C26">
    <cfRule type="cellIs" dxfId="13377" priority="17027" stopIfTrue="1" operator="equal">
      <formula>"Towel"</formula>
    </cfRule>
    <cfRule type="cellIs" dxfId="13376" priority="17028" stopIfTrue="1" operator="equal">
      <formula>"Napkin Hs"</formula>
    </cfRule>
  </conditionalFormatting>
  <conditionalFormatting sqref="C26">
    <cfRule type="cellIs" dxfId="13375" priority="17021" stopIfTrue="1" operator="equal">
      <formula>"Towel"</formula>
    </cfRule>
    <cfRule type="cellIs" dxfId="13374" priority="17022" stopIfTrue="1" operator="equal">
      <formula>"Napkin Hs"</formula>
    </cfRule>
  </conditionalFormatting>
  <conditionalFormatting sqref="C26">
    <cfRule type="cellIs" dxfId="13373" priority="17015" stopIfTrue="1" operator="equal">
      <formula>"Towel"</formula>
    </cfRule>
    <cfRule type="cellIs" dxfId="13372" priority="17016" stopIfTrue="1" operator="equal">
      <formula>"Napkin Hs"</formula>
    </cfRule>
  </conditionalFormatting>
  <conditionalFormatting sqref="C26">
    <cfRule type="cellIs" dxfId="13371" priority="17014" stopIfTrue="1" operator="equal">
      <formula>"Napkin Hs"</formula>
    </cfRule>
  </conditionalFormatting>
  <conditionalFormatting sqref="C26">
    <cfRule type="cellIs" dxfId="13370" priority="17013" stopIfTrue="1" operator="equal">
      <formula>"Towel"</formula>
    </cfRule>
  </conditionalFormatting>
  <conditionalFormatting sqref="C26">
    <cfRule type="cellIs" dxfId="13369" priority="17012" stopIfTrue="1" operator="equal">
      <formula>"Napkin Hs"</formula>
    </cfRule>
  </conditionalFormatting>
  <conditionalFormatting sqref="C26">
    <cfRule type="cellIs" dxfId="13368" priority="17009" stopIfTrue="1" operator="equal">
      <formula>"Towel"</formula>
    </cfRule>
    <cfRule type="cellIs" dxfId="13367" priority="17010" stopIfTrue="1" operator="equal">
      <formula>"Napkin Hs"</formula>
    </cfRule>
  </conditionalFormatting>
  <conditionalFormatting sqref="C26">
    <cfRule type="cellIs" dxfId="13366" priority="17011" stopIfTrue="1" operator="equal">
      <formula>"Towel"</formula>
    </cfRule>
  </conditionalFormatting>
  <conditionalFormatting sqref="C26">
    <cfRule type="cellIs" dxfId="13365" priority="17129" stopIfTrue="1" operator="equal">
      <formula>"Towel"</formula>
    </cfRule>
    <cfRule type="cellIs" dxfId="13364" priority="17130" stopIfTrue="1" operator="equal">
      <formula>"Napkin Hs"</formula>
    </cfRule>
  </conditionalFormatting>
  <conditionalFormatting sqref="C26">
    <cfRule type="cellIs" dxfId="13363" priority="17128" stopIfTrue="1" operator="equal">
      <formula>"Napkin Hs"</formula>
    </cfRule>
  </conditionalFormatting>
  <conditionalFormatting sqref="C26">
    <cfRule type="cellIs" dxfId="13362" priority="17127" stopIfTrue="1" operator="equal">
      <formula>"Towel"</formula>
    </cfRule>
  </conditionalFormatting>
  <conditionalFormatting sqref="C26">
    <cfRule type="cellIs" dxfId="13361" priority="17126" stopIfTrue="1" operator="equal">
      <formula>"Napkin Hs"</formula>
    </cfRule>
  </conditionalFormatting>
  <conditionalFormatting sqref="C26">
    <cfRule type="cellIs" dxfId="13360" priority="17123" stopIfTrue="1" operator="equal">
      <formula>"Towel"</formula>
    </cfRule>
    <cfRule type="cellIs" dxfId="13359" priority="17124" stopIfTrue="1" operator="equal">
      <formula>"Napkin Hs"</formula>
    </cfRule>
  </conditionalFormatting>
  <conditionalFormatting sqref="C26">
    <cfRule type="cellIs" dxfId="13358" priority="17125" stopIfTrue="1" operator="equal">
      <formula>"Towel"</formula>
    </cfRule>
  </conditionalFormatting>
  <conditionalFormatting sqref="C26">
    <cfRule type="cellIs" dxfId="13357" priority="17133" stopIfTrue="1" operator="equal">
      <formula>"Towel"</formula>
    </cfRule>
    <cfRule type="cellIs" dxfId="13356" priority="17134" stopIfTrue="1" operator="equal">
      <formula>"Napkin Hs"</formula>
    </cfRule>
  </conditionalFormatting>
  <conditionalFormatting sqref="C26">
    <cfRule type="cellIs" dxfId="13355" priority="17131" stopIfTrue="1" operator="equal">
      <formula>"Towel"</formula>
    </cfRule>
    <cfRule type="cellIs" dxfId="13354" priority="17132" stopIfTrue="1" operator="equal">
      <formula>"Napkin Hs"</formula>
    </cfRule>
  </conditionalFormatting>
  <conditionalFormatting sqref="C26">
    <cfRule type="cellIs" dxfId="13353" priority="17103" stopIfTrue="1" operator="equal">
      <formula>"Towel"</formula>
    </cfRule>
    <cfRule type="cellIs" dxfId="13352" priority="17104" stopIfTrue="1" operator="equal">
      <formula>"Napkin Hs"</formula>
    </cfRule>
  </conditionalFormatting>
  <conditionalFormatting sqref="C26">
    <cfRule type="cellIs" dxfId="13351" priority="17101" stopIfTrue="1" operator="equal">
      <formula>"Towel"</formula>
    </cfRule>
    <cfRule type="cellIs" dxfId="13350" priority="17102" stopIfTrue="1" operator="equal">
      <formula>"Napkin Hs"</formula>
    </cfRule>
  </conditionalFormatting>
  <conditionalFormatting sqref="C26">
    <cfRule type="cellIs" dxfId="13349" priority="17080" stopIfTrue="1" operator="equal">
      <formula>"Napkin Hs"</formula>
    </cfRule>
  </conditionalFormatting>
  <conditionalFormatting sqref="C26">
    <cfRule type="cellIs" dxfId="13348" priority="17079" stopIfTrue="1" operator="equal">
      <formula>"Towel"</formula>
    </cfRule>
  </conditionalFormatting>
  <conditionalFormatting sqref="C26">
    <cfRule type="cellIs" dxfId="13347" priority="17078" stopIfTrue="1" operator="equal">
      <formula>"Napkin Hs"</formula>
    </cfRule>
  </conditionalFormatting>
  <conditionalFormatting sqref="C26">
    <cfRule type="cellIs" dxfId="13346" priority="17077" stopIfTrue="1" operator="equal">
      <formula>"Towel"</formula>
    </cfRule>
  </conditionalFormatting>
  <conditionalFormatting sqref="C26">
    <cfRule type="cellIs" dxfId="13345" priority="17074" stopIfTrue="1" operator="equal">
      <formula>"Napkin Hs"</formula>
    </cfRule>
  </conditionalFormatting>
  <conditionalFormatting sqref="C26">
    <cfRule type="cellIs" dxfId="13344" priority="17073" stopIfTrue="1" operator="equal">
      <formula>"Towel"</formula>
    </cfRule>
  </conditionalFormatting>
  <conditionalFormatting sqref="C26">
    <cfRule type="cellIs" dxfId="13343" priority="17072" stopIfTrue="1" operator="equal">
      <formula>"Napkin Hs"</formula>
    </cfRule>
  </conditionalFormatting>
  <conditionalFormatting sqref="C26">
    <cfRule type="cellIs" dxfId="13342" priority="17071" stopIfTrue="1" operator="equal">
      <formula>"Towel"</formula>
    </cfRule>
  </conditionalFormatting>
  <conditionalFormatting sqref="C26">
    <cfRule type="cellIs" dxfId="13341" priority="17067" stopIfTrue="1" operator="equal">
      <formula>"Towel"</formula>
    </cfRule>
    <cfRule type="cellIs" dxfId="13340" priority="17068" stopIfTrue="1" operator="equal">
      <formula>"Napkin Hs"</formula>
    </cfRule>
  </conditionalFormatting>
  <conditionalFormatting sqref="C26">
    <cfRule type="cellIs" dxfId="13339" priority="17065" stopIfTrue="1" operator="equal">
      <formula>"Towel"</formula>
    </cfRule>
    <cfRule type="cellIs" dxfId="13338" priority="17066" stopIfTrue="1" operator="equal">
      <formula>"Napkin Hs"</formula>
    </cfRule>
  </conditionalFormatting>
  <conditionalFormatting sqref="C26">
    <cfRule type="cellIs" dxfId="13337" priority="17049" stopIfTrue="1" operator="equal">
      <formula>"Towel"</formula>
    </cfRule>
    <cfRule type="cellIs" dxfId="13336" priority="17050" stopIfTrue="1" operator="equal">
      <formula>"Napkin Hs"</formula>
    </cfRule>
  </conditionalFormatting>
  <conditionalFormatting sqref="C26">
    <cfRule type="cellIs" dxfId="13335" priority="17047" stopIfTrue="1" operator="equal">
      <formula>"Towel"</formula>
    </cfRule>
    <cfRule type="cellIs" dxfId="13334" priority="17048" stopIfTrue="1" operator="equal">
      <formula>"Napkin Hs"</formula>
    </cfRule>
  </conditionalFormatting>
  <conditionalFormatting sqref="C26">
    <cfRule type="cellIs" dxfId="13333" priority="17026" stopIfTrue="1" operator="equal">
      <formula>"Napkin Hs"</formula>
    </cfRule>
  </conditionalFormatting>
  <conditionalFormatting sqref="C26">
    <cfRule type="cellIs" dxfId="13332" priority="17025" stopIfTrue="1" operator="equal">
      <formula>"Towel"</formula>
    </cfRule>
  </conditionalFormatting>
  <conditionalFormatting sqref="C26">
    <cfRule type="cellIs" dxfId="13331" priority="17024" stopIfTrue="1" operator="equal">
      <formula>"Napkin Hs"</formula>
    </cfRule>
  </conditionalFormatting>
  <conditionalFormatting sqref="C26">
    <cfRule type="cellIs" dxfId="13330" priority="17023" stopIfTrue="1" operator="equal">
      <formula>"Towel"</formula>
    </cfRule>
  </conditionalFormatting>
  <conditionalFormatting sqref="C26">
    <cfRule type="cellIs" dxfId="13329" priority="17020" stopIfTrue="1" operator="equal">
      <formula>"Napkin Hs"</formula>
    </cfRule>
  </conditionalFormatting>
  <conditionalFormatting sqref="C26">
    <cfRule type="cellIs" dxfId="13328" priority="17019" stopIfTrue="1" operator="equal">
      <formula>"Towel"</formula>
    </cfRule>
  </conditionalFormatting>
  <conditionalFormatting sqref="C26">
    <cfRule type="cellIs" dxfId="13327" priority="17018" stopIfTrue="1" operator="equal">
      <formula>"Napkin Hs"</formula>
    </cfRule>
  </conditionalFormatting>
  <conditionalFormatting sqref="C26">
    <cfRule type="cellIs" dxfId="13326" priority="17017" stopIfTrue="1" operator="equal">
      <formula>"Towel"</formula>
    </cfRule>
  </conditionalFormatting>
  <conditionalFormatting sqref="C26">
    <cfRule type="cellIs" dxfId="13325" priority="17008" stopIfTrue="1" operator="equal">
      <formula>"Napkin Hs"</formula>
    </cfRule>
  </conditionalFormatting>
  <conditionalFormatting sqref="C26">
    <cfRule type="cellIs" dxfId="13324" priority="17007" stopIfTrue="1" operator="equal">
      <formula>"Towel"</formula>
    </cfRule>
  </conditionalFormatting>
  <conditionalFormatting sqref="C26">
    <cfRule type="cellIs" dxfId="13323" priority="17006" stopIfTrue="1" operator="equal">
      <formula>"Napkin Hs"</formula>
    </cfRule>
  </conditionalFormatting>
  <conditionalFormatting sqref="C26">
    <cfRule type="cellIs" dxfId="13322" priority="17003" stopIfTrue="1" operator="equal">
      <formula>"Towel"</formula>
    </cfRule>
    <cfRule type="cellIs" dxfId="13321" priority="17004" stopIfTrue="1" operator="equal">
      <formula>"Napkin Hs"</formula>
    </cfRule>
  </conditionalFormatting>
  <conditionalFormatting sqref="C26">
    <cfRule type="cellIs" dxfId="13320" priority="17005" stopIfTrue="1" operator="equal">
      <formula>"Towel"</formula>
    </cfRule>
  </conditionalFormatting>
  <conditionalFormatting sqref="C24">
    <cfRule type="cellIs" dxfId="13319" priority="16989" stopIfTrue="1" operator="equal">
      <formula>"Towel"</formula>
    </cfRule>
    <cfRule type="cellIs" dxfId="13318" priority="16990" stopIfTrue="1" operator="equal">
      <formula>"Napkin Hs"</formula>
    </cfRule>
  </conditionalFormatting>
  <conditionalFormatting sqref="C24">
    <cfRule type="cellIs" dxfId="13317" priority="16987" stopIfTrue="1" operator="equal">
      <formula>"Towel"</formula>
    </cfRule>
    <cfRule type="cellIs" dxfId="13316" priority="16988" stopIfTrue="1" operator="equal">
      <formula>"Napkin Hs"</formula>
    </cfRule>
  </conditionalFormatting>
  <conditionalFormatting sqref="C24">
    <cfRule type="cellIs" dxfId="13315" priority="16985" stopIfTrue="1" operator="equal">
      <formula>"Towel"</formula>
    </cfRule>
    <cfRule type="cellIs" dxfId="13314" priority="16986" stopIfTrue="1" operator="equal">
      <formula>"Napkin Hs"</formula>
    </cfRule>
  </conditionalFormatting>
  <conditionalFormatting sqref="C24">
    <cfRule type="cellIs" dxfId="13313" priority="16984" stopIfTrue="1" operator="equal">
      <formula>"Napkin Hs"</formula>
    </cfRule>
  </conditionalFormatting>
  <conditionalFormatting sqref="C24">
    <cfRule type="cellIs" dxfId="13312" priority="16983" stopIfTrue="1" operator="equal">
      <formula>"Towel"</formula>
    </cfRule>
  </conditionalFormatting>
  <conditionalFormatting sqref="C24">
    <cfRule type="cellIs" dxfId="13311" priority="16982" stopIfTrue="1" operator="equal">
      <formula>"Napkin Hs"</formula>
    </cfRule>
  </conditionalFormatting>
  <conditionalFormatting sqref="C24">
    <cfRule type="cellIs" dxfId="13310" priority="16981" stopIfTrue="1" operator="equal">
      <formula>"Towel"</formula>
    </cfRule>
  </conditionalFormatting>
  <conditionalFormatting sqref="C24">
    <cfRule type="cellIs" dxfId="13309" priority="16979" stopIfTrue="1" operator="equal">
      <formula>"Towel"</formula>
    </cfRule>
    <cfRule type="cellIs" dxfId="13308" priority="16980" stopIfTrue="1" operator="equal">
      <formula>"Napkin Hs"</formula>
    </cfRule>
  </conditionalFormatting>
  <conditionalFormatting sqref="C24">
    <cfRule type="cellIs" dxfId="13307" priority="16977" stopIfTrue="1" operator="equal">
      <formula>"Towel"</formula>
    </cfRule>
    <cfRule type="cellIs" dxfId="13306" priority="16978" stopIfTrue="1" operator="equal">
      <formula>"Napkin Hs"</formula>
    </cfRule>
  </conditionalFormatting>
  <conditionalFormatting sqref="C24">
    <cfRule type="cellIs" dxfId="13305" priority="16973" stopIfTrue="1" operator="equal">
      <formula>"Towel"</formula>
    </cfRule>
    <cfRule type="cellIs" dxfId="13304" priority="16974" stopIfTrue="1" operator="equal">
      <formula>"Napkin Hs"</formula>
    </cfRule>
  </conditionalFormatting>
  <conditionalFormatting sqref="C24">
    <cfRule type="cellIs" dxfId="13303" priority="16975" stopIfTrue="1" operator="equal">
      <formula>"Towel"</formula>
    </cfRule>
    <cfRule type="cellIs" dxfId="13302" priority="16976" stopIfTrue="1" operator="equal">
      <formula>"Napkin Hs"</formula>
    </cfRule>
  </conditionalFormatting>
  <conditionalFormatting sqref="C24">
    <cfRule type="cellIs" dxfId="13301" priority="16967" stopIfTrue="1" operator="equal">
      <formula>"Towel"</formula>
    </cfRule>
    <cfRule type="cellIs" dxfId="13300" priority="16968" stopIfTrue="1" operator="equal">
      <formula>"Napkin Hs"</formula>
    </cfRule>
  </conditionalFormatting>
  <conditionalFormatting sqref="C24">
    <cfRule type="cellIs" dxfId="13299" priority="16965" stopIfTrue="1" operator="equal">
      <formula>"Towel"</formula>
    </cfRule>
    <cfRule type="cellIs" dxfId="13298" priority="16966" stopIfTrue="1" operator="equal">
      <formula>"Napkin Hs"</formula>
    </cfRule>
  </conditionalFormatting>
  <conditionalFormatting sqref="C24">
    <cfRule type="cellIs" dxfId="13297" priority="16963" stopIfTrue="1" operator="equal">
      <formula>"Towel"</formula>
    </cfRule>
    <cfRule type="cellIs" dxfId="13296" priority="16964" stopIfTrue="1" operator="equal">
      <formula>"Napkin Hs"</formula>
    </cfRule>
  </conditionalFormatting>
  <conditionalFormatting sqref="C24">
    <cfRule type="cellIs" dxfId="13295" priority="16961" stopIfTrue="1" operator="equal">
      <formula>"Towel"</formula>
    </cfRule>
    <cfRule type="cellIs" dxfId="13294" priority="16962" stopIfTrue="1" operator="equal">
      <formula>"Napkin Hs"</formula>
    </cfRule>
  </conditionalFormatting>
  <conditionalFormatting sqref="C24">
    <cfRule type="cellIs" dxfId="13293" priority="16959" stopIfTrue="1" operator="equal">
      <formula>"Towel"</formula>
    </cfRule>
    <cfRule type="cellIs" dxfId="13292" priority="16960" stopIfTrue="1" operator="equal">
      <formula>"Napkin Hs"</formula>
    </cfRule>
  </conditionalFormatting>
  <conditionalFormatting sqref="C24">
    <cfRule type="cellIs" dxfId="13291" priority="16957" stopIfTrue="1" operator="equal">
      <formula>"Towel"</formula>
    </cfRule>
    <cfRule type="cellIs" dxfId="13290" priority="16958" stopIfTrue="1" operator="equal">
      <formula>"Napkin Hs"</formula>
    </cfRule>
  </conditionalFormatting>
  <conditionalFormatting sqref="C24">
    <cfRule type="cellIs" dxfId="13289" priority="16955" stopIfTrue="1" operator="equal">
      <formula>"Towel"</formula>
    </cfRule>
    <cfRule type="cellIs" dxfId="13288" priority="16956" stopIfTrue="1" operator="equal">
      <formula>"Napkin Hs"</formula>
    </cfRule>
  </conditionalFormatting>
  <conditionalFormatting sqref="C24">
    <cfRule type="cellIs" dxfId="13287" priority="16953" stopIfTrue="1" operator="equal">
      <formula>"Towel"</formula>
    </cfRule>
    <cfRule type="cellIs" dxfId="13286" priority="16954" stopIfTrue="1" operator="equal">
      <formula>"Napkin Hs"</formula>
    </cfRule>
  </conditionalFormatting>
  <conditionalFormatting sqref="C24">
    <cfRule type="cellIs" dxfId="13285" priority="16951" stopIfTrue="1" operator="equal">
      <formula>"Towel"</formula>
    </cfRule>
    <cfRule type="cellIs" dxfId="13284" priority="16952" stopIfTrue="1" operator="equal">
      <formula>"Napkin Hs"</formula>
    </cfRule>
  </conditionalFormatting>
  <conditionalFormatting sqref="C24">
    <cfRule type="cellIs" dxfId="13283" priority="16949" stopIfTrue="1" operator="equal">
      <formula>"Towel"</formula>
    </cfRule>
    <cfRule type="cellIs" dxfId="13282" priority="16950" stopIfTrue="1" operator="equal">
      <formula>"Napkin Hs"</formula>
    </cfRule>
  </conditionalFormatting>
  <conditionalFormatting sqref="C24">
    <cfRule type="cellIs" dxfId="13281" priority="16943" stopIfTrue="1" operator="equal">
      <formula>"Towel"</formula>
    </cfRule>
    <cfRule type="cellIs" dxfId="13280" priority="16944" stopIfTrue="1" operator="equal">
      <formula>"Napkin Hs"</formula>
    </cfRule>
  </conditionalFormatting>
  <conditionalFormatting sqref="C24">
    <cfRule type="cellIs" dxfId="13279" priority="16937" stopIfTrue="1" operator="equal">
      <formula>"Towel"</formula>
    </cfRule>
    <cfRule type="cellIs" dxfId="13278" priority="16938" stopIfTrue="1" operator="equal">
      <formula>"Napkin Hs"</formula>
    </cfRule>
  </conditionalFormatting>
  <conditionalFormatting sqref="C24">
    <cfRule type="cellIs" dxfId="13277" priority="16931" stopIfTrue="1" operator="equal">
      <formula>"Towel"</formula>
    </cfRule>
    <cfRule type="cellIs" dxfId="13276" priority="16932" stopIfTrue="1" operator="equal">
      <formula>"Napkin Hs"</formula>
    </cfRule>
  </conditionalFormatting>
  <conditionalFormatting sqref="C24">
    <cfRule type="cellIs" dxfId="13275" priority="16930" stopIfTrue="1" operator="equal">
      <formula>"Napkin Hs"</formula>
    </cfRule>
  </conditionalFormatting>
  <conditionalFormatting sqref="C24">
    <cfRule type="cellIs" dxfId="13274" priority="16929" stopIfTrue="1" operator="equal">
      <formula>"Towel"</formula>
    </cfRule>
  </conditionalFormatting>
  <conditionalFormatting sqref="C24">
    <cfRule type="cellIs" dxfId="13273" priority="16928" stopIfTrue="1" operator="equal">
      <formula>"Napkin Hs"</formula>
    </cfRule>
  </conditionalFormatting>
  <conditionalFormatting sqref="C24">
    <cfRule type="cellIs" dxfId="13272" priority="16927" stopIfTrue="1" operator="equal">
      <formula>"Towel"</formula>
    </cfRule>
  </conditionalFormatting>
  <conditionalFormatting sqref="C24">
    <cfRule type="cellIs" dxfId="13271" priority="16925" stopIfTrue="1" operator="equal">
      <formula>"Towel"</formula>
    </cfRule>
    <cfRule type="cellIs" dxfId="13270" priority="16926" stopIfTrue="1" operator="equal">
      <formula>"Napkin Hs"</formula>
    </cfRule>
  </conditionalFormatting>
  <conditionalFormatting sqref="C24">
    <cfRule type="cellIs" dxfId="13269" priority="16923" stopIfTrue="1" operator="equal">
      <formula>"Towel"</formula>
    </cfRule>
    <cfRule type="cellIs" dxfId="13268" priority="16924" stopIfTrue="1" operator="equal">
      <formula>"Napkin Hs"</formula>
    </cfRule>
  </conditionalFormatting>
  <conditionalFormatting sqref="C24">
    <cfRule type="cellIs" dxfId="13267" priority="16919" stopIfTrue="1" operator="equal">
      <formula>"Towel"</formula>
    </cfRule>
    <cfRule type="cellIs" dxfId="13266" priority="16920" stopIfTrue="1" operator="equal">
      <formula>"Napkin Hs"</formula>
    </cfRule>
  </conditionalFormatting>
  <conditionalFormatting sqref="C24">
    <cfRule type="cellIs" dxfId="13265" priority="16921" stopIfTrue="1" operator="equal">
      <formula>"Towel"</formula>
    </cfRule>
    <cfRule type="cellIs" dxfId="13264" priority="16922" stopIfTrue="1" operator="equal">
      <formula>"Napkin Hs"</formula>
    </cfRule>
  </conditionalFormatting>
  <conditionalFormatting sqref="C24">
    <cfRule type="cellIs" dxfId="13263" priority="16913" stopIfTrue="1" operator="equal">
      <formula>"Towel"</formula>
    </cfRule>
    <cfRule type="cellIs" dxfId="13262" priority="16914" stopIfTrue="1" operator="equal">
      <formula>"Napkin Hs"</formula>
    </cfRule>
  </conditionalFormatting>
  <conditionalFormatting sqref="C24">
    <cfRule type="cellIs" dxfId="13261" priority="16911" stopIfTrue="1" operator="equal">
      <formula>"Towel"</formula>
    </cfRule>
    <cfRule type="cellIs" dxfId="13260" priority="16912" stopIfTrue="1" operator="equal">
      <formula>"Napkin Hs"</formula>
    </cfRule>
  </conditionalFormatting>
  <conditionalFormatting sqref="C24">
    <cfRule type="cellIs" dxfId="13259" priority="16909" stopIfTrue="1" operator="equal">
      <formula>"Towel"</formula>
    </cfRule>
    <cfRule type="cellIs" dxfId="13258" priority="16910" stopIfTrue="1" operator="equal">
      <formula>"Napkin Hs"</formula>
    </cfRule>
  </conditionalFormatting>
  <conditionalFormatting sqref="C24">
    <cfRule type="cellIs" dxfId="13257" priority="16907" stopIfTrue="1" operator="equal">
      <formula>"Towel"</formula>
    </cfRule>
    <cfRule type="cellIs" dxfId="13256" priority="16908" stopIfTrue="1" operator="equal">
      <formula>"Napkin Hs"</formula>
    </cfRule>
  </conditionalFormatting>
  <conditionalFormatting sqref="C24">
    <cfRule type="cellIs" dxfId="13255" priority="16905" stopIfTrue="1" operator="equal">
      <formula>"Towel"</formula>
    </cfRule>
    <cfRule type="cellIs" dxfId="13254" priority="16906" stopIfTrue="1" operator="equal">
      <formula>"Napkin Hs"</formula>
    </cfRule>
  </conditionalFormatting>
  <conditionalFormatting sqref="C24">
    <cfRule type="cellIs" dxfId="13253" priority="16903" stopIfTrue="1" operator="equal">
      <formula>"Towel"</formula>
    </cfRule>
    <cfRule type="cellIs" dxfId="13252" priority="16904" stopIfTrue="1" operator="equal">
      <formula>"Napkin Hs"</formula>
    </cfRule>
  </conditionalFormatting>
  <conditionalFormatting sqref="C24">
    <cfRule type="cellIs" dxfId="13251" priority="16901" stopIfTrue="1" operator="equal">
      <formula>"Towel"</formula>
    </cfRule>
    <cfRule type="cellIs" dxfId="13250" priority="16902" stopIfTrue="1" operator="equal">
      <formula>"Napkin Hs"</formula>
    </cfRule>
  </conditionalFormatting>
  <conditionalFormatting sqref="C24">
    <cfRule type="cellIs" dxfId="13249" priority="16899" stopIfTrue="1" operator="equal">
      <formula>"Towel"</formula>
    </cfRule>
    <cfRule type="cellIs" dxfId="13248" priority="16900" stopIfTrue="1" operator="equal">
      <formula>"Napkin Hs"</formula>
    </cfRule>
  </conditionalFormatting>
  <conditionalFormatting sqref="C24">
    <cfRule type="cellIs" dxfId="13247" priority="16897" stopIfTrue="1" operator="equal">
      <formula>"Towel"</formula>
    </cfRule>
    <cfRule type="cellIs" dxfId="13246" priority="16898" stopIfTrue="1" operator="equal">
      <formula>"Napkin Hs"</formula>
    </cfRule>
  </conditionalFormatting>
  <conditionalFormatting sqref="C24">
    <cfRule type="cellIs" dxfId="13245" priority="16895" stopIfTrue="1" operator="equal">
      <formula>"Towel"</formula>
    </cfRule>
    <cfRule type="cellIs" dxfId="13244" priority="16896" stopIfTrue="1" operator="equal">
      <formula>"Napkin Hs"</formula>
    </cfRule>
  </conditionalFormatting>
  <conditionalFormatting sqref="C24">
    <cfRule type="cellIs" dxfId="13243" priority="16889" stopIfTrue="1" operator="equal">
      <formula>"Towel"</formula>
    </cfRule>
    <cfRule type="cellIs" dxfId="13242" priority="16890" stopIfTrue="1" operator="equal">
      <formula>"Napkin Hs"</formula>
    </cfRule>
  </conditionalFormatting>
  <conditionalFormatting sqref="C24">
    <cfRule type="cellIs" dxfId="13241" priority="16883" stopIfTrue="1" operator="equal">
      <formula>"Towel"</formula>
    </cfRule>
    <cfRule type="cellIs" dxfId="13240" priority="16884" stopIfTrue="1" operator="equal">
      <formula>"Napkin Hs"</formula>
    </cfRule>
  </conditionalFormatting>
  <conditionalFormatting sqref="C24">
    <cfRule type="cellIs" dxfId="13239" priority="16882" stopIfTrue="1" operator="equal">
      <formula>"Napkin Hs"</formula>
    </cfRule>
  </conditionalFormatting>
  <conditionalFormatting sqref="C24">
    <cfRule type="cellIs" dxfId="13238" priority="16881" stopIfTrue="1" operator="equal">
      <formula>"Towel"</formula>
    </cfRule>
  </conditionalFormatting>
  <conditionalFormatting sqref="C24">
    <cfRule type="cellIs" dxfId="13237" priority="16880" stopIfTrue="1" operator="equal">
      <formula>"Napkin Hs"</formula>
    </cfRule>
  </conditionalFormatting>
  <conditionalFormatting sqref="C24">
    <cfRule type="cellIs" dxfId="13236" priority="16877" stopIfTrue="1" operator="equal">
      <formula>"Towel"</formula>
    </cfRule>
    <cfRule type="cellIs" dxfId="13235" priority="16878" stopIfTrue="1" operator="equal">
      <formula>"Napkin Hs"</formula>
    </cfRule>
  </conditionalFormatting>
  <conditionalFormatting sqref="C24">
    <cfRule type="cellIs" dxfId="13234" priority="16879" stopIfTrue="1" operator="equal">
      <formula>"Towel"</formula>
    </cfRule>
  </conditionalFormatting>
  <conditionalFormatting sqref="C24">
    <cfRule type="cellIs" dxfId="13233" priority="16997" stopIfTrue="1" operator="equal">
      <formula>"Towel"</formula>
    </cfRule>
    <cfRule type="cellIs" dxfId="13232" priority="16998" stopIfTrue="1" operator="equal">
      <formula>"Napkin Hs"</formula>
    </cfRule>
  </conditionalFormatting>
  <conditionalFormatting sqref="C24">
    <cfRule type="cellIs" dxfId="13231" priority="16996" stopIfTrue="1" operator="equal">
      <formula>"Napkin Hs"</formula>
    </cfRule>
  </conditionalFormatting>
  <conditionalFormatting sqref="C24">
    <cfRule type="cellIs" dxfId="13230" priority="16995" stopIfTrue="1" operator="equal">
      <formula>"Towel"</formula>
    </cfRule>
  </conditionalFormatting>
  <conditionalFormatting sqref="C24">
    <cfRule type="cellIs" dxfId="13229" priority="16994" stopIfTrue="1" operator="equal">
      <formula>"Napkin Hs"</formula>
    </cfRule>
  </conditionalFormatting>
  <conditionalFormatting sqref="C24">
    <cfRule type="cellIs" dxfId="13228" priority="16991" stopIfTrue="1" operator="equal">
      <formula>"Towel"</formula>
    </cfRule>
    <cfRule type="cellIs" dxfId="13227" priority="16992" stopIfTrue="1" operator="equal">
      <formula>"Napkin Hs"</formula>
    </cfRule>
  </conditionalFormatting>
  <conditionalFormatting sqref="C24">
    <cfRule type="cellIs" dxfId="13226" priority="16993" stopIfTrue="1" operator="equal">
      <formula>"Towel"</formula>
    </cfRule>
  </conditionalFormatting>
  <conditionalFormatting sqref="C24">
    <cfRule type="cellIs" dxfId="13225" priority="17001" stopIfTrue="1" operator="equal">
      <formula>"Towel"</formula>
    </cfRule>
    <cfRule type="cellIs" dxfId="13224" priority="17002" stopIfTrue="1" operator="equal">
      <formula>"Napkin Hs"</formula>
    </cfRule>
  </conditionalFormatting>
  <conditionalFormatting sqref="C24">
    <cfRule type="cellIs" dxfId="13223" priority="16999" stopIfTrue="1" operator="equal">
      <formula>"Towel"</formula>
    </cfRule>
    <cfRule type="cellIs" dxfId="13222" priority="17000" stopIfTrue="1" operator="equal">
      <formula>"Napkin Hs"</formula>
    </cfRule>
  </conditionalFormatting>
  <conditionalFormatting sqref="C24">
    <cfRule type="cellIs" dxfId="13221" priority="16971" stopIfTrue="1" operator="equal">
      <formula>"Towel"</formula>
    </cfRule>
    <cfRule type="cellIs" dxfId="13220" priority="16972" stopIfTrue="1" operator="equal">
      <formula>"Napkin Hs"</formula>
    </cfRule>
  </conditionalFormatting>
  <conditionalFormatting sqref="C24">
    <cfRule type="cellIs" dxfId="13219" priority="16969" stopIfTrue="1" operator="equal">
      <formula>"Towel"</formula>
    </cfRule>
    <cfRule type="cellIs" dxfId="13218" priority="16970" stopIfTrue="1" operator="equal">
      <formula>"Napkin Hs"</formula>
    </cfRule>
  </conditionalFormatting>
  <conditionalFormatting sqref="C24">
    <cfRule type="cellIs" dxfId="13217" priority="16948" stopIfTrue="1" operator="equal">
      <formula>"Napkin Hs"</formula>
    </cfRule>
  </conditionalFormatting>
  <conditionalFormatting sqref="C24">
    <cfRule type="cellIs" dxfId="13216" priority="16947" stopIfTrue="1" operator="equal">
      <formula>"Towel"</formula>
    </cfRule>
  </conditionalFormatting>
  <conditionalFormatting sqref="C24">
    <cfRule type="cellIs" dxfId="13215" priority="16946" stopIfTrue="1" operator="equal">
      <formula>"Napkin Hs"</formula>
    </cfRule>
  </conditionalFormatting>
  <conditionalFormatting sqref="C24">
    <cfRule type="cellIs" dxfId="13214" priority="16945" stopIfTrue="1" operator="equal">
      <formula>"Towel"</formula>
    </cfRule>
  </conditionalFormatting>
  <conditionalFormatting sqref="C24">
    <cfRule type="cellIs" dxfId="13213" priority="16942" stopIfTrue="1" operator="equal">
      <formula>"Napkin Hs"</formula>
    </cfRule>
  </conditionalFormatting>
  <conditionalFormatting sqref="C24">
    <cfRule type="cellIs" dxfId="13212" priority="16941" stopIfTrue="1" operator="equal">
      <formula>"Towel"</formula>
    </cfRule>
  </conditionalFormatting>
  <conditionalFormatting sqref="C24">
    <cfRule type="cellIs" dxfId="13211" priority="16940" stopIfTrue="1" operator="equal">
      <formula>"Napkin Hs"</formula>
    </cfRule>
  </conditionalFormatting>
  <conditionalFormatting sqref="C24">
    <cfRule type="cellIs" dxfId="13210" priority="16939" stopIfTrue="1" operator="equal">
      <formula>"Towel"</formula>
    </cfRule>
  </conditionalFormatting>
  <conditionalFormatting sqref="C24">
    <cfRule type="cellIs" dxfId="13209" priority="16935" stopIfTrue="1" operator="equal">
      <formula>"Towel"</formula>
    </cfRule>
    <cfRule type="cellIs" dxfId="13208" priority="16936" stopIfTrue="1" operator="equal">
      <formula>"Napkin Hs"</formula>
    </cfRule>
  </conditionalFormatting>
  <conditionalFormatting sqref="C24">
    <cfRule type="cellIs" dxfId="13207" priority="16933" stopIfTrue="1" operator="equal">
      <formula>"Towel"</formula>
    </cfRule>
    <cfRule type="cellIs" dxfId="13206" priority="16934" stopIfTrue="1" operator="equal">
      <formula>"Napkin Hs"</formula>
    </cfRule>
  </conditionalFormatting>
  <conditionalFormatting sqref="C24">
    <cfRule type="cellIs" dxfId="13205" priority="16917" stopIfTrue="1" operator="equal">
      <formula>"Towel"</formula>
    </cfRule>
    <cfRule type="cellIs" dxfId="13204" priority="16918" stopIfTrue="1" operator="equal">
      <formula>"Napkin Hs"</formula>
    </cfRule>
  </conditionalFormatting>
  <conditionalFormatting sqref="C24">
    <cfRule type="cellIs" dxfId="13203" priority="16915" stopIfTrue="1" operator="equal">
      <formula>"Towel"</formula>
    </cfRule>
    <cfRule type="cellIs" dxfId="13202" priority="16916" stopIfTrue="1" operator="equal">
      <formula>"Napkin Hs"</formula>
    </cfRule>
  </conditionalFormatting>
  <conditionalFormatting sqref="C24">
    <cfRule type="cellIs" dxfId="13201" priority="16894" stopIfTrue="1" operator="equal">
      <formula>"Napkin Hs"</formula>
    </cfRule>
  </conditionalFormatting>
  <conditionalFormatting sqref="C24">
    <cfRule type="cellIs" dxfId="13200" priority="16893" stopIfTrue="1" operator="equal">
      <formula>"Towel"</formula>
    </cfRule>
  </conditionalFormatting>
  <conditionalFormatting sqref="C24">
    <cfRule type="cellIs" dxfId="13199" priority="16892" stopIfTrue="1" operator="equal">
      <formula>"Napkin Hs"</formula>
    </cfRule>
  </conditionalFormatting>
  <conditionalFormatting sqref="C24">
    <cfRule type="cellIs" dxfId="13198" priority="16891" stopIfTrue="1" operator="equal">
      <formula>"Towel"</formula>
    </cfRule>
  </conditionalFormatting>
  <conditionalFormatting sqref="C24">
    <cfRule type="cellIs" dxfId="13197" priority="16888" stopIfTrue="1" operator="equal">
      <formula>"Napkin Hs"</formula>
    </cfRule>
  </conditionalFormatting>
  <conditionalFormatting sqref="C24">
    <cfRule type="cellIs" dxfId="13196" priority="16887" stopIfTrue="1" operator="equal">
      <formula>"Towel"</formula>
    </cfRule>
  </conditionalFormatting>
  <conditionalFormatting sqref="C24">
    <cfRule type="cellIs" dxfId="13195" priority="16886" stopIfTrue="1" operator="equal">
      <formula>"Napkin Hs"</formula>
    </cfRule>
  </conditionalFormatting>
  <conditionalFormatting sqref="C24">
    <cfRule type="cellIs" dxfId="13194" priority="16885" stopIfTrue="1" operator="equal">
      <formula>"Towel"</formula>
    </cfRule>
  </conditionalFormatting>
  <conditionalFormatting sqref="B24:C24">
    <cfRule type="cellIs" dxfId="13193" priority="16876" stopIfTrue="1" operator="equal">
      <formula>"Napkin Hs"</formula>
    </cfRule>
  </conditionalFormatting>
  <conditionalFormatting sqref="B24:C24">
    <cfRule type="cellIs" dxfId="13192" priority="16875" stopIfTrue="1" operator="equal">
      <formula>"Towel"</formula>
    </cfRule>
  </conditionalFormatting>
  <conditionalFormatting sqref="C24">
    <cfRule type="cellIs" dxfId="13191" priority="16874" stopIfTrue="1" operator="equal">
      <formula>"Napkin Hs"</formula>
    </cfRule>
  </conditionalFormatting>
  <conditionalFormatting sqref="C24">
    <cfRule type="cellIs" dxfId="13190" priority="16871" stopIfTrue="1" operator="equal">
      <formula>"Towel"</formula>
    </cfRule>
    <cfRule type="cellIs" dxfId="13189" priority="16872" stopIfTrue="1" operator="equal">
      <formula>"Napkin Hs"</formula>
    </cfRule>
  </conditionalFormatting>
  <conditionalFormatting sqref="C24">
    <cfRule type="cellIs" dxfId="13188" priority="16873" stopIfTrue="1" operator="equal">
      <formula>"Towel"</formula>
    </cfRule>
  </conditionalFormatting>
  <conditionalFormatting sqref="C30">
    <cfRule type="cellIs" dxfId="13187" priority="16857" stopIfTrue="1" operator="equal">
      <formula>"Towel"</formula>
    </cfRule>
    <cfRule type="cellIs" dxfId="13186" priority="16858" stopIfTrue="1" operator="equal">
      <formula>"Napkin Hs"</formula>
    </cfRule>
  </conditionalFormatting>
  <conditionalFormatting sqref="C30">
    <cfRule type="cellIs" dxfId="13185" priority="16855" stopIfTrue="1" operator="equal">
      <formula>"Towel"</formula>
    </cfRule>
    <cfRule type="cellIs" dxfId="13184" priority="16856" stopIfTrue="1" operator="equal">
      <formula>"Napkin Hs"</formula>
    </cfRule>
  </conditionalFormatting>
  <conditionalFormatting sqref="C30">
    <cfRule type="cellIs" dxfId="13183" priority="16853" stopIfTrue="1" operator="equal">
      <formula>"Towel"</formula>
    </cfRule>
    <cfRule type="cellIs" dxfId="13182" priority="16854" stopIfTrue="1" operator="equal">
      <formula>"Napkin Hs"</formula>
    </cfRule>
  </conditionalFormatting>
  <conditionalFormatting sqref="C30">
    <cfRule type="cellIs" dxfId="13181" priority="16852" stopIfTrue="1" operator="equal">
      <formula>"Napkin Hs"</formula>
    </cfRule>
  </conditionalFormatting>
  <conditionalFormatting sqref="C30">
    <cfRule type="cellIs" dxfId="13180" priority="16851" stopIfTrue="1" operator="equal">
      <formula>"Towel"</formula>
    </cfRule>
  </conditionalFormatting>
  <conditionalFormatting sqref="C30">
    <cfRule type="cellIs" dxfId="13179" priority="16850" stopIfTrue="1" operator="equal">
      <formula>"Napkin Hs"</formula>
    </cfRule>
  </conditionalFormatting>
  <conditionalFormatting sqref="C30">
    <cfRule type="cellIs" dxfId="13178" priority="16849" stopIfTrue="1" operator="equal">
      <formula>"Towel"</formula>
    </cfRule>
  </conditionalFormatting>
  <conditionalFormatting sqref="C30">
    <cfRule type="cellIs" dxfId="13177" priority="16847" stopIfTrue="1" operator="equal">
      <formula>"Towel"</formula>
    </cfRule>
    <cfRule type="cellIs" dxfId="13176" priority="16848" stopIfTrue="1" operator="equal">
      <formula>"Napkin Hs"</formula>
    </cfRule>
  </conditionalFormatting>
  <conditionalFormatting sqref="C30">
    <cfRule type="cellIs" dxfId="13175" priority="16845" stopIfTrue="1" operator="equal">
      <formula>"Towel"</formula>
    </cfRule>
    <cfRule type="cellIs" dxfId="13174" priority="16846" stopIfTrue="1" operator="equal">
      <formula>"Napkin Hs"</formula>
    </cfRule>
  </conditionalFormatting>
  <conditionalFormatting sqref="C30">
    <cfRule type="cellIs" dxfId="13173" priority="16841" stopIfTrue="1" operator="equal">
      <formula>"Towel"</formula>
    </cfRule>
    <cfRule type="cellIs" dxfId="13172" priority="16842" stopIfTrue="1" operator="equal">
      <formula>"Napkin Hs"</formula>
    </cfRule>
  </conditionalFormatting>
  <conditionalFormatting sqref="C30">
    <cfRule type="cellIs" dxfId="13171" priority="16843" stopIfTrue="1" operator="equal">
      <formula>"Towel"</formula>
    </cfRule>
    <cfRule type="cellIs" dxfId="13170" priority="16844" stopIfTrue="1" operator="equal">
      <formula>"Napkin Hs"</formula>
    </cfRule>
  </conditionalFormatting>
  <conditionalFormatting sqref="C30">
    <cfRule type="cellIs" dxfId="13169" priority="16835" stopIfTrue="1" operator="equal">
      <formula>"Towel"</formula>
    </cfRule>
    <cfRule type="cellIs" dxfId="13168" priority="16836" stopIfTrue="1" operator="equal">
      <formula>"Napkin Hs"</formula>
    </cfRule>
  </conditionalFormatting>
  <conditionalFormatting sqref="C30">
    <cfRule type="cellIs" dxfId="13167" priority="16833" stopIfTrue="1" operator="equal">
      <formula>"Towel"</formula>
    </cfRule>
    <cfRule type="cellIs" dxfId="13166" priority="16834" stopIfTrue="1" operator="equal">
      <formula>"Napkin Hs"</formula>
    </cfRule>
  </conditionalFormatting>
  <conditionalFormatting sqref="C30">
    <cfRule type="cellIs" dxfId="13165" priority="16831" stopIfTrue="1" operator="equal">
      <formula>"Towel"</formula>
    </cfRule>
    <cfRule type="cellIs" dxfId="13164" priority="16832" stopIfTrue="1" operator="equal">
      <formula>"Napkin Hs"</formula>
    </cfRule>
  </conditionalFormatting>
  <conditionalFormatting sqref="C30">
    <cfRule type="cellIs" dxfId="13163" priority="16829" stopIfTrue="1" operator="equal">
      <formula>"Towel"</formula>
    </cfRule>
    <cfRule type="cellIs" dxfId="13162" priority="16830" stopIfTrue="1" operator="equal">
      <formula>"Napkin Hs"</formula>
    </cfRule>
  </conditionalFormatting>
  <conditionalFormatting sqref="C30">
    <cfRule type="cellIs" dxfId="13161" priority="16827" stopIfTrue="1" operator="equal">
      <formula>"Towel"</formula>
    </cfRule>
    <cfRule type="cellIs" dxfId="13160" priority="16828" stopIfTrue="1" operator="equal">
      <formula>"Napkin Hs"</formula>
    </cfRule>
  </conditionalFormatting>
  <conditionalFormatting sqref="C30">
    <cfRule type="cellIs" dxfId="13159" priority="16825" stopIfTrue="1" operator="equal">
      <formula>"Towel"</formula>
    </cfRule>
    <cfRule type="cellIs" dxfId="13158" priority="16826" stopIfTrue="1" operator="equal">
      <formula>"Napkin Hs"</formula>
    </cfRule>
  </conditionalFormatting>
  <conditionalFormatting sqref="C30">
    <cfRule type="cellIs" dxfId="13157" priority="16823" stopIfTrue="1" operator="equal">
      <formula>"Towel"</formula>
    </cfRule>
    <cfRule type="cellIs" dxfId="13156" priority="16824" stopIfTrue="1" operator="equal">
      <formula>"Napkin Hs"</formula>
    </cfRule>
  </conditionalFormatting>
  <conditionalFormatting sqref="C30">
    <cfRule type="cellIs" dxfId="13155" priority="16821" stopIfTrue="1" operator="equal">
      <formula>"Towel"</formula>
    </cfRule>
    <cfRule type="cellIs" dxfId="13154" priority="16822" stopIfTrue="1" operator="equal">
      <formula>"Napkin Hs"</formula>
    </cfRule>
  </conditionalFormatting>
  <conditionalFormatting sqref="C30">
    <cfRule type="cellIs" dxfId="13153" priority="16819" stopIfTrue="1" operator="equal">
      <formula>"Towel"</formula>
    </cfRule>
    <cfRule type="cellIs" dxfId="13152" priority="16820" stopIfTrue="1" operator="equal">
      <formula>"Napkin Hs"</formula>
    </cfRule>
  </conditionalFormatting>
  <conditionalFormatting sqref="C30">
    <cfRule type="cellIs" dxfId="13151" priority="16817" stopIfTrue="1" operator="equal">
      <formula>"Towel"</formula>
    </cfRule>
    <cfRule type="cellIs" dxfId="13150" priority="16818" stopIfTrue="1" operator="equal">
      <formula>"Napkin Hs"</formula>
    </cfRule>
  </conditionalFormatting>
  <conditionalFormatting sqref="C30">
    <cfRule type="cellIs" dxfId="13149" priority="16811" stopIfTrue="1" operator="equal">
      <formula>"Towel"</formula>
    </cfRule>
    <cfRule type="cellIs" dxfId="13148" priority="16812" stopIfTrue="1" operator="equal">
      <formula>"Napkin Hs"</formula>
    </cfRule>
  </conditionalFormatting>
  <conditionalFormatting sqref="C30">
    <cfRule type="cellIs" dxfId="13147" priority="16805" stopIfTrue="1" operator="equal">
      <formula>"Towel"</formula>
    </cfRule>
    <cfRule type="cellIs" dxfId="13146" priority="16806" stopIfTrue="1" operator="equal">
      <formula>"Napkin Hs"</formula>
    </cfRule>
  </conditionalFormatting>
  <conditionalFormatting sqref="C30">
    <cfRule type="cellIs" dxfId="13145" priority="16799" stopIfTrue="1" operator="equal">
      <formula>"Towel"</formula>
    </cfRule>
    <cfRule type="cellIs" dxfId="13144" priority="16800" stopIfTrue="1" operator="equal">
      <formula>"Napkin Hs"</formula>
    </cfRule>
  </conditionalFormatting>
  <conditionalFormatting sqref="C30">
    <cfRule type="cellIs" dxfId="13143" priority="16798" stopIfTrue="1" operator="equal">
      <formula>"Napkin Hs"</formula>
    </cfRule>
  </conditionalFormatting>
  <conditionalFormatting sqref="C30">
    <cfRule type="cellIs" dxfId="13142" priority="16797" stopIfTrue="1" operator="equal">
      <formula>"Towel"</formula>
    </cfRule>
  </conditionalFormatting>
  <conditionalFormatting sqref="C30">
    <cfRule type="cellIs" dxfId="13141" priority="16796" stopIfTrue="1" operator="equal">
      <formula>"Napkin Hs"</formula>
    </cfRule>
  </conditionalFormatting>
  <conditionalFormatting sqref="C30">
    <cfRule type="cellIs" dxfId="13140" priority="16795" stopIfTrue="1" operator="equal">
      <formula>"Towel"</formula>
    </cfRule>
  </conditionalFormatting>
  <conditionalFormatting sqref="C30">
    <cfRule type="cellIs" dxfId="13139" priority="16793" stopIfTrue="1" operator="equal">
      <formula>"Towel"</formula>
    </cfRule>
    <cfRule type="cellIs" dxfId="13138" priority="16794" stopIfTrue="1" operator="equal">
      <formula>"Napkin Hs"</formula>
    </cfRule>
  </conditionalFormatting>
  <conditionalFormatting sqref="C30">
    <cfRule type="cellIs" dxfId="13137" priority="16791" stopIfTrue="1" operator="equal">
      <formula>"Towel"</formula>
    </cfRule>
    <cfRule type="cellIs" dxfId="13136" priority="16792" stopIfTrue="1" operator="equal">
      <formula>"Napkin Hs"</formula>
    </cfRule>
  </conditionalFormatting>
  <conditionalFormatting sqref="C30">
    <cfRule type="cellIs" dxfId="13135" priority="16787" stopIfTrue="1" operator="equal">
      <formula>"Towel"</formula>
    </cfRule>
    <cfRule type="cellIs" dxfId="13134" priority="16788" stopIfTrue="1" operator="equal">
      <formula>"Napkin Hs"</formula>
    </cfRule>
  </conditionalFormatting>
  <conditionalFormatting sqref="C30">
    <cfRule type="cellIs" dxfId="13133" priority="16789" stopIfTrue="1" operator="equal">
      <formula>"Towel"</formula>
    </cfRule>
    <cfRule type="cellIs" dxfId="13132" priority="16790" stopIfTrue="1" operator="equal">
      <formula>"Napkin Hs"</formula>
    </cfRule>
  </conditionalFormatting>
  <conditionalFormatting sqref="C30">
    <cfRule type="cellIs" dxfId="13131" priority="16781" stopIfTrue="1" operator="equal">
      <formula>"Towel"</formula>
    </cfRule>
    <cfRule type="cellIs" dxfId="13130" priority="16782" stopIfTrue="1" operator="equal">
      <formula>"Napkin Hs"</formula>
    </cfRule>
  </conditionalFormatting>
  <conditionalFormatting sqref="C30">
    <cfRule type="cellIs" dxfId="13129" priority="16779" stopIfTrue="1" operator="equal">
      <formula>"Towel"</formula>
    </cfRule>
    <cfRule type="cellIs" dxfId="13128" priority="16780" stopIfTrue="1" operator="equal">
      <formula>"Napkin Hs"</formula>
    </cfRule>
  </conditionalFormatting>
  <conditionalFormatting sqref="C30">
    <cfRule type="cellIs" dxfId="13127" priority="16777" stopIfTrue="1" operator="equal">
      <formula>"Towel"</formula>
    </cfRule>
    <cfRule type="cellIs" dxfId="13126" priority="16778" stopIfTrue="1" operator="equal">
      <formula>"Napkin Hs"</formula>
    </cfRule>
  </conditionalFormatting>
  <conditionalFormatting sqref="C30">
    <cfRule type="cellIs" dxfId="13125" priority="16775" stopIfTrue="1" operator="equal">
      <formula>"Towel"</formula>
    </cfRule>
    <cfRule type="cellIs" dxfId="13124" priority="16776" stopIfTrue="1" operator="equal">
      <formula>"Napkin Hs"</formula>
    </cfRule>
  </conditionalFormatting>
  <conditionalFormatting sqref="C30">
    <cfRule type="cellIs" dxfId="13123" priority="16773" stopIfTrue="1" operator="equal">
      <formula>"Towel"</formula>
    </cfRule>
    <cfRule type="cellIs" dxfId="13122" priority="16774" stopIfTrue="1" operator="equal">
      <formula>"Napkin Hs"</formula>
    </cfRule>
  </conditionalFormatting>
  <conditionalFormatting sqref="C30">
    <cfRule type="cellIs" dxfId="13121" priority="16771" stopIfTrue="1" operator="equal">
      <formula>"Towel"</formula>
    </cfRule>
    <cfRule type="cellIs" dxfId="13120" priority="16772" stopIfTrue="1" operator="equal">
      <formula>"Napkin Hs"</formula>
    </cfRule>
  </conditionalFormatting>
  <conditionalFormatting sqref="C30">
    <cfRule type="cellIs" dxfId="13119" priority="16769" stopIfTrue="1" operator="equal">
      <formula>"Towel"</formula>
    </cfRule>
    <cfRule type="cellIs" dxfId="13118" priority="16770" stopIfTrue="1" operator="equal">
      <formula>"Napkin Hs"</formula>
    </cfRule>
  </conditionalFormatting>
  <conditionalFormatting sqref="C30">
    <cfRule type="cellIs" dxfId="13117" priority="16767" stopIfTrue="1" operator="equal">
      <formula>"Towel"</formula>
    </cfRule>
    <cfRule type="cellIs" dxfId="13116" priority="16768" stopIfTrue="1" operator="equal">
      <formula>"Napkin Hs"</formula>
    </cfRule>
  </conditionalFormatting>
  <conditionalFormatting sqref="C30">
    <cfRule type="cellIs" dxfId="13115" priority="16765" stopIfTrue="1" operator="equal">
      <formula>"Towel"</formula>
    </cfRule>
    <cfRule type="cellIs" dxfId="13114" priority="16766" stopIfTrue="1" operator="equal">
      <formula>"Napkin Hs"</formula>
    </cfRule>
  </conditionalFormatting>
  <conditionalFormatting sqref="C30">
    <cfRule type="cellIs" dxfId="13113" priority="16763" stopIfTrue="1" operator="equal">
      <formula>"Towel"</formula>
    </cfRule>
    <cfRule type="cellIs" dxfId="13112" priority="16764" stopIfTrue="1" operator="equal">
      <formula>"Napkin Hs"</formula>
    </cfRule>
  </conditionalFormatting>
  <conditionalFormatting sqref="C30">
    <cfRule type="cellIs" dxfId="13111" priority="16757" stopIfTrue="1" operator="equal">
      <formula>"Towel"</formula>
    </cfRule>
    <cfRule type="cellIs" dxfId="13110" priority="16758" stopIfTrue="1" operator="equal">
      <formula>"Napkin Hs"</formula>
    </cfRule>
  </conditionalFormatting>
  <conditionalFormatting sqref="C30">
    <cfRule type="cellIs" dxfId="13109" priority="16751" stopIfTrue="1" operator="equal">
      <formula>"Towel"</formula>
    </cfRule>
    <cfRule type="cellIs" dxfId="13108" priority="16752" stopIfTrue="1" operator="equal">
      <formula>"Napkin Hs"</formula>
    </cfRule>
  </conditionalFormatting>
  <conditionalFormatting sqref="C30">
    <cfRule type="cellIs" dxfId="13107" priority="16750" stopIfTrue="1" operator="equal">
      <formula>"Napkin Hs"</formula>
    </cfRule>
  </conditionalFormatting>
  <conditionalFormatting sqref="C30">
    <cfRule type="cellIs" dxfId="13106" priority="16749" stopIfTrue="1" operator="equal">
      <formula>"Towel"</formula>
    </cfRule>
  </conditionalFormatting>
  <conditionalFormatting sqref="C30">
    <cfRule type="cellIs" dxfId="13105" priority="16748" stopIfTrue="1" operator="equal">
      <formula>"Napkin Hs"</formula>
    </cfRule>
  </conditionalFormatting>
  <conditionalFormatting sqref="C30">
    <cfRule type="cellIs" dxfId="13104" priority="16745" stopIfTrue="1" operator="equal">
      <formula>"Towel"</formula>
    </cfRule>
    <cfRule type="cellIs" dxfId="13103" priority="16746" stopIfTrue="1" operator="equal">
      <formula>"Napkin Hs"</formula>
    </cfRule>
  </conditionalFormatting>
  <conditionalFormatting sqref="C30">
    <cfRule type="cellIs" dxfId="13102" priority="16747" stopIfTrue="1" operator="equal">
      <formula>"Towel"</formula>
    </cfRule>
  </conditionalFormatting>
  <conditionalFormatting sqref="C30">
    <cfRule type="cellIs" dxfId="13101" priority="16865" stopIfTrue="1" operator="equal">
      <formula>"Towel"</formula>
    </cfRule>
    <cfRule type="cellIs" dxfId="13100" priority="16866" stopIfTrue="1" operator="equal">
      <formula>"Napkin Hs"</formula>
    </cfRule>
  </conditionalFormatting>
  <conditionalFormatting sqref="C30">
    <cfRule type="cellIs" dxfId="13099" priority="16864" stopIfTrue="1" operator="equal">
      <formula>"Napkin Hs"</formula>
    </cfRule>
  </conditionalFormatting>
  <conditionalFormatting sqref="C30">
    <cfRule type="cellIs" dxfId="13098" priority="16863" stopIfTrue="1" operator="equal">
      <formula>"Towel"</formula>
    </cfRule>
  </conditionalFormatting>
  <conditionalFormatting sqref="C30">
    <cfRule type="cellIs" dxfId="13097" priority="16862" stopIfTrue="1" operator="equal">
      <formula>"Napkin Hs"</formula>
    </cfRule>
  </conditionalFormatting>
  <conditionalFormatting sqref="C30">
    <cfRule type="cellIs" dxfId="13096" priority="16859" stopIfTrue="1" operator="equal">
      <formula>"Towel"</formula>
    </cfRule>
    <cfRule type="cellIs" dxfId="13095" priority="16860" stopIfTrue="1" operator="equal">
      <formula>"Napkin Hs"</formula>
    </cfRule>
  </conditionalFormatting>
  <conditionalFormatting sqref="C30">
    <cfRule type="cellIs" dxfId="13094" priority="16861" stopIfTrue="1" operator="equal">
      <formula>"Towel"</formula>
    </cfRule>
  </conditionalFormatting>
  <conditionalFormatting sqref="C30">
    <cfRule type="cellIs" dxfId="13093" priority="16869" stopIfTrue="1" operator="equal">
      <formula>"Towel"</formula>
    </cfRule>
    <cfRule type="cellIs" dxfId="13092" priority="16870" stopIfTrue="1" operator="equal">
      <formula>"Napkin Hs"</formula>
    </cfRule>
  </conditionalFormatting>
  <conditionalFormatting sqref="C30">
    <cfRule type="cellIs" dxfId="13091" priority="16867" stopIfTrue="1" operator="equal">
      <formula>"Towel"</formula>
    </cfRule>
    <cfRule type="cellIs" dxfId="13090" priority="16868" stopIfTrue="1" operator="equal">
      <formula>"Napkin Hs"</formula>
    </cfRule>
  </conditionalFormatting>
  <conditionalFormatting sqref="C30">
    <cfRule type="cellIs" dxfId="13089" priority="16839" stopIfTrue="1" operator="equal">
      <formula>"Towel"</formula>
    </cfRule>
    <cfRule type="cellIs" dxfId="13088" priority="16840" stopIfTrue="1" operator="equal">
      <formula>"Napkin Hs"</formula>
    </cfRule>
  </conditionalFormatting>
  <conditionalFormatting sqref="C30">
    <cfRule type="cellIs" dxfId="13087" priority="16837" stopIfTrue="1" operator="equal">
      <formula>"Towel"</formula>
    </cfRule>
    <cfRule type="cellIs" dxfId="13086" priority="16838" stopIfTrue="1" operator="equal">
      <formula>"Napkin Hs"</formula>
    </cfRule>
  </conditionalFormatting>
  <conditionalFormatting sqref="C30">
    <cfRule type="cellIs" dxfId="13085" priority="16816" stopIfTrue="1" operator="equal">
      <formula>"Napkin Hs"</formula>
    </cfRule>
  </conditionalFormatting>
  <conditionalFormatting sqref="C30">
    <cfRule type="cellIs" dxfId="13084" priority="16815" stopIfTrue="1" operator="equal">
      <formula>"Towel"</formula>
    </cfRule>
  </conditionalFormatting>
  <conditionalFormatting sqref="C30">
    <cfRule type="cellIs" dxfId="13083" priority="16814" stopIfTrue="1" operator="equal">
      <formula>"Napkin Hs"</formula>
    </cfRule>
  </conditionalFormatting>
  <conditionalFormatting sqref="C30">
    <cfRule type="cellIs" dxfId="13082" priority="16813" stopIfTrue="1" operator="equal">
      <formula>"Towel"</formula>
    </cfRule>
  </conditionalFormatting>
  <conditionalFormatting sqref="C30">
    <cfRule type="cellIs" dxfId="13081" priority="16810" stopIfTrue="1" operator="equal">
      <formula>"Napkin Hs"</formula>
    </cfRule>
  </conditionalFormatting>
  <conditionalFormatting sqref="C30">
    <cfRule type="cellIs" dxfId="13080" priority="16809" stopIfTrue="1" operator="equal">
      <formula>"Towel"</formula>
    </cfRule>
  </conditionalFormatting>
  <conditionalFormatting sqref="C30">
    <cfRule type="cellIs" dxfId="13079" priority="16808" stopIfTrue="1" operator="equal">
      <formula>"Napkin Hs"</formula>
    </cfRule>
  </conditionalFormatting>
  <conditionalFormatting sqref="C30">
    <cfRule type="cellIs" dxfId="13078" priority="16807" stopIfTrue="1" operator="equal">
      <formula>"Towel"</formula>
    </cfRule>
  </conditionalFormatting>
  <conditionalFormatting sqref="C30">
    <cfRule type="cellIs" dxfId="13077" priority="16803" stopIfTrue="1" operator="equal">
      <formula>"Towel"</formula>
    </cfRule>
    <cfRule type="cellIs" dxfId="13076" priority="16804" stopIfTrue="1" operator="equal">
      <formula>"Napkin Hs"</formula>
    </cfRule>
  </conditionalFormatting>
  <conditionalFormatting sqref="C30">
    <cfRule type="cellIs" dxfId="13075" priority="16801" stopIfTrue="1" operator="equal">
      <formula>"Towel"</formula>
    </cfRule>
    <cfRule type="cellIs" dxfId="13074" priority="16802" stopIfTrue="1" operator="equal">
      <formula>"Napkin Hs"</formula>
    </cfRule>
  </conditionalFormatting>
  <conditionalFormatting sqref="C30">
    <cfRule type="cellIs" dxfId="13073" priority="16785" stopIfTrue="1" operator="equal">
      <formula>"Towel"</formula>
    </cfRule>
    <cfRule type="cellIs" dxfId="13072" priority="16786" stopIfTrue="1" operator="equal">
      <formula>"Napkin Hs"</formula>
    </cfRule>
  </conditionalFormatting>
  <conditionalFormatting sqref="C30">
    <cfRule type="cellIs" dxfId="13071" priority="16783" stopIfTrue="1" operator="equal">
      <formula>"Towel"</formula>
    </cfRule>
    <cfRule type="cellIs" dxfId="13070" priority="16784" stopIfTrue="1" operator="equal">
      <formula>"Napkin Hs"</formula>
    </cfRule>
  </conditionalFormatting>
  <conditionalFormatting sqref="C30">
    <cfRule type="cellIs" dxfId="13069" priority="16762" stopIfTrue="1" operator="equal">
      <formula>"Napkin Hs"</formula>
    </cfRule>
  </conditionalFormatting>
  <conditionalFormatting sqref="C30">
    <cfRule type="cellIs" dxfId="13068" priority="16761" stopIfTrue="1" operator="equal">
      <formula>"Towel"</formula>
    </cfRule>
  </conditionalFormatting>
  <conditionalFormatting sqref="C30">
    <cfRule type="cellIs" dxfId="13067" priority="16760" stopIfTrue="1" operator="equal">
      <formula>"Napkin Hs"</formula>
    </cfRule>
  </conditionalFormatting>
  <conditionalFormatting sqref="C30">
    <cfRule type="cellIs" dxfId="13066" priority="16759" stopIfTrue="1" operator="equal">
      <formula>"Towel"</formula>
    </cfRule>
  </conditionalFormatting>
  <conditionalFormatting sqref="C30">
    <cfRule type="cellIs" dxfId="13065" priority="16756" stopIfTrue="1" operator="equal">
      <formula>"Napkin Hs"</formula>
    </cfRule>
  </conditionalFormatting>
  <conditionalFormatting sqref="C30">
    <cfRule type="cellIs" dxfId="13064" priority="16755" stopIfTrue="1" operator="equal">
      <formula>"Towel"</formula>
    </cfRule>
  </conditionalFormatting>
  <conditionalFormatting sqref="C30">
    <cfRule type="cellIs" dxfId="13063" priority="16754" stopIfTrue="1" operator="equal">
      <formula>"Napkin Hs"</formula>
    </cfRule>
  </conditionalFormatting>
  <conditionalFormatting sqref="C30">
    <cfRule type="cellIs" dxfId="13062" priority="16753" stopIfTrue="1" operator="equal">
      <formula>"Towel"</formula>
    </cfRule>
  </conditionalFormatting>
  <conditionalFormatting sqref="B30:C30 B31">
    <cfRule type="cellIs" dxfId="13061" priority="16744" stopIfTrue="1" operator="equal">
      <formula>"Napkin Hs"</formula>
    </cfRule>
  </conditionalFormatting>
  <conditionalFormatting sqref="B30:C30 B31">
    <cfRule type="cellIs" dxfId="13060" priority="16743" stopIfTrue="1" operator="equal">
      <formula>"Towel"</formula>
    </cfRule>
  </conditionalFormatting>
  <conditionalFormatting sqref="C30">
    <cfRule type="cellIs" dxfId="13059" priority="16742" stopIfTrue="1" operator="equal">
      <formula>"Napkin Hs"</formula>
    </cfRule>
  </conditionalFormatting>
  <conditionalFormatting sqref="C30">
    <cfRule type="cellIs" dxfId="13058" priority="16739" stopIfTrue="1" operator="equal">
      <formula>"Towel"</formula>
    </cfRule>
    <cfRule type="cellIs" dxfId="13057" priority="16740" stopIfTrue="1" operator="equal">
      <formula>"Napkin Hs"</formula>
    </cfRule>
  </conditionalFormatting>
  <conditionalFormatting sqref="C30">
    <cfRule type="cellIs" dxfId="13056" priority="16741" stopIfTrue="1" operator="equal">
      <formula>"Towel"</formula>
    </cfRule>
  </conditionalFormatting>
  <conditionalFormatting sqref="C31">
    <cfRule type="cellIs" dxfId="13055" priority="16725" stopIfTrue="1" operator="equal">
      <formula>"Towel"</formula>
    </cfRule>
    <cfRule type="cellIs" dxfId="13054" priority="16726" stopIfTrue="1" operator="equal">
      <formula>"Napkin Hs"</formula>
    </cfRule>
  </conditionalFormatting>
  <conditionalFormatting sqref="C31">
    <cfRule type="cellIs" dxfId="13053" priority="16723" stopIfTrue="1" operator="equal">
      <formula>"Towel"</formula>
    </cfRule>
    <cfRule type="cellIs" dxfId="13052" priority="16724" stopIfTrue="1" operator="equal">
      <formula>"Napkin Hs"</formula>
    </cfRule>
  </conditionalFormatting>
  <conditionalFormatting sqref="C31">
    <cfRule type="cellIs" dxfId="13051" priority="16721" stopIfTrue="1" operator="equal">
      <formula>"Towel"</formula>
    </cfRule>
    <cfRule type="cellIs" dxfId="13050" priority="16722" stopIfTrue="1" operator="equal">
      <formula>"Napkin Hs"</formula>
    </cfRule>
  </conditionalFormatting>
  <conditionalFormatting sqref="C31">
    <cfRule type="cellIs" dxfId="13049" priority="16720" stopIfTrue="1" operator="equal">
      <formula>"Napkin Hs"</formula>
    </cfRule>
  </conditionalFormatting>
  <conditionalFormatting sqref="C31">
    <cfRule type="cellIs" dxfId="13048" priority="16719" stopIfTrue="1" operator="equal">
      <formula>"Towel"</formula>
    </cfRule>
  </conditionalFormatting>
  <conditionalFormatting sqref="C31">
    <cfRule type="cellIs" dxfId="13047" priority="16718" stopIfTrue="1" operator="equal">
      <formula>"Napkin Hs"</formula>
    </cfRule>
  </conditionalFormatting>
  <conditionalFormatting sqref="C31">
    <cfRule type="cellIs" dxfId="13046" priority="16717" stopIfTrue="1" operator="equal">
      <formula>"Towel"</formula>
    </cfRule>
  </conditionalFormatting>
  <conditionalFormatting sqref="C31">
    <cfRule type="cellIs" dxfId="13045" priority="16715" stopIfTrue="1" operator="equal">
      <formula>"Towel"</formula>
    </cfRule>
    <cfRule type="cellIs" dxfId="13044" priority="16716" stopIfTrue="1" operator="equal">
      <formula>"Napkin Hs"</formula>
    </cfRule>
  </conditionalFormatting>
  <conditionalFormatting sqref="C31">
    <cfRule type="cellIs" dxfId="13043" priority="16713" stopIfTrue="1" operator="equal">
      <formula>"Towel"</formula>
    </cfRule>
    <cfRule type="cellIs" dxfId="13042" priority="16714" stopIfTrue="1" operator="equal">
      <formula>"Napkin Hs"</formula>
    </cfRule>
  </conditionalFormatting>
  <conditionalFormatting sqref="C31">
    <cfRule type="cellIs" dxfId="13041" priority="16709" stopIfTrue="1" operator="equal">
      <formula>"Towel"</formula>
    </cfRule>
    <cfRule type="cellIs" dxfId="13040" priority="16710" stopIfTrue="1" operator="equal">
      <formula>"Napkin Hs"</formula>
    </cfRule>
  </conditionalFormatting>
  <conditionalFormatting sqref="C31">
    <cfRule type="cellIs" dxfId="13039" priority="16711" stopIfTrue="1" operator="equal">
      <formula>"Towel"</formula>
    </cfRule>
    <cfRule type="cellIs" dxfId="13038" priority="16712" stopIfTrue="1" operator="equal">
      <formula>"Napkin Hs"</formula>
    </cfRule>
  </conditionalFormatting>
  <conditionalFormatting sqref="C31">
    <cfRule type="cellIs" dxfId="13037" priority="16703" stopIfTrue="1" operator="equal">
      <formula>"Towel"</formula>
    </cfRule>
    <cfRule type="cellIs" dxfId="13036" priority="16704" stopIfTrue="1" operator="equal">
      <formula>"Napkin Hs"</formula>
    </cfRule>
  </conditionalFormatting>
  <conditionalFormatting sqref="C31">
    <cfRule type="cellIs" dxfId="13035" priority="16701" stopIfTrue="1" operator="equal">
      <formula>"Towel"</formula>
    </cfRule>
    <cfRule type="cellIs" dxfId="13034" priority="16702" stopIfTrue="1" operator="equal">
      <formula>"Napkin Hs"</formula>
    </cfRule>
  </conditionalFormatting>
  <conditionalFormatting sqref="C31">
    <cfRule type="cellIs" dxfId="13033" priority="16699" stopIfTrue="1" operator="equal">
      <formula>"Towel"</formula>
    </cfRule>
    <cfRule type="cellIs" dxfId="13032" priority="16700" stopIfTrue="1" operator="equal">
      <formula>"Napkin Hs"</formula>
    </cfRule>
  </conditionalFormatting>
  <conditionalFormatting sqref="C31">
    <cfRule type="cellIs" dxfId="13031" priority="16697" stopIfTrue="1" operator="equal">
      <formula>"Towel"</formula>
    </cfRule>
    <cfRule type="cellIs" dxfId="13030" priority="16698" stopIfTrue="1" operator="equal">
      <formula>"Napkin Hs"</formula>
    </cfRule>
  </conditionalFormatting>
  <conditionalFormatting sqref="C31">
    <cfRule type="cellIs" dxfId="13029" priority="16695" stopIfTrue="1" operator="equal">
      <formula>"Towel"</formula>
    </cfRule>
    <cfRule type="cellIs" dxfId="13028" priority="16696" stopIfTrue="1" operator="equal">
      <formula>"Napkin Hs"</formula>
    </cfRule>
  </conditionalFormatting>
  <conditionalFormatting sqref="C31">
    <cfRule type="cellIs" dxfId="13027" priority="16693" stopIfTrue="1" operator="equal">
      <formula>"Towel"</formula>
    </cfRule>
    <cfRule type="cellIs" dxfId="13026" priority="16694" stopIfTrue="1" operator="equal">
      <formula>"Napkin Hs"</formula>
    </cfRule>
  </conditionalFormatting>
  <conditionalFormatting sqref="C31">
    <cfRule type="cellIs" dxfId="13025" priority="16691" stopIfTrue="1" operator="equal">
      <formula>"Towel"</formula>
    </cfRule>
    <cfRule type="cellIs" dxfId="13024" priority="16692" stopIfTrue="1" operator="equal">
      <formula>"Napkin Hs"</formula>
    </cfRule>
  </conditionalFormatting>
  <conditionalFormatting sqref="C31">
    <cfRule type="cellIs" dxfId="13023" priority="16689" stopIfTrue="1" operator="equal">
      <formula>"Towel"</formula>
    </cfRule>
    <cfRule type="cellIs" dxfId="13022" priority="16690" stopIfTrue="1" operator="equal">
      <formula>"Napkin Hs"</formula>
    </cfRule>
  </conditionalFormatting>
  <conditionalFormatting sqref="C31">
    <cfRule type="cellIs" dxfId="13021" priority="16687" stopIfTrue="1" operator="equal">
      <formula>"Towel"</formula>
    </cfRule>
    <cfRule type="cellIs" dxfId="13020" priority="16688" stopIfTrue="1" operator="equal">
      <formula>"Napkin Hs"</formula>
    </cfRule>
  </conditionalFormatting>
  <conditionalFormatting sqref="C31">
    <cfRule type="cellIs" dxfId="13019" priority="16685" stopIfTrue="1" operator="equal">
      <formula>"Towel"</formula>
    </cfRule>
    <cfRule type="cellIs" dxfId="13018" priority="16686" stopIfTrue="1" operator="equal">
      <formula>"Napkin Hs"</formula>
    </cfRule>
  </conditionalFormatting>
  <conditionalFormatting sqref="C31">
    <cfRule type="cellIs" dxfId="13017" priority="16679" stopIfTrue="1" operator="equal">
      <formula>"Towel"</formula>
    </cfRule>
    <cfRule type="cellIs" dxfId="13016" priority="16680" stopIfTrue="1" operator="equal">
      <formula>"Napkin Hs"</formula>
    </cfRule>
  </conditionalFormatting>
  <conditionalFormatting sqref="C31">
    <cfRule type="cellIs" dxfId="13015" priority="16673" stopIfTrue="1" operator="equal">
      <formula>"Towel"</formula>
    </cfRule>
    <cfRule type="cellIs" dxfId="13014" priority="16674" stopIfTrue="1" operator="equal">
      <formula>"Napkin Hs"</formula>
    </cfRule>
  </conditionalFormatting>
  <conditionalFormatting sqref="C31">
    <cfRule type="cellIs" dxfId="13013" priority="16667" stopIfTrue="1" operator="equal">
      <formula>"Towel"</formula>
    </cfRule>
    <cfRule type="cellIs" dxfId="13012" priority="16668" stopIfTrue="1" operator="equal">
      <formula>"Napkin Hs"</formula>
    </cfRule>
  </conditionalFormatting>
  <conditionalFormatting sqref="C31">
    <cfRule type="cellIs" dxfId="13011" priority="16666" stopIfTrue="1" operator="equal">
      <formula>"Napkin Hs"</formula>
    </cfRule>
  </conditionalFormatting>
  <conditionalFormatting sqref="C31">
    <cfRule type="cellIs" dxfId="13010" priority="16665" stopIfTrue="1" operator="equal">
      <formula>"Towel"</formula>
    </cfRule>
  </conditionalFormatting>
  <conditionalFormatting sqref="C31">
    <cfRule type="cellIs" dxfId="13009" priority="16664" stopIfTrue="1" operator="equal">
      <formula>"Napkin Hs"</formula>
    </cfRule>
  </conditionalFormatting>
  <conditionalFormatting sqref="C31">
    <cfRule type="cellIs" dxfId="13008" priority="16663" stopIfTrue="1" operator="equal">
      <formula>"Towel"</formula>
    </cfRule>
  </conditionalFormatting>
  <conditionalFormatting sqref="C31">
    <cfRule type="cellIs" dxfId="13007" priority="16661" stopIfTrue="1" operator="equal">
      <formula>"Towel"</formula>
    </cfRule>
    <cfRule type="cellIs" dxfId="13006" priority="16662" stopIfTrue="1" operator="equal">
      <formula>"Napkin Hs"</formula>
    </cfRule>
  </conditionalFormatting>
  <conditionalFormatting sqref="C31">
    <cfRule type="cellIs" dxfId="13005" priority="16659" stopIfTrue="1" operator="equal">
      <formula>"Towel"</formula>
    </cfRule>
    <cfRule type="cellIs" dxfId="13004" priority="16660" stopIfTrue="1" operator="equal">
      <formula>"Napkin Hs"</formula>
    </cfRule>
  </conditionalFormatting>
  <conditionalFormatting sqref="C31">
    <cfRule type="cellIs" dxfId="13003" priority="16655" stopIfTrue="1" operator="equal">
      <formula>"Towel"</formula>
    </cfRule>
    <cfRule type="cellIs" dxfId="13002" priority="16656" stopIfTrue="1" operator="equal">
      <formula>"Napkin Hs"</formula>
    </cfRule>
  </conditionalFormatting>
  <conditionalFormatting sqref="C31">
    <cfRule type="cellIs" dxfId="13001" priority="16657" stopIfTrue="1" operator="equal">
      <formula>"Towel"</formula>
    </cfRule>
    <cfRule type="cellIs" dxfId="13000" priority="16658" stopIfTrue="1" operator="equal">
      <formula>"Napkin Hs"</formula>
    </cfRule>
  </conditionalFormatting>
  <conditionalFormatting sqref="C31">
    <cfRule type="cellIs" dxfId="12999" priority="16649" stopIfTrue="1" operator="equal">
      <formula>"Towel"</formula>
    </cfRule>
    <cfRule type="cellIs" dxfId="12998" priority="16650" stopIfTrue="1" operator="equal">
      <formula>"Napkin Hs"</formula>
    </cfRule>
  </conditionalFormatting>
  <conditionalFormatting sqref="C31">
    <cfRule type="cellIs" dxfId="12997" priority="16647" stopIfTrue="1" operator="equal">
      <formula>"Towel"</formula>
    </cfRule>
    <cfRule type="cellIs" dxfId="12996" priority="16648" stopIfTrue="1" operator="equal">
      <formula>"Napkin Hs"</formula>
    </cfRule>
  </conditionalFormatting>
  <conditionalFormatting sqref="C31">
    <cfRule type="cellIs" dxfId="12995" priority="16645" stopIfTrue="1" operator="equal">
      <formula>"Towel"</formula>
    </cfRule>
    <cfRule type="cellIs" dxfId="12994" priority="16646" stopIfTrue="1" operator="equal">
      <formula>"Napkin Hs"</formula>
    </cfRule>
  </conditionalFormatting>
  <conditionalFormatting sqref="C31">
    <cfRule type="cellIs" dxfId="12993" priority="16643" stopIfTrue="1" operator="equal">
      <formula>"Towel"</formula>
    </cfRule>
    <cfRule type="cellIs" dxfId="12992" priority="16644" stopIfTrue="1" operator="equal">
      <formula>"Napkin Hs"</formula>
    </cfRule>
  </conditionalFormatting>
  <conditionalFormatting sqref="C31">
    <cfRule type="cellIs" dxfId="12991" priority="16641" stopIfTrue="1" operator="equal">
      <formula>"Towel"</formula>
    </cfRule>
    <cfRule type="cellIs" dxfId="12990" priority="16642" stopIfTrue="1" operator="equal">
      <formula>"Napkin Hs"</formula>
    </cfRule>
  </conditionalFormatting>
  <conditionalFormatting sqref="C31">
    <cfRule type="cellIs" dxfId="12989" priority="16639" stopIfTrue="1" operator="equal">
      <formula>"Towel"</formula>
    </cfRule>
    <cfRule type="cellIs" dxfId="12988" priority="16640" stopIfTrue="1" operator="equal">
      <formula>"Napkin Hs"</formula>
    </cfRule>
  </conditionalFormatting>
  <conditionalFormatting sqref="C31">
    <cfRule type="cellIs" dxfId="12987" priority="16637" stopIfTrue="1" operator="equal">
      <formula>"Towel"</formula>
    </cfRule>
    <cfRule type="cellIs" dxfId="12986" priority="16638" stopIfTrue="1" operator="equal">
      <formula>"Napkin Hs"</formula>
    </cfRule>
  </conditionalFormatting>
  <conditionalFormatting sqref="C31">
    <cfRule type="cellIs" dxfId="12985" priority="16635" stopIfTrue="1" operator="equal">
      <formula>"Towel"</formula>
    </cfRule>
    <cfRule type="cellIs" dxfId="12984" priority="16636" stopIfTrue="1" operator="equal">
      <formula>"Napkin Hs"</formula>
    </cfRule>
  </conditionalFormatting>
  <conditionalFormatting sqref="C31">
    <cfRule type="cellIs" dxfId="12983" priority="16633" stopIfTrue="1" operator="equal">
      <formula>"Towel"</formula>
    </cfRule>
    <cfRule type="cellIs" dxfId="12982" priority="16634" stopIfTrue="1" operator="equal">
      <formula>"Napkin Hs"</formula>
    </cfRule>
  </conditionalFormatting>
  <conditionalFormatting sqref="C31">
    <cfRule type="cellIs" dxfId="12981" priority="16631" stopIfTrue="1" operator="equal">
      <formula>"Towel"</formula>
    </cfRule>
    <cfRule type="cellIs" dxfId="12980" priority="16632" stopIfTrue="1" operator="equal">
      <formula>"Napkin Hs"</formula>
    </cfRule>
  </conditionalFormatting>
  <conditionalFormatting sqref="C31">
    <cfRule type="cellIs" dxfId="12979" priority="16625" stopIfTrue="1" operator="equal">
      <formula>"Towel"</formula>
    </cfRule>
    <cfRule type="cellIs" dxfId="12978" priority="16626" stopIfTrue="1" operator="equal">
      <formula>"Napkin Hs"</formula>
    </cfRule>
  </conditionalFormatting>
  <conditionalFormatting sqref="C31">
    <cfRule type="cellIs" dxfId="12977" priority="16619" stopIfTrue="1" operator="equal">
      <formula>"Towel"</formula>
    </cfRule>
    <cfRule type="cellIs" dxfId="12976" priority="16620" stopIfTrue="1" operator="equal">
      <formula>"Napkin Hs"</formula>
    </cfRule>
  </conditionalFormatting>
  <conditionalFormatting sqref="C31">
    <cfRule type="cellIs" dxfId="12975" priority="16618" stopIfTrue="1" operator="equal">
      <formula>"Napkin Hs"</formula>
    </cfRule>
  </conditionalFormatting>
  <conditionalFormatting sqref="C31">
    <cfRule type="cellIs" dxfId="12974" priority="16617" stopIfTrue="1" operator="equal">
      <formula>"Towel"</formula>
    </cfRule>
  </conditionalFormatting>
  <conditionalFormatting sqref="C31">
    <cfRule type="cellIs" dxfId="12973" priority="16616" stopIfTrue="1" operator="equal">
      <formula>"Napkin Hs"</formula>
    </cfRule>
  </conditionalFormatting>
  <conditionalFormatting sqref="C31">
    <cfRule type="cellIs" dxfId="12972" priority="16613" stopIfTrue="1" operator="equal">
      <formula>"Towel"</formula>
    </cfRule>
    <cfRule type="cellIs" dxfId="12971" priority="16614" stopIfTrue="1" operator="equal">
      <formula>"Napkin Hs"</formula>
    </cfRule>
  </conditionalFormatting>
  <conditionalFormatting sqref="C31">
    <cfRule type="cellIs" dxfId="12970" priority="16615" stopIfTrue="1" operator="equal">
      <formula>"Towel"</formula>
    </cfRule>
  </conditionalFormatting>
  <conditionalFormatting sqref="C31">
    <cfRule type="cellIs" dxfId="12969" priority="16733" stopIfTrue="1" operator="equal">
      <formula>"Towel"</formula>
    </cfRule>
    <cfRule type="cellIs" dxfId="12968" priority="16734" stopIfTrue="1" operator="equal">
      <formula>"Napkin Hs"</formula>
    </cfRule>
  </conditionalFormatting>
  <conditionalFormatting sqref="C31">
    <cfRule type="cellIs" dxfId="12967" priority="16732" stopIfTrue="1" operator="equal">
      <formula>"Napkin Hs"</formula>
    </cfRule>
  </conditionalFormatting>
  <conditionalFormatting sqref="C31">
    <cfRule type="cellIs" dxfId="12966" priority="16731" stopIfTrue="1" operator="equal">
      <formula>"Towel"</formula>
    </cfRule>
  </conditionalFormatting>
  <conditionalFormatting sqref="C31">
    <cfRule type="cellIs" dxfId="12965" priority="16730" stopIfTrue="1" operator="equal">
      <formula>"Napkin Hs"</formula>
    </cfRule>
  </conditionalFormatting>
  <conditionalFormatting sqref="C31">
    <cfRule type="cellIs" dxfId="12964" priority="16727" stopIfTrue="1" operator="equal">
      <formula>"Towel"</formula>
    </cfRule>
    <cfRule type="cellIs" dxfId="12963" priority="16728" stopIfTrue="1" operator="equal">
      <formula>"Napkin Hs"</formula>
    </cfRule>
  </conditionalFormatting>
  <conditionalFormatting sqref="C31">
    <cfRule type="cellIs" dxfId="12962" priority="16729" stopIfTrue="1" operator="equal">
      <formula>"Towel"</formula>
    </cfRule>
  </conditionalFormatting>
  <conditionalFormatting sqref="C31">
    <cfRule type="cellIs" dxfId="12961" priority="16737" stopIfTrue="1" operator="equal">
      <formula>"Towel"</formula>
    </cfRule>
    <cfRule type="cellIs" dxfId="12960" priority="16738" stopIfTrue="1" operator="equal">
      <formula>"Napkin Hs"</formula>
    </cfRule>
  </conditionalFormatting>
  <conditionalFormatting sqref="C31">
    <cfRule type="cellIs" dxfId="12959" priority="16735" stopIfTrue="1" operator="equal">
      <formula>"Towel"</formula>
    </cfRule>
    <cfRule type="cellIs" dxfId="12958" priority="16736" stopIfTrue="1" operator="equal">
      <formula>"Napkin Hs"</formula>
    </cfRule>
  </conditionalFormatting>
  <conditionalFormatting sqref="C31">
    <cfRule type="cellIs" dxfId="12957" priority="16707" stopIfTrue="1" operator="equal">
      <formula>"Towel"</formula>
    </cfRule>
    <cfRule type="cellIs" dxfId="12956" priority="16708" stopIfTrue="1" operator="equal">
      <formula>"Napkin Hs"</formula>
    </cfRule>
  </conditionalFormatting>
  <conditionalFormatting sqref="C31">
    <cfRule type="cellIs" dxfId="12955" priority="16705" stopIfTrue="1" operator="equal">
      <formula>"Towel"</formula>
    </cfRule>
    <cfRule type="cellIs" dxfId="12954" priority="16706" stopIfTrue="1" operator="equal">
      <formula>"Napkin Hs"</formula>
    </cfRule>
  </conditionalFormatting>
  <conditionalFormatting sqref="C31">
    <cfRule type="cellIs" dxfId="12953" priority="16684" stopIfTrue="1" operator="equal">
      <formula>"Napkin Hs"</formula>
    </cfRule>
  </conditionalFormatting>
  <conditionalFormatting sqref="C31">
    <cfRule type="cellIs" dxfId="12952" priority="16683" stopIfTrue="1" operator="equal">
      <formula>"Towel"</formula>
    </cfRule>
  </conditionalFormatting>
  <conditionalFormatting sqref="C31">
    <cfRule type="cellIs" dxfId="12951" priority="16682" stopIfTrue="1" operator="equal">
      <formula>"Napkin Hs"</formula>
    </cfRule>
  </conditionalFormatting>
  <conditionalFormatting sqref="C31">
    <cfRule type="cellIs" dxfId="12950" priority="16681" stopIfTrue="1" operator="equal">
      <formula>"Towel"</formula>
    </cfRule>
  </conditionalFormatting>
  <conditionalFormatting sqref="C31">
    <cfRule type="cellIs" dxfId="12949" priority="16678" stopIfTrue="1" operator="equal">
      <formula>"Napkin Hs"</formula>
    </cfRule>
  </conditionalFormatting>
  <conditionalFormatting sqref="C31">
    <cfRule type="cellIs" dxfId="12948" priority="16677" stopIfTrue="1" operator="equal">
      <formula>"Towel"</formula>
    </cfRule>
  </conditionalFormatting>
  <conditionalFormatting sqref="C31">
    <cfRule type="cellIs" dxfId="12947" priority="16676" stopIfTrue="1" operator="equal">
      <formula>"Napkin Hs"</formula>
    </cfRule>
  </conditionalFormatting>
  <conditionalFormatting sqref="C31">
    <cfRule type="cellIs" dxfId="12946" priority="16675" stopIfTrue="1" operator="equal">
      <formula>"Towel"</formula>
    </cfRule>
  </conditionalFormatting>
  <conditionalFormatting sqref="C31">
    <cfRule type="cellIs" dxfId="12945" priority="16671" stopIfTrue="1" operator="equal">
      <formula>"Towel"</formula>
    </cfRule>
    <cfRule type="cellIs" dxfId="12944" priority="16672" stopIfTrue="1" operator="equal">
      <formula>"Napkin Hs"</formula>
    </cfRule>
  </conditionalFormatting>
  <conditionalFormatting sqref="C31">
    <cfRule type="cellIs" dxfId="12943" priority="16669" stopIfTrue="1" operator="equal">
      <formula>"Towel"</formula>
    </cfRule>
    <cfRule type="cellIs" dxfId="12942" priority="16670" stopIfTrue="1" operator="equal">
      <formula>"Napkin Hs"</formula>
    </cfRule>
  </conditionalFormatting>
  <conditionalFormatting sqref="C31">
    <cfRule type="cellIs" dxfId="12941" priority="16653" stopIfTrue="1" operator="equal">
      <formula>"Towel"</formula>
    </cfRule>
    <cfRule type="cellIs" dxfId="12940" priority="16654" stopIfTrue="1" operator="equal">
      <formula>"Napkin Hs"</formula>
    </cfRule>
  </conditionalFormatting>
  <conditionalFormatting sqref="C31">
    <cfRule type="cellIs" dxfId="12939" priority="16651" stopIfTrue="1" operator="equal">
      <formula>"Towel"</formula>
    </cfRule>
    <cfRule type="cellIs" dxfId="12938" priority="16652" stopIfTrue="1" operator="equal">
      <formula>"Napkin Hs"</formula>
    </cfRule>
  </conditionalFormatting>
  <conditionalFormatting sqref="C31">
    <cfRule type="cellIs" dxfId="12937" priority="16630" stopIfTrue="1" operator="equal">
      <formula>"Napkin Hs"</formula>
    </cfRule>
  </conditionalFormatting>
  <conditionalFormatting sqref="C31">
    <cfRule type="cellIs" dxfId="12936" priority="16629" stopIfTrue="1" operator="equal">
      <formula>"Towel"</formula>
    </cfRule>
  </conditionalFormatting>
  <conditionalFormatting sqref="C31">
    <cfRule type="cellIs" dxfId="12935" priority="16628" stopIfTrue="1" operator="equal">
      <formula>"Napkin Hs"</formula>
    </cfRule>
  </conditionalFormatting>
  <conditionalFormatting sqref="C31">
    <cfRule type="cellIs" dxfId="12934" priority="16627" stopIfTrue="1" operator="equal">
      <formula>"Towel"</formula>
    </cfRule>
  </conditionalFormatting>
  <conditionalFormatting sqref="C31">
    <cfRule type="cellIs" dxfId="12933" priority="16624" stopIfTrue="1" operator="equal">
      <formula>"Napkin Hs"</formula>
    </cfRule>
  </conditionalFormatting>
  <conditionalFormatting sqref="C31">
    <cfRule type="cellIs" dxfId="12932" priority="16623" stopIfTrue="1" operator="equal">
      <formula>"Towel"</formula>
    </cfRule>
  </conditionalFormatting>
  <conditionalFormatting sqref="C31">
    <cfRule type="cellIs" dxfId="12931" priority="16622" stopIfTrue="1" operator="equal">
      <formula>"Napkin Hs"</formula>
    </cfRule>
  </conditionalFormatting>
  <conditionalFormatting sqref="C31">
    <cfRule type="cellIs" dxfId="12930" priority="16621" stopIfTrue="1" operator="equal">
      <formula>"Towel"</formula>
    </cfRule>
  </conditionalFormatting>
  <conditionalFormatting sqref="C31">
    <cfRule type="cellIs" dxfId="12929" priority="16612" stopIfTrue="1" operator="equal">
      <formula>"Napkin Hs"</formula>
    </cfRule>
  </conditionalFormatting>
  <conditionalFormatting sqref="C31">
    <cfRule type="cellIs" dxfId="12928" priority="16611" stopIfTrue="1" operator="equal">
      <formula>"Towel"</formula>
    </cfRule>
  </conditionalFormatting>
  <conditionalFormatting sqref="C31">
    <cfRule type="cellIs" dxfId="12927" priority="16610" stopIfTrue="1" operator="equal">
      <formula>"Napkin Hs"</formula>
    </cfRule>
  </conditionalFormatting>
  <conditionalFormatting sqref="C31">
    <cfRule type="cellIs" dxfId="12926" priority="16607" stopIfTrue="1" operator="equal">
      <formula>"Towel"</formula>
    </cfRule>
    <cfRule type="cellIs" dxfId="12925" priority="16608" stopIfTrue="1" operator="equal">
      <formula>"Napkin Hs"</formula>
    </cfRule>
  </conditionalFormatting>
  <conditionalFormatting sqref="C31">
    <cfRule type="cellIs" dxfId="12924" priority="16609" stopIfTrue="1" operator="equal">
      <formula>"Towel"</formula>
    </cfRule>
  </conditionalFormatting>
  <conditionalFormatting sqref="C29">
    <cfRule type="cellIs" dxfId="12923" priority="16593" stopIfTrue="1" operator="equal">
      <formula>"Towel"</formula>
    </cfRule>
    <cfRule type="cellIs" dxfId="12922" priority="16594" stopIfTrue="1" operator="equal">
      <formula>"Napkin Hs"</formula>
    </cfRule>
  </conditionalFormatting>
  <conditionalFormatting sqref="C29">
    <cfRule type="cellIs" dxfId="12921" priority="16591" stopIfTrue="1" operator="equal">
      <formula>"Towel"</formula>
    </cfRule>
    <cfRule type="cellIs" dxfId="12920" priority="16592" stopIfTrue="1" operator="equal">
      <formula>"Napkin Hs"</formula>
    </cfRule>
  </conditionalFormatting>
  <conditionalFormatting sqref="C29">
    <cfRule type="cellIs" dxfId="12919" priority="16589" stopIfTrue="1" operator="equal">
      <formula>"Towel"</formula>
    </cfRule>
    <cfRule type="cellIs" dxfId="12918" priority="16590" stopIfTrue="1" operator="equal">
      <formula>"Napkin Hs"</formula>
    </cfRule>
  </conditionalFormatting>
  <conditionalFormatting sqref="C29">
    <cfRule type="cellIs" dxfId="12917" priority="16588" stopIfTrue="1" operator="equal">
      <formula>"Napkin Hs"</formula>
    </cfRule>
  </conditionalFormatting>
  <conditionalFormatting sqref="C29">
    <cfRule type="cellIs" dxfId="12916" priority="16587" stopIfTrue="1" operator="equal">
      <formula>"Towel"</formula>
    </cfRule>
  </conditionalFormatting>
  <conditionalFormatting sqref="C29">
    <cfRule type="cellIs" dxfId="12915" priority="16586" stopIfTrue="1" operator="equal">
      <formula>"Napkin Hs"</formula>
    </cfRule>
  </conditionalFormatting>
  <conditionalFormatting sqref="C29">
    <cfRule type="cellIs" dxfId="12914" priority="16585" stopIfTrue="1" operator="equal">
      <formula>"Towel"</formula>
    </cfRule>
  </conditionalFormatting>
  <conditionalFormatting sqref="C29">
    <cfRule type="cellIs" dxfId="12913" priority="16583" stopIfTrue="1" operator="equal">
      <formula>"Towel"</formula>
    </cfRule>
    <cfRule type="cellIs" dxfId="12912" priority="16584" stopIfTrue="1" operator="equal">
      <formula>"Napkin Hs"</formula>
    </cfRule>
  </conditionalFormatting>
  <conditionalFormatting sqref="C29">
    <cfRule type="cellIs" dxfId="12911" priority="16581" stopIfTrue="1" operator="equal">
      <formula>"Towel"</formula>
    </cfRule>
    <cfRule type="cellIs" dxfId="12910" priority="16582" stopIfTrue="1" operator="equal">
      <formula>"Napkin Hs"</formula>
    </cfRule>
  </conditionalFormatting>
  <conditionalFormatting sqref="C29">
    <cfRule type="cellIs" dxfId="12909" priority="16577" stopIfTrue="1" operator="equal">
      <formula>"Towel"</formula>
    </cfRule>
    <cfRule type="cellIs" dxfId="12908" priority="16578" stopIfTrue="1" operator="equal">
      <formula>"Napkin Hs"</formula>
    </cfRule>
  </conditionalFormatting>
  <conditionalFormatting sqref="C29">
    <cfRule type="cellIs" dxfId="12907" priority="16579" stopIfTrue="1" operator="equal">
      <formula>"Towel"</formula>
    </cfRule>
    <cfRule type="cellIs" dxfId="12906" priority="16580" stopIfTrue="1" operator="equal">
      <formula>"Napkin Hs"</formula>
    </cfRule>
  </conditionalFormatting>
  <conditionalFormatting sqref="C29">
    <cfRule type="cellIs" dxfId="12905" priority="16571" stopIfTrue="1" operator="equal">
      <formula>"Towel"</formula>
    </cfRule>
    <cfRule type="cellIs" dxfId="12904" priority="16572" stopIfTrue="1" operator="equal">
      <formula>"Napkin Hs"</formula>
    </cfRule>
  </conditionalFormatting>
  <conditionalFormatting sqref="C29">
    <cfRule type="cellIs" dxfId="12903" priority="16569" stopIfTrue="1" operator="equal">
      <formula>"Towel"</formula>
    </cfRule>
    <cfRule type="cellIs" dxfId="12902" priority="16570" stopIfTrue="1" operator="equal">
      <formula>"Napkin Hs"</formula>
    </cfRule>
  </conditionalFormatting>
  <conditionalFormatting sqref="C29">
    <cfRule type="cellIs" dxfId="12901" priority="16567" stopIfTrue="1" operator="equal">
      <formula>"Towel"</formula>
    </cfRule>
    <cfRule type="cellIs" dxfId="12900" priority="16568" stopIfTrue="1" operator="equal">
      <formula>"Napkin Hs"</formula>
    </cfRule>
  </conditionalFormatting>
  <conditionalFormatting sqref="C29">
    <cfRule type="cellIs" dxfId="12899" priority="16565" stopIfTrue="1" operator="equal">
      <formula>"Towel"</formula>
    </cfRule>
    <cfRule type="cellIs" dxfId="12898" priority="16566" stopIfTrue="1" operator="equal">
      <formula>"Napkin Hs"</formula>
    </cfRule>
  </conditionalFormatting>
  <conditionalFormatting sqref="C29">
    <cfRule type="cellIs" dxfId="12897" priority="16563" stopIfTrue="1" operator="equal">
      <formula>"Towel"</formula>
    </cfRule>
    <cfRule type="cellIs" dxfId="12896" priority="16564" stopIfTrue="1" operator="equal">
      <formula>"Napkin Hs"</formula>
    </cfRule>
  </conditionalFormatting>
  <conditionalFormatting sqref="C29">
    <cfRule type="cellIs" dxfId="12895" priority="16561" stopIfTrue="1" operator="equal">
      <formula>"Towel"</formula>
    </cfRule>
    <cfRule type="cellIs" dxfId="12894" priority="16562" stopIfTrue="1" operator="equal">
      <formula>"Napkin Hs"</formula>
    </cfRule>
  </conditionalFormatting>
  <conditionalFormatting sqref="C29">
    <cfRule type="cellIs" dxfId="12893" priority="16559" stopIfTrue="1" operator="equal">
      <formula>"Towel"</formula>
    </cfRule>
    <cfRule type="cellIs" dxfId="12892" priority="16560" stopIfTrue="1" operator="equal">
      <formula>"Napkin Hs"</formula>
    </cfRule>
  </conditionalFormatting>
  <conditionalFormatting sqref="C29">
    <cfRule type="cellIs" dxfId="12891" priority="16557" stopIfTrue="1" operator="equal">
      <formula>"Towel"</formula>
    </cfRule>
    <cfRule type="cellIs" dxfId="12890" priority="16558" stopIfTrue="1" operator="equal">
      <formula>"Napkin Hs"</formula>
    </cfRule>
  </conditionalFormatting>
  <conditionalFormatting sqref="C29">
    <cfRule type="cellIs" dxfId="12889" priority="16555" stopIfTrue="1" operator="equal">
      <formula>"Towel"</formula>
    </cfRule>
    <cfRule type="cellIs" dxfId="12888" priority="16556" stopIfTrue="1" operator="equal">
      <formula>"Napkin Hs"</formula>
    </cfRule>
  </conditionalFormatting>
  <conditionalFormatting sqref="C29">
    <cfRule type="cellIs" dxfId="12887" priority="16553" stopIfTrue="1" operator="equal">
      <formula>"Towel"</formula>
    </cfRule>
    <cfRule type="cellIs" dxfId="12886" priority="16554" stopIfTrue="1" operator="equal">
      <formula>"Napkin Hs"</formula>
    </cfRule>
  </conditionalFormatting>
  <conditionalFormatting sqref="C29">
    <cfRule type="cellIs" dxfId="12885" priority="16547" stopIfTrue="1" operator="equal">
      <formula>"Towel"</formula>
    </cfRule>
    <cfRule type="cellIs" dxfId="12884" priority="16548" stopIfTrue="1" operator="equal">
      <formula>"Napkin Hs"</formula>
    </cfRule>
  </conditionalFormatting>
  <conditionalFormatting sqref="C29">
    <cfRule type="cellIs" dxfId="12883" priority="16541" stopIfTrue="1" operator="equal">
      <formula>"Towel"</formula>
    </cfRule>
    <cfRule type="cellIs" dxfId="12882" priority="16542" stopIfTrue="1" operator="equal">
      <formula>"Napkin Hs"</formula>
    </cfRule>
  </conditionalFormatting>
  <conditionalFormatting sqref="C29">
    <cfRule type="cellIs" dxfId="12881" priority="16535" stopIfTrue="1" operator="equal">
      <formula>"Towel"</formula>
    </cfRule>
    <cfRule type="cellIs" dxfId="12880" priority="16536" stopIfTrue="1" operator="equal">
      <formula>"Napkin Hs"</formula>
    </cfRule>
  </conditionalFormatting>
  <conditionalFormatting sqref="C29">
    <cfRule type="cellIs" dxfId="12879" priority="16534" stopIfTrue="1" operator="equal">
      <formula>"Napkin Hs"</formula>
    </cfRule>
  </conditionalFormatting>
  <conditionalFormatting sqref="C29">
    <cfRule type="cellIs" dxfId="12878" priority="16533" stopIfTrue="1" operator="equal">
      <formula>"Towel"</formula>
    </cfRule>
  </conditionalFormatting>
  <conditionalFormatting sqref="C29">
    <cfRule type="cellIs" dxfId="12877" priority="16532" stopIfTrue="1" operator="equal">
      <formula>"Napkin Hs"</formula>
    </cfRule>
  </conditionalFormatting>
  <conditionalFormatting sqref="C29">
    <cfRule type="cellIs" dxfId="12876" priority="16531" stopIfTrue="1" operator="equal">
      <formula>"Towel"</formula>
    </cfRule>
  </conditionalFormatting>
  <conditionalFormatting sqref="C29">
    <cfRule type="cellIs" dxfId="12875" priority="16529" stopIfTrue="1" operator="equal">
      <formula>"Towel"</formula>
    </cfRule>
    <cfRule type="cellIs" dxfId="12874" priority="16530" stopIfTrue="1" operator="equal">
      <formula>"Napkin Hs"</formula>
    </cfRule>
  </conditionalFormatting>
  <conditionalFormatting sqref="C29">
    <cfRule type="cellIs" dxfId="12873" priority="16527" stopIfTrue="1" operator="equal">
      <formula>"Towel"</formula>
    </cfRule>
    <cfRule type="cellIs" dxfId="12872" priority="16528" stopIfTrue="1" operator="equal">
      <formula>"Napkin Hs"</formula>
    </cfRule>
  </conditionalFormatting>
  <conditionalFormatting sqref="C29">
    <cfRule type="cellIs" dxfId="12871" priority="16523" stopIfTrue="1" operator="equal">
      <formula>"Towel"</formula>
    </cfRule>
    <cfRule type="cellIs" dxfId="12870" priority="16524" stopIfTrue="1" operator="equal">
      <formula>"Napkin Hs"</formula>
    </cfRule>
  </conditionalFormatting>
  <conditionalFormatting sqref="C29">
    <cfRule type="cellIs" dxfId="12869" priority="16525" stopIfTrue="1" operator="equal">
      <formula>"Towel"</formula>
    </cfRule>
    <cfRule type="cellIs" dxfId="12868" priority="16526" stopIfTrue="1" operator="equal">
      <formula>"Napkin Hs"</formula>
    </cfRule>
  </conditionalFormatting>
  <conditionalFormatting sqref="C29">
    <cfRule type="cellIs" dxfId="12867" priority="16517" stopIfTrue="1" operator="equal">
      <formula>"Towel"</formula>
    </cfRule>
    <cfRule type="cellIs" dxfId="12866" priority="16518" stopIfTrue="1" operator="equal">
      <formula>"Napkin Hs"</formula>
    </cfRule>
  </conditionalFormatting>
  <conditionalFormatting sqref="C29">
    <cfRule type="cellIs" dxfId="12865" priority="16515" stopIfTrue="1" operator="equal">
      <formula>"Towel"</formula>
    </cfRule>
    <cfRule type="cellIs" dxfId="12864" priority="16516" stopIfTrue="1" operator="equal">
      <formula>"Napkin Hs"</formula>
    </cfRule>
  </conditionalFormatting>
  <conditionalFormatting sqref="C29">
    <cfRule type="cellIs" dxfId="12863" priority="16513" stopIfTrue="1" operator="equal">
      <formula>"Towel"</formula>
    </cfRule>
    <cfRule type="cellIs" dxfId="12862" priority="16514" stopIfTrue="1" operator="equal">
      <formula>"Napkin Hs"</formula>
    </cfRule>
  </conditionalFormatting>
  <conditionalFormatting sqref="C29">
    <cfRule type="cellIs" dxfId="12861" priority="16511" stopIfTrue="1" operator="equal">
      <formula>"Towel"</formula>
    </cfRule>
    <cfRule type="cellIs" dxfId="12860" priority="16512" stopIfTrue="1" operator="equal">
      <formula>"Napkin Hs"</formula>
    </cfRule>
  </conditionalFormatting>
  <conditionalFormatting sqref="C29">
    <cfRule type="cellIs" dxfId="12859" priority="16509" stopIfTrue="1" operator="equal">
      <formula>"Towel"</formula>
    </cfRule>
    <cfRule type="cellIs" dxfId="12858" priority="16510" stopIfTrue="1" operator="equal">
      <formula>"Napkin Hs"</formula>
    </cfRule>
  </conditionalFormatting>
  <conditionalFormatting sqref="C29">
    <cfRule type="cellIs" dxfId="12857" priority="16507" stopIfTrue="1" operator="equal">
      <formula>"Towel"</formula>
    </cfRule>
    <cfRule type="cellIs" dxfId="12856" priority="16508" stopIfTrue="1" operator="equal">
      <formula>"Napkin Hs"</formula>
    </cfRule>
  </conditionalFormatting>
  <conditionalFormatting sqref="C29">
    <cfRule type="cellIs" dxfId="12855" priority="16505" stopIfTrue="1" operator="equal">
      <formula>"Towel"</formula>
    </cfRule>
    <cfRule type="cellIs" dxfId="12854" priority="16506" stopIfTrue="1" operator="equal">
      <formula>"Napkin Hs"</formula>
    </cfRule>
  </conditionalFormatting>
  <conditionalFormatting sqref="C29">
    <cfRule type="cellIs" dxfId="12853" priority="16503" stopIfTrue="1" operator="equal">
      <formula>"Towel"</formula>
    </cfRule>
    <cfRule type="cellIs" dxfId="12852" priority="16504" stopIfTrue="1" operator="equal">
      <formula>"Napkin Hs"</formula>
    </cfRule>
  </conditionalFormatting>
  <conditionalFormatting sqref="C29">
    <cfRule type="cellIs" dxfId="12851" priority="16501" stopIfTrue="1" operator="equal">
      <formula>"Towel"</formula>
    </cfRule>
    <cfRule type="cellIs" dxfId="12850" priority="16502" stopIfTrue="1" operator="equal">
      <formula>"Napkin Hs"</formula>
    </cfRule>
  </conditionalFormatting>
  <conditionalFormatting sqref="C29">
    <cfRule type="cellIs" dxfId="12849" priority="16499" stopIfTrue="1" operator="equal">
      <formula>"Towel"</formula>
    </cfRule>
    <cfRule type="cellIs" dxfId="12848" priority="16500" stopIfTrue="1" operator="equal">
      <formula>"Napkin Hs"</formula>
    </cfRule>
  </conditionalFormatting>
  <conditionalFormatting sqref="C29">
    <cfRule type="cellIs" dxfId="12847" priority="16493" stopIfTrue="1" operator="equal">
      <formula>"Towel"</formula>
    </cfRule>
    <cfRule type="cellIs" dxfId="12846" priority="16494" stopIfTrue="1" operator="equal">
      <formula>"Napkin Hs"</formula>
    </cfRule>
  </conditionalFormatting>
  <conditionalFormatting sqref="C29">
    <cfRule type="cellIs" dxfId="12845" priority="16487" stopIfTrue="1" operator="equal">
      <formula>"Towel"</formula>
    </cfRule>
    <cfRule type="cellIs" dxfId="12844" priority="16488" stopIfTrue="1" operator="equal">
      <formula>"Napkin Hs"</formula>
    </cfRule>
  </conditionalFormatting>
  <conditionalFormatting sqref="C29">
    <cfRule type="cellIs" dxfId="12843" priority="16486" stopIfTrue="1" operator="equal">
      <formula>"Napkin Hs"</formula>
    </cfRule>
  </conditionalFormatting>
  <conditionalFormatting sqref="C29">
    <cfRule type="cellIs" dxfId="12842" priority="16485" stopIfTrue="1" operator="equal">
      <formula>"Towel"</formula>
    </cfRule>
  </conditionalFormatting>
  <conditionalFormatting sqref="C29">
    <cfRule type="cellIs" dxfId="12841" priority="16484" stopIfTrue="1" operator="equal">
      <formula>"Napkin Hs"</formula>
    </cfRule>
  </conditionalFormatting>
  <conditionalFormatting sqref="C29">
    <cfRule type="cellIs" dxfId="12840" priority="16481" stopIfTrue="1" operator="equal">
      <formula>"Towel"</formula>
    </cfRule>
    <cfRule type="cellIs" dxfId="12839" priority="16482" stopIfTrue="1" operator="equal">
      <formula>"Napkin Hs"</formula>
    </cfRule>
  </conditionalFormatting>
  <conditionalFormatting sqref="C29">
    <cfRule type="cellIs" dxfId="12838" priority="16483" stopIfTrue="1" operator="equal">
      <formula>"Towel"</formula>
    </cfRule>
  </conditionalFormatting>
  <conditionalFormatting sqref="C29">
    <cfRule type="cellIs" dxfId="12837" priority="16601" stopIfTrue="1" operator="equal">
      <formula>"Towel"</formula>
    </cfRule>
    <cfRule type="cellIs" dxfId="12836" priority="16602" stopIfTrue="1" operator="equal">
      <formula>"Napkin Hs"</formula>
    </cfRule>
  </conditionalFormatting>
  <conditionalFormatting sqref="C29">
    <cfRule type="cellIs" dxfId="12835" priority="16600" stopIfTrue="1" operator="equal">
      <formula>"Napkin Hs"</formula>
    </cfRule>
  </conditionalFormatting>
  <conditionalFormatting sqref="C29">
    <cfRule type="cellIs" dxfId="12834" priority="16599" stopIfTrue="1" operator="equal">
      <formula>"Towel"</formula>
    </cfRule>
  </conditionalFormatting>
  <conditionalFormatting sqref="C29">
    <cfRule type="cellIs" dxfId="12833" priority="16598" stopIfTrue="1" operator="equal">
      <formula>"Napkin Hs"</formula>
    </cfRule>
  </conditionalFormatting>
  <conditionalFormatting sqref="C29">
    <cfRule type="cellIs" dxfId="12832" priority="16595" stopIfTrue="1" operator="equal">
      <formula>"Towel"</formula>
    </cfRule>
    <cfRule type="cellIs" dxfId="12831" priority="16596" stopIfTrue="1" operator="equal">
      <formula>"Napkin Hs"</formula>
    </cfRule>
  </conditionalFormatting>
  <conditionalFormatting sqref="C29">
    <cfRule type="cellIs" dxfId="12830" priority="16597" stopIfTrue="1" operator="equal">
      <formula>"Towel"</formula>
    </cfRule>
  </conditionalFormatting>
  <conditionalFormatting sqref="C29">
    <cfRule type="cellIs" dxfId="12829" priority="16605" stopIfTrue="1" operator="equal">
      <formula>"Towel"</formula>
    </cfRule>
    <cfRule type="cellIs" dxfId="12828" priority="16606" stopIfTrue="1" operator="equal">
      <formula>"Napkin Hs"</formula>
    </cfRule>
  </conditionalFormatting>
  <conditionalFormatting sqref="C29">
    <cfRule type="cellIs" dxfId="12827" priority="16603" stopIfTrue="1" operator="equal">
      <formula>"Towel"</formula>
    </cfRule>
    <cfRule type="cellIs" dxfId="12826" priority="16604" stopIfTrue="1" operator="equal">
      <formula>"Napkin Hs"</formula>
    </cfRule>
  </conditionalFormatting>
  <conditionalFormatting sqref="C29">
    <cfRule type="cellIs" dxfId="12825" priority="16575" stopIfTrue="1" operator="equal">
      <formula>"Towel"</formula>
    </cfRule>
    <cfRule type="cellIs" dxfId="12824" priority="16576" stopIfTrue="1" operator="equal">
      <formula>"Napkin Hs"</formula>
    </cfRule>
  </conditionalFormatting>
  <conditionalFormatting sqref="C29">
    <cfRule type="cellIs" dxfId="12823" priority="16573" stopIfTrue="1" operator="equal">
      <formula>"Towel"</formula>
    </cfRule>
    <cfRule type="cellIs" dxfId="12822" priority="16574" stopIfTrue="1" operator="equal">
      <formula>"Napkin Hs"</formula>
    </cfRule>
  </conditionalFormatting>
  <conditionalFormatting sqref="C29">
    <cfRule type="cellIs" dxfId="12821" priority="16552" stopIfTrue="1" operator="equal">
      <formula>"Napkin Hs"</formula>
    </cfRule>
  </conditionalFormatting>
  <conditionalFormatting sqref="C29">
    <cfRule type="cellIs" dxfId="12820" priority="16551" stopIfTrue="1" operator="equal">
      <formula>"Towel"</formula>
    </cfRule>
  </conditionalFormatting>
  <conditionalFormatting sqref="C29">
    <cfRule type="cellIs" dxfId="12819" priority="16550" stopIfTrue="1" operator="equal">
      <formula>"Napkin Hs"</formula>
    </cfRule>
  </conditionalFormatting>
  <conditionalFormatting sqref="C29">
    <cfRule type="cellIs" dxfId="12818" priority="16549" stopIfTrue="1" operator="equal">
      <formula>"Towel"</formula>
    </cfRule>
  </conditionalFormatting>
  <conditionalFormatting sqref="C29">
    <cfRule type="cellIs" dxfId="12817" priority="16546" stopIfTrue="1" operator="equal">
      <formula>"Napkin Hs"</formula>
    </cfRule>
  </conditionalFormatting>
  <conditionalFormatting sqref="C29">
    <cfRule type="cellIs" dxfId="12816" priority="16545" stopIfTrue="1" operator="equal">
      <formula>"Towel"</formula>
    </cfRule>
  </conditionalFormatting>
  <conditionalFormatting sqref="C29">
    <cfRule type="cellIs" dxfId="12815" priority="16544" stopIfTrue="1" operator="equal">
      <formula>"Napkin Hs"</formula>
    </cfRule>
  </conditionalFormatting>
  <conditionalFormatting sqref="C29">
    <cfRule type="cellIs" dxfId="12814" priority="16543" stopIfTrue="1" operator="equal">
      <formula>"Towel"</formula>
    </cfRule>
  </conditionalFormatting>
  <conditionalFormatting sqref="C29">
    <cfRule type="cellIs" dxfId="12813" priority="16539" stopIfTrue="1" operator="equal">
      <formula>"Towel"</formula>
    </cfRule>
    <cfRule type="cellIs" dxfId="12812" priority="16540" stopIfTrue="1" operator="equal">
      <formula>"Napkin Hs"</formula>
    </cfRule>
  </conditionalFormatting>
  <conditionalFormatting sqref="C29">
    <cfRule type="cellIs" dxfId="12811" priority="16537" stopIfTrue="1" operator="equal">
      <formula>"Towel"</formula>
    </cfRule>
    <cfRule type="cellIs" dxfId="12810" priority="16538" stopIfTrue="1" operator="equal">
      <formula>"Napkin Hs"</formula>
    </cfRule>
  </conditionalFormatting>
  <conditionalFormatting sqref="C29">
    <cfRule type="cellIs" dxfId="12809" priority="16521" stopIfTrue="1" operator="equal">
      <formula>"Towel"</formula>
    </cfRule>
    <cfRule type="cellIs" dxfId="12808" priority="16522" stopIfTrue="1" operator="equal">
      <formula>"Napkin Hs"</formula>
    </cfRule>
  </conditionalFormatting>
  <conditionalFormatting sqref="C29">
    <cfRule type="cellIs" dxfId="12807" priority="16519" stopIfTrue="1" operator="equal">
      <formula>"Towel"</formula>
    </cfRule>
    <cfRule type="cellIs" dxfId="12806" priority="16520" stopIfTrue="1" operator="equal">
      <formula>"Napkin Hs"</formula>
    </cfRule>
  </conditionalFormatting>
  <conditionalFormatting sqref="C29">
    <cfRule type="cellIs" dxfId="12805" priority="16498" stopIfTrue="1" operator="equal">
      <formula>"Napkin Hs"</formula>
    </cfRule>
  </conditionalFormatting>
  <conditionalFormatting sqref="C29">
    <cfRule type="cellIs" dxfId="12804" priority="16497" stopIfTrue="1" operator="equal">
      <formula>"Towel"</formula>
    </cfRule>
  </conditionalFormatting>
  <conditionalFormatting sqref="C29">
    <cfRule type="cellIs" dxfId="12803" priority="16496" stopIfTrue="1" operator="equal">
      <formula>"Napkin Hs"</formula>
    </cfRule>
  </conditionalFormatting>
  <conditionalFormatting sqref="C29">
    <cfRule type="cellIs" dxfId="12802" priority="16495" stopIfTrue="1" operator="equal">
      <formula>"Towel"</formula>
    </cfRule>
  </conditionalFormatting>
  <conditionalFormatting sqref="C29">
    <cfRule type="cellIs" dxfId="12801" priority="16492" stopIfTrue="1" operator="equal">
      <formula>"Napkin Hs"</formula>
    </cfRule>
  </conditionalFormatting>
  <conditionalFormatting sqref="C29">
    <cfRule type="cellIs" dxfId="12800" priority="16491" stopIfTrue="1" operator="equal">
      <formula>"Towel"</formula>
    </cfRule>
  </conditionalFormatting>
  <conditionalFormatting sqref="C29">
    <cfRule type="cellIs" dxfId="12799" priority="16490" stopIfTrue="1" operator="equal">
      <formula>"Napkin Hs"</formula>
    </cfRule>
  </conditionalFormatting>
  <conditionalFormatting sqref="C29">
    <cfRule type="cellIs" dxfId="12798" priority="16489" stopIfTrue="1" operator="equal">
      <formula>"Towel"</formula>
    </cfRule>
  </conditionalFormatting>
  <conditionalFormatting sqref="B29:C29">
    <cfRule type="cellIs" dxfId="12797" priority="16480" stopIfTrue="1" operator="equal">
      <formula>"Napkin Hs"</formula>
    </cfRule>
  </conditionalFormatting>
  <conditionalFormatting sqref="B29:C29">
    <cfRule type="cellIs" dxfId="12796" priority="16479" stopIfTrue="1" operator="equal">
      <formula>"Towel"</formula>
    </cfRule>
  </conditionalFormatting>
  <conditionalFormatting sqref="C29">
    <cfRule type="cellIs" dxfId="12795" priority="16478" stopIfTrue="1" operator="equal">
      <formula>"Napkin Hs"</formula>
    </cfRule>
  </conditionalFormatting>
  <conditionalFormatting sqref="C29">
    <cfRule type="cellIs" dxfId="12794" priority="16475" stopIfTrue="1" operator="equal">
      <formula>"Towel"</formula>
    </cfRule>
    <cfRule type="cellIs" dxfId="12793" priority="16476" stopIfTrue="1" operator="equal">
      <formula>"Napkin Hs"</formula>
    </cfRule>
  </conditionalFormatting>
  <conditionalFormatting sqref="C29">
    <cfRule type="cellIs" dxfId="12792" priority="16477" stopIfTrue="1" operator="equal">
      <formula>"Towel"</formula>
    </cfRule>
  </conditionalFormatting>
  <conditionalFormatting sqref="B37:C37">
    <cfRule type="cellIs" dxfId="12791" priority="16473" stopIfTrue="1" operator="equal">
      <formula>"Towel"</formula>
    </cfRule>
    <cfRule type="cellIs" dxfId="12790" priority="16474" stopIfTrue="1" operator="equal">
      <formula>"Napkin Hs"</formula>
    </cfRule>
  </conditionalFormatting>
  <conditionalFormatting sqref="C37">
    <cfRule type="cellIs" dxfId="12789" priority="16457" stopIfTrue="1" operator="equal">
      <formula>"Towel"</formula>
    </cfRule>
    <cfRule type="cellIs" dxfId="12788" priority="16458" stopIfTrue="1" operator="equal">
      <formula>"Napkin Hs"</formula>
    </cfRule>
  </conditionalFormatting>
  <conditionalFormatting sqref="C37">
    <cfRule type="cellIs" dxfId="12787" priority="16471" stopIfTrue="1" operator="equal">
      <formula>"Towel"</formula>
    </cfRule>
    <cfRule type="cellIs" dxfId="12786" priority="16472" stopIfTrue="1" operator="equal">
      <formula>"Napkin Hs"</formula>
    </cfRule>
  </conditionalFormatting>
  <conditionalFormatting sqref="C37">
    <cfRule type="cellIs" dxfId="12785" priority="16467" stopIfTrue="1" operator="equal">
      <formula>"Towel"</formula>
    </cfRule>
    <cfRule type="cellIs" dxfId="12784" priority="16468" stopIfTrue="1" operator="equal">
      <formula>"Napkin Hs"</formula>
    </cfRule>
  </conditionalFormatting>
  <conditionalFormatting sqref="B37:C37">
    <cfRule type="cellIs" dxfId="12783" priority="16459" stopIfTrue="1" operator="equal">
      <formula>"Towel"</formula>
    </cfRule>
    <cfRule type="cellIs" dxfId="12782" priority="16460" stopIfTrue="1" operator="equal">
      <formula>"Napkin Hs"</formula>
    </cfRule>
  </conditionalFormatting>
  <conditionalFormatting sqref="C37">
    <cfRule type="cellIs" dxfId="12781" priority="16455" stopIfTrue="1" operator="equal">
      <formula>"Towel"</formula>
    </cfRule>
    <cfRule type="cellIs" dxfId="12780" priority="16456" stopIfTrue="1" operator="equal">
      <formula>"Napkin Hs"</formula>
    </cfRule>
  </conditionalFormatting>
  <conditionalFormatting sqref="B37:C37">
    <cfRule type="cellIs" dxfId="12779" priority="16452" stopIfTrue="1" operator="equal">
      <formula>"Napkin Hs"</formula>
    </cfRule>
  </conditionalFormatting>
  <conditionalFormatting sqref="B37:C37">
    <cfRule type="cellIs" dxfId="12778" priority="16451" stopIfTrue="1" operator="equal">
      <formula>"Towel"</formula>
    </cfRule>
  </conditionalFormatting>
  <conditionalFormatting sqref="C37">
    <cfRule type="cellIs" dxfId="12777" priority="16450" stopIfTrue="1" operator="equal">
      <formula>"Napkin Hs"</formula>
    </cfRule>
  </conditionalFormatting>
  <conditionalFormatting sqref="C37">
    <cfRule type="cellIs" dxfId="12776" priority="16447" stopIfTrue="1" operator="equal">
      <formula>"Towel"</formula>
    </cfRule>
    <cfRule type="cellIs" dxfId="12775" priority="16448" stopIfTrue="1" operator="equal">
      <formula>"Napkin Hs"</formula>
    </cfRule>
  </conditionalFormatting>
  <conditionalFormatting sqref="C37">
    <cfRule type="cellIs" dxfId="12774" priority="16449" stopIfTrue="1" operator="equal">
      <formula>"Towel"</formula>
    </cfRule>
  </conditionalFormatting>
  <conditionalFormatting sqref="C33">
    <cfRule type="cellIs" dxfId="12773" priority="16433" stopIfTrue="1" operator="equal">
      <formula>"Towel"</formula>
    </cfRule>
    <cfRule type="cellIs" dxfId="12772" priority="16434" stopIfTrue="1" operator="equal">
      <formula>"Napkin Hs"</formula>
    </cfRule>
  </conditionalFormatting>
  <conditionalFormatting sqref="C33">
    <cfRule type="cellIs" dxfId="12771" priority="16431" stopIfTrue="1" operator="equal">
      <formula>"Towel"</formula>
    </cfRule>
    <cfRule type="cellIs" dxfId="12770" priority="16432" stopIfTrue="1" operator="equal">
      <formula>"Napkin Hs"</formula>
    </cfRule>
  </conditionalFormatting>
  <conditionalFormatting sqref="C33">
    <cfRule type="cellIs" dxfId="12769" priority="16429" stopIfTrue="1" operator="equal">
      <formula>"Towel"</formula>
    </cfRule>
    <cfRule type="cellIs" dxfId="12768" priority="16430" stopIfTrue="1" operator="equal">
      <formula>"Napkin Hs"</formula>
    </cfRule>
  </conditionalFormatting>
  <conditionalFormatting sqref="C33">
    <cfRule type="cellIs" dxfId="12767" priority="16428" stopIfTrue="1" operator="equal">
      <formula>"Napkin Hs"</formula>
    </cfRule>
  </conditionalFormatting>
  <conditionalFormatting sqref="C33">
    <cfRule type="cellIs" dxfId="12766" priority="16427" stopIfTrue="1" operator="equal">
      <formula>"Towel"</formula>
    </cfRule>
  </conditionalFormatting>
  <conditionalFormatting sqref="C33">
    <cfRule type="cellIs" dxfId="12765" priority="16426" stopIfTrue="1" operator="equal">
      <formula>"Napkin Hs"</formula>
    </cfRule>
  </conditionalFormatting>
  <conditionalFormatting sqref="C33">
    <cfRule type="cellIs" dxfId="12764" priority="16425" stopIfTrue="1" operator="equal">
      <formula>"Towel"</formula>
    </cfRule>
  </conditionalFormatting>
  <conditionalFormatting sqref="C33">
    <cfRule type="cellIs" dxfId="12763" priority="16423" stopIfTrue="1" operator="equal">
      <formula>"Towel"</formula>
    </cfRule>
    <cfRule type="cellIs" dxfId="12762" priority="16424" stopIfTrue="1" operator="equal">
      <formula>"Napkin Hs"</formula>
    </cfRule>
  </conditionalFormatting>
  <conditionalFormatting sqref="C33">
    <cfRule type="cellIs" dxfId="12761" priority="16421" stopIfTrue="1" operator="equal">
      <formula>"Towel"</formula>
    </cfRule>
    <cfRule type="cellIs" dxfId="12760" priority="16422" stopIfTrue="1" operator="equal">
      <formula>"Napkin Hs"</formula>
    </cfRule>
  </conditionalFormatting>
  <conditionalFormatting sqref="C33">
    <cfRule type="cellIs" dxfId="12759" priority="16417" stopIfTrue="1" operator="equal">
      <formula>"Towel"</formula>
    </cfRule>
    <cfRule type="cellIs" dxfId="12758" priority="16418" stopIfTrue="1" operator="equal">
      <formula>"Napkin Hs"</formula>
    </cfRule>
  </conditionalFormatting>
  <conditionalFormatting sqref="C33">
    <cfRule type="cellIs" dxfId="12757" priority="16419" stopIfTrue="1" operator="equal">
      <formula>"Towel"</formula>
    </cfRule>
    <cfRule type="cellIs" dxfId="12756" priority="16420" stopIfTrue="1" operator="equal">
      <formula>"Napkin Hs"</formula>
    </cfRule>
  </conditionalFormatting>
  <conditionalFormatting sqref="C33">
    <cfRule type="cellIs" dxfId="12755" priority="16411" stopIfTrue="1" operator="equal">
      <formula>"Towel"</formula>
    </cfRule>
    <cfRule type="cellIs" dxfId="12754" priority="16412" stopIfTrue="1" operator="equal">
      <formula>"Napkin Hs"</formula>
    </cfRule>
  </conditionalFormatting>
  <conditionalFormatting sqref="C33">
    <cfRule type="cellIs" dxfId="12753" priority="16409" stopIfTrue="1" operator="equal">
      <formula>"Towel"</formula>
    </cfRule>
    <cfRule type="cellIs" dxfId="12752" priority="16410" stopIfTrue="1" operator="equal">
      <formula>"Napkin Hs"</formula>
    </cfRule>
  </conditionalFormatting>
  <conditionalFormatting sqref="C33">
    <cfRule type="cellIs" dxfId="12751" priority="16407" stopIfTrue="1" operator="equal">
      <formula>"Towel"</formula>
    </cfRule>
    <cfRule type="cellIs" dxfId="12750" priority="16408" stopIfTrue="1" operator="equal">
      <formula>"Napkin Hs"</formula>
    </cfRule>
  </conditionalFormatting>
  <conditionalFormatting sqref="C33">
    <cfRule type="cellIs" dxfId="12749" priority="16405" stopIfTrue="1" operator="equal">
      <formula>"Towel"</formula>
    </cfRule>
    <cfRule type="cellIs" dxfId="12748" priority="16406" stopIfTrue="1" operator="equal">
      <formula>"Napkin Hs"</formula>
    </cfRule>
  </conditionalFormatting>
  <conditionalFormatting sqref="C33">
    <cfRule type="cellIs" dxfId="12747" priority="16403" stopIfTrue="1" operator="equal">
      <formula>"Towel"</formula>
    </cfRule>
    <cfRule type="cellIs" dxfId="12746" priority="16404" stopIfTrue="1" operator="equal">
      <formula>"Napkin Hs"</formula>
    </cfRule>
  </conditionalFormatting>
  <conditionalFormatting sqref="C33">
    <cfRule type="cellIs" dxfId="12745" priority="16401" stopIfTrue="1" operator="equal">
      <formula>"Towel"</formula>
    </cfRule>
    <cfRule type="cellIs" dxfId="12744" priority="16402" stopIfTrue="1" operator="equal">
      <formula>"Napkin Hs"</formula>
    </cfRule>
  </conditionalFormatting>
  <conditionalFormatting sqref="C33">
    <cfRule type="cellIs" dxfId="12743" priority="16399" stopIfTrue="1" operator="equal">
      <formula>"Towel"</formula>
    </cfRule>
    <cfRule type="cellIs" dxfId="12742" priority="16400" stopIfTrue="1" operator="equal">
      <formula>"Napkin Hs"</formula>
    </cfRule>
  </conditionalFormatting>
  <conditionalFormatting sqref="C33">
    <cfRule type="cellIs" dxfId="12741" priority="16397" stopIfTrue="1" operator="equal">
      <formula>"Towel"</formula>
    </cfRule>
    <cfRule type="cellIs" dxfId="12740" priority="16398" stopIfTrue="1" operator="equal">
      <formula>"Napkin Hs"</formula>
    </cfRule>
  </conditionalFormatting>
  <conditionalFormatting sqref="C33">
    <cfRule type="cellIs" dxfId="12739" priority="16395" stopIfTrue="1" operator="equal">
      <formula>"Towel"</formula>
    </cfRule>
    <cfRule type="cellIs" dxfId="12738" priority="16396" stopIfTrue="1" operator="equal">
      <formula>"Napkin Hs"</formula>
    </cfRule>
  </conditionalFormatting>
  <conditionalFormatting sqref="C33">
    <cfRule type="cellIs" dxfId="12737" priority="16393" stopIfTrue="1" operator="equal">
      <formula>"Towel"</formula>
    </cfRule>
    <cfRule type="cellIs" dxfId="12736" priority="16394" stopIfTrue="1" operator="equal">
      <formula>"Napkin Hs"</formula>
    </cfRule>
  </conditionalFormatting>
  <conditionalFormatting sqref="C33">
    <cfRule type="cellIs" dxfId="12735" priority="16387" stopIfTrue="1" operator="equal">
      <formula>"Towel"</formula>
    </cfRule>
    <cfRule type="cellIs" dxfId="12734" priority="16388" stopIfTrue="1" operator="equal">
      <formula>"Napkin Hs"</formula>
    </cfRule>
  </conditionalFormatting>
  <conditionalFormatting sqref="C33">
    <cfRule type="cellIs" dxfId="12733" priority="16381" stopIfTrue="1" operator="equal">
      <formula>"Towel"</formula>
    </cfRule>
    <cfRule type="cellIs" dxfId="12732" priority="16382" stopIfTrue="1" operator="equal">
      <formula>"Napkin Hs"</formula>
    </cfRule>
  </conditionalFormatting>
  <conditionalFormatting sqref="C33">
    <cfRule type="cellIs" dxfId="12731" priority="16375" stopIfTrue="1" operator="equal">
      <formula>"Towel"</formula>
    </cfRule>
    <cfRule type="cellIs" dxfId="12730" priority="16376" stopIfTrue="1" operator="equal">
      <formula>"Napkin Hs"</formula>
    </cfRule>
  </conditionalFormatting>
  <conditionalFormatting sqref="C33">
    <cfRule type="cellIs" dxfId="12729" priority="16374" stopIfTrue="1" operator="equal">
      <formula>"Napkin Hs"</formula>
    </cfRule>
  </conditionalFormatting>
  <conditionalFormatting sqref="C33">
    <cfRule type="cellIs" dxfId="12728" priority="16373" stopIfTrue="1" operator="equal">
      <formula>"Towel"</formula>
    </cfRule>
  </conditionalFormatting>
  <conditionalFormatting sqref="C33">
    <cfRule type="cellIs" dxfId="12727" priority="16372" stopIfTrue="1" operator="equal">
      <formula>"Napkin Hs"</formula>
    </cfRule>
  </conditionalFormatting>
  <conditionalFormatting sqref="C33">
    <cfRule type="cellIs" dxfId="12726" priority="16371" stopIfTrue="1" operator="equal">
      <formula>"Towel"</formula>
    </cfRule>
  </conditionalFormatting>
  <conditionalFormatting sqref="C33">
    <cfRule type="cellIs" dxfId="12725" priority="16369" stopIfTrue="1" operator="equal">
      <formula>"Towel"</formula>
    </cfRule>
    <cfRule type="cellIs" dxfId="12724" priority="16370" stopIfTrue="1" operator="equal">
      <formula>"Napkin Hs"</formula>
    </cfRule>
  </conditionalFormatting>
  <conditionalFormatting sqref="C33">
    <cfRule type="cellIs" dxfId="12723" priority="16367" stopIfTrue="1" operator="equal">
      <formula>"Towel"</formula>
    </cfRule>
    <cfRule type="cellIs" dxfId="12722" priority="16368" stopIfTrue="1" operator="equal">
      <formula>"Napkin Hs"</formula>
    </cfRule>
  </conditionalFormatting>
  <conditionalFormatting sqref="C33">
    <cfRule type="cellIs" dxfId="12721" priority="16363" stopIfTrue="1" operator="equal">
      <formula>"Towel"</formula>
    </cfRule>
    <cfRule type="cellIs" dxfId="12720" priority="16364" stopIfTrue="1" operator="equal">
      <formula>"Napkin Hs"</formula>
    </cfRule>
  </conditionalFormatting>
  <conditionalFormatting sqref="C33">
    <cfRule type="cellIs" dxfId="12719" priority="16365" stopIfTrue="1" operator="equal">
      <formula>"Towel"</formula>
    </cfRule>
    <cfRule type="cellIs" dxfId="12718" priority="16366" stopIfTrue="1" operator="equal">
      <formula>"Napkin Hs"</formula>
    </cfRule>
  </conditionalFormatting>
  <conditionalFormatting sqref="C33">
    <cfRule type="cellIs" dxfId="12717" priority="16357" stopIfTrue="1" operator="equal">
      <formula>"Towel"</formula>
    </cfRule>
    <cfRule type="cellIs" dxfId="12716" priority="16358" stopIfTrue="1" operator="equal">
      <formula>"Napkin Hs"</formula>
    </cfRule>
  </conditionalFormatting>
  <conditionalFormatting sqref="C33">
    <cfRule type="cellIs" dxfId="12715" priority="16355" stopIfTrue="1" operator="equal">
      <formula>"Towel"</formula>
    </cfRule>
    <cfRule type="cellIs" dxfId="12714" priority="16356" stopIfTrue="1" operator="equal">
      <formula>"Napkin Hs"</formula>
    </cfRule>
  </conditionalFormatting>
  <conditionalFormatting sqref="C33">
    <cfRule type="cellIs" dxfId="12713" priority="16353" stopIfTrue="1" operator="equal">
      <formula>"Towel"</formula>
    </cfRule>
    <cfRule type="cellIs" dxfId="12712" priority="16354" stopIfTrue="1" operator="equal">
      <formula>"Napkin Hs"</formula>
    </cfRule>
  </conditionalFormatting>
  <conditionalFormatting sqref="C33">
    <cfRule type="cellIs" dxfId="12711" priority="16351" stopIfTrue="1" operator="equal">
      <formula>"Towel"</formula>
    </cfRule>
    <cfRule type="cellIs" dxfId="12710" priority="16352" stopIfTrue="1" operator="equal">
      <formula>"Napkin Hs"</formula>
    </cfRule>
  </conditionalFormatting>
  <conditionalFormatting sqref="C33">
    <cfRule type="cellIs" dxfId="12709" priority="16349" stopIfTrue="1" operator="equal">
      <formula>"Towel"</formula>
    </cfRule>
    <cfRule type="cellIs" dxfId="12708" priority="16350" stopIfTrue="1" operator="equal">
      <formula>"Napkin Hs"</formula>
    </cfRule>
  </conditionalFormatting>
  <conditionalFormatting sqref="C33">
    <cfRule type="cellIs" dxfId="12707" priority="16347" stopIfTrue="1" operator="equal">
      <formula>"Towel"</formula>
    </cfRule>
    <cfRule type="cellIs" dxfId="12706" priority="16348" stopIfTrue="1" operator="equal">
      <formula>"Napkin Hs"</formula>
    </cfRule>
  </conditionalFormatting>
  <conditionalFormatting sqref="C33">
    <cfRule type="cellIs" dxfId="12705" priority="16345" stopIfTrue="1" operator="equal">
      <formula>"Towel"</formula>
    </cfRule>
    <cfRule type="cellIs" dxfId="12704" priority="16346" stopIfTrue="1" operator="equal">
      <formula>"Napkin Hs"</formula>
    </cfRule>
  </conditionalFormatting>
  <conditionalFormatting sqref="C33">
    <cfRule type="cellIs" dxfId="12703" priority="16343" stopIfTrue="1" operator="equal">
      <formula>"Towel"</formula>
    </cfRule>
    <cfRule type="cellIs" dxfId="12702" priority="16344" stopIfTrue="1" operator="equal">
      <formula>"Napkin Hs"</formula>
    </cfRule>
  </conditionalFormatting>
  <conditionalFormatting sqref="C33">
    <cfRule type="cellIs" dxfId="12701" priority="16341" stopIfTrue="1" operator="equal">
      <formula>"Towel"</formula>
    </cfRule>
    <cfRule type="cellIs" dxfId="12700" priority="16342" stopIfTrue="1" operator="equal">
      <formula>"Napkin Hs"</formula>
    </cfRule>
  </conditionalFormatting>
  <conditionalFormatting sqref="C33">
    <cfRule type="cellIs" dxfId="12699" priority="16339" stopIfTrue="1" operator="equal">
      <formula>"Towel"</formula>
    </cfRule>
    <cfRule type="cellIs" dxfId="12698" priority="16340" stopIfTrue="1" operator="equal">
      <formula>"Napkin Hs"</formula>
    </cfRule>
  </conditionalFormatting>
  <conditionalFormatting sqref="C33">
    <cfRule type="cellIs" dxfId="12697" priority="16333" stopIfTrue="1" operator="equal">
      <formula>"Towel"</formula>
    </cfRule>
    <cfRule type="cellIs" dxfId="12696" priority="16334" stopIfTrue="1" operator="equal">
      <formula>"Napkin Hs"</formula>
    </cfRule>
  </conditionalFormatting>
  <conditionalFormatting sqref="C33">
    <cfRule type="cellIs" dxfId="12695" priority="16327" stopIfTrue="1" operator="equal">
      <formula>"Towel"</formula>
    </cfRule>
    <cfRule type="cellIs" dxfId="12694" priority="16328" stopIfTrue="1" operator="equal">
      <formula>"Napkin Hs"</formula>
    </cfRule>
  </conditionalFormatting>
  <conditionalFormatting sqref="C33">
    <cfRule type="cellIs" dxfId="12693" priority="16326" stopIfTrue="1" operator="equal">
      <formula>"Napkin Hs"</formula>
    </cfRule>
  </conditionalFormatting>
  <conditionalFormatting sqref="C33">
    <cfRule type="cellIs" dxfId="12692" priority="16325" stopIfTrue="1" operator="equal">
      <formula>"Towel"</formula>
    </cfRule>
  </conditionalFormatting>
  <conditionalFormatting sqref="C33">
    <cfRule type="cellIs" dxfId="12691" priority="16324" stopIfTrue="1" operator="equal">
      <formula>"Napkin Hs"</formula>
    </cfRule>
  </conditionalFormatting>
  <conditionalFormatting sqref="C33">
    <cfRule type="cellIs" dxfId="12690" priority="16321" stopIfTrue="1" operator="equal">
      <formula>"Towel"</formula>
    </cfRule>
    <cfRule type="cellIs" dxfId="12689" priority="16322" stopIfTrue="1" operator="equal">
      <formula>"Napkin Hs"</formula>
    </cfRule>
  </conditionalFormatting>
  <conditionalFormatting sqref="C33">
    <cfRule type="cellIs" dxfId="12688" priority="16323" stopIfTrue="1" operator="equal">
      <formula>"Towel"</formula>
    </cfRule>
  </conditionalFormatting>
  <conditionalFormatting sqref="C33">
    <cfRule type="cellIs" dxfId="12687" priority="16441" stopIfTrue="1" operator="equal">
      <formula>"Towel"</formula>
    </cfRule>
    <cfRule type="cellIs" dxfId="12686" priority="16442" stopIfTrue="1" operator="equal">
      <formula>"Napkin Hs"</formula>
    </cfRule>
  </conditionalFormatting>
  <conditionalFormatting sqref="C33">
    <cfRule type="cellIs" dxfId="12685" priority="16440" stopIfTrue="1" operator="equal">
      <formula>"Napkin Hs"</formula>
    </cfRule>
  </conditionalFormatting>
  <conditionalFormatting sqref="C33">
    <cfRule type="cellIs" dxfId="12684" priority="16439" stopIfTrue="1" operator="equal">
      <formula>"Towel"</formula>
    </cfRule>
  </conditionalFormatting>
  <conditionalFormatting sqref="C33">
    <cfRule type="cellIs" dxfId="12683" priority="16438" stopIfTrue="1" operator="equal">
      <formula>"Napkin Hs"</formula>
    </cfRule>
  </conditionalFormatting>
  <conditionalFormatting sqref="C33">
    <cfRule type="cellIs" dxfId="12682" priority="16435" stopIfTrue="1" operator="equal">
      <formula>"Towel"</formula>
    </cfRule>
    <cfRule type="cellIs" dxfId="12681" priority="16436" stopIfTrue="1" operator="equal">
      <formula>"Napkin Hs"</formula>
    </cfRule>
  </conditionalFormatting>
  <conditionalFormatting sqref="C33">
    <cfRule type="cellIs" dxfId="12680" priority="16437" stopIfTrue="1" operator="equal">
      <formula>"Towel"</formula>
    </cfRule>
  </conditionalFormatting>
  <conditionalFormatting sqref="C33">
    <cfRule type="cellIs" dxfId="12679" priority="16445" stopIfTrue="1" operator="equal">
      <formula>"Towel"</formula>
    </cfRule>
    <cfRule type="cellIs" dxfId="12678" priority="16446" stopIfTrue="1" operator="equal">
      <formula>"Napkin Hs"</formula>
    </cfRule>
  </conditionalFormatting>
  <conditionalFormatting sqref="C33">
    <cfRule type="cellIs" dxfId="12677" priority="16443" stopIfTrue="1" operator="equal">
      <formula>"Towel"</formula>
    </cfRule>
    <cfRule type="cellIs" dxfId="12676" priority="16444" stopIfTrue="1" operator="equal">
      <formula>"Napkin Hs"</formula>
    </cfRule>
  </conditionalFormatting>
  <conditionalFormatting sqref="C33">
    <cfRule type="cellIs" dxfId="12675" priority="16415" stopIfTrue="1" operator="equal">
      <formula>"Towel"</formula>
    </cfRule>
    <cfRule type="cellIs" dxfId="12674" priority="16416" stopIfTrue="1" operator="equal">
      <formula>"Napkin Hs"</formula>
    </cfRule>
  </conditionalFormatting>
  <conditionalFormatting sqref="C33">
    <cfRule type="cellIs" dxfId="12673" priority="16413" stopIfTrue="1" operator="equal">
      <formula>"Towel"</formula>
    </cfRule>
    <cfRule type="cellIs" dxfId="12672" priority="16414" stopIfTrue="1" operator="equal">
      <formula>"Napkin Hs"</formula>
    </cfRule>
  </conditionalFormatting>
  <conditionalFormatting sqref="C33">
    <cfRule type="cellIs" dxfId="12671" priority="16392" stopIfTrue="1" operator="equal">
      <formula>"Napkin Hs"</formula>
    </cfRule>
  </conditionalFormatting>
  <conditionalFormatting sqref="C33">
    <cfRule type="cellIs" dxfId="12670" priority="16391" stopIfTrue="1" operator="equal">
      <formula>"Towel"</formula>
    </cfRule>
  </conditionalFormatting>
  <conditionalFormatting sqref="C33">
    <cfRule type="cellIs" dxfId="12669" priority="16390" stopIfTrue="1" operator="equal">
      <formula>"Napkin Hs"</formula>
    </cfRule>
  </conditionalFormatting>
  <conditionalFormatting sqref="C33">
    <cfRule type="cellIs" dxfId="12668" priority="16389" stopIfTrue="1" operator="equal">
      <formula>"Towel"</formula>
    </cfRule>
  </conditionalFormatting>
  <conditionalFormatting sqref="C33">
    <cfRule type="cellIs" dxfId="12667" priority="16386" stopIfTrue="1" operator="equal">
      <formula>"Napkin Hs"</formula>
    </cfRule>
  </conditionalFormatting>
  <conditionalFormatting sqref="C33">
    <cfRule type="cellIs" dxfId="12666" priority="16385" stopIfTrue="1" operator="equal">
      <formula>"Towel"</formula>
    </cfRule>
  </conditionalFormatting>
  <conditionalFormatting sqref="C33">
    <cfRule type="cellIs" dxfId="12665" priority="16384" stopIfTrue="1" operator="equal">
      <formula>"Napkin Hs"</formula>
    </cfRule>
  </conditionalFormatting>
  <conditionalFormatting sqref="C33">
    <cfRule type="cellIs" dxfId="12664" priority="16383" stopIfTrue="1" operator="equal">
      <formula>"Towel"</formula>
    </cfRule>
  </conditionalFormatting>
  <conditionalFormatting sqref="C33">
    <cfRule type="cellIs" dxfId="12663" priority="16379" stopIfTrue="1" operator="equal">
      <formula>"Towel"</formula>
    </cfRule>
    <cfRule type="cellIs" dxfId="12662" priority="16380" stopIfTrue="1" operator="equal">
      <formula>"Napkin Hs"</formula>
    </cfRule>
  </conditionalFormatting>
  <conditionalFormatting sqref="C33">
    <cfRule type="cellIs" dxfId="12661" priority="16377" stopIfTrue="1" operator="equal">
      <formula>"Towel"</formula>
    </cfRule>
    <cfRule type="cellIs" dxfId="12660" priority="16378" stopIfTrue="1" operator="equal">
      <formula>"Napkin Hs"</formula>
    </cfRule>
  </conditionalFormatting>
  <conditionalFormatting sqref="C33">
    <cfRule type="cellIs" dxfId="12659" priority="16361" stopIfTrue="1" operator="equal">
      <formula>"Towel"</formula>
    </cfRule>
    <cfRule type="cellIs" dxfId="12658" priority="16362" stopIfTrue="1" operator="equal">
      <formula>"Napkin Hs"</formula>
    </cfRule>
  </conditionalFormatting>
  <conditionalFormatting sqref="C33">
    <cfRule type="cellIs" dxfId="12657" priority="16359" stopIfTrue="1" operator="equal">
      <formula>"Towel"</formula>
    </cfRule>
    <cfRule type="cellIs" dxfId="12656" priority="16360" stopIfTrue="1" operator="equal">
      <formula>"Napkin Hs"</formula>
    </cfRule>
  </conditionalFormatting>
  <conditionalFormatting sqref="C33">
    <cfRule type="cellIs" dxfId="12655" priority="16338" stopIfTrue="1" operator="equal">
      <formula>"Napkin Hs"</formula>
    </cfRule>
  </conditionalFormatting>
  <conditionalFormatting sqref="C33">
    <cfRule type="cellIs" dxfId="12654" priority="16337" stopIfTrue="1" operator="equal">
      <formula>"Towel"</formula>
    </cfRule>
  </conditionalFormatting>
  <conditionalFormatting sqref="C33">
    <cfRule type="cellIs" dxfId="12653" priority="16336" stopIfTrue="1" operator="equal">
      <formula>"Napkin Hs"</formula>
    </cfRule>
  </conditionalFormatting>
  <conditionalFormatting sqref="C33">
    <cfRule type="cellIs" dxfId="12652" priority="16335" stopIfTrue="1" operator="equal">
      <formula>"Towel"</formula>
    </cfRule>
  </conditionalFormatting>
  <conditionalFormatting sqref="C33">
    <cfRule type="cellIs" dxfId="12651" priority="16332" stopIfTrue="1" operator="equal">
      <formula>"Napkin Hs"</formula>
    </cfRule>
  </conditionalFormatting>
  <conditionalFormatting sqref="C33">
    <cfRule type="cellIs" dxfId="12650" priority="16331" stopIfTrue="1" operator="equal">
      <formula>"Towel"</formula>
    </cfRule>
  </conditionalFormatting>
  <conditionalFormatting sqref="C33">
    <cfRule type="cellIs" dxfId="12649" priority="16330" stopIfTrue="1" operator="equal">
      <formula>"Napkin Hs"</formula>
    </cfRule>
  </conditionalFormatting>
  <conditionalFormatting sqref="C33">
    <cfRule type="cellIs" dxfId="12648" priority="16329" stopIfTrue="1" operator="equal">
      <formula>"Towel"</formula>
    </cfRule>
  </conditionalFormatting>
  <conditionalFormatting sqref="B33:C33">
    <cfRule type="cellIs" dxfId="12647" priority="16320" stopIfTrue="1" operator="equal">
      <formula>"Napkin Hs"</formula>
    </cfRule>
  </conditionalFormatting>
  <conditionalFormatting sqref="B33:C33">
    <cfRule type="cellIs" dxfId="12646" priority="16319" stopIfTrue="1" operator="equal">
      <formula>"Towel"</formula>
    </cfRule>
  </conditionalFormatting>
  <conditionalFormatting sqref="C33">
    <cfRule type="cellIs" dxfId="12645" priority="16318" stopIfTrue="1" operator="equal">
      <formula>"Napkin Hs"</formula>
    </cfRule>
  </conditionalFormatting>
  <conditionalFormatting sqref="C33">
    <cfRule type="cellIs" dxfId="12644" priority="16315" stopIfTrue="1" operator="equal">
      <formula>"Towel"</formula>
    </cfRule>
    <cfRule type="cellIs" dxfId="12643" priority="16316" stopIfTrue="1" operator="equal">
      <formula>"Napkin Hs"</formula>
    </cfRule>
  </conditionalFormatting>
  <conditionalFormatting sqref="C33">
    <cfRule type="cellIs" dxfId="12642" priority="16317" stopIfTrue="1" operator="equal">
      <formula>"Towel"</formula>
    </cfRule>
  </conditionalFormatting>
  <conditionalFormatting sqref="C34:C36">
    <cfRule type="cellIs" dxfId="12641" priority="16301" stopIfTrue="1" operator="equal">
      <formula>"Towel"</formula>
    </cfRule>
    <cfRule type="cellIs" dxfId="12640" priority="16302" stopIfTrue="1" operator="equal">
      <formula>"Napkin Hs"</formula>
    </cfRule>
  </conditionalFormatting>
  <conditionalFormatting sqref="C34:C36">
    <cfRule type="cellIs" dxfId="12639" priority="16299" stopIfTrue="1" operator="equal">
      <formula>"Towel"</formula>
    </cfRule>
    <cfRule type="cellIs" dxfId="12638" priority="16300" stopIfTrue="1" operator="equal">
      <formula>"Napkin Hs"</formula>
    </cfRule>
  </conditionalFormatting>
  <conditionalFormatting sqref="C34:C36">
    <cfRule type="cellIs" dxfId="12637" priority="16297" stopIfTrue="1" operator="equal">
      <formula>"Towel"</formula>
    </cfRule>
    <cfRule type="cellIs" dxfId="12636" priority="16298" stopIfTrue="1" operator="equal">
      <formula>"Napkin Hs"</formula>
    </cfRule>
  </conditionalFormatting>
  <conditionalFormatting sqref="C34:C36">
    <cfRule type="cellIs" dxfId="12635" priority="16296" stopIfTrue="1" operator="equal">
      <formula>"Napkin Hs"</formula>
    </cfRule>
  </conditionalFormatting>
  <conditionalFormatting sqref="C34:C36">
    <cfRule type="cellIs" dxfId="12634" priority="16295" stopIfTrue="1" operator="equal">
      <formula>"Towel"</formula>
    </cfRule>
  </conditionalFormatting>
  <conditionalFormatting sqref="C34:C36">
    <cfRule type="cellIs" dxfId="12633" priority="16294" stopIfTrue="1" operator="equal">
      <formula>"Napkin Hs"</formula>
    </cfRule>
  </conditionalFormatting>
  <conditionalFormatting sqref="C34:C36">
    <cfRule type="cellIs" dxfId="12632" priority="16293" stopIfTrue="1" operator="equal">
      <formula>"Towel"</formula>
    </cfRule>
  </conditionalFormatting>
  <conditionalFormatting sqref="C34:C36">
    <cfRule type="cellIs" dxfId="12631" priority="16291" stopIfTrue="1" operator="equal">
      <formula>"Towel"</formula>
    </cfRule>
    <cfRule type="cellIs" dxfId="12630" priority="16292" stopIfTrue="1" operator="equal">
      <formula>"Napkin Hs"</formula>
    </cfRule>
  </conditionalFormatting>
  <conditionalFormatting sqref="C34:C36">
    <cfRule type="cellIs" dxfId="12629" priority="16289" stopIfTrue="1" operator="equal">
      <formula>"Towel"</formula>
    </cfRule>
    <cfRule type="cellIs" dxfId="12628" priority="16290" stopIfTrue="1" operator="equal">
      <formula>"Napkin Hs"</formula>
    </cfRule>
  </conditionalFormatting>
  <conditionalFormatting sqref="C34:C36">
    <cfRule type="cellIs" dxfId="12627" priority="16285" stopIfTrue="1" operator="equal">
      <formula>"Towel"</formula>
    </cfRule>
    <cfRule type="cellIs" dxfId="12626" priority="16286" stopIfTrue="1" operator="equal">
      <formula>"Napkin Hs"</formula>
    </cfRule>
  </conditionalFormatting>
  <conditionalFormatting sqref="C34:C36">
    <cfRule type="cellIs" dxfId="12625" priority="16287" stopIfTrue="1" operator="equal">
      <formula>"Towel"</formula>
    </cfRule>
    <cfRule type="cellIs" dxfId="12624" priority="16288" stopIfTrue="1" operator="equal">
      <formula>"Napkin Hs"</formula>
    </cfRule>
  </conditionalFormatting>
  <conditionalFormatting sqref="C34:C36">
    <cfRule type="cellIs" dxfId="12623" priority="16279" stopIfTrue="1" operator="equal">
      <formula>"Towel"</formula>
    </cfRule>
    <cfRule type="cellIs" dxfId="12622" priority="16280" stopIfTrue="1" operator="equal">
      <formula>"Napkin Hs"</formula>
    </cfRule>
  </conditionalFormatting>
  <conditionalFormatting sqref="C34:C36">
    <cfRule type="cellIs" dxfId="12621" priority="16277" stopIfTrue="1" operator="equal">
      <formula>"Towel"</formula>
    </cfRule>
    <cfRule type="cellIs" dxfId="12620" priority="16278" stopIfTrue="1" operator="equal">
      <formula>"Napkin Hs"</formula>
    </cfRule>
  </conditionalFormatting>
  <conditionalFormatting sqref="C34:C36">
    <cfRule type="cellIs" dxfId="12619" priority="16275" stopIfTrue="1" operator="equal">
      <formula>"Towel"</formula>
    </cfRule>
    <cfRule type="cellIs" dxfId="12618" priority="16276" stopIfTrue="1" operator="equal">
      <formula>"Napkin Hs"</formula>
    </cfRule>
  </conditionalFormatting>
  <conditionalFormatting sqref="C34:C36">
    <cfRule type="cellIs" dxfId="12617" priority="16273" stopIfTrue="1" operator="equal">
      <formula>"Towel"</formula>
    </cfRule>
    <cfRule type="cellIs" dxfId="12616" priority="16274" stopIfTrue="1" operator="equal">
      <formula>"Napkin Hs"</formula>
    </cfRule>
  </conditionalFormatting>
  <conditionalFormatting sqref="C34:C36">
    <cfRule type="cellIs" dxfId="12615" priority="16271" stopIfTrue="1" operator="equal">
      <formula>"Towel"</formula>
    </cfRule>
    <cfRule type="cellIs" dxfId="12614" priority="16272" stopIfTrue="1" operator="equal">
      <formula>"Napkin Hs"</formula>
    </cfRule>
  </conditionalFormatting>
  <conditionalFormatting sqref="C34:C36">
    <cfRule type="cellIs" dxfId="12613" priority="16269" stopIfTrue="1" operator="equal">
      <formula>"Towel"</formula>
    </cfRule>
    <cfRule type="cellIs" dxfId="12612" priority="16270" stopIfTrue="1" operator="equal">
      <formula>"Napkin Hs"</formula>
    </cfRule>
  </conditionalFormatting>
  <conditionalFormatting sqref="C34:C36">
    <cfRule type="cellIs" dxfId="12611" priority="16267" stopIfTrue="1" operator="equal">
      <formula>"Towel"</formula>
    </cfRule>
    <cfRule type="cellIs" dxfId="12610" priority="16268" stopIfTrue="1" operator="equal">
      <formula>"Napkin Hs"</formula>
    </cfRule>
  </conditionalFormatting>
  <conditionalFormatting sqref="C34:C36">
    <cfRule type="cellIs" dxfId="12609" priority="16265" stopIfTrue="1" operator="equal">
      <formula>"Towel"</formula>
    </cfRule>
    <cfRule type="cellIs" dxfId="12608" priority="16266" stopIfTrue="1" operator="equal">
      <formula>"Napkin Hs"</formula>
    </cfRule>
  </conditionalFormatting>
  <conditionalFormatting sqref="C34:C36">
    <cfRule type="cellIs" dxfId="12607" priority="16263" stopIfTrue="1" operator="equal">
      <formula>"Towel"</formula>
    </cfRule>
    <cfRule type="cellIs" dxfId="12606" priority="16264" stopIfTrue="1" operator="equal">
      <formula>"Napkin Hs"</formula>
    </cfRule>
  </conditionalFormatting>
  <conditionalFormatting sqref="C34:C36">
    <cfRule type="cellIs" dxfId="12605" priority="16261" stopIfTrue="1" operator="equal">
      <formula>"Towel"</formula>
    </cfRule>
    <cfRule type="cellIs" dxfId="12604" priority="16262" stopIfTrue="1" operator="equal">
      <formula>"Napkin Hs"</formula>
    </cfRule>
  </conditionalFormatting>
  <conditionalFormatting sqref="C34:C36">
    <cfRule type="cellIs" dxfId="12603" priority="16255" stopIfTrue="1" operator="equal">
      <formula>"Towel"</formula>
    </cfRule>
    <cfRule type="cellIs" dxfId="12602" priority="16256" stopIfTrue="1" operator="equal">
      <formula>"Napkin Hs"</formula>
    </cfRule>
  </conditionalFormatting>
  <conditionalFormatting sqref="C34:C36">
    <cfRule type="cellIs" dxfId="12601" priority="16249" stopIfTrue="1" operator="equal">
      <formula>"Towel"</formula>
    </cfRule>
    <cfRule type="cellIs" dxfId="12600" priority="16250" stopIfTrue="1" operator="equal">
      <formula>"Napkin Hs"</formula>
    </cfRule>
  </conditionalFormatting>
  <conditionalFormatting sqref="C34:C36">
    <cfRule type="cellIs" dxfId="12599" priority="16243" stopIfTrue="1" operator="equal">
      <formula>"Towel"</formula>
    </cfRule>
    <cfRule type="cellIs" dxfId="12598" priority="16244" stopIfTrue="1" operator="equal">
      <formula>"Napkin Hs"</formula>
    </cfRule>
  </conditionalFormatting>
  <conditionalFormatting sqref="C34:C36">
    <cfRule type="cellIs" dxfId="12597" priority="16242" stopIfTrue="1" operator="equal">
      <formula>"Napkin Hs"</formula>
    </cfRule>
  </conditionalFormatting>
  <conditionalFormatting sqref="C34:C36">
    <cfRule type="cellIs" dxfId="12596" priority="16241" stopIfTrue="1" operator="equal">
      <formula>"Towel"</formula>
    </cfRule>
  </conditionalFormatting>
  <conditionalFormatting sqref="C34:C36">
    <cfRule type="cellIs" dxfId="12595" priority="16240" stopIfTrue="1" operator="equal">
      <formula>"Napkin Hs"</formula>
    </cfRule>
  </conditionalFormatting>
  <conditionalFormatting sqref="C34:C36">
    <cfRule type="cellIs" dxfId="12594" priority="16239" stopIfTrue="1" operator="equal">
      <formula>"Towel"</formula>
    </cfRule>
  </conditionalFormatting>
  <conditionalFormatting sqref="C34:C36">
    <cfRule type="cellIs" dxfId="12593" priority="16237" stopIfTrue="1" operator="equal">
      <formula>"Towel"</formula>
    </cfRule>
    <cfRule type="cellIs" dxfId="12592" priority="16238" stopIfTrue="1" operator="equal">
      <formula>"Napkin Hs"</formula>
    </cfRule>
  </conditionalFormatting>
  <conditionalFormatting sqref="C34:C36">
    <cfRule type="cellIs" dxfId="12591" priority="16235" stopIfTrue="1" operator="equal">
      <formula>"Towel"</formula>
    </cfRule>
    <cfRule type="cellIs" dxfId="12590" priority="16236" stopIfTrue="1" operator="equal">
      <formula>"Napkin Hs"</formula>
    </cfRule>
  </conditionalFormatting>
  <conditionalFormatting sqref="C34:C36">
    <cfRule type="cellIs" dxfId="12589" priority="16231" stopIfTrue="1" operator="equal">
      <formula>"Towel"</formula>
    </cfRule>
    <cfRule type="cellIs" dxfId="12588" priority="16232" stopIfTrue="1" operator="equal">
      <formula>"Napkin Hs"</formula>
    </cfRule>
  </conditionalFormatting>
  <conditionalFormatting sqref="C34:C36">
    <cfRule type="cellIs" dxfId="12587" priority="16233" stopIfTrue="1" operator="equal">
      <formula>"Towel"</formula>
    </cfRule>
    <cfRule type="cellIs" dxfId="12586" priority="16234" stopIfTrue="1" operator="equal">
      <formula>"Napkin Hs"</formula>
    </cfRule>
  </conditionalFormatting>
  <conditionalFormatting sqref="C34:C36">
    <cfRule type="cellIs" dxfId="12585" priority="16225" stopIfTrue="1" operator="equal">
      <formula>"Towel"</formula>
    </cfRule>
    <cfRule type="cellIs" dxfId="12584" priority="16226" stopIfTrue="1" operator="equal">
      <formula>"Napkin Hs"</formula>
    </cfRule>
  </conditionalFormatting>
  <conditionalFormatting sqref="C34:C36">
    <cfRule type="cellIs" dxfId="12583" priority="16223" stopIfTrue="1" operator="equal">
      <formula>"Towel"</formula>
    </cfRule>
    <cfRule type="cellIs" dxfId="12582" priority="16224" stopIfTrue="1" operator="equal">
      <formula>"Napkin Hs"</formula>
    </cfRule>
  </conditionalFormatting>
  <conditionalFormatting sqref="C34:C36">
    <cfRule type="cellIs" dxfId="12581" priority="16221" stopIfTrue="1" operator="equal">
      <formula>"Towel"</formula>
    </cfRule>
    <cfRule type="cellIs" dxfId="12580" priority="16222" stopIfTrue="1" operator="equal">
      <formula>"Napkin Hs"</formula>
    </cfRule>
  </conditionalFormatting>
  <conditionalFormatting sqref="C34:C36">
    <cfRule type="cellIs" dxfId="12579" priority="16219" stopIfTrue="1" operator="equal">
      <formula>"Towel"</formula>
    </cfRule>
    <cfRule type="cellIs" dxfId="12578" priority="16220" stopIfTrue="1" operator="equal">
      <formula>"Napkin Hs"</formula>
    </cfRule>
  </conditionalFormatting>
  <conditionalFormatting sqref="C34:C36">
    <cfRule type="cellIs" dxfId="12577" priority="16217" stopIfTrue="1" operator="equal">
      <formula>"Towel"</formula>
    </cfRule>
    <cfRule type="cellIs" dxfId="12576" priority="16218" stopIfTrue="1" operator="equal">
      <formula>"Napkin Hs"</formula>
    </cfRule>
  </conditionalFormatting>
  <conditionalFormatting sqref="C34:C36">
    <cfRule type="cellIs" dxfId="12575" priority="16215" stopIfTrue="1" operator="equal">
      <formula>"Towel"</formula>
    </cfRule>
    <cfRule type="cellIs" dxfId="12574" priority="16216" stopIfTrue="1" operator="equal">
      <formula>"Napkin Hs"</formula>
    </cfRule>
  </conditionalFormatting>
  <conditionalFormatting sqref="C34:C36">
    <cfRule type="cellIs" dxfId="12573" priority="16213" stopIfTrue="1" operator="equal">
      <formula>"Towel"</formula>
    </cfRule>
    <cfRule type="cellIs" dxfId="12572" priority="16214" stopIfTrue="1" operator="equal">
      <formula>"Napkin Hs"</formula>
    </cfRule>
  </conditionalFormatting>
  <conditionalFormatting sqref="C34:C36">
    <cfRule type="cellIs" dxfId="12571" priority="16211" stopIfTrue="1" operator="equal">
      <formula>"Towel"</formula>
    </cfRule>
    <cfRule type="cellIs" dxfId="12570" priority="16212" stopIfTrue="1" operator="equal">
      <formula>"Napkin Hs"</formula>
    </cfRule>
  </conditionalFormatting>
  <conditionalFormatting sqref="C34:C36">
    <cfRule type="cellIs" dxfId="12569" priority="16209" stopIfTrue="1" operator="equal">
      <formula>"Towel"</formula>
    </cfRule>
    <cfRule type="cellIs" dxfId="12568" priority="16210" stopIfTrue="1" operator="equal">
      <formula>"Napkin Hs"</formula>
    </cfRule>
  </conditionalFormatting>
  <conditionalFormatting sqref="C34:C36">
    <cfRule type="cellIs" dxfId="12567" priority="16207" stopIfTrue="1" operator="equal">
      <formula>"Towel"</formula>
    </cfRule>
    <cfRule type="cellIs" dxfId="12566" priority="16208" stopIfTrue="1" operator="equal">
      <formula>"Napkin Hs"</formula>
    </cfRule>
  </conditionalFormatting>
  <conditionalFormatting sqref="C34:C36">
    <cfRule type="cellIs" dxfId="12565" priority="16201" stopIfTrue="1" operator="equal">
      <formula>"Towel"</formula>
    </cfRule>
    <cfRule type="cellIs" dxfId="12564" priority="16202" stopIfTrue="1" operator="equal">
      <formula>"Napkin Hs"</formula>
    </cfRule>
  </conditionalFormatting>
  <conditionalFormatting sqref="C34:C36">
    <cfRule type="cellIs" dxfId="12563" priority="16195" stopIfTrue="1" operator="equal">
      <formula>"Towel"</formula>
    </cfRule>
    <cfRule type="cellIs" dxfId="12562" priority="16196" stopIfTrue="1" operator="equal">
      <formula>"Napkin Hs"</formula>
    </cfRule>
  </conditionalFormatting>
  <conditionalFormatting sqref="C34:C36">
    <cfRule type="cellIs" dxfId="12561" priority="16194" stopIfTrue="1" operator="equal">
      <formula>"Napkin Hs"</formula>
    </cfRule>
  </conditionalFormatting>
  <conditionalFormatting sqref="C34:C36">
    <cfRule type="cellIs" dxfId="12560" priority="16193" stopIfTrue="1" operator="equal">
      <formula>"Towel"</formula>
    </cfRule>
  </conditionalFormatting>
  <conditionalFormatting sqref="C34:C36">
    <cfRule type="cellIs" dxfId="12559" priority="16192" stopIfTrue="1" operator="equal">
      <formula>"Napkin Hs"</formula>
    </cfRule>
  </conditionalFormatting>
  <conditionalFormatting sqref="C34:C36">
    <cfRule type="cellIs" dxfId="12558" priority="16189" stopIfTrue="1" operator="equal">
      <formula>"Towel"</formula>
    </cfRule>
    <cfRule type="cellIs" dxfId="12557" priority="16190" stopIfTrue="1" operator="equal">
      <formula>"Napkin Hs"</formula>
    </cfRule>
  </conditionalFormatting>
  <conditionalFormatting sqref="C34:C36">
    <cfRule type="cellIs" dxfId="12556" priority="16191" stopIfTrue="1" operator="equal">
      <formula>"Towel"</formula>
    </cfRule>
  </conditionalFormatting>
  <conditionalFormatting sqref="C34:C36">
    <cfRule type="cellIs" dxfId="12555" priority="16309" stopIfTrue="1" operator="equal">
      <formula>"Towel"</formula>
    </cfRule>
    <cfRule type="cellIs" dxfId="12554" priority="16310" stopIfTrue="1" operator="equal">
      <formula>"Napkin Hs"</formula>
    </cfRule>
  </conditionalFormatting>
  <conditionalFormatting sqref="C34:C36">
    <cfRule type="cellIs" dxfId="12553" priority="16308" stopIfTrue="1" operator="equal">
      <formula>"Napkin Hs"</formula>
    </cfRule>
  </conditionalFormatting>
  <conditionalFormatting sqref="C34:C36">
    <cfRule type="cellIs" dxfId="12552" priority="16307" stopIfTrue="1" operator="equal">
      <formula>"Towel"</formula>
    </cfRule>
  </conditionalFormatting>
  <conditionalFormatting sqref="C34:C36">
    <cfRule type="cellIs" dxfId="12551" priority="16306" stopIfTrue="1" operator="equal">
      <formula>"Napkin Hs"</formula>
    </cfRule>
  </conditionalFormatting>
  <conditionalFormatting sqref="C34:C36">
    <cfRule type="cellIs" dxfId="12550" priority="16303" stopIfTrue="1" operator="equal">
      <formula>"Towel"</formula>
    </cfRule>
    <cfRule type="cellIs" dxfId="12549" priority="16304" stopIfTrue="1" operator="equal">
      <formula>"Napkin Hs"</formula>
    </cfRule>
  </conditionalFormatting>
  <conditionalFormatting sqref="C34:C36">
    <cfRule type="cellIs" dxfId="12548" priority="16305" stopIfTrue="1" operator="equal">
      <formula>"Towel"</formula>
    </cfRule>
  </conditionalFormatting>
  <conditionalFormatting sqref="C34:C36">
    <cfRule type="cellIs" dxfId="12547" priority="16313" stopIfTrue="1" operator="equal">
      <formula>"Towel"</formula>
    </cfRule>
    <cfRule type="cellIs" dxfId="12546" priority="16314" stopIfTrue="1" operator="equal">
      <formula>"Napkin Hs"</formula>
    </cfRule>
  </conditionalFormatting>
  <conditionalFormatting sqref="C34:C36">
    <cfRule type="cellIs" dxfId="12545" priority="16311" stopIfTrue="1" operator="equal">
      <formula>"Towel"</formula>
    </cfRule>
    <cfRule type="cellIs" dxfId="12544" priority="16312" stopIfTrue="1" operator="equal">
      <formula>"Napkin Hs"</formula>
    </cfRule>
  </conditionalFormatting>
  <conditionalFormatting sqref="C34:C36">
    <cfRule type="cellIs" dxfId="12543" priority="16283" stopIfTrue="1" operator="equal">
      <formula>"Towel"</formula>
    </cfRule>
    <cfRule type="cellIs" dxfId="12542" priority="16284" stopIfTrue="1" operator="equal">
      <formula>"Napkin Hs"</formula>
    </cfRule>
  </conditionalFormatting>
  <conditionalFormatting sqref="C34:C36">
    <cfRule type="cellIs" dxfId="12541" priority="16281" stopIfTrue="1" operator="equal">
      <formula>"Towel"</formula>
    </cfRule>
    <cfRule type="cellIs" dxfId="12540" priority="16282" stopIfTrue="1" operator="equal">
      <formula>"Napkin Hs"</formula>
    </cfRule>
  </conditionalFormatting>
  <conditionalFormatting sqref="C34:C36">
    <cfRule type="cellIs" dxfId="12539" priority="16260" stopIfTrue="1" operator="equal">
      <formula>"Napkin Hs"</formula>
    </cfRule>
  </conditionalFormatting>
  <conditionalFormatting sqref="C34:C36">
    <cfRule type="cellIs" dxfId="12538" priority="16259" stopIfTrue="1" operator="equal">
      <formula>"Towel"</formula>
    </cfRule>
  </conditionalFormatting>
  <conditionalFormatting sqref="C34:C36">
    <cfRule type="cellIs" dxfId="12537" priority="16258" stopIfTrue="1" operator="equal">
      <formula>"Napkin Hs"</formula>
    </cfRule>
  </conditionalFormatting>
  <conditionalFormatting sqref="C34:C36">
    <cfRule type="cellIs" dxfId="12536" priority="16257" stopIfTrue="1" operator="equal">
      <formula>"Towel"</formula>
    </cfRule>
  </conditionalFormatting>
  <conditionalFormatting sqref="C34:C36">
    <cfRule type="cellIs" dxfId="12535" priority="16254" stopIfTrue="1" operator="equal">
      <formula>"Napkin Hs"</formula>
    </cfRule>
  </conditionalFormatting>
  <conditionalFormatting sqref="C34:C36">
    <cfRule type="cellIs" dxfId="12534" priority="16253" stopIfTrue="1" operator="equal">
      <formula>"Towel"</formula>
    </cfRule>
  </conditionalFormatting>
  <conditionalFormatting sqref="C34:C36">
    <cfRule type="cellIs" dxfId="12533" priority="16252" stopIfTrue="1" operator="equal">
      <formula>"Napkin Hs"</formula>
    </cfRule>
  </conditionalFormatting>
  <conditionalFormatting sqref="C34:C36">
    <cfRule type="cellIs" dxfId="12532" priority="16251" stopIfTrue="1" operator="equal">
      <formula>"Towel"</formula>
    </cfRule>
  </conditionalFormatting>
  <conditionalFormatting sqref="C34:C36">
    <cfRule type="cellIs" dxfId="12531" priority="16247" stopIfTrue="1" operator="equal">
      <formula>"Towel"</formula>
    </cfRule>
    <cfRule type="cellIs" dxfId="12530" priority="16248" stopIfTrue="1" operator="equal">
      <formula>"Napkin Hs"</formula>
    </cfRule>
  </conditionalFormatting>
  <conditionalFormatting sqref="C34:C36">
    <cfRule type="cellIs" dxfId="12529" priority="16245" stopIfTrue="1" operator="equal">
      <formula>"Towel"</formula>
    </cfRule>
    <cfRule type="cellIs" dxfId="12528" priority="16246" stopIfTrue="1" operator="equal">
      <formula>"Napkin Hs"</formula>
    </cfRule>
  </conditionalFormatting>
  <conditionalFormatting sqref="C34:C36">
    <cfRule type="cellIs" dxfId="12527" priority="16229" stopIfTrue="1" operator="equal">
      <formula>"Towel"</formula>
    </cfRule>
    <cfRule type="cellIs" dxfId="12526" priority="16230" stopIfTrue="1" operator="equal">
      <formula>"Napkin Hs"</formula>
    </cfRule>
  </conditionalFormatting>
  <conditionalFormatting sqref="C34:C36">
    <cfRule type="cellIs" dxfId="12525" priority="16227" stopIfTrue="1" operator="equal">
      <formula>"Towel"</formula>
    </cfRule>
    <cfRule type="cellIs" dxfId="12524" priority="16228" stopIfTrue="1" operator="equal">
      <formula>"Napkin Hs"</formula>
    </cfRule>
  </conditionalFormatting>
  <conditionalFormatting sqref="C34:C36">
    <cfRule type="cellIs" dxfId="12523" priority="16206" stopIfTrue="1" operator="equal">
      <formula>"Napkin Hs"</formula>
    </cfRule>
  </conditionalFormatting>
  <conditionalFormatting sqref="C34:C36">
    <cfRule type="cellIs" dxfId="12522" priority="16205" stopIfTrue="1" operator="equal">
      <formula>"Towel"</formula>
    </cfRule>
  </conditionalFormatting>
  <conditionalFormatting sqref="C34:C36">
    <cfRule type="cellIs" dxfId="12521" priority="16204" stopIfTrue="1" operator="equal">
      <formula>"Napkin Hs"</formula>
    </cfRule>
  </conditionalFormatting>
  <conditionalFormatting sqref="C34:C36">
    <cfRule type="cellIs" dxfId="12520" priority="16203" stopIfTrue="1" operator="equal">
      <formula>"Towel"</formula>
    </cfRule>
  </conditionalFormatting>
  <conditionalFormatting sqref="C34:C36">
    <cfRule type="cellIs" dxfId="12519" priority="16200" stopIfTrue="1" operator="equal">
      <formula>"Napkin Hs"</formula>
    </cfRule>
  </conditionalFormatting>
  <conditionalFormatting sqref="C34:C36">
    <cfRule type="cellIs" dxfId="12518" priority="16199" stopIfTrue="1" operator="equal">
      <formula>"Towel"</formula>
    </cfRule>
  </conditionalFormatting>
  <conditionalFormatting sqref="C34:C36">
    <cfRule type="cellIs" dxfId="12517" priority="16198" stopIfTrue="1" operator="equal">
      <formula>"Napkin Hs"</formula>
    </cfRule>
  </conditionalFormatting>
  <conditionalFormatting sqref="C34:C36">
    <cfRule type="cellIs" dxfId="12516" priority="16197" stopIfTrue="1" operator="equal">
      <formula>"Towel"</formula>
    </cfRule>
  </conditionalFormatting>
  <conditionalFormatting sqref="B34:C36">
    <cfRule type="cellIs" dxfId="12515" priority="16188" stopIfTrue="1" operator="equal">
      <formula>"Napkin Hs"</formula>
    </cfRule>
  </conditionalFormatting>
  <conditionalFormatting sqref="B34:C36">
    <cfRule type="cellIs" dxfId="12514" priority="16187" stopIfTrue="1" operator="equal">
      <formula>"Towel"</formula>
    </cfRule>
  </conditionalFormatting>
  <conditionalFormatting sqref="C34:C36">
    <cfRule type="cellIs" dxfId="12513" priority="16186" stopIfTrue="1" operator="equal">
      <formula>"Napkin Hs"</formula>
    </cfRule>
  </conditionalFormatting>
  <conditionalFormatting sqref="C34:C36">
    <cfRule type="cellIs" dxfId="12512" priority="16183" stopIfTrue="1" operator="equal">
      <formula>"Towel"</formula>
    </cfRule>
    <cfRule type="cellIs" dxfId="12511" priority="16184" stopIfTrue="1" operator="equal">
      <formula>"Napkin Hs"</formula>
    </cfRule>
  </conditionalFormatting>
  <conditionalFormatting sqref="C34:C36">
    <cfRule type="cellIs" dxfId="12510" priority="16185" stopIfTrue="1" operator="equal">
      <formula>"Towel"</formula>
    </cfRule>
  </conditionalFormatting>
  <conditionalFormatting sqref="B42:C42">
    <cfRule type="cellIs" dxfId="12509" priority="15605" stopIfTrue="1" operator="equal">
      <formula>"Towel"</formula>
    </cfRule>
    <cfRule type="cellIs" dxfId="12508" priority="15606" stopIfTrue="1" operator="equal">
      <formula>"Napkin Hs"</formula>
    </cfRule>
  </conditionalFormatting>
  <conditionalFormatting sqref="C42">
    <cfRule type="cellIs" dxfId="12507" priority="15597" stopIfTrue="1" operator="equal">
      <formula>"Towel"</formula>
    </cfRule>
    <cfRule type="cellIs" dxfId="12506" priority="15598" stopIfTrue="1" operator="equal">
      <formula>"Napkin Hs"</formula>
    </cfRule>
  </conditionalFormatting>
  <conditionalFormatting sqref="C42">
    <cfRule type="cellIs" dxfId="12505" priority="15603" stopIfTrue="1" operator="equal">
      <formula>"Towel"</formula>
    </cfRule>
    <cfRule type="cellIs" dxfId="12504" priority="15604" stopIfTrue="1" operator="equal">
      <formula>"Napkin Hs"</formula>
    </cfRule>
  </conditionalFormatting>
  <conditionalFormatting sqref="C42">
    <cfRule type="cellIs" dxfId="12503" priority="15601" stopIfTrue="1" operator="equal">
      <formula>"Towel"</formula>
    </cfRule>
    <cfRule type="cellIs" dxfId="12502" priority="15602" stopIfTrue="1" operator="equal">
      <formula>"Napkin Hs"</formula>
    </cfRule>
  </conditionalFormatting>
  <conditionalFormatting sqref="B42:C42">
    <cfRule type="cellIs" dxfId="12501" priority="15599" stopIfTrue="1" operator="equal">
      <formula>"Towel"</formula>
    </cfRule>
    <cfRule type="cellIs" dxfId="12500" priority="15600" stopIfTrue="1" operator="equal">
      <formula>"Napkin Hs"</formula>
    </cfRule>
  </conditionalFormatting>
  <conditionalFormatting sqref="C42">
    <cfRule type="cellIs" dxfId="12499" priority="15595" stopIfTrue="1" operator="equal">
      <formula>"Towel"</formula>
    </cfRule>
    <cfRule type="cellIs" dxfId="12498" priority="15596" stopIfTrue="1" operator="equal">
      <formula>"Napkin Hs"</formula>
    </cfRule>
  </conditionalFormatting>
  <conditionalFormatting sqref="B42:C42">
    <cfRule type="cellIs" dxfId="12497" priority="15594" stopIfTrue="1" operator="equal">
      <formula>"Napkin Hs"</formula>
    </cfRule>
  </conditionalFormatting>
  <conditionalFormatting sqref="B42:C42">
    <cfRule type="cellIs" dxfId="12496" priority="15593" stopIfTrue="1" operator="equal">
      <formula>"Towel"</formula>
    </cfRule>
  </conditionalFormatting>
  <conditionalFormatting sqref="C42">
    <cfRule type="cellIs" dxfId="12495" priority="15592" stopIfTrue="1" operator="equal">
      <formula>"Napkin Hs"</formula>
    </cfRule>
  </conditionalFormatting>
  <conditionalFormatting sqref="C42">
    <cfRule type="cellIs" dxfId="12494" priority="15589" stopIfTrue="1" operator="equal">
      <formula>"Towel"</formula>
    </cfRule>
    <cfRule type="cellIs" dxfId="12493" priority="15590" stopIfTrue="1" operator="equal">
      <formula>"Napkin Hs"</formula>
    </cfRule>
  </conditionalFormatting>
  <conditionalFormatting sqref="C42">
    <cfRule type="cellIs" dxfId="12492" priority="15591" stopIfTrue="1" operator="equal">
      <formula>"Towel"</formula>
    </cfRule>
  </conditionalFormatting>
  <conditionalFormatting sqref="C39">
    <cfRule type="cellIs" dxfId="12491" priority="15575" stopIfTrue="1" operator="equal">
      <formula>"Towel"</formula>
    </cfRule>
    <cfRule type="cellIs" dxfId="12490" priority="15576" stopIfTrue="1" operator="equal">
      <formula>"Napkin Hs"</formula>
    </cfRule>
  </conditionalFormatting>
  <conditionalFormatting sqref="C39">
    <cfRule type="cellIs" dxfId="12489" priority="15573" stopIfTrue="1" operator="equal">
      <formula>"Towel"</formula>
    </cfRule>
    <cfRule type="cellIs" dxfId="12488" priority="15574" stopIfTrue="1" operator="equal">
      <formula>"Napkin Hs"</formula>
    </cfRule>
  </conditionalFormatting>
  <conditionalFormatting sqref="C39">
    <cfRule type="cellIs" dxfId="12487" priority="15571" stopIfTrue="1" operator="equal">
      <formula>"Towel"</formula>
    </cfRule>
    <cfRule type="cellIs" dxfId="12486" priority="15572" stopIfTrue="1" operator="equal">
      <formula>"Napkin Hs"</formula>
    </cfRule>
  </conditionalFormatting>
  <conditionalFormatting sqref="C39">
    <cfRule type="cellIs" dxfId="12485" priority="15570" stopIfTrue="1" operator="equal">
      <formula>"Napkin Hs"</formula>
    </cfRule>
  </conditionalFormatting>
  <conditionalFormatting sqref="C39">
    <cfRule type="cellIs" dxfId="12484" priority="15569" stopIfTrue="1" operator="equal">
      <formula>"Towel"</formula>
    </cfRule>
  </conditionalFormatting>
  <conditionalFormatting sqref="C39">
    <cfRule type="cellIs" dxfId="12483" priority="15568" stopIfTrue="1" operator="equal">
      <formula>"Napkin Hs"</formula>
    </cfRule>
  </conditionalFormatting>
  <conditionalFormatting sqref="C39">
    <cfRule type="cellIs" dxfId="12482" priority="15567" stopIfTrue="1" operator="equal">
      <formula>"Towel"</formula>
    </cfRule>
  </conditionalFormatting>
  <conditionalFormatting sqref="C39">
    <cfRule type="cellIs" dxfId="12481" priority="15565" stopIfTrue="1" operator="equal">
      <formula>"Towel"</formula>
    </cfRule>
    <cfRule type="cellIs" dxfId="12480" priority="15566" stopIfTrue="1" operator="equal">
      <formula>"Napkin Hs"</formula>
    </cfRule>
  </conditionalFormatting>
  <conditionalFormatting sqref="C39">
    <cfRule type="cellIs" dxfId="12479" priority="15563" stopIfTrue="1" operator="equal">
      <formula>"Towel"</formula>
    </cfRule>
    <cfRule type="cellIs" dxfId="12478" priority="15564" stopIfTrue="1" operator="equal">
      <formula>"Napkin Hs"</formula>
    </cfRule>
  </conditionalFormatting>
  <conditionalFormatting sqref="C39">
    <cfRule type="cellIs" dxfId="12477" priority="15559" stopIfTrue="1" operator="equal">
      <formula>"Towel"</formula>
    </cfRule>
    <cfRule type="cellIs" dxfId="12476" priority="15560" stopIfTrue="1" operator="equal">
      <formula>"Napkin Hs"</formula>
    </cfRule>
  </conditionalFormatting>
  <conditionalFormatting sqref="C39">
    <cfRule type="cellIs" dxfId="12475" priority="15561" stopIfTrue="1" operator="equal">
      <formula>"Towel"</formula>
    </cfRule>
    <cfRule type="cellIs" dxfId="12474" priority="15562" stopIfTrue="1" operator="equal">
      <formula>"Napkin Hs"</formula>
    </cfRule>
  </conditionalFormatting>
  <conditionalFormatting sqref="C39">
    <cfRule type="cellIs" dxfId="12473" priority="15553" stopIfTrue="1" operator="equal">
      <formula>"Towel"</formula>
    </cfRule>
    <cfRule type="cellIs" dxfId="12472" priority="15554" stopIfTrue="1" operator="equal">
      <formula>"Napkin Hs"</formula>
    </cfRule>
  </conditionalFormatting>
  <conditionalFormatting sqref="C39">
    <cfRule type="cellIs" dxfId="12471" priority="15551" stopIfTrue="1" operator="equal">
      <formula>"Towel"</formula>
    </cfRule>
    <cfRule type="cellIs" dxfId="12470" priority="15552" stopIfTrue="1" operator="equal">
      <formula>"Napkin Hs"</formula>
    </cfRule>
  </conditionalFormatting>
  <conditionalFormatting sqref="C39">
    <cfRule type="cellIs" dxfId="12469" priority="15549" stopIfTrue="1" operator="equal">
      <formula>"Towel"</formula>
    </cfRule>
    <cfRule type="cellIs" dxfId="12468" priority="15550" stopIfTrue="1" operator="equal">
      <formula>"Napkin Hs"</formula>
    </cfRule>
  </conditionalFormatting>
  <conditionalFormatting sqref="C39">
    <cfRule type="cellIs" dxfId="12467" priority="15547" stopIfTrue="1" operator="equal">
      <formula>"Towel"</formula>
    </cfRule>
    <cfRule type="cellIs" dxfId="12466" priority="15548" stopIfTrue="1" operator="equal">
      <formula>"Napkin Hs"</formula>
    </cfRule>
  </conditionalFormatting>
  <conditionalFormatting sqref="C39">
    <cfRule type="cellIs" dxfId="12465" priority="15545" stopIfTrue="1" operator="equal">
      <formula>"Towel"</formula>
    </cfRule>
    <cfRule type="cellIs" dxfId="12464" priority="15546" stopIfTrue="1" operator="equal">
      <formula>"Napkin Hs"</formula>
    </cfRule>
  </conditionalFormatting>
  <conditionalFormatting sqref="C39">
    <cfRule type="cellIs" dxfId="12463" priority="15543" stopIfTrue="1" operator="equal">
      <formula>"Towel"</formula>
    </cfRule>
    <cfRule type="cellIs" dxfId="12462" priority="15544" stopIfTrue="1" operator="equal">
      <formula>"Napkin Hs"</formula>
    </cfRule>
  </conditionalFormatting>
  <conditionalFormatting sqref="C39">
    <cfRule type="cellIs" dxfId="12461" priority="15541" stopIfTrue="1" operator="equal">
      <formula>"Towel"</formula>
    </cfRule>
    <cfRule type="cellIs" dxfId="12460" priority="15542" stopIfTrue="1" operator="equal">
      <formula>"Napkin Hs"</formula>
    </cfRule>
  </conditionalFormatting>
  <conditionalFormatting sqref="C39">
    <cfRule type="cellIs" dxfId="12459" priority="15539" stopIfTrue="1" operator="equal">
      <formula>"Towel"</formula>
    </cfRule>
    <cfRule type="cellIs" dxfId="12458" priority="15540" stopIfTrue="1" operator="equal">
      <formula>"Napkin Hs"</formula>
    </cfRule>
  </conditionalFormatting>
  <conditionalFormatting sqref="C39">
    <cfRule type="cellIs" dxfId="12457" priority="15537" stopIfTrue="1" operator="equal">
      <formula>"Towel"</formula>
    </cfRule>
    <cfRule type="cellIs" dxfId="12456" priority="15538" stopIfTrue="1" operator="equal">
      <formula>"Napkin Hs"</formula>
    </cfRule>
  </conditionalFormatting>
  <conditionalFormatting sqref="C39">
    <cfRule type="cellIs" dxfId="12455" priority="15535" stopIfTrue="1" operator="equal">
      <formula>"Towel"</formula>
    </cfRule>
    <cfRule type="cellIs" dxfId="12454" priority="15536" stopIfTrue="1" operator="equal">
      <formula>"Napkin Hs"</formula>
    </cfRule>
  </conditionalFormatting>
  <conditionalFormatting sqref="C39">
    <cfRule type="cellIs" dxfId="12453" priority="15529" stopIfTrue="1" operator="equal">
      <formula>"Towel"</formula>
    </cfRule>
    <cfRule type="cellIs" dxfId="12452" priority="15530" stopIfTrue="1" operator="equal">
      <formula>"Napkin Hs"</formula>
    </cfRule>
  </conditionalFormatting>
  <conditionalFormatting sqref="C39">
    <cfRule type="cellIs" dxfId="12451" priority="15523" stopIfTrue="1" operator="equal">
      <formula>"Towel"</formula>
    </cfRule>
    <cfRule type="cellIs" dxfId="12450" priority="15524" stopIfTrue="1" operator="equal">
      <formula>"Napkin Hs"</formula>
    </cfRule>
  </conditionalFormatting>
  <conditionalFormatting sqref="C39">
    <cfRule type="cellIs" dxfId="12449" priority="15517" stopIfTrue="1" operator="equal">
      <formula>"Towel"</formula>
    </cfRule>
    <cfRule type="cellIs" dxfId="12448" priority="15518" stopIfTrue="1" operator="equal">
      <formula>"Napkin Hs"</formula>
    </cfRule>
  </conditionalFormatting>
  <conditionalFormatting sqref="C39">
    <cfRule type="cellIs" dxfId="12447" priority="15516" stopIfTrue="1" operator="equal">
      <formula>"Napkin Hs"</formula>
    </cfRule>
  </conditionalFormatting>
  <conditionalFormatting sqref="C39">
    <cfRule type="cellIs" dxfId="12446" priority="15515" stopIfTrue="1" operator="equal">
      <formula>"Towel"</formula>
    </cfRule>
  </conditionalFormatting>
  <conditionalFormatting sqref="C39">
    <cfRule type="cellIs" dxfId="12445" priority="15514" stopIfTrue="1" operator="equal">
      <formula>"Napkin Hs"</formula>
    </cfRule>
  </conditionalFormatting>
  <conditionalFormatting sqref="C39">
    <cfRule type="cellIs" dxfId="12444" priority="15513" stopIfTrue="1" operator="equal">
      <formula>"Towel"</formula>
    </cfRule>
  </conditionalFormatting>
  <conditionalFormatting sqref="C39">
    <cfRule type="cellIs" dxfId="12443" priority="15511" stopIfTrue="1" operator="equal">
      <formula>"Towel"</formula>
    </cfRule>
    <cfRule type="cellIs" dxfId="12442" priority="15512" stopIfTrue="1" operator="equal">
      <formula>"Napkin Hs"</formula>
    </cfRule>
  </conditionalFormatting>
  <conditionalFormatting sqref="C39">
    <cfRule type="cellIs" dxfId="12441" priority="15509" stopIfTrue="1" operator="equal">
      <formula>"Towel"</formula>
    </cfRule>
    <cfRule type="cellIs" dxfId="12440" priority="15510" stopIfTrue="1" operator="equal">
      <formula>"Napkin Hs"</formula>
    </cfRule>
  </conditionalFormatting>
  <conditionalFormatting sqref="C39">
    <cfRule type="cellIs" dxfId="12439" priority="15505" stopIfTrue="1" operator="equal">
      <formula>"Towel"</formula>
    </cfRule>
    <cfRule type="cellIs" dxfId="12438" priority="15506" stopIfTrue="1" operator="equal">
      <formula>"Napkin Hs"</formula>
    </cfRule>
  </conditionalFormatting>
  <conditionalFormatting sqref="C39">
    <cfRule type="cellIs" dxfId="12437" priority="15507" stopIfTrue="1" operator="equal">
      <formula>"Towel"</formula>
    </cfRule>
    <cfRule type="cellIs" dxfId="12436" priority="15508" stopIfTrue="1" operator="equal">
      <formula>"Napkin Hs"</formula>
    </cfRule>
  </conditionalFormatting>
  <conditionalFormatting sqref="C39">
    <cfRule type="cellIs" dxfId="12435" priority="15499" stopIfTrue="1" operator="equal">
      <formula>"Towel"</formula>
    </cfRule>
    <cfRule type="cellIs" dxfId="12434" priority="15500" stopIfTrue="1" operator="equal">
      <formula>"Napkin Hs"</formula>
    </cfRule>
  </conditionalFormatting>
  <conditionalFormatting sqref="C39">
    <cfRule type="cellIs" dxfId="12433" priority="15497" stopIfTrue="1" operator="equal">
      <formula>"Towel"</formula>
    </cfRule>
    <cfRule type="cellIs" dxfId="12432" priority="15498" stopIfTrue="1" operator="equal">
      <formula>"Napkin Hs"</formula>
    </cfRule>
  </conditionalFormatting>
  <conditionalFormatting sqref="C39">
    <cfRule type="cellIs" dxfId="12431" priority="15495" stopIfTrue="1" operator="equal">
      <formula>"Towel"</formula>
    </cfRule>
    <cfRule type="cellIs" dxfId="12430" priority="15496" stopIfTrue="1" operator="equal">
      <formula>"Napkin Hs"</formula>
    </cfRule>
  </conditionalFormatting>
  <conditionalFormatting sqref="C39">
    <cfRule type="cellIs" dxfId="12429" priority="15493" stopIfTrue="1" operator="equal">
      <formula>"Towel"</formula>
    </cfRule>
    <cfRule type="cellIs" dxfId="12428" priority="15494" stopIfTrue="1" operator="equal">
      <formula>"Napkin Hs"</formula>
    </cfRule>
  </conditionalFormatting>
  <conditionalFormatting sqref="C39">
    <cfRule type="cellIs" dxfId="12427" priority="15491" stopIfTrue="1" operator="equal">
      <formula>"Towel"</formula>
    </cfRule>
    <cfRule type="cellIs" dxfId="12426" priority="15492" stopIfTrue="1" operator="equal">
      <formula>"Napkin Hs"</formula>
    </cfRule>
  </conditionalFormatting>
  <conditionalFormatting sqref="C39">
    <cfRule type="cellIs" dxfId="12425" priority="15489" stopIfTrue="1" operator="equal">
      <formula>"Towel"</formula>
    </cfRule>
    <cfRule type="cellIs" dxfId="12424" priority="15490" stopIfTrue="1" operator="equal">
      <formula>"Napkin Hs"</formula>
    </cfRule>
  </conditionalFormatting>
  <conditionalFormatting sqref="C39">
    <cfRule type="cellIs" dxfId="12423" priority="15487" stopIfTrue="1" operator="equal">
      <formula>"Towel"</formula>
    </cfRule>
    <cfRule type="cellIs" dxfId="12422" priority="15488" stopIfTrue="1" operator="equal">
      <formula>"Napkin Hs"</formula>
    </cfRule>
  </conditionalFormatting>
  <conditionalFormatting sqref="C39">
    <cfRule type="cellIs" dxfId="12421" priority="15485" stopIfTrue="1" operator="equal">
      <formula>"Towel"</formula>
    </cfRule>
    <cfRule type="cellIs" dxfId="12420" priority="15486" stopIfTrue="1" operator="equal">
      <formula>"Napkin Hs"</formula>
    </cfRule>
  </conditionalFormatting>
  <conditionalFormatting sqref="C39">
    <cfRule type="cellIs" dxfId="12419" priority="15483" stopIfTrue="1" operator="equal">
      <formula>"Towel"</formula>
    </cfRule>
    <cfRule type="cellIs" dxfId="12418" priority="15484" stopIfTrue="1" operator="equal">
      <formula>"Napkin Hs"</formula>
    </cfRule>
  </conditionalFormatting>
  <conditionalFormatting sqref="C39">
    <cfRule type="cellIs" dxfId="12417" priority="15481" stopIfTrue="1" operator="equal">
      <formula>"Towel"</formula>
    </cfRule>
    <cfRule type="cellIs" dxfId="12416" priority="15482" stopIfTrue="1" operator="equal">
      <formula>"Napkin Hs"</formula>
    </cfRule>
  </conditionalFormatting>
  <conditionalFormatting sqref="C39">
    <cfRule type="cellIs" dxfId="12415" priority="15475" stopIfTrue="1" operator="equal">
      <formula>"Towel"</formula>
    </cfRule>
    <cfRule type="cellIs" dxfId="12414" priority="15476" stopIfTrue="1" operator="equal">
      <formula>"Napkin Hs"</formula>
    </cfRule>
  </conditionalFormatting>
  <conditionalFormatting sqref="C39">
    <cfRule type="cellIs" dxfId="12413" priority="15469" stopIfTrue="1" operator="equal">
      <formula>"Towel"</formula>
    </cfRule>
    <cfRule type="cellIs" dxfId="12412" priority="15470" stopIfTrue="1" operator="equal">
      <formula>"Napkin Hs"</formula>
    </cfRule>
  </conditionalFormatting>
  <conditionalFormatting sqref="C39">
    <cfRule type="cellIs" dxfId="12411" priority="15468" stopIfTrue="1" operator="equal">
      <formula>"Napkin Hs"</formula>
    </cfRule>
  </conditionalFormatting>
  <conditionalFormatting sqref="C39">
    <cfRule type="cellIs" dxfId="12410" priority="15467" stopIfTrue="1" operator="equal">
      <formula>"Towel"</formula>
    </cfRule>
  </conditionalFormatting>
  <conditionalFormatting sqref="C39">
    <cfRule type="cellIs" dxfId="12409" priority="15466" stopIfTrue="1" operator="equal">
      <formula>"Napkin Hs"</formula>
    </cfRule>
  </conditionalFormatting>
  <conditionalFormatting sqref="C39">
    <cfRule type="cellIs" dxfId="12408" priority="15463" stopIfTrue="1" operator="equal">
      <formula>"Towel"</formula>
    </cfRule>
    <cfRule type="cellIs" dxfId="12407" priority="15464" stopIfTrue="1" operator="equal">
      <formula>"Napkin Hs"</formula>
    </cfRule>
  </conditionalFormatting>
  <conditionalFormatting sqref="C39">
    <cfRule type="cellIs" dxfId="12406" priority="15465" stopIfTrue="1" operator="equal">
      <formula>"Towel"</formula>
    </cfRule>
  </conditionalFormatting>
  <conditionalFormatting sqref="C39">
    <cfRule type="cellIs" dxfId="12405" priority="15583" stopIfTrue="1" operator="equal">
      <formula>"Towel"</formula>
    </cfRule>
    <cfRule type="cellIs" dxfId="12404" priority="15584" stopIfTrue="1" operator="equal">
      <formula>"Napkin Hs"</formula>
    </cfRule>
  </conditionalFormatting>
  <conditionalFormatting sqref="C39">
    <cfRule type="cellIs" dxfId="12403" priority="15582" stopIfTrue="1" operator="equal">
      <formula>"Napkin Hs"</formula>
    </cfRule>
  </conditionalFormatting>
  <conditionalFormatting sqref="C39">
    <cfRule type="cellIs" dxfId="12402" priority="15581" stopIfTrue="1" operator="equal">
      <formula>"Towel"</formula>
    </cfRule>
  </conditionalFormatting>
  <conditionalFormatting sqref="C39">
    <cfRule type="cellIs" dxfId="12401" priority="15580" stopIfTrue="1" operator="equal">
      <formula>"Napkin Hs"</formula>
    </cfRule>
  </conditionalFormatting>
  <conditionalFormatting sqref="C39">
    <cfRule type="cellIs" dxfId="12400" priority="15577" stopIfTrue="1" operator="equal">
      <formula>"Towel"</formula>
    </cfRule>
    <cfRule type="cellIs" dxfId="12399" priority="15578" stopIfTrue="1" operator="equal">
      <formula>"Napkin Hs"</formula>
    </cfRule>
  </conditionalFormatting>
  <conditionalFormatting sqref="C39">
    <cfRule type="cellIs" dxfId="12398" priority="15579" stopIfTrue="1" operator="equal">
      <formula>"Towel"</formula>
    </cfRule>
  </conditionalFormatting>
  <conditionalFormatting sqref="C39">
    <cfRule type="cellIs" dxfId="12397" priority="15587" stopIfTrue="1" operator="equal">
      <formula>"Towel"</formula>
    </cfRule>
    <cfRule type="cellIs" dxfId="12396" priority="15588" stopIfTrue="1" operator="equal">
      <formula>"Napkin Hs"</formula>
    </cfRule>
  </conditionalFormatting>
  <conditionalFormatting sqref="C39">
    <cfRule type="cellIs" dxfId="12395" priority="15585" stopIfTrue="1" operator="equal">
      <formula>"Towel"</formula>
    </cfRule>
    <cfRule type="cellIs" dxfId="12394" priority="15586" stopIfTrue="1" operator="equal">
      <formula>"Napkin Hs"</formula>
    </cfRule>
  </conditionalFormatting>
  <conditionalFormatting sqref="C39">
    <cfRule type="cellIs" dxfId="12393" priority="15557" stopIfTrue="1" operator="equal">
      <formula>"Towel"</formula>
    </cfRule>
    <cfRule type="cellIs" dxfId="12392" priority="15558" stopIfTrue="1" operator="equal">
      <formula>"Napkin Hs"</formula>
    </cfRule>
  </conditionalFormatting>
  <conditionalFormatting sqref="C39">
    <cfRule type="cellIs" dxfId="12391" priority="15555" stopIfTrue="1" operator="equal">
      <formula>"Towel"</formula>
    </cfRule>
    <cfRule type="cellIs" dxfId="12390" priority="15556" stopIfTrue="1" operator="equal">
      <formula>"Napkin Hs"</formula>
    </cfRule>
  </conditionalFormatting>
  <conditionalFormatting sqref="C39">
    <cfRule type="cellIs" dxfId="12389" priority="15534" stopIfTrue="1" operator="equal">
      <formula>"Napkin Hs"</formula>
    </cfRule>
  </conditionalFormatting>
  <conditionalFormatting sqref="C39">
    <cfRule type="cellIs" dxfId="12388" priority="15533" stopIfTrue="1" operator="equal">
      <formula>"Towel"</formula>
    </cfRule>
  </conditionalFormatting>
  <conditionalFormatting sqref="C39">
    <cfRule type="cellIs" dxfId="12387" priority="15532" stopIfTrue="1" operator="equal">
      <formula>"Napkin Hs"</formula>
    </cfRule>
  </conditionalFormatting>
  <conditionalFormatting sqref="C39">
    <cfRule type="cellIs" dxfId="12386" priority="15531" stopIfTrue="1" operator="equal">
      <formula>"Towel"</formula>
    </cfRule>
  </conditionalFormatting>
  <conditionalFormatting sqref="C39">
    <cfRule type="cellIs" dxfId="12385" priority="15528" stopIfTrue="1" operator="equal">
      <formula>"Napkin Hs"</formula>
    </cfRule>
  </conditionalFormatting>
  <conditionalFormatting sqref="C39">
    <cfRule type="cellIs" dxfId="12384" priority="15527" stopIfTrue="1" operator="equal">
      <formula>"Towel"</formula>
    </cfRule>
  </conditionalFormatting>
  <conditionalFormatting sqref="C39">
    <cfRule type="cellIs" dxfId="12383" priority="15526" stopIfTrue="1" operator="equal">
      <formula>"Napkin Hs"</formula>
    </cfRule>
  </conditionalFormatting>
  <conditionalFormatting sqref="C39">
    <cfRule type="cellIs" dxfId="12382" priority="15525" stopIfTrue="1" operator="equal">
      <formula>"Towel"</formula>
    </cfRule>
  </conditionalFormatting>
  <conditionalFormatting sqref="C39">
    <cfRule type="cellIs" dxfId="12381" priority="15521" stopIfTrue="1" operator="equal">
      <formula>"Towel"</formula>
    </cfRule>
    <cfRule type="cellIs" dxfId="12380" priority="15522" stopIfTrue="1" operator="equal">
      <formula>"Napkin Hs"</formula>
    </cfRule>
  </conditionalFormatting>
  <conditionalFormatting sqref="C39">
    <cfRule type="cellIs" dxfId="12379" priority="15519" stopIfTrue="1" operator="equal">
      <formula>"Towel"</formula>
    </cfRule>
    <cfRule type="cellIs" dxfId="12378" priority="15520" stopIfTrue="1" operator="equal">
      <formula>"Napkin Hs"</formula>
    </cfRule>
  </conditionalFormatting>
  <conditionalFormatting sqref="C39">
    <cfRule type="cellIs" dxfId="12377" priority="15503" stopIfTrue="1" operator="equal">
      <formula>"Towel"</formula>
    </cfRule>
    <cfRule type="cellIs" dxfId="12376" priority="15504" stopIfTrue="1" operator="equal">
      <formula>"Napkin Hs"</formula>
    </cfRule>
  </conditionalFormatting>
  <conditionalFormatting sqref="C39">
    <cfRule type="cellIs" dxfId="12375" priority="15501" stopIfTrue="1" operator="equal">
      <formula>"Towel"</formula>
    </cfRule>
    <cfRule type="cellIs" dxfId="12374" priority="15502" stopIfTrue="1" operator="equal">
      <formula>"Napkin Hs"</formula>
    </cfRule>
  </conditionalFormatting>
  <conditionalFormatting sqref="C39">
    <cfRule type="cellIs" dxfId="12373" priority="15480" stopIfTrue="1" operator="equal">
      <formula>"Napkin Hs"</formula>
    </cfRule>
  </conditionalFormatting>
  <conditionalFormatting sqref="C39">
    <cfRule type="cellIs" dxfId="12372" priority="15479" stopIfTrue="1" operator="equal">
      <formula>"Towel"</formula>
    </cfRule>
  </conditionalFormatting>
  <conditionalFormatting sqref="C39">
    <cfRule type="cellIs" dxfId="12371" priority="15478" stopIfTrue="1" operator="equal">
      <formula>"Napkin Hs"</formula>
    </cfRule>
  </conditionalFormatting>
  <conditionalFormatting sqref="C39">
    <cfRule type="cellIs" dxfId="12370" priority="15477" stopIfTrue="1" operator="equal">
      <formula>"Towel"</formula>
    </cfRule>
  </conditionalFormatting>
  <conditionalFormatting sqref="C39">
    <cfRule type="cellIs" dxfId="12369" priority="15474" stopIfTrue="1" operator="equal">
      <formula>"Napkin Hs"</formula>
    </cfRule>
  </conditionalFormatting>
  <conditionalFormatting sqref="C39">
    <cfRule type="cellIs" dxfId="12368" priority="15473" stopIfTrue="1" operator="equal">
      <formula>"Towel"</formula>
    </cfRule>
  </conditionalFormatting>
  <conditionalFormatting sqref="C39">
    <cfRule type="cellIs" dxfId="12367" priority="15472" stopIfTrue="1" operator="equal">
      <formula>"Napkin Hs"</formula>
    </cfRule>
  </conditionalFormatting>
  <conditionalFormatting sqref="C39">
    <cfRule type="cellIs" dxfId="12366" priority="15471" stopIfTrue="1" operator="equal">
      <formula>"Towel"</formula>
    </cfRule>
  </conditionalFormatting>
  <conditionalFormatting sqref="B39:C39">
    <cfRule type="cellIs" dxfId="12365" priority="15462" stopIfTrue="1" operator="equal">
      <formula>"Napkin Hs"</formula>
    </cfRule>
  </conditionalFormatting>
  <conditionalFormatting sqref="B39:C39">
    <cfRule type="cellIs" dxfId="12364" priority="15461" stopIfTrue="1" operator="equal">
      <formula>"Towel"</formula>
    </cfRule>
  </conditionalFormatting>
  <conditionalFormatting sqref="C39">
    <cfRule type="cellIs" dxfId="12363" priority="15460" stopIfTrue="1" operator="equal">
      <formula>"Napkin Hs"</formula>
    </cfRule>
  </conditionalFormatting>
  <conditionalFormatting sqref="C39">
    <cfRule type="cellIs" dxfId="12362" priority="15457" stopIfTrue="1" operator="equal">
      <formula>"Towel"</formula>
    </cfRule>
    <cfRule type="cellIs" dxfId="12361" priority="15458" stopIfTrue="1" operator="equal">
      <formula>"Napkin Hs"</formula>
    </cfRule>
  </conditionalFormatting>
  <conditionalFormatting sqref="C39">
    <cfRule type="cellIs" dxfId="12360" priority="15459" stopIfTrue="1" operator="equal">
      <formula>"Towel"</formula>
    </cfRule>
  </conditionalFormatting>
  <conditionalFormatting sqref="C38">
    <cfRule type="cellIs" dxfId="12359" priority="15443" stopIfTrue="1" operator="equal">
      <formula>"Towel"</formula>
    </cfRule>
    <cfRule type="cellIs" dxfId="12358" priority="15444" stopIfTrue="1" operator="equal">
      <formula>"Napkin Hs"</formula>
    </cfRule>
  </conditionalFormatting>
  <conditionalFormatting sqref="C38">
    <cfRule type="cellIs" dxfId="12357" priority="15441" stopIfTrue="1" operator="equal">
      <formula>"Towel"</formula>
    </cfRule>
    <cfRule type="cellIs" dxfId="12356" priority="15442" stopIfTrue="1" operator="equal">
      <formula>"Napkin Hs"</formula>
    </cfRule>
  </conditionalFormatting>
  <conditionalFormatting sqref="C38">
    <cfRule type="cellIs" dxfId="12355" priority="15439" stopIfTrue="1" operator="equal">
      <formula>"Towel"</formula>
    </cfRule>
    <cfRule type="cellIs" dxfId="12354" priority="15440" stopIfTrue="1" operator="equal">
      <formula>"Napkin Hs"</formula>
    </cfRule>
  </conditionalFormatting>
  <conditionalFormatting sqref="C38">
    <cfRule type="cellIs" dxfId="12353" priority="15438" stopIfTrue="1" operator="equal">
      <formula>"Napkin Hs"</formula>
    </cfRule>
  </conditionalFormatting>
  <conditionalFormatting sqref="C38">
    <cfRule type="cellIs" dxfId="12352" priority="15437" stopIfTrue="1" operator="equal">
      <formula>"Towel"</formula>
    </cfRule>
  </conditionalFormatting>
  <conditionalFormatting sqref="C38">
    <cfRule type="cellIs" dxfId="12351" priority="15436" stopIfTrue="1" operator="equal">
      <formula>"Napkin Hs"</formula>
    </cfRule>
  </conditionalFormatting>
  <conditionalFormatting sqref="C38">
    <cfRule type="cellIs" dxfId="12350" priority="15435" stopIfTrue="1" operator="equal">
      <formula>"Towel"</formula>
    </cfRule>
  </conditionalFormatting>
  <conditionalFormatting sqref="C38">
    <cfRule type="cellIs" dxfId="12349" priority="15433" stopIfTrue="1" operator="equal">
      <formula>"Towel"</formula>
    </cfRule>
    <cfRule type="cellIs" dxfId="12348" priority="15434" stopIfTrue="1" operator="equal">
      <formula>"Napkin Hs"</formula>
    </cfRule>
  </conditionalFormatting>
  <conditionalFormatting sqref="C38">
    <cfRule type="cellIs" dxfId="12347" priority="15431" stopIfTrue="1" operator="equal">
      <formula>"Towel"</formula>
    </cfRule>
    <cfRule type="cellIs" dxfId="12346" priority="15432" stopIfTrue="1" operator="equal">
      <formula>"Napkin Hs"</formula>
    </cfRule>
  </conditionalFormatting>
  <conditionalFormatting sqref="C38">
    <cfRule type="cellIs" dxfId="12345" priority="15427" stopIfTrue="1" operator="equal">
      <formula>"Towel"</formula>
    </cfRule>
    <cfRule type="cellIs" dxfId="12344" priority="15428" stopIfTrue="1" operator="equal">
      <formula>"Napkin Hs"</formula>
    </cfRule>
  </conditionalFormatting>
  <conditionalFormatting sqref="C38">
    <cfRule type="cellIs" dxfId="12343" priority="15429" stopIfTrue="1" operator="equal">
      <formula>"Towel"</formula>
    </cfRule>
    <cfRule type="cellIs" dxfId="12342" priority="15430" stopIfTrue="1" operator="equal">
      <formula>"Napkin Hs"</formula>
    </cfRule>
  </conditionalFormatting>
  <conditionalFormatting sqref="C38">
    <cfRule type="cellIs" dxfId="12341" priority="15421" stopIfTrue="1" operator="equal">
      <formula>"Towel"</formula>
    </cfRule>
    <cfRule type="cellIs" dxfId="12340" priority="15422" stopIfTrue="1" operator="equal">
      <formula>"Napkin Hs"</formula>
    </cfRule>
  </conditionalFormatting>
  <conditionalFormatting sqref="C38">
    <cfRule type="cellIs" dxfId="12339" priority="15419" stopIfTrue="1" operator="equal">
      <formula>"Towel"</formula>
    </cfRule>
    <cfRule type="cellIs" dxfId="12338" priority="15420" stopIfTrue="1" operator="equal">
      <formula>"Napkin Hs"</formula>
    </cfRule>
  </conditionalFormatting>
  <conditionalFormatting sqref="C38">
    <cfRule type="cellIs" dxfId="12337" priority="15417" stopIfTrue="1" operator="equal">
      <formula>"Towel"</formula>
    </cfRule>
    <cfRule type="cellIs" dxfId="12336" priority="15418" stopIfTrue="1" operator="equal">
      <formula>"Napkin Hs"</formula>
    </cfRule>
  </conditionalFormatting>
  <conditionalFormatting sqref="C38">
    <cfRule type="cellIs" dxfId="12335" priority="15415" stopIfTrue="1" operator="equal">
      <formula>"Towel"</formula>
    </cfRule>
    <cfRule type="cellIs" dxfId="12334" priority="15416" stopIfTrue="1" operator="equal">
      <formula>"Napkin Hs"</formula>
    </cfRule>
  </conditionalFormatting>
  <conditionalFormatting sqref="C38">
    <cfRule type="cellIs" dxfId="12333" priority="15413" stopIfTrue="1" operator="equal">
      <formula>"Towel"</formula>
    </cfRule>
    <cfRule type="cellIs" dxfId="12332" priority="15414" stopIfTrue="1" operator="equal">
      <formula>"Napkin Hs"</formula>
    </cfRule>
  </conditionalFormatting>
  <conditionalFormatting sqref="C38">
    <cfRule type="cellIs" dxfId="12331" priority="15411" stopIfTrue="1" operator="equal">
      <formula>"Towel"</formula>
    </cfRule>
    <cfRule type="cellIs" dxfId="12330" priority="15412" stopIfTrue="1" operator="equal">
      <formula>"Napkin Hs"</formula>
    </cfRule>
  </conditionalFormatting>
  <conditionalFormatting sqref="C38">
    <cfRule type="cellIs" dxfId="12329" priority="15409" stopIfTrue="1" operator="equal">
      <formula>"Towel"</formula>
    </cfRule>
    <cfRule type="cellIs" dxfId="12328" priority="15410" stopIfTrue="1" operator="equal">
      <formula>"Napkin Hs"</formula>
    </cfRule>
  </conditionalFormatting>
  <conditionalFormatting sqref="C38">
    <cfRule type="cellIs" dxfId="12327" priority="15407" stopIfTrue="1" operator="equal">
      <formula>"Towel"</formula>
    </cfRule>
    <cfRule type="cellIs" dxfId="12326" priority="15408" stopIfTrue="1" operator="equal">
      <formula>"Napkin Hs"</formula>
    </cfRule>
  </conditionalFormatting>
  <conditionalFormatting sqref="C38">
    <cfRule type="cellIs" dxfId="12325" priority="15405" stopIfTrue="1" operator="equal">
      <formula>"Towel"</formula>
    </cfRule>
    <cfRule type="cellIs" dxfId="12324" priority="15406" stopIfTrue="1" operator="equal">
      <formula>"Napkin Hs"</formula>
    </cfRule>
  </conditionalFormatting>
  <conditionalFormatting sqref="C38">
    <cfRule type="cellIs" dxfId="12323" priority="15403" stopIfTrue="1" operator="equal">
      <formula>"Towel"</formula>
    </cfRule>
    <cfRule type="cellIs" dxfId="12322" priority="15404" stopIfTrue="1" operator="equal">
      <formula>"Napkin Hs"</formula>
    </cfRule>
  </conditionalFormatting>
  <conditionalFormatting sqref="C38">
    <cfRule type="cellIs" dxfId="12321" priority="15397" stopIfTrue="1" operator="equal">
      <formula>"Towel"</formula>
    </cfRule>
    <cfRule type="cellIs" dxfId="12320" priority="15398" stopIfTrue="1" operator="equal">
      <formula>"Napkin Hs"</formula>
    </cfRule>
  </conditionalFormatting>
  <conditionalFormatting sqref="C38">
    <cfRule type="cellIs" dxfId="12319" priority="15391" stopIfTrue="1" operator="equal">
      <formula>"Towel"</formula>
    </cfRule>
    <cfRule type="cellIs" dxfId="12318" priority="15392" stopIfTrue="1" operator="equal">
      <formula>"Napkin Hs"</formula>
    </cfRule>
  </conditionalFormatting>
  <conditionalFormatting sqref="C38">
    <cfRule type="cellIs" dxfId="12317" priority="15385" stopIfTrue="1" operator="equal">
      <formula>"Towel"</formula>
    </cfRule>
    <cfRule type="cellIs" dxfId="12316" priority="15386" stopIfTrue="1" operator="equal">
      <formula>"Napkin Hs"</formula>
    </cfRule>
  </conditionalFormatting>
  <conditionalFormatting sqref="C38">
    <cfRule type="cellIs" dxfId="12315" priority="15384" stopIfTrue="1" operator="equal">
      <formula>"Napkin Hs"</formula>
    </cfRule>
  </conditionalFormatting>
  <conditionalFormatting sqref="C38">
    <cfRule type="cellIs" dxfId="12314" priority="15383" stopIfTrue="1" operator="equal">
      <formula>"Towel"</formula>
    </cfRule>
  </conditionalFormatting>
  <conditionalFormatting sqref="C38">
    <cfRule type="cellIs" dxfId="12313" priority="15382" stopIfTrue="1" operator="equal">
      <formula>"Napkin Hs"</formula>
    </cfRule>
  </conditionalFormatting>
  <conditionalFormatting sqref="C38">
    <cfRule type="cellIs" dxfId="12312" priority="15381" stopIfTrue="1" operator="equal">
      <formula>"Towel"</formula>
    </cfRule>
  </conditionalFormatting>
  <conditionalFormatting sqref="C38">
    <cfRule type="cellIs" dxfId="12311" priority="15379" stopIfTrue="1" operator="equal">
      <formula>"Towel"</formula>
    </cfRule>
    <cfRule type="cellIs" dxfId="12310" priority="15380" stopIfTrue="1" operator="equal">
      <formula>"Napkin Hs"</formula>
    </cfRule>
  </conditionalFormatting>
  <conditionalFormatting sqref="C38">
    <cfRule type="cellIs" dxfId="12309" priority="15377" stopIfTrue="1" operator="equal">
      <formula>"Towel"</formula>
    </cfRule>
    <cfRule type="cellIs" dxfId="12308" priority="15378" stopIfTrue="1" operator="equal">
      <formula>"Napkin Hs"</formula>
    </cfRule>
  </conditionalFormatting>
  <conditionalFormatting sqref="C38">
    <cfRule type="cellIs" dxfId="12307" priority="15373" stopIfTrue="1" operator="equal">
      <formula>"Towel"</formula>
    </cfRule>
    <cfRule type="cellIs" dxfId="12306" priority="15374" stopIfTrue="1" operator="equal">
      <formula>"Napkin Hs"</formula>
    </cfRule>
  </conditionalFormatting>
  <conditionalFormatting sqref="C38">
    <cfRule type="cellIs" dxfId="12305" priority="15375" stopIfTrue="1" operator="equal">
      <formula>"Towel"</formula>
    </cfRule>
    <cfRule type="cellIs" dxfId="12304" priority="15376" stopIfTrue="1" operator="equal">
      <formula>"Napkin Hs"</formula>
    </cfRule>
  </conditionalFormatting>
  <conditionalFormatting sqref="C38">
    <cfRule type="cellIs" dxfId="12303" priority="15367" stopIfTrue="1" operator="equal">
      <formula>"Towel"</formula>
    </cfRule>
    <cfRule type="cellIs" dxfId="12302" priority="15368" stopIfTrue="1" operator="equal">
      <formula>"Napkin Hs"</formula>
    </cfRule>
  </conditionalFormatting>
  <conditionalFormatting sqref="C38">
    <cfRule type="cellIs" dxfId="12301" priority="15365" stopIfTrue="1" operator="equal">
      <formula>"Towel"</formula>
    </cfRule>
    <cfRule type="cellIs" dxfId="12300" priority="15366" stopIfTrue="1" operator="equal">
      <formula>"Napkin Hs"</formula>
    </cfRule>
  </conditionalFormatting>
  <conditionalFormatting sqref="C38">
    <cfRule type="cellIs" dxfId="12299" priority="15363" stopIfTrue="1" operator="equal">
      <formula>"Towel"</formula>
    </cfRule>
    <cfRule type="cellIs" dxfId="12298" priority="15364" stopIfTrue="1" operator="equal">
      <formula>"Napkin Hs"</formula>
    </cfRule>
  </conditionalFormatting>
  <conditionalFormatting sqref="C38">
    <cfRule type="cellIs" dxfId="12297" priority="15361" stopIfTrue="1" operator="equal">
      <formula>"Towel"</formula>
    </cfRule>
    <cfRule type="cellIs" dxfId="12296" priority="15362" stopIfTrue="1" operator="equal">
      <formula>"Napkin Hs"</formula>
    </cfRule>
  </conditionalFormatting>
  <conditionalFormatting sqref="C38">
    <cfRule type="cellIs" dxfId="12295" priority="15359" stopIfTrue="1" operator="equal">
      <formula>"Towel"</formula>
    </cfRule>
    <cfRule type="cellIs" dxfId="12294" priority="15360" stopIfTrue="1" operator="equal">
      <formula>"Napkin Hs"</formula>
    </cfRule>
  </conditionalFormatting>
  <conditionalFormatting sqref="C38">
    <cfRule type="cellIs" dxfId="12293" priority="15357" stopIfTrue="1" operator="equal">
      <formula>"Towel"</formula>
    </cfRule>
    <cfRule type="cellIs" dxfId="12292" priority="15358" stopIfTrue="1" operator="equal">
      <formula>"Napkin Hs"</formula>
    </cfRule>
  </conditionalFormatting>
  <conditionalFormatting sqref="C38">
    <cfRule type="cellIs" dxfId="12291" priority="15355" stopIfTrue="1" operator="equal">
      <formula>"Towel"</formula>
    </cfRule>
    <cfRule type="cellIs" dxfId="12290" priority="15356" stopIfTrue="1" operator="equal">
      <formula>"Napkin Hs"</formula>
    </cfRule>
  </conditionalFormatting>
  <conditionalFormatting sqref="C38">
    <cfRule type="cellIs" dxfId="12289" priority="15353" stopIfTrue="1" operator="equal">
      <formula>"Towel"</formula>
    </cfRule>
    <cfRule type="cellIs" dxfId="12288" priority="15354" stopIfTrue="1" operator="equal">
      <formula>"Napkin Hs"</formula>
    </cfRule>
  </conditionalFormatting>
  <conditionalFormatting sqref="C38">
    <cfRule type="cellIs" dxfId="12287" priority="15351" stopIfTrue="1" operator="equal">
      <formula>"Towel"</formula>
    </cfRule>
    <cfRule type="cellIs" dxfId="12286" priority="15352" stopIfTrue="1" operator="equal">
      <formula>"Napkin Hs"</formula>
    </cfRule>
  </conditionalFormatting>
  <conditionalFormatting sqref="C38">
    <cfRule type="cellIs" dxfId="12285" priority="15349" stopIfTrue="1" operator="equal">
      <formula>"Towel"</formula>
    </cfRule>
    <cfRule type="cellIs" dxfId="12284" priority="15350" stopIfTrue="1" operator="equal">
      <formula>"Napkin Hs"</formula>
    </cfRule>
  </conditionalFormatting>
  <conditionalFormatting sqref="C38">
    <cfRule type="cellIs" dxfId="12283" priority="15343" stopIfTrue="1" operator="equal">
      <formula>"Towel"</formula>
    </cfRule>
    <cfRule type="cellIs" dxfId="12282" priority="15344" stopIfTrue="1" operator="equal">
      <formula>"Napkin Hs"</formula>
    </cfRule>
  </conditionalFormatting>
  <conditionalFormatting sqref="C38">
    <cfRule type="cellIs" dxfId="12281" priority="15337" stopIfTrue="1" operator="equal">
      <formula>"Towel"</formula>
    </cfRule>
    <cfRule type="cellIs" dxfId="12280" priority="15338" stopIfTrue="1" operator="equal">
      <formula>"Napkin Hs"</formula>
    </cfRule>
  </conditionalFormatting>
  <conditionalFormatting sqref="C38">
    <cfRule type="cellIs" dxfId="12279" priority="15336" stopIfTrue="1" operator="equal">
      <formula>"Napkin Hs"</formula>
    </cfRule>
  </conditionalFormatting>
  <conditionalFormatting sqref="C38">
    <cfRule type="cellIs" dxfId="12278" priority="15335" stopIfTrue="1" operator="equal">
      <formula>"Towel"</formula>
    </cfRule>
  </conditionalFormatting>
  <conditionalFormatting sqref="C38">
    <cfRule type="cellIs" dxfId="12277" priority="15334" stopIfTrue="1" operator="equal">
      <formula>"Napkin Hs"</formula>
    </cfRule>
  </conditionalFormatting>
  <conditionalFormatting sqref="C38">
    <cfRule type="cellIs" dxfId="12276" priority="15331" stopIfTrue="1" operator="equal">
      <formula>"Towel"</formula>
    </cfRule>
    <cfRule type="cellIs" dxfId="12275" priority="15332" stopIfTrue="1" operator="equal">
      <formula>"Napkin Hs"</formula>
    </cfRule>
  </conditionalFormatting>
  <conditionalFormatting sqref="C38">
    <cfRule type="cellIs" dxfId="12274" priority="15333" stopIfTrue="1" operator="equal">
      <formula>"Towel"</formula>
    </cfRule>
  </conditionalFormatting>
  <conditionalFormatting sqref="C38">
    <cfRule type="cellIs" dxfId="12273" priority="15451" stopIfTrue="1" operator="equal">
      <formula>"Towel"</formula>
    </cfRule>
    <cfRule type="cellIs" dxfId="12272" priority="15452" stopIfTrue="1" operator="equal">
      <formula>"Napkin Hs"</formula>
    </cfRule>
  </conditionalFormatting>
  <conditionalFormatting sqref="C38">
    <cfRule type="cellIs" dxfId="12271" priority="15450" stopIfTrue="1" operator="equal">
      <formula>"Napkin Hs"</formula>
    </cfRule>
  </conditionalFormatting>
  <conditionalFormatting sqref="C38">
    <cfRule type="cellIs" dxfId="12270" priority="15449" stopIfTrue="1" operator="equal">
      <formula>"Towel"</formula>
    </cfRule>
  </conditionalFormatting>
  <conditionalFormatting sqref="C38">
    <cfRule type="cellIs" dxfId="12269" priority="15448" stopIfTrue="1" operator="equal">
      <formula>"Napkin Hs"</formula>
    </cfRule>
  </conditionalFormatting>
  <conditionalFormatting sqref="C38">
    <cfRule type="cellIs" dxfId="12268" priority="15445" stopIfTrue="1" operator="equal">
      <formula>"Towel"</formula>
    </cfRule>
    <cfRule type="cellIs" dxfId="12267" priority="15446" stopIfTrue="1" operator="equal">
      <formula>"Napkin Hs"</formula>
    </cfRule>
  </conditionalFormatting>
  <conditionalFormatting sqref="C38">
    <cfRule type="cellIs" dxfId="12266" priority="15447" stopIfTrue="1" operator="equal">
      <formula>"Towel"</formula>
    </cfRule>
  </conditionalFormatting>
  <conditionalFormatting sqref="C38">
    <cfRule type="cellIs" dxfId="12265" priority="15455" stopIfTrue="1" operator="equal">
      <formula>"Towel"</formula>
    </cfRule>
    <cfRule type="cellIs" dxfId="12264" priority="15456" stopIfTrue="1" operator="equal">
      <formula>"Napkin Hs"</formula>
    </cfRule>
  </conditionalFormatting>
  <conditionalFormatting sqref="C38">
    <cfRule type="cellIs" dxfId="12263" priority="15453" stopIfTrue="1" operator="equal">
      <formula>"Towel"</formula>
    </cfRule>
    <cfRule type="cellIs" dxfId="12262" priority="15454" stopIfTrue="1" operator="equal">
      <formula>"Napkin Hs"</formula>
    </cfRule>
  </conditionalFormatting>
  <conditionalFormatting sqref="C38">
    <cfRule type="cellIs" dxfId="12261" priority="15425" stopIfTrue="1" operator="equal">
      <formula>"Towel"</formula>
    </cfRule>
    <cfRule type="cellIs" dxfId="12260" priority="15426" stopIfTrue="1" operator="equal">
      <formula>"Napkin Hs"</formula>
    </cfRule>
  </conditionalFormatting>
  <conditionalFormatting sqref="C38">
    <cfRule type="cellIs" dxfId="12259" priority="15423" stopIfTrue="1" operator="equal">
      <formula>"Towel"</formula>
    </cfRule>
    <cfRule type="cellIs" dxfId="12258" priority="15424" stopIfTrue="1" operator="equal">
      <formula>"Napkin Hs"</formula>
    </cfRule>
  </conditionalFormatting>
  <conditionalFormatting sqref="C38">
    <cfRule type="cellIs" dxfId="12257" priority="15402" stopIfTrue="1" operator="equal">
      <formula>"Napkin Hs"</formula>
    </cfRule>
  </conditionalFormatting>
  <conditionalFormatting sqref="C38">
    <cfRule type="cellIs" dxfId="12256" priority="15401" stopIfTrue="1" operator="equal">
      <formula>"Towel"</formula>
    </cfRule>
  </conditionalFormatting>
  <conditionalFormatting sqref="C38">
    <cfRule type="cellIs" dxfId="12255" priority="15400" stopIfTrue="1" operator="equal">
      <formula>"Napkin Hs"</formula>
    </cfRule>
  </conditionalFormatting>
  <conditionalFormatting sqref="C38">
    <cfRule type="cellIs" dxfId="12254" priority="15399" stopIfTrue="1" operator="equal">
      <formula>"Towel"</formula>
    </cfRule>
  </conditionalFormatting>
  <conditionalFormatting sqref="C38">
    <cfRule type="cellIs" dxfId="12253" priority="15396" stopIfTrue="1" operator="equal">
      <formula>"Napkin Hs"</formula>
    </cfRule>
  </conditionalFormatting>
  <conditionalFormatting sqref="C38">
    <cfRule type="cellIs" dxfId="12252" priority="15395" stopIfTrue="1" operator="equal">
      <formula>"Towel"</formula>
    </cfRule>
  </conditionalFormatting>
  <conditionalFormatting sqref="C38">
    <cfRule type="cellIs" dxfId="12251" priority="15394" stopIfTrue="1" operator="equal">
      <formula>"Napkin Hs"</formula>
    </cfRule>
  </conditionalFormatting>
  <conditionalFormatting sqref="C38">
    <cfRule type="cellIs" dxfId="12250" priority="15393" stopIfTrue="1" operator="equal">
      <formula>"Towel"</formula>
    </cfRule>
  </conditionalFormatting>
  <conditionalFormatting sqref="C38">
    <cfRule type="cellIs" dxfId="12249" priority="15389" stopIfTrue="1" operator="equal">
      <formula>"Towel"</formula>
    </cfRule>
    <cfRule type="cellIs" dxfId="12248" priority="15390" stopIfTrue="1" operator="equal">
      <formula>"Napkin Hs"</formula>
    </cfRule>
  </conditionalFormatting>
  <conditionalFormatting sqref="C38">
    <cfRule type="cellIs" dxfId="12247" priority="15387" stopIfTrue="1" operator="equal">
      <formula>"Towel"</formula>
    </cfRule>
    <cfRule type="cellIs" dxfId="12246" priority="15388" stopIfTrue="1" operator="equal">
      <formula>"Napkin Hs"</formula>
    </cfRule>
  </conditionalFormatting>
  <conditionalFormatting sqref="C38">
    <cfRule type="cellIs" dxfId="12245" priority="15371" stopIfTrue="1" operator="equal">
      <formula>"Towel"</formula>
    </cfRule>
    <cfRule type="cellIs" dxfId="12244" priority="15372" stopIfTrue="1" operator="equal">
      <formula>"Napkin Hs"</formula>
    </cfRule>
  </conditionalFormatting>
  <conditionalFormatting sqref="C38">
    <cfRule type="cellIs" dxfId="12243" priority="15369" stopIfTrue="1" operator="equal">
      <formula>"Towel"</formula>
    </cfRule>
    <cfRule type="cellIs" dxfId="12242" priority="15370" stopIfTrue="1" operator="equal">
      <formula>"Napkin Hs"</formula>
    </cfRule>
  </conditionalFormatting>
  <conditionalFormatting sqref="C38">
    <cfRule type="cellIs" dxfId="12241" priority="15348" stopIfTrue="1" operator="equal">
      <formula>"Napkin Hs"</formula>
    </cfRule>
  </conditionalFormatting>
  <conditionalFormatting sqref="C38">
    <cfRule type="cellIs" dxfId="12240" priority="15347" stopIfTrue="1" operator="equal">
      <formula>"Towel"</formula>
    </cfRule>
  </conditionalFormatting>
  <conditionalFormatting sqref="C38">
    <cfRule type="cellIs" dxfId="12239" priority="15346" stopIfTrue="1" operator="equal">
      <formula>"Napkin Hs"</formula>
    </cfRule>
  </conditionalFormatting>
  <conditionalFormatting sqref="C38">
    <cfRule type="cellIs" dxfId="12238" priority="15345" stopIfTrue="1" operator="equal">
      <formula>"Towel"</formula>
    </cfRule>
  </conditionalFormatting>
  <conditionalFormatting sqref="C38">
    <cfRule type="cellIs" dxfId="12237" priority="15342" stopIfTrue="1" operator="equal">
      <formula>"Napkin Hs"</formula>
    </cfRule>
  </conditionalFormatting>
  <conditionalFormatting sqref="C38">
    <cfRule type="cellIs" dxfId="12236" priority="15341" stopIfTrue="1" operator="equal">
      <formula>"Towel"</formula>
    </cfRule>
  </conditionalFormatting>
  <conditionalFormatting sqref="C38">
    <cfRule type="cellIs" dxfId="12235" priority="15340" stopIfTrue="1" operator="equal">
      <formula>"Napkin Hs"</formula>
    </cfRule>
  </conditionalFormatting>
  <conditionalFormatting sqref="C38">
    <cfRule type="cellIs" dxfId="12234" priority="15339" stopIfTrue="1" operator="equal">
      <formula>"Towel"</formula>
    </cfRule>
  </conditionalFormatting>
  <conditionalFormatting sqref="B38:C38">
    <cfRule type="cellIs" dxfId="12233" priority="15330" stopIfTrue="1" operator="equal">
      <formula>"Napkin Hs"</formula>
    </cfRule>
  </conditionalFormatting>
  <conditionalFormatting sqref="B38:C38">
    <cfRule type="cellIs" dxfId="12232" priority="15329" stopIfTrue="1" operator="equal">
      <formula>"Towel"</formula>
    </cfRule>
  </conditionalFormatting>
  <conditionalFormatting sqref="C38">
    <cfRule type="cellIs" dxfId="12231" priority="15328" stopIfTrue="1" operator="equal">
      <formula>"Napkin Hs"</formula>
    </cfRule>
  </conditionalFormatting>
  <conditionalFormatting sqref="C38">
    <cfRule type="cellIs" dxfId="12230" priority="15325" stopIfTrue="1" operator="equal">
      <formula>"Towel"</formula>
    </cfRule>
    <cfRule type="cellIs" dxfId="12229" priority="15326" stopIfTrue="1" operator="equal">
      <formula>"Napkin Hs"</formula>
    </cfRule>
  </conditionalFormatting>
  <conditionalFormatting sqref="C38">
    <cfRule type="cellIs" dxfId="12228" priority="15327" stopIfTrue="1" operator="equal">
      <formula>"Towel"</formula>
    </cfRule>
  </conditionalFormatting>
  <conditionalFormatting sqref="C40:C41">
    <cfRule type="cellIs" dxfId="12227" priority="15241" stopIfTrue="1" operator="equal">
      <formula>"Towel"</formula>
    </cfRule>
    <cfRule type="cellIs" dxfId="12226" priority="15242" stopIfTrue="1" operator="equal">
      <formula>"Napkin Hs"</formula>
    </cfRule>
  </conditionalFormatting>
  <conditionalFormatting sqref="C40:C41">
    <cfRule type="cellIs" dxfId="12225" priority="15235" stopIfTrue="1" operator="equal">
      <formula>"Towel"</formula>
    </cfRule>
    <cfRule type="cellIs" dxfId="12224" priority="15236" stopIfTrue="1" operator="equal">
      <formula>"Napkin Hs"</formula>
    </cfRule>
  </conditionalFormatting>
  <conditionalFormatting sqref="C40:C41">
    <cfRule type="cellIs" dxfId="12223" priority="15216" stopIfTrue="1" operator="equal">
      <formula>"Napkin Hs"</formula>
    </cfRule>
  </conditionalFormatting>
  <conditionalFormatting sqref="C40:C41">
    <cfRule type="cellIs" dxfId="12222" priority="15215" stopIfTrue="1" operator="equal">
      <formula>"Towel"</formula>
    </cfRule>
  </conditionalFormatting>
  <conditionalFormatting sqref="C40:C41">
    <cfRule type="cellIs" dxfId="12221" priority="15214" stopIfTrue="1" operator="equal">
      <formula>"Napkin Hs"</formula>
    </cfRule>
  </conditionalFormatting>
  <conditionalFormatting sqref="C40:C41">
    <cfRule type="cellIs" dxfId="12220" priority="15211" stopIfTrue="1" operator="equal">
      <formula>"Towel"</formula>
    </cfRule>
    <cfRule type="cellIs" dxfId="12219" priority="15212" stopIfTrue="1" operator="equal">
      <formula>"Napkin Hs"</formula>
    </cfRule>
  </conditionalFormatting>
  <conditionalFormatting sqref="C40:C41">
    <cfRule type="cellIs" dxfId="12218" priority="15213" stopIfTrue="1" operator="equal">
      <formula>"Towel"</formula>
    </cfRule>
  </conditionalFormatting>
  <conditionalFormatting sqref="C40:C41">
    <cfRule type="cellIs" dxfId="12217" priority="15210" stopIfTrue="1" operator="equal">
      <formula>"Napkin Hs"</formula>
    </cfRule>
  </conditionalFormatting>
  <conditionalFormatting sqref="C40:C41">
    <cfRule type="cellIs" dxfId="12216" priority="15209" stopIfTrue="1" operator="equal">
      <formula>"Towel"</formula>
    </cfRule>
  </conditionalFormatting>
  <conditionalFormatting sqref="C40:C41">
    <cfRule type="cellIs" dxfId="12215" priority="15208" stopIfTrue="1" operator="equal">
      <formula>"Napkin Hs"</formula>
    </cfRule>
  </conditionalFormatting>
  <conditionalFormatting sqref="C40:C41">
    <cfRule type="cellIs" dxfId="12214" priority="15205" stopIfTrue="1" operator="equal">
      <formula>"Towel"</formula>
    </cfRule>
    <cfRule type="cellIs" dxfId="12213" priority="15206" stopIfTrue="1" operator="equal">
      <formula>"Napkin Hs"</formula>
    </cfRule>
  </conditionalFormatting>
  <conditionalFormatting sqref="C40:C41">
    <cfRule type="cellIs" dxfId="12212" priority="15207" stopIfTrue="1" operator="equal">
      <formula>"Towel"</formula>
    </cfRule>
  </conditionalFormatting>
  <conditionalFormatting sqref="C40:C41">
    <cfRule type="cellIs" dxfId="12211" priority="15311" stopIfTrue="1" operator="equal">
      <formula>"Towel"</formula>
    </cfRule>
    <cfRule type="cellIs" dxfId="12210" priority="15312" stopIfTrue="1" operator="equal">
      <formula>"Napkin Hs"</formula>
    </cfRule>
  </conditionalFormatting>
  <conditionalFormatting sqref="C40:C41">
    <cfRule type="cellIs" dxfId="12209" priority="15309" stopIfTrue="1" operator="equal">
      <formula>"Towel"</formula>
    </cfRule>
    <cfRule type="cellIs" dxfId="12208" priority="15310" stopIfTrue="1" operator="equal">
      <formula>"Napkin Hs"</formula>
    </cfRule>
  </conditionalFormatting>
  <conditionalFormatting sqref="C40:C41">
    <cfRule type="cellIs" dxfId="12207" priority="15307" stopIfTrue="1" operator="equal">
      <formula>"Towel"</formula>
    </cfRule>
    <cfRule type="cellIs" dxfId="12206" priority="15308" stopIfTrue="1" operator="equal">
      <formula>"Napkin Hs"</formula>
    </cfRule>
  </conditionalFormatting>
  <conditionalFormatting sqref="C40:C41">
    <cfRule type="cellIs" dxfId="12205" priority="15306" stopIfTrue="1" operator="equal">
      <formula>"Napkin Hs"</formula>
    </cfRule>
  </conditionalFormatting>
  <conditionalFormatting sqref="C40:C41">
    <cfRule type="cellIs" dxfId="12204" priority="15305" stopIfTrue="1" operator="equal">
      <formula>"Towel"</formula>
    </cfRule>
  </conditionalFormatting>
  <conditionalFormatting sqref="C40:C41">
    <cfRule type="cellIs" dxfId="12203" priority="15304" stopIfTrue="1" operator="equal">
      <formula>"Napkin Hs"</formula>
    </cfRule>
  </conditionalFormatting>
  <conditionalFormatting sqref="C40:C41">
    <cfRule type="cellIs" dxfId="12202" priority="15303" stopIfTrue="1" operator="equal">
      <formula>"Towel"</formula>
    </cfRule>
  </conditionalFormatting>
  <conditionalFormatting sqref="C40:C41">
    <cfRule type="cellIs" dxfId="12201" priority="15301" stopIfTrue="1" operator="equal">
      <formula>"Towel"</formula>
    </cfRule>
    <cfRule type="cellIs" dxfId="12200" priority="15302" stopIfTrue="1" operator="equal">
      <formula>"Napkin Hs"</formula>
    </cfRule>
  </conditionalFormatting>
  <conditionalFormatting sqref="C40:C41">
    <cfRule type="cellIs" dxfId="12199" priority="15299" stopIfTrue="1" operator="equal">
      <formula>"Towel"</formula>
    </cfRule>
    <cfRule type="cellIs" dxfId="12198" priority="15300" stopIfTrue="1" operator="equal">
      <formula>"Napkin Hs"</formula>
    </cfRule>
  </conditionalFormatting>
  <conditionalFormatting sqref="C40:C41">
    <cfRule type="cellIs" dxfId="12197" priority="15295" stopIfTrue="1" operator="equal">
      <formula>"Towel"</formula>
    </cfRule>
    <cfRule type="cellIs" dxfId="12196" priority="15296" stopIfTrue="1" operator="equal">
      <formula>"Napkin Hs"</formula>
    </cfRule>
  </conditionalFormatting>
  <conditionalFormatting sqref="C40:C41">
    <cfRule type="cellIs" dxfId="12195" priority="15297" stopIfTrue="1" operator="equal">
      <formula>"Towel"</formula>
    </cfRule>
    <cfRule type="cellIs" dxfId="12194" priority="15298" stopIfTrue="1" operator="equal">
      <formula>"Napkin Hs"</formula>
    </cfRule>
  </conditionalFormatting>
  <conditionalFormatting sqref="C40:C41">
    <cfRule type="cellIs" dxfId="12193" priority="15289" stopIfTrue="1" operator="equal">
      <formula>"Towel"</formula>
    </cfRule>
    <cfRule type="cellIs" dxfId="12192" priority="15290" stopIfTrue="1" operator="equal">
      <formula>"Napkin Hs"</formula>
    </cfRule>
  </conditionalFormatting>
  <conditionalFormatting sqref="C40:C41">
    <cfRule type="cellIs" dxfId="12191" priority="15287" stopIfTrue="1" operator="equal">
      <formula>"Towel"</formula>
    </cfRule>
    <cfRule type="cellIs" dxfId="12190" priority="15288" stopIfTrue="1" operator="equal">
      <formula>"Napkin Hs"</formula>
    </cfRule>
  </conditionalFormatting>
  <conditionalFormatting sqref="C40:C41">
    <cfRule type="cellIs" dxfId="12189" priority="15285" stopIfTrue="1" operator="equal">
      <formula>"Towel"</formula>
    </cfRule>
    <cfRule type="cellIs" dxfId="12188" priority="15286" stopIfTrue="1" operator="equal">
      <formula>"Napkin Hs"</formula>
    </cfRule>
  </conditionalFormatting>
  <conditionalFormatting sqref="C40:C41">
    <cfRule type="cellIs" dxfId="12187" priority="15283" stopIfTrue="1" operator="equal">
      <formula>"Towel"</formula>
    </cfRule>
    <cfRule type="cellIs" dxfId="12186" priority="15284" stopIfTrue="1" operator="equal">
      <formula>"Napkin Hs"</formula>
    </cfRule>
  </conditionalFormatting>
  <conditionalFormatting sqref="C40:C41">
    <cfRule type="cellIs" dxfId="12185" priority="15281" stopIfTrue="1" operator="equal">
      <formula>"Towel"</formula>
    </cfRule>
    <cfRule type="cellIs" dxfId="12184" priority="15282" stopIfTrue="1" operator="equal">
      <formula>"Napkin Hs"</formula>
    </cfRule>
  </conditionalFormatting>
  <conditionalFormatting sqref="C40:C41">
    <cfRule type="cellIs" dxfId="12183" priority="15279" stopIfTrue="1" operator="equal">
      <formula>"Towel"</formula>
    </cfRule>
    <cfRule type="cellIs" dxfId="12182" priority="15280" stopIfTrue="1" operator="equal">
      <formula>"Napkin Hs"</formula>
    </cfRule>
  </conditionalFormatting>
  <conditionalFormatting sqref="C40:C41">
    <cfRule type="cellIs" dxfId="12181" priority="15277" stopIfTrue="1" operator="equal">
      <formula>"Towel"</formula>
    </cfRule>
    <cfRule type="cellIs" dxfId="12180" priority="15278" stopIfTrue="1" operator="equal">
      <formula>"Napkin Hs"</formula>
    </cfRule>
  </conditionalFormatting>
  <conditionalFormatting sqref="C40:C41">
    <cfRule type="cellIs" dxfId="12179" priority="15275" stopIfTrue="1" operator="equal">
      <formula>"Towel"</formula>
    </cfRule>
    <cfRule type="cellIs" dxfId="12178" priority="15276" stopIfTrue="1" operator="equal">
      <formula>"Napkin Hs"</formula>
    </cfRule>
  </conditionalFormatting>
  <conditionalFormatting sqref="C40:C41">
    <cfRule type="cellIs" dxfId="12177" priority="15273" stopIfTrue="1" operator="equal">
      <formula>"Towel"</formula>
    </cfRule>
    <cfRule type="cellIs" dxfId="12176" priority="15274" stopIfTrue="1" operator="equal">
      <formula>"Napkin Hs"</formula>
    </cfRule>
  </conditionalFormatting>
  <conditionalFormatting sqref="C40:C41">
    <cfRule type="cellIs" dxfId="12175" priority="15271" stopIfTrue="1" operator="equal">
      <formula>"Towel"</formula>
    </cfRule>
    <cfRule type="cellIs" dxfId="12174" priority="15272" stopIfTrue="1" operator="equal">
      <formula>"Napkin Hs"</formula>
    </cfRule>
  </conditionalFormatting>
  <conditionalFormatting sqref="C40:C41">
    <cfRule type="cellIs" dxfId="12173" priority="15265" stopIfTrue="1" operator="equal">
      <formula>"Towel"</formula>
    </cfRule>
    <cfRule type="cellIs" dxfId="12172" priority="15266" stopIfTrue="1" operator="equal">
      <formula>"Napkin Hs"</formula>
    </cfRule>
  </conditionalFormatting>
  <conditionalFormatting sqref="C40:C41">
    <cfRule type="cellIs" dxfId="12171" priority="15259" stopIfTrue="1" operator="equal">
      <formula>"Towel"</formula>
    </cfRule>
    <cfRule type="cellIs" dxfId="12170" priority="15260" stopIfTrue="1" operator="equal">
      <formula>"Napkin Hs"</formula>
    </cfRule>
  </conditionalFormatting>
  <conditionalFormatting sqref="C40:C41">
    <cfRule type="cellIs" dxfId="12169" priority="15253" stopIfTrue="1" operator="equal">
      <formula>"Towel"</formula>
    </cfRule>
    <cfRule type="cellIs" dxfId="12168" priority="15254" stopIfTrue="1" operator="equal">
      <formula>"Napkin Hs"</formula>
    </cfRule>
  </conditionalFormatting>
  <conditionalFormatting sqref="C40:C41">
    <cfRule type="cellIs" dxfId="12167" priority="15252" stopIfTrue="1" operator="equal">
      <formula>"Napkin Hs"</formula>
    </cfRule>
  </conditionalFormatting>
  <conditionalFormatting sqref="C40:C41">
    <cfRule type="cellIs" dxfId="12166" priority="15251" stopIfTrue="1" operator="equal">
      <formula>"Towel"</formula>
    </cfRule>
  </conditionalFormatting>
  <conditionalFormatting sqref="C40:C41">
    <cfRule type="cellIs" dxfId="12165" priority="15250" stopIfTrue="1" operator="equal">
      <formula>"Napkin Hs"</formula>
    </cfRule>
  </conditionalFormatting>
  <conditionalFormatting sqref="C40:C41">
    <cfRule type="cellIs" dxfId="12164" priority="15249" stopIfTrue="1" operator="equal">
      <formula>"Towel"</formula>
    </cfRule>
  </conditionalFormatting>
  <conditionalFormatting sqref="C40:C41">
    <cfRule type="cellIs" dxfId="12163" priority="15247" stopIfTrue="1" operator="equal">
      <formula>"Towel"</formula>
    </cfRule>
    <cfRule type="cellIs" dxfId="12162" priority="15248" stopIfTrue="1" operator="equal">
      <formula>"Napkin Hs"</formula>
    </cfRule>
  </conditionalFormatting>
  <conditionalFormatting sqref="C40:C41">
    <cfRule type="cellIs" dxfId="12161" priority="15245" stopIfTrue="1" operator="equal">
      <formula>"Towel"</formula>
    </cfRule>
    <cfRule type="cellIs" dxfId="12160" priority="15246" stopIfTrue="1" operator="equal">
      <formula>"Napkin Hs"</formula>
    </cfRule>
  </conditionalFormatting>
  <conditionalFormatting sqref="C40:C41">
    <cfRule type="cellIs" dxfId="12159" priority="15243" stopIfTrue="1" operator="equal">
      <formula>"Towel"</formula>
    </cfRule>
    <cfRule type="cellIs" dxfId="12158" priority="15244" stopIfTrue="1" operator="equal">
      <formula>"Napkin Hs"</formula>
    </cfRule>
  </conditionalFormatting>
  <conditionalFormatting sqref="C40:C41">
    <cfRule type="cellIs" dxfId="12157" priority="15233" stopIfTrue="1" operator="equal">
      <formula>"Towel"</formula>
    </cfRule>
    <cfRule type="cellIs" dxfId="12156" priority="15234" stopIfTrue="1" operator="equal">
      <formula>"Napkin Hs"</formula>
    </cfRule>
  </conditionalFormatting>
  <conditionalFormatting sqref="C40:C41">
    <cfRule type="cellIs" dxfId="12155" priority="15231" stopIfTrue="1" operator="equal">
      <formula>"Towel"</formula>
    </cfRule>
    <cfRule type="cellIs" dxfId="12154" priority="15232" stopIfTrue="1" operator="equal">
      <formula>"Napkin Hs"</formula>
    </cfRule>
  </conditionalFormatting>
  <conditionalFormatting sqref="C40:C41">
    <cfRule type="cellIs" dxfId="12153" priority="15229" stopIfTrue="1" operator="equal">
      <formula>"Towel"</formula>
    </cfRule>
    <cfRule type="cellIs" dxfId="12152" priority="15230" stopIfTrue="1" operator="equal">
      <formula>"Napkin Hs"</formula>
    </cfRule>
  </conditionalFormatting>
  <conditionalFormatting sqref="C40:C41">
    <cfRule type="cellIs" dxfId="12151" priority="15227" stopIfTrue="1" operator="equal">
      <formula>"Towel"</formula>
    </cfRule>
    <cfRule type="cellIs" dxfId="12150" priority="15228" stopIfTrue="1" operator="equal">
      <formula>"Napkin Hs"</formula>
    </cfRule>
  </conditionalFormatting>
  <conditionalFormatting sqref="C40:C41">
    <cfRule type="cellIs" dxfId="12149" priority="15225" stopIfTrue="1" operator="equal">
      <formula>"Towel"</formula>
    </cfRule>
    <cfRule type="cellIs" dxfId="12148" priority="15226" stopIfTrue="1" operator="equal">
      <formula>"Napkin Hs"</formula>
    </cfRule>
  </conditionalFormatting>
  <conditionalFormatting sqref="C40:C41">
    <cfRule type="cellIs" dxfId="12147" priority="15223" stopIfTrue="1" operator="equal">
      <formula>"Towel"</formula>
    </cfRule>
    <cfRule type="cellIs" dxfId="12146" priority="15224" stopIfTrue="1" operator="equal">
      <formula>"Napkin Hs"</formula>
    </cfRule>
  </conditionalFormatting>
  <conditionalFormatting sqref="C40:C41">
    <cfRule type="cellIs" dxfId="12145" priority="15221" stopIfTrue="1" operator="equal">
      <formula>"Towel"</formula>
    </cfRule>
    <cfRule type="cellIs" dxfId="12144" priority="15222" stopIfTrue="1" operator="equal">
      <formula>"Napkin Hs"</formula>
    </cfRule>
  </conditionalFormatting>
  <conditionalFormatting sqref="C40:C41">
    <cfRule type="cellIs" dxfId="12143" priority="15219" stopIfTrue="1" operator="equal">
      <formula>"Towel"</formula>
    </cfRule>
    <cfRule type="cellIs" dxfId="12142" priority="15220" stopIfTrue="1" operator="equal">
      <formula>"Napkin Hs"</formula>
    </cfRule>
  </conditionalFormatting>
  <conditionalFormatting sqref="C40:C41">
    <cfRule type="cellIs" dxfId="12141" priority="15217" stopIfTrue="1" operator="equal">
      <formula>"Towel"</formula>
    </cfRule>
    <cfRule type="cellIs" dxfId="12140" priority="15218" stopIfTrue="1" operator="equal">
      <formula>"Napkin Hs"</formula>
    </cfRule>
  </conditionalFormatting>
  <conditionalFormatting sqref="C40:C41">
    <cfRule type="cellIs" dxfId="12139" priority="15204" stopIfTrue="1" operator="equal">
      <formula>"Napkin Hs"</formula>
    </cfRule>
  </conditionalFormatting>
  <conditionalFormatting sqref="C40:C41">
    <cfRule type="cellIs" dxfId="12138" priority="15203" stopIfTrue="1" operator="equal">
      <formula>"Towel"</formula>
    </cfRule>
  </conditionalFormatting>
  <conditionalFormatting sqref="C40:C41">
    <cfRule type="cellIs" dxfId="12137" priority="15202" stopIfTrue="1" operator="equal">
      <formula>"Napkin Hs"</formula>
    </cfRule>
  </conditionalFormatting>
  <conditionalFormatting sqref="C40:C41">
    <cfRule type="cellIs" dxfId="12136" priority="15199" stopIfTrue="1" operator="equal">
      <formula>"Towel"</formula>
    </cfRule>
    <cfRule type="cellIs" dxfId="12135" priority="15200" stopIfTrue="1" operator="equal">
      <formula>"Napkin Hs"</formula>
    </cfRule>
  </conditionalFormatting>
  <conditionalFormatting sqref="C40:C41">
    <cfRule type="cellIs" dxfId="12134" priority="15201" stopIfTrue="1" operator="equal">
      <formula>"Towel"</formula>
    </cfRule>
  </conditionalFormatting>
  <conditionalFormatting sqref="C40:C41">
    <cfRule type="cellIs" dxfId="12133" priority="15319" stopIfTrue="1" operator="equal">
      <formula>"Towel"</formula>
    </cfRule>
    <cfRule type="cellIs" dxfId="12132" priority="15320" stopIfTrue="1" operator="equal">
      <formula>"Napkin Hs"</formula>
    </cfRule>
  </conditionalFormatting>
  <conditionalFormatting sqref="C40:C41">
    <cfRule type="cellIs" dxfId="12131" priority="15318" stopIfTrue="1" operator="equal">
      <formula>"Napkin Hs"</formula>
    </cfRule>
  </conditionalFormatting>
  <conditionalFormatting sqref="C40:C41">
    <cfRule type="cellIs" dxfId="12130" priority="15317" stopIfTrue="1" operator="equal">
      <formula>"Towel"</formula>
    </cfRule>
  </conditionalFormatting>
  <conditionalFormatting sqref="C40:C41">
    <cfRule type="cellIs" dxfId="12129" priority="15316" stopIfTrue="1" operator="equal">
      <formula>"Napkin Hs"</formula>
    </cfRule>
  </conditionalFormatting>
  <conditionalFormatting sqref="C40:C41">
    <cfRule type="cellIs" dxfId="12128" priority="15313" stopIfTrue="1" operator="equal">
      <formula>"Towel"</formula>
    </cfRule>
    <cfRule type="cellIs" dxfId="12127" priority="15314" stopIfTrue="1" operator="equal">
      <formula>"Napkin Hs"</formula>
    </cfRule>
  </conditionalFormatting>
  <conditionalFormatting sqref="C40:C41">
    <cfRule type="cellIs" dxfId="12126" priority="15315" stopIfTrue="1" operator="equal">
      <formula>"Towel"</formula>
    </cfRule>
  </conditionalFormatting>
  <conditionalFormatting sqref="C40:C41">
    <cfRule type="cellIs" dxfId="12125" priority="15323" stopIfTrue="1" operator="equal">
      <formula>"Towel"</formula>
    </cfRule>
    <cfRule type="cellIs" dxfId="12124" priority="15324" stopIfTrue="1" operator="equal">
      <formula>"Napkin Hs"</formula>
    </cfRule>
  </conditionalFormatting>
  <conditionalFormatting sqref="C40:C41">
    <cfRule type="cellIs" dxfId="12123" priority="15321" stopIfTrue="1" operator="equal">
      <formula>"Towel"</formula>
    </cfRule>
    <cfRule type="cellIs" dxfId="12122" priority="15322" stopIfTrue="1" operator="equal">
      <formula>"Napkin Hs"</formula>
    </cfRule>
  </conditionalFormatting>
  <conditionalFormatting sqref="C40:C41">
    <cfRule type="cellIs" dxfId="12121" priority="15293" stopIfTrue="1" operator="equal">
      <formula>"Towel"</formula>
    </cfRule>
    <cfRule type="cellIs" dxfId="12120" priority="15294" stopIfTrue="1" operator="equal">
      <formula>"Napkin Hs"</formula>
    </cfRule>
  </conditionalFormatting>
  <conditionalFormatting sqref="C40:C41">
    <cfRule type="cellIs" dxfId="12119" priority="15291" stopIfTrue="1" operator="equal">
      <formula>"Towel"</formula>
    </cfRule>
    <cfRule type="cellIs" dxfId="12118" priority="15292" stopIfTrue="1" operator="equal">
      <formula>"Napkin Hs"</formula>
    </cfRule>
  </conditionalFormatting>
  <conditionalFormatting sqref="C40:C41">
    <cfRule type="cellIs" dxfId="12117" priority="15270" stopIfTrue="1" operator="equal">
      <formula>"Napkin Hs"</formula>
    </cfRule>
  </conditionalFormatting>
  <conditionalFormatting sqref="C40:C41">
    <cfRule type="cellIs" dxfId="12116" priority="15269" stopIfTrue="1" operator="equal">
      <formula>"Towel"</formula>
    </cfRule>
  </conditionalFormatting>
  <conditionalFormatting sqref="C40:C41">
    <cfRule type="cellIs" dxfId="12115" priority="15268" stopIfTrue="1" operator="equal">
      <formula>"Napkin Hs"</formula>
    </cfRule>
  </conditionalFormatting>
  <conditionalFormatting sqref="C40:C41">
    <cfRule type="cellIs" dxfId="12114" priority="15267" stopIfTrue="1" operator="equal">
      <formula>"Towel"</formula>
    </cfRule>
  </conditionalFormatting>
  <conditionalFormatting sqref="C40:C41">
    <cfRule type="cellIs" dxfId="12113" priority="15264" stopIfTrue="1" operator="equal">
      <formula>"Napkin Hs"</formula>
    </cfRule>
  </conditionalFormatting>
  <conditionalFormatting sqref="C40:C41">
    <cfRule type="cellIs" dxfId="12112" priority="15263" stopIfTrue="1" operator="equal">
      <formula>"Towel"</formula>
    </cfRule>
  </conditionalFormatting>
  <conditionalFormatting sqref="C40:C41">
    <cfRule type="cellIs" dxfId="12111" priority="15262" stopIfTrue="1" operator="equal">
      <formula>"Napkin Hs"</formula>
    </cfRule>
  </conditionalFormatting>
  <conditionalFormatting sqref="C40:C41">
    <cfRule type="cellIs" dxfId="12110" priority="15261" stopIfTrue="1" operator="equal">
      <formula>"Towel"</formula>
    </cfRule>
  </conditionalFormatting>
  <conditionalFormatting sqref="C40:C41">
    <cfRule type="cellIs" dxfId="12109" priority="15257" stopIfTrue="1" operator="equal">
      <formula>"Towel"</formula>
    </cfRule>
    <cfRule type="cellIs" dxfId="12108" priority="15258" stopIfTrue="1" operator="equal">
      <formula>"Napkin Hs"</formula>
    </cfRule>
  </conditionalFormatting>
  <conditionalFormatting sqref="C40:C41">
    <cfRule type="cellIs" dxfId="12107" priority="15255" stopIfTrue="1" operator="equal">
      <formula>"Towel"</formula>
    </cfRule>
    <cfRule type="cellIs" dxfId="12106" priority="15256" stopIfTrue="1" operator="equal">
      <formula>"Napkin Hs"</formula>
    </cfRule>
  </conditionalFormatting>
  <conditionalFormatting sqref="C40:C41">
    <cfRule type="cellIs" dxfId="12105" priority="15239" stopIfTrue="1" operator="equal">
      <formula>"Towel"</formula>
    </cfRule>
    <cfRule type="cellIs" dxfId="12104" priority="15240" stopIfTrue="1" operator="equal">
      <formula>"Napkin Hs"</formula>
    </cfRule>
  </conditionalFormatting>
  <conditionalFormatting sqref="C40:C41">
    <cfRule type="cellIs" dxfId="12103" priority="15237" stopIfTrue="1" operator="equal">
      <formula>"Towel"</formula>
    </cfRule>
    <cfRule type="cellIs" dxfId="12102" priority="15238" stopIfTrue="1" operator="equal">
      <formula>"Napkin Hs"</formula>
    </cfRule>
  </conditionalFormatting>
  <conditionalFormatting sqref="B40:C41">
    <cfRule type="cellIs" dxfId="12101" priority="15198" stopIfTrue="1" operator="equal">
      <formula>"Napkin Hs"</formula>
    </cfRule>
  </conditionalFormatting>
  <conditionalFormatting sqref="B40:C41">
    <cfRule type="cellIs" dxfId="12100" priority="15197" stopIfTrue="1" operator="equal">
      <formula>"Towel"</formula>
    </cfRule>
  </conditionalFormatting>
  <conditionalFormatting sqref="C40:C41">
    <cfRule type="cellIs" dxfId="12099" priority="15196" stopIfTrue="1" operator="equal">
      <formula>"Napkin Hs"</formula>
    </cfRule>
  </conditionalFormatting>
  <conditionalFormatting sqref="C40:C41">
    <cfRule type="cellIs" dxfId="12098" priority="15193" stopIfTrue="1" operator="equal">
      <formula>"Towel"</formula>
    </cfRule>
    <cfRule type="cellIs" dxfId="12097" priority="15194" stopIfTrue="1" operator="equal">
      <formula>"Napkin Hs"</formula>
    </cfRule>
  </conditionalFormatting>
  <conditionalFormatting sqref="C40:C41">
    <cfRule type="cellIs" dxfId="12096" priority="15195" stopIfTrue="1" operator="equal">
      <formula>"Towel"</formula>
    </cfRule>
  </conditionalFormatting>
  <conditionalFormatting sqref="B45:C45">
    <cfRule type="cellIs" dxfId="12095" priority="15183" stopIfTrue="1" operator="equal">
      <formula>"Towel"</formula>
    </cfRule>
    <cfRule type="cellIs" dxfId="12094" priority="15184" stopIfTrue="1" operator="equal">
      <formula>"Napkin Hs"</formula>
    </cfRule>
  </conditionalFormatting>
  <conditionalFormatting sqref="B46:C46">
    <cfRule type="cellIs" dxfId="12093" priority="15187" stopIfTrue="1" operator="equal">
      <formula>"Towel"</formula>
    </cfRule>
    <cfRule type="cellIs" dxfId="12092" priority="15188" stopIfTrue="1" operator="equal">
      <formula>"Napkin Hs"</formula>
    </cfRule>
  </conditionalFormatting>
  <conditionalFormatting sqref="C45">
    <cfRule type="cellIs" dxfId="12091" priority="15179" stopIfTrue="1" operator="equal">
      <formula>"Towel"</formula>
    </cfRule>
    <cfRule type="cellIs" dxfId="12090" priority="15180" stopIfTrue="1" operator="equal">
      <formula>"Napkin Hs"</formula>
    </cfRule>
  </conditionalFormatting>
  <conditionalFormatting sqref="C45:C46">
    <cfRule type="cellIs" dxfId="12089" priority="15181" stopIfTrue="1" operator="equal">
      <formula>"Towel"</formula>
    </cfRule>
    <cfRule type="cellIs" dxfId="12088" priority="15182" stopIfTrue="1" operator="equal">
      <formula>"Napkin Hs"</formula>
    </cfRule>
  </conditionalFormatting>
  <conditionalFormatting sqref="C46">
    <cfRule type="cellIs" dxfId="12087" priority="15185" stopIfTrue="1" operator="equal">
      <formula>"Towel"</formula>
    </cfRule>
    <cfRule type="cellIs" dxfId="12086" priority="15186" stopIfTrue="1" operator="equal">
      <formula>"Napkin Hs"</formula>
    </cfRule>
  </conditionalFormatting>
  <conditionalFormatting sqref="B45:C45">
    <cfRule type="cellIs" dxfId="12085" priority="15167" stopIfTrue="1" operator="equal">
      <formula>"Towel"</formula>
    </cfRule>
    <cfRule type="cellIs" dxfId="12084" priority="15168" stopIfTrue="1" operator="equal">
      <formula>"Napkin Hs"</formula>
    </cfRule>
  </conditionalFormatting>
  <conditionalFormatting sqref="B46:C46">
    <cfRule type="cellIs" dxfId="12083" priority="15171" stopIfTrue="1" operator="equal">
      <formula>"Towel"</formula>
    </cfRule>
    <cfRule type="cellIs" dxfId="12082" priority="15172" stopIfTrue="1" operator="equal">
      <formula>"Napkin Hs"</formula>
    </cfRule>
  </conditionalFormatting>
  <conditionalFormatting sqref="C45:C46">
    <cfRule type="cellIs" dxfId="12081" priority="15165" stopIfTrue="1" operator="equal">
      <formula>"Towel"</formula>
    </cfRule>
    <cfRule type="cellIs" dxfId="12080" priority="15166" stopIfTrue="1" operator="equal">
      <formula>"Napkin Hs"</formula>
    </cfRule>
  </conditionalFormatting>
  <conditionalFormatting sqref="C45">
    <cfRule type="cellIs" dxfId="12079" priority="15163" stopIfTrue="1" operator="equal">
      <formula>"Towel"</formula>
    </cfRule>
    <cfRule type="cellIs" dxfId="12078" priority="15164" stopIfTrue="1" operator="equal">
      <formula>"Napkin Hs"</formula>
    </cfRule>
  </conditionalFormatting>
  <conditionalFormatting sqref="C46">
    <cfRule type="cellIs" dxfId="12077" priority="15169" stopIfTrue="1" operator="equal">
      <formula>"Towel"</formula>
    </cfRule>
    <cfRule type="cellIs" dxfId="12076" priority="15170" stopIfTrue="1" operator="equal">
      <formula>"Napkin Hs"</formula>
    </cfRule>
  </conditionalFormatting>
  <conditionalFormatting sqref="B45:C45">
    <cfRule type="cellIs" dxfId="12075" priority="15161" stopIfTrue="1" operator="equal">
      <formula>"Towel"</formula>
    </cfRule>
    <cfRule type="cellIs" dxfId="12074" priority="15162" stopIfTrue="1" operator="equal">
      <formula>"Napkin Hs"</formula>
    </cfRule>
  </conditionalFormatting>
  <conditionalFormatting sqref="B46:C46">
    <cfRule type="cellIs" dxfId="12073" priority="15157" stopIfTrue="1" operator="equal">
      <formula>"Towel"</formula>
    </cfRule>
    <cfRule type="cellIs" dxfId="12072" priority="15158" stopIfTrue="1" operator="equal">
      <formula>"Napkin Hs"</formula>
    </cfRule>
  </conditionalFormatting>
  <conditionalFormatting sqref="C45">
    <cfRule type="cellIs" dxfId="12071" priority="15159" stopIfTrue="1" operator="equal">
      <formula>"Towel"</formula>
    </cfRule>
    <cfRule type="cellIs" dxfId="12070" priority="15160" stopIfTrue="1" operator="equal">
      <formula>"Napkin Hs"</formula>
    </cfRule>
  </conditionalFormatting>
  <conditionalFormatting sqref="C45:C46">
    <cfRule type="cellIs" dxfId="12069" priority="15155" stopIfTrue="1" operator="equal">
      <formula>"Towel"</formula>
    </cfRule>
    <cfRule type="cellIs" dxfId="12068" priority="15156" stopIfTrue="1" operator="equal">
      <formula>"Napkin Hs"</formula>
    </cfRule>
  </conditionalFormatting>
  <conditionalFormatting sqref="C46">
    <cfRule type="cellIs" dxfId="12067" priority="15153" stopIfTrue="1" operator="equal">
      <formula>"Towel"</formula>
    </cfRule>
    <cfRule type="cellIs" dxfId="12066" priority="15154" stopIfTrue="1" operator="equal">
      <formula>"Napkin Hs"</formula>
    </cfRule>
  </conditionalFormatting>
  <conditionalFormatting sqref="B46:C46">
    <cfRule type="cellIs" dxfId="12065" priority="15152" stopIfTrue="1" operator="equal">
      <formula>"Napkin Hs"</formula>
    </cfRule>
  </conditionalFormatting>
  <conditionalFormatting sqref="B46:C46">
    <cfRule type="cellIs" dxfId="12064" priority="15151" stopIfTrue="1" operator="equal">
      <formula>"Towel"</formula>
    </cfRule>
  </conditionalFormatting>
  <conditionalFormatting sqref="B45:C45">
    <cfRule type="cellIs" dxfId="12063" priority="15147" stopIfTrue="1" operator="equal">
      <formula>"Towel"</formula>
    </cfRule>
    <cfRule type="cellIs" dxfId="12062" priority="15148" stopIfTrue="1" operator="equal">
      <formula>"Napkin Hs"</formula>
    </cfRule>
  </conditionalFormatting>
  <conditionalFormatting sqref="C46">
    <cfRule type="cellIs" dxfId="12061" priority="15150" stopIfTrue="1" operator="equal">
      <formula>"Napkin Hs"</formula>
    </cfRule>
  </conditionalFormatting>
  <conditionalFormatting sqref="C46">
    <cfRule type="cellIs" dxfId="12060" priority="15149" stopIfTrue="1" operator="equal">
      <formula>"Towel"</formula>
    </cfRule>
  </conditionalFormatting>
  <conditionalFormatting sqref="C45:C46">
    <cfRule type="cellIs" dxfId="12059" priority="15145" stopIfTrue="1" operator="equal">
      <formula>"Towel"</formula>
    </cfRule>
    <cfRule type="cellIs" dxfId="12058" priority="15146" stopIfTrue="1" operator="equal">
      <formula>"Napkin Hs"</formula>
    </cfRule>
  </conditionalFormatting>
  <conditionalFormatting sqref="C45">
    <cfRule type="cellIs" dxfId="12057" priority="15143" stopIfTrue="1" operator="equal">
      <formula>"Towel"</formula>
    </cfRule>
    <cfRule type="cellIs" dxfId="12056" priority="15144" stopIfTrue="1" operator="equal">
      <formula>"Napkin Hs"</formula>
    </cfRule>
  </conditionalFormatting>
  <conditionalFormatting sqref="C46">
    <cfRule type="cellIs" dxfId="12055" priority="15135" stopIfTrue="1" operator="equal">
      <formula>"Towel"</formula>
    </cfRule>
    <cfRule type="cellIs" dxfId="12054" priority="15136" stopIfTrue="1" operator="equal">
      <formula>"Napkin Hs"</formula>
    </cfRule>
  </conditionalFormatting>
  <conditionalFormatting sqref="B45:C45">
    <cfRule type="cellIs" dxfId="12053" priority="15128" stopIfTrue="1" operator="equal">
      <formula>"Napkin Hs"</formula>
    </cfRule>
  </conditionalFormatting>
  <conditionalFormatting sqref="B45:C45">
    <cfRule type="cellIs" dxfId="12052" priority="15127" stopIfTrue="1" operator="equal">
      <formula>"Towel"</formula>
    </cfRule>
  </conditionalFormatting>
  <conditionalFormatting sqref="C45">
    <cfRule type="cellIs" dxfId="12051" priority="15126" stopIfTrue="1" operator="equal">
      <formula>"Napkin Hs"</formula>
    </cfRule>
  </conditionalFormatting>
  <conditionalFormatting sqref="C45">
    <cfRule type="cellIs" dxfId="12050" priority="15123" stopIfTrue="1" operator="equal">
      <formula>"Towel"</formula>
    </cfRule>
    <cfRule type="cellIs" dxfId="12049" priority="15124" stopIfTrue="1" operator="equal">
      <formula>"Napkin Hs"</formula>
    </cfRule>
  </conditionalFormatting>
  <conditionalFormatting sqref="C45">
    <cfRule type="cellIs" dxfId="12048" priority="15125" stopIfTrue="1" operator="equal">
      <formula>"Towel"</formula>
    </cfRule>
  </conditionalFormatting>
  <conditionalFormatting sqref="B44:C44">
    <cfRule type="cellIs" dxfId="12047" priority="15122" stopIfTrue="1" operator="equal">
      <formula>"Napkin Hs"</formula>
    </cfRule>
  </conditionalFormatting>
  <conditionalFormatting sqref="B44:C44">
    <cfRule type="cellIs" dxfId="12046" priority="15121" stopIfTrue="1" operator="equal">
      <formula>"Towel"</formula>
    </cfRule>
  </conditionalFormatting>
  <conditionalFormatting sqref="C44">
    <cfRule type="cellIs" dxfId="12045" priority="15120" stopIfTrue="1" operator="equal">
      <formula>"Napkin Hs"</formula>
    </cfRule>
  </conditionalFormatting>
  <conditionalFormatting sqref="C44">
    <cfRule type="cellIs" dxfId="12044" priority="15119" stopIfTrue="1" operator="equal">
      <formula>"Towel"</formula>
    </cfRule>
  </conditionalFormatting>
  <conditionalFormatting sqref="C44">
    <cfRule type="cellIs" dxfId="12043" priority="15117" stopIfTrue="1" operator="equal">
      <formula>"Towel"</formula>
    </cfRule>
    <cfRule type="cellIs" dxfId="12042" priority="15118" stopIfTrue="1" operator="equal">
      <formula>"Napkin Hs"</formula>
    </cfRule>
  </conditionalFormatting>
  <conditionalFormatting sqref="B44:C44">
    <cfRule type="cellIs" dxfId="12041" priority="15115" stopIfTrue="1" operator="equal">
      <formula>"Towel"</formula>
    </cfRule>
    <cfRule type="cellIs" dxfId="12040" priority="15116" stopIfTrue="1" operator="equal">
      <formula>"Napkin Hs"</formula>
    </cfRule>
  </conditionalFormatting>
  <conditionalFormatting sqref="C44">
    <cfRule type="cellIs" dxfId="12039" priority="15113" stopIfTrue="1" operator="equal">
      <formula>"Towel"</formula>
    </cfRule>
    <cfRule type="cellIs" dxfId="12038" priority="15114" stopIfTrue="1" operator="equal">
      <formula>"Napkin Hs"</formula>
    </cfRule>
  </conditionalFormatting>
  <conditionalFormatting sqref="C44">
    <cfRule type="cellIs" dxfId="12037" priority="15111" stopIfTrue="1" operator="equal">
      <formula>"Towel"</formula>
    </cfRule>
    <cfRule type="cellIs" dxfId="12036" priority="15112" stopIfTrue="1" operator="equal">
      <formula>"Napkin Hs"</formula>
    </cfRule>
  </conditionalFormatting>
  <conditionalFormatting sqref="B44:C44">
    <cfRule type="cellIs" dxfId="12035" priority="15109" stopIfTrue="1" operator="equal">
      <formula>"Towel"</formula>
    </cfRule>
    <cfRule type="cellIs" dxfId="12034" priority="15110" stopIfTrue="1" operator="equal">
      <formula>"Napkin Hs"</formula>
    </cfRule>
  </conditionalFormatting>
  <conditionalFormatting sqref="C44">
    <cfRule type="cellIs" dxfId="12033" priority="15107" stopIfTrue="1" operator="equal">
      <formula>"Towel"</formula>
    </cfRule>
    <cfRule type="cellIs" dxfId="12032" priority="15108" stopIfTrue="1" operator="equal">
      <formula>"Napkin Hs"</formula>
    </cfRule>
  </conditionalFormatting>
  <conditionalFormatting sqref="C44">
    <cfRule type="cellIs" dxfId="12031" priority="15105" stopIfTrue="1" operator="equal">
      <formula>"Towel"</formula>
    </cfRule>
    <cfRule type="cellIs" dxfId="12030" priority="15106" stopIfTrue="1" operator="equal">
      <formula>"Napkin Hs"</formula>
    </cfRule>
  </conditionalFormatting>
  <conditionalFormatting sqref="B44:C44">
    <cfRule type="cellIs" dxfId="12029" priority="15103" stopIfTrue="1" operator="equal">
      <formula>"Towel"</formula>
    </cfRule>
    <cfRule type="cellIs" dxfId="12028" priority="15104" stopIfTrue="1" operator="equal">
      <formula>"Napkin Hs"</formula>
    </cfRule>
  </conditionalFormatting>
  <conditionalFormatting sqref="C44">
    <cfRule type="cellIs" dxfId="12027" priority="15101" stopIfTrue="1" operator="equal">
      <formula>"Towel"</formula>
    </cfRule>
    <cfRule type="cellIs" dxfId="12026" priority="15102" stopIfTrue="1" operator="equal">
      <formula>"Napkin Hs"</formula>
    </cfRule>
  </conditionalFormatting>
  <conditionalFormatting sqref="C44">
    <cfRule type="cellIs" dxfId="12025" priority="15099" stopIfTrue="1" operator="equal">
      <formula>"Towel"</formula>
    </cfRule>
    <cfRule type="cellIs" dxfId="12024" priority="15100" stopIfTrue="1" operator="equal">
      <formula>"Napkin Hs"</formula>
    </cfRule>
  </conditionalFormatting>
  <conditionalFormatting sqref="B44:C44">
    <cfRule type="cellIs" dxfId="12023" priority="15097" stopIfTrue="1" operator="equal">
      <formula>"Towel"</formula>
    </cfRule>
    <cfRule type="cellIs" dxfId="12022" priority="15098" stopIfTrue="1" operator="equal">
      <formula>"Napkin Hs"</formula>
    </cfRule>
  </conditionalFormatting>
  <conditionalFormatting sqref="C44">
    <cfRule type="cellIs" dxfId="12021" priority="15095" stopIfTrue="1" operator="equal">
      <formula>"Towel"</formula>
    </cfRule>
    <cfRule type="cellIs" dxfId="12020" priority="15096" stopIfTrue="1" operator="equal">
      <formula>"Napkin Hs"</formula>
    </cfRule>
  </conditionalFormatting>
  <conditionalFormatting sqref="C44">
    <cfRule type="cellIs" dxfId="12019" priority="15093" stopIfTrue="1" operator="equal">
      <formula>"Towel"</formula>
    </cfRule>
    <cfRule type="cellIs" dxfId="12018" priority="15094" stopIfTrue="1" operator="equal">
      <formula>"Napkin Hs"</formula>
    </cfRule>
  </conditionalFormatting>
  <conditionalFormatting sqref="B44:C44">
    <cfRule type="cellIs" dxfId="12017" priority="15091" stopIfTrue="1" operator="equal">
      <formula>"Towel"</formula>
    </cfRule>
    <cfRule type="cellIs" dxfId="12016" priority="15092" stopIfTrue="1" operator="equal">
      <formula>"Napkin Hs"</formula>
    </cfRule>
  </conditionalFormatting>
  <conditionalFormatting sqref="C44">
    <cfRule type="cellIs" dxfId="12015" priority="15089" stopIfTrue="1" operator="equal">
      <formula>"Towel"</formula>
    </cfRule>
    <cfRule type="cellIs" dxfId="12014" priority="15090" stopIfTrue="1" operator="equal">
      <formula>"Napkin Hs"</formula>
    </cfRule>
  </conditionalFormatting>
  <conditionalFormatting sqref="C44">
    <cfRule type="cellIs" dxfId="12013" priority="15087" stopIfTrue="1" operator="equal">
      <formula>"Towel"</formula>
    </cfRule>
    <cfRule type="cellIs" dxfId="12012" priority="15088" stopIfTrue="1" operator="equal">
      <formula>"Napkin Hs"</formula>
    </cfRule>
  </conditionalFormatting>
  <conditionalFormatting sqref="B44:C44">
    <cfRule type="cellIs" dxfId="12011" priority="15086" stopIfTrue="1" operator="equal">
      <formula>"Napkin Hs"</formula>
    </cfRule>
  </conditionalFormatting>
  <conditionalFormatting sqref="B44:C44">
    <cfRule type="cellIs" dxfId="12010" priority="15085" stopIfTrue="1" operator="equal">
      <formula>"Towel"</formula>
    </cfRule>
  </conditionalFormatting>
  <conditionalFormatting sqref="C44">
    <cfRule type="cellIs" dxfId="12009" priority="15084" stopIfTrue="1" operator="equal">
      <formula>"Napkin Hs"</formula>
    </cfRule>
  </conditionalFormatting>
  <conditionalFormatting sqref="C44">
    <cfRule type="cellIs" dxfId="12008" priority="15081" stopIfTrue="1" operator="equal">
      <formula>"Towel"</formula>
    </cfRule>
    <cfRule type="cellIs" dxfId="12007" priority="15082" stopIfTrue="1" operator="equal">
      <formula>"Napkin Hs"</formula>
    </cfRule>
  </conditionalFormatting>
  <conditionalFormatting sqref="C44">
    <cfRule type="cellIs" dxfId="12006" priority="15083" stopIfTrue="1" operator="equal">
      <formula>"Towel"</formula>
    </cfRule>
  </conditionalFormatting>
  <conditionalFormatting sqref="C44">
    <cfRule type="cellIs" dxfId="12005" priority="14917" stopIfTrue="1" operator="equal">
      <formula>"Towel"</formula>
    </cfRule>
    <cfRule type="cellIs" dxfId="12004" priority="14918" stopIfTrue="1" operator="equal">
      <formula>"Napkin Hs"</formula>
    </cfRule>
  </conditionalFormatting>
  <conditionalFormatting sqref="C44">
    <cfRule type="cellIs" dxfId="12003" priority="14915" stopIfTrue="1" operator="equal">
      <formula>"Towel"</formula>
    </cfRule>
    <cfRule type="cellIs" dxfId="12002" priority="14916" stopIfTrue="1" operator="equal">
      <formula>"Napkin Hs"</formula>
    </cfRule>
  </conditionalFormatting>
  <conditionalFormatting sqref="C44">
    <cfRule type="cellIs" dxfId="12001" priority="14913" stopIfTrue="1" operator="equal">
      <formula>"Towel"</formula>
    </cfRule>
    <cfRule type="cellIs" dxfId="12000" priority="14914" stopIfTrue="1" operator="equal">
      <formula>"Napkin Hs"</formula>
    </cfRule>
  </conditionalFormatting>
  <conditionalFormatting sqref="C44">
    <cfRule type="cellIs" dxfId="11999" priority="14912" stopIfTrue="1" operator="equal">
      <formula>"Napkin Hs"</formula>
    </cfRule>
  </conditionalFormatting>
  <conditionalFormatting sqref="C44">
    <cfRule type="cellIs" dxfId="11998" priority="14911" stopIfTrue="1" operator="equal">
      <formula>"Towel"</formula>
    </cfRule>
  </conditionalFormatting>
  <conditionalFormatting sqref="C44">
    <cfRule type="cellIs" dxfId="11997" priority="14910" stopIfTrue="1" operator="equal">
      <formula>"Napkin Hs"</formula>
    </cfRule>
  </conditionalFormatting>
  <conditionalFormatting sqref="C44">
    <cfRule type="cellIs" dxfId="11996" priority="14909" stopIfTrue="1" operator="equal">
      <formula>"Towel"</formula>
    </cfRule>
  </conditionalFormatting>
  <conditionalFormatting sqref="C44">
    <cfRule type="cellIs" dxfId="11995" priority="14907" stopIfTrue="1" operator="equal">
      <formula>"Towel"</formula>
    </cfRule>
    <cfRule type="cellIs" dxfId="11994" priority="14908" stopIfTrue="1" operator="equal">
      <formula>"Napkin Hs"</formula>
    </cfRule>
  </conditionalFormatting>
  <conditionalFormatting sqref="C44">
    <cfRule type="cellIs" dxfId="11993" priority="14905" stopIfTrue="1" operator="equal">
      <formula>"Towel"</formula>
    </cfRule>
    <cfRule type="cellIs" dxfId="11992" priority="14906" stopIfTrue="1" operator="equal">
      <formula>"Napkin Hs"</formula>
    </cfRule>
  </conditionalFormatting>
  <conditionalFormatting sqref="C44">
    <cfRule type="cellIs" dxfId="11991" priority="14901" stopIfTrue="1" operator="equal">
      <formula>"Towel"</formula>
    </cfRule>
    <cfRule type="cellIs" dxfId="11990" priority="14902" stopIfTrue="1" operator="equal">
      <formula>"Napkin Hs"</formula>
    </cfRule>
  </conditionalFormatting>
  <conditionalFormatting sqref="C44">
    <cfRule type="cellIs" dxfId="11989" priority="14903" stopIfTrue="1" operator="equal">
      <formula>"Towel"</formula>
    </cfRule>
    <cfRule type="cellIs" dxfId="11988" priority="14904" stopIfTrue="1" operator="equal">
      <formula>"Napkin Hs"</formula>
    </cfRule>
  </conditionalFormatting>
  <conditionalFormatting sqref="C44">
    <cfRule type="cellIs" dxfId="11987" priority="14895" stopIfTrue="1" operator="equal">
      <formula>"Towel"</formula>
    </cfRule>
    <cfRule type="cellIs" dxfId="11986" priority="14896" stopIfTrue="1" operator="equal">
      <formula>"Napkin Hs"</formula>
    </cfRule>
  </conditionalFormatting>
  <conditionalFormatting sqref="C44">
    <cfRule type="cellIs" dxfId="11985" priority="14893" stopIfTrue="1" operator="equal">
      <formula>"Towel"</formula>
    </cfRule>
    <cfRule type="cellIs" dxfId="11984" priority="14894" stopIfTrue="1" operator="equal">
      <formula>"Napkin Hs"</formula>
    </cfRule>
  </conditionalFormatting>
  <conditionalFormatting sqref="C44">
    <cfRule type="cellIs" dxfId="11983" priority="14891" stopIfTrue="1" operator="equal">
      <formula>"Towel"</formula>
    </cfRule>
    <cfRule type="cellIs" dxfId="11982" priority="14892" stopIfTrue="1" operator="equal">
      <formula>"Napkin Hs"</formula>
    </cfRule>
  </conditionalFormatting>
  <conditionalFormatting sqref="C44">
    <cfRule type="cellIs" dxfId="11981" priority="14889" stopIfTrue="1" operator="equal">
      <formula>"Towel"</formula>
    </cfRule>
    <cfRule type="cellIs" dxfId="11980" priority="14890" stopIfTrue="1" operator="equal">
      <formula>"Napkin Hs"</formula>
    </cfRule>
  </conditionalFormatting>
  <conditionalFormatting sqref="C44">
    <cfRule type="cellIs" dxfId="11979" priority="14887" stopIfTrue="1" operator="equal">
      <formula>"Towel"</formula>
    </cfRule>
    <cfRule type="cellIs" dxfId="11978" priority="14888" stopIfTrue="1" operator="equal">
      <formula>"Napkin Hs"</formula>
    </cfRule>
  </conditionalFormatting>
  <conditionalFormatting sqref="C44">
    <cfRule type="cellIs" dxfId="11977" priority="14885" stopIfTrue="1" operator="equal">
      <formula>"Towel"</formula>
    </cfRule>
    <cfRule type="cellIs" dxfId="11976" priority="14886" stopIfTrue="1" operator="equal">
      <formula>"Napkin Hs"</formula>
    </cfRule>
  </conditionalFormatting>
  <conditionalFormatting sqref="C44">
    <cfRule type="cellIs" dxfId="11975" priority="14883" stopIfTrue="1" operator="equal">
      <formula>"Towel"</formula>
    </cfRule>
    <cfRule type="cellIs" dxfId="11974" priority="14884" stopIfTrue="1" operator="equal">
      <formula>"Napkin Hs"</formula>
    </cfRule>
  </conditionalFormatting>
  <conditionalFormatting sqref="C44">
    <cfRule type="cellIs" dxfId="11973" priority="14881" stopIfTrue="1" operator="equal">
      <formula>"Towel"</formula>
    </cfRule>
    <cfRule type="cellIs" dxfId="11972" priority="14882" stopIfTrue="1" operator="equal">
      <formula>"Napkin Hs"</formula>
    </cfRule>
  </conditionalFormatting>
  <conditionalFormatting sqref="C44">
    <cfRule type="cellIs" dxfId="11971" priority="14879" stopIfTrue="1" operator="equal">
      <formula>"Towel"</formula>
    </cfRule>
    <cfRule type="cellIs" dxfId="11970" priority="14880" stopIfTrue="1" operator="equal">
      <formula>"Napkin Hs"</formula>
    </cfRule>
  </conditionalFormatting>
  <conditionalFormatting sqref="C44">
    <cfRule type="cellIs" dxfId="11969" priority="14877" stopIfTrue="1" operator="equal">
      <formula>"Towel"</formula>
    </cfRule>
    <cfRule type="cellIs" dxfId="11968" priority="14878" stopIfTrue="1" operator="equal">
      <formula>"Napkin Hs"</formula>
    </cfRule>
  </conditionalFormatting>
  <conditionalFormatting sqref="C44">
    <cfRule type="cellIs" dxfId="11967" priority="14871" stopIfTrue="1" operator="equal">
      <formula>"Towel"</formula>
    </cfRule>
    <cfRule type="cellIs" dxfId="11966" priority="14872" stopIfTrue="1" operator="equal">
      <formula>"Napkin Hs"</formula>
    </cfRule>
  </conditionalFormatting>
  <conditionalFormatting sqref="C44">
    <cfRule type="cellIs" dxfId="11965" priority="14865" stopIfTrue="1" operator="equal">
      <formula>"Towel"</formula>
    </cfRule>
    <cfRule type="cellIs" dxfId="11964" priority="14866" stopIfTrue="1" operator="equal">
      <formula>"Napkin Hs"</formula>
    </cfRule>
  </conditionalFormatting>
  <conditionalFormatting sqref="C44">
    <cfRule type="cellIs" dxfId="11963" priority="14859" stopIfTrue="1" operator="equal">
      <formula>"Towel"</formula>
    </cfRule>
    <cfRule type="cellIs" dxfId="11962" priority="14860" stopIfTrue="1" operator="equal">
      <formula>"Napkin Hs"</formula>
    </cfRule>
  </conditionalFormatting>
  <conditionalFormatting sqref="C44">
    <cfRule type="cellIs" dxfId="11961" priority="14858" stopIfTrue="1" operator="equal">
      <formula>"Napkin Hs"</formula>
    </cfRule>
  </conditionalFormatting>
  <conditionalFormatting sqref="C44">
    <cfRule type="cellIs" dxfId="11960" priority="14857" stopIfTrue="1" operator="equal">
      <formula>"Towel"</formula>
    </cfRule>
  </conditionalFormatting>
  <conditionalFormatting sqref="C44">
    <cfRule type="cellIs" dxfId="11959" priority="14856" stopIfTrue="1" operator="equal">
      <formula>"Napkin Hs"</formula>
    </cfRule>
  </conditionalFormatting>
  <conditionalFormatting sqref="C44">
    <cfRule type="cellIs" dxfId="11958" priority="14855" stopIfTrue="1" operator="equal">
      <formula>"Towel"</formula>
    </cfRule>
  </conditionalFormatting>
  <conditionalFormatting sqref="C44">
    <cfRule type="cellIs" dxfId="11957" priority="14853" stopIfTrue="1" operator="equal">
      <formula>"Towel"</formula>
    </cfRule>
    <cfRule type="cellIs" dxfId="11956" priority="14854" stopIfTrue="1" operator="equal">
      <formula>"Napkin Hs"</formula>
    </cfRule>
  </conditionalFormatting>
  <conditionalFormatting sqref="C44">
    <cfRule type="cellIs" dxfId="11955" priority="14851" stopIfTrue="1" operator="equal">
      <formula>"Towel"</formula>
    </cfRule>
    <cfRule type="cellIs" dxfId="11954" priority="14852" stopIfTrue="1" operator="equal">
      <formula>"Napkin Hs"</formula>
    </cfRule>
  </conditionalFormatting>
  <conditionalFormatting sqref="C44">
    <cfRule type="cellIs" dxfId="11953" priority="14847" stopIfTrue="1" operator="equal">
      <formula>"Towel"</formula>
    </cfRule>
    <cfRule type="cellIs" dxfId="11952" priority="14848" stopIfTrue="1" operator="equal">
      <formula>"Napkin Hs"</formula>
    </cfRule>
  </conditionalFormatting>
  <conditionalFormatting sqref="C44">
    <cfRule type="cellIs" dxfId="11951" priority="14849" stopIfTrue="1" operator="equal">
      <formula>"Towel"</formula>
    </cfRule>
    <cfRule type="cellIs" dxfId="11950" priority="14850" stopIfTrue="1" operator="equal">
      <formula>"Napkin Hs"</formula>
    </cfRule>
  </conditionalFormatting>
  <conditionalFormatting sqref="C44">
    <cfRule type="cellIs" dxfId="11949" priority="14841" stopIfTrue="1" operator="equal">
      <formula>"Towel"</formula>
    </cfRule>
    <cfRule type="cellIs" dxfId="11948" priority="14842" stopIfTrue="1" operator="equal">
      <formula>"Napkin Hs"</formula>
    </cfRule>
  </conditionalFormatting>
  <conditionalFormatting sqref="C44">
    <cfRule type="cellIs" dxfId="11947" priority="14839" stopIfTrue="1" operator="equal">
      <formula>"Towel"</formula>
    </cfRule>
    <cfRule type="cellIs" dxfId="11946" priority="14840" stopIfTrue="1" operator="equal">
      <formula>"Napkin Hs"</formula>
    </cfRule>
  </conditionalFormatting>
  <conditionalFormatting sqref="C44">
    <cfRule type="cellIs" dxfId="11945" priority="14837" stopIfTrue="1" operator="equal">
      <formula>"Towel"</formula>
    </cfRule>
    <cfRule type="cellIs" dxfId="11944" priority="14838" stopIfTrue="1" operator="equal">
      <formula>"Napkin Hs"</formula>
    </cfRule>
  </conditionalFormatting>
  <conditionalFormatting sqref="C44">
    <cfRule type="cellIs" dxfId="11943" priority="14835" stopIfTrue="1" operator="equal">
      <formula>"Towel"</formula>
    </cfRule>
    <cfRule type="cellIs" dxfId="11942" priority="14836" stopIfTrue="1" operator="equal">
      <formula>"Napkin Hs"</formula>
    </cfRule>
  </conditionalFormatting>
  <conditionalFormatting sqref="C44">
    <cfRule type="cellIs" dxfId="11941" priority="14833" stopIfTrue="1" operator="equal">
      <formula>"Towel"</formula>
    </cfRule>
    <cfRule type="cellIs" dxfId="11940" priority="14834" stopIfTrue="1" operator="equal">
      <formula>"Napkin Hs"</formula>
    </cfRule>
  </conditionalFormatting>
  <conditionalFormatting sqref="C44">
    <cfRule type="cellIs" dxfId="11939" priority="14831" stopIfTrue="1" operator="equal">
      <formula>"Towel"</formula>
    </cfRule>
    <cfRule type="cellIs" dxfId="11938" priority="14832" stopIfTrue="1" operator="equal">
      <formula>"Napkin Hs"</formula>
    </cfRule>
  </conditionalFormatting>
  <conditionalFormatting sqref="C44">
    <cfRule type="cellIs" dxfId="11937" priority="14829" stopIfTrue="1" operator="equal">
      <formula>"Towel"</formula>
    </cfRule>
    <cfRule type="cellIs" dxfId="11936" priority="14830" stopIfTrue="1" operator="equal">
      <formula>"Napkin Hs"</formula>
    </cfRule>
  </conditionalFormatting>
  <conditionalFormatting sqref="C44">
    <cfRule type="cellIs" dxfId="11935" priority="14827" stopIfTrue="1" operator="equal">
      <formula>"Towel"</formula>
    </cfRule>
    <cfRule type="cellIs" dxfId="11934" priority="14828" stopIfTrue="1" operator="equal">
      <formula>"Napkin Hs"</formula>
    </cfRule>
  </conditionalFormatting>
  <conditionalFormatting sqref="C44">
    <cfRule type="cellIs" dxfId="11933" priority="14825" stopIfTrue="1" operator="equal">
      <formula>"Towel"</formula>
    </cfRule>
    <cfRule type="cellIs" dxfId="11932" priority="14826" stopIfTrue="1" operator="equal">
      <formula>"Napkin Hs"</formula>
    </cfRule>
  </conditionalFormatting>
  <conditionalFormatting sqref="C44">
    <cfRule type="cellIs" dxfId="11931" priority="14823" stopIfTrue="1" operator="equal">
      <formula>"Towel"</formula>
    </cfRule>
    <cfRule type="cellIs" dxfId="11930" priority="14824" stopIfTrue="1" operator="equal">
      <formula>"Napkin Hs"</formula>
    </cfRule>
  </conditionalFormatting>
  <conditionalFormatting sqref="C44">
    <cfRule type="cellIs" dxfId="11929" priority="14817" stopIfTrue="1" operator="equal">
      <formula>"Towel"</formula>
    </cfRule>
    <cfRule type="cellIs" dxfId="11928" priority="14818" stopIfTrue="1" operator="equal">
      <formula>"Napkin Hs"</formula>
    </cfRule>
  </conditionalFormatting>
  <conditionalFormatting sqref="C44">
    <cfRule type="cellIs" dxfId="11927" priority="14811" stopIfTrue="1" operator="equal">
      <formula>"Towel"</formula>
    </cfRule>
    <cfRule type="cellIs" dxfId="11926" priority="14812" stopIfTrue="1" operator="equal">
      <formula>"Napkin Hs"</formula>
    </cfRule>
  </conditionalFormatting>
  <conditionalFormatting sqref="C44">
    <cfRule type="cellIs" dxfId="11925" priority="14810" stopIfTrue="1" operator="equal">
      <formula>"Napkin Hs"</formula>
    </cfRule>
  </conditionalFormatting>
  <conditionalFormatting sqref="C44">
    <cfRule type="cellIs" dxfId="11924" priority="14809" stopIfTrue="1" operator="equal">
      <formula>"Towel"</formula>
    </cfRule>
  </conditionalFormatting>
  <conditionalFormatting sqref="C44">
    <cfRule type="cellIs" dxfId="11923" priority="14808" stopIfTrue="1" operator="equal">
      <formula>"Napkin Hs"</formula>
    </cfRule>
  </conditionalFormatting>
  <conditionalFormatting sqref="C44">
    <cfRule type="cellIs" dxfId="11922" priority="14805" stopIfTrue="1" operator="equal">
      <formula>"Towel"</formula>
    </cfRule>
    <cfRule type="cellIs" dxfId="11921" priority="14806" stopIfTrue="1" operator="equal">
      <formula>"Napkin Hs"</formula>
    </cfRule>
  </conditionalFormatting>
  <conditionalFormatting sqref="C44">
    <cfRule type="cellIs" dxfId="11920" priority="14807" stopIfTrue="1" operator="equal">
      <formula>"Towel"</formula>
    </cfRule>
  </conditionalFormatting>
  <conditionalFormatting sqref="C44">
    <cfRule type="cellIs" dxfId="11919" priority="14925" stopIfTrue="1" operator="equal">
      <formula>"Towel"</formula>
    </cfRule>
    <cfRule type="cellIs" dxfId="11918" priority="14926" stopIfTrue="1" operator="equal">
      <formula>"Napkin Hs"</formula>
    </cfRule>
  </conditionalFormatting>
  <conditionalFormatting sqref="C44">
    <cfRule type="cellIs" dxfId="11917" priority="14924" stopIfTrue="1" operator="equal">
      <formula>"Napkin Hs"</formula>
    </cfRule>
  </conditionalFormatting>
  <conditionalFormatting sqref="C44">
    <cfRule type="cellIs" dxfId="11916" priority="14923" stopIfTrue="1" operator="equal">
      <formula>"Towel"</formula>
    </cfRule>
  </conditionalFormatting>
  <conditionalFormatting sqref="C44">
    <cfRule type="cellIs" dxfId="11915" priority="14922" stopIfTrue="1" operator="equal">
      <formula>"Napkin Hs"</formula>
    </cfRule>
  </conditionalFormatting>
  <conditionalFormatting sqref="C44">
    <cfRule type="cellIs" dxfId="11914" priority="14919" stopIfTrue="1" operator="equal">
      <formula>"Towel"</formula>
    </cfRule>
    <cfRule type="cellIs" dxfId="11913" priority="14920" stopIfTrue="1" operator="equal">
      <formula>"Napkin Hs"</formula>
    </cfRule>
  </conditionalFormatting>
  <conditionalFormatting sqref="C44">
    <cfRule type="cellIs" dxfId="11912" priority="14921" stopIfTrue="1" operator="equal">
      <formula>"Towel"</formula>
    </cfRule>
  </conditionalFormatting>
  <conditionalFormatting sqref="C44">
    <cfRule type="cellIs" dxfId="11911" priority="14929" stopIfTrue="1" operator="equal">
      <formula>"Towel"</formula>
    </cfRule>
    <cfRule type="cellIs" dxfId="11910" priority="14930" stopIfTrue="1" operator="equal">
      <formula>"Napkin Hs"</formula>
    </cfRule>
  </conditionalFormatting>
  <conditionalFormatting sqref="C44">
    <cfRule type="cellIs" dxfId="11909" priority="14927" stopIfTrue="1" operator="equal">
      <formula>"Towel"</formula>
    </cfRule>
    <cfRule type="cellIs" dxfId="11908" priority="14928" stopIfTrue="1" operator="equal">
      <formula>"Napkin Hs"</formula>
    </cfRule>
  </conditionalFormatting>
  <conditionalFormatting sqref="C44">
    <cfRule type="cellIs" dxfId="11907" priority="14899" stopIfTrue="1" operator="equal">
      <formula>"Towel"</formula>
    </cfRule>
    <cfRule type="cellIs" dxfId="11906" priority="14900" stopIfTrue="1" operator="equal">
      <formula>"Napkin Hs"</formula>
    </cfRule>
  </conditionalFormatting>
  <conditionalFormatting sqref="C44">
    <cfRule type="cellIs" dxfId="11905" priority="14897" stopIfTrue="1" operator="equal">
      <formula>"Towel"</formula>
    </cfRule>
    <cfRule type="cellIs" dxfId="11904" priority="14898" stopIfTrue="1" operator="equal">
      <formula>"Napkin Hs"</formula>
    </cfRule>
  </conditionalFormatting>
  <conditionalFormatting sqref="C44">
    <cfRule type="cellIs" dxfId="11903" priority="14876" stopIfTrue="1" operator="equal">
      <formula>"Napkin Hs"</formula>
    </cfRule>
  </conditionalFormatting>
  <conditionalFormatting sqref="C44">
    <cfRule type="cellIs" dxfId="11902" priority="14875" stopIfTrue="1" operator="equal">
      <formula>"Towel"</formula>
    </cfRule>
  </conditionalFormatting>
  <conditionalFormatting sqref="C44">
    <cfRule type="cellIs" dxfId="11901" priority="14874" stopIfTrue="1" operator="equal">
      <formula>"Napkin Hs"</formula>
    </cfRule>
  </conditionalFormatting>
  <conditionalFormatting sqref="C44">
    <cfRule type="cellIs" dxfId="11900" priority="14873" stopIfTrue="1" operator="equal">
      <formula>"Towel"</formula>
    </cfRule>
  </conditionalFormatting>
  <conditionalFormatting sqref="C44">
    <cfRule type="cellIs" dxfId="11899" priority="14870" stopIfTrue="1" operator="equal">
      <formula>"Napkin Hs"</formula>
    </cfRule>
  </conditionalFormatting>
  <conditionalFormatting sqref="C44">
    <cfRule type="cellIs" dxfId="11898" priority="14869" stopIfTrue="1" operator="equal">
      <formula>"Towel"</formula>
    </cfRule>
  </conditionalFormatting>
  <conditionalFormatting sqref="C44">
    <cfRule type="cellIs" dxfId="11897" priority="14868" stopIfTrue="1" operator="equal">
      <formula>"Napkin Hs"</formula>
    </cfRule>
  </conditionalFormatting>
  <conditionalFormatting sqref="C44">
    <cfRule type="cellIs" dxfId="11896" priority="14867" stopIfTrue="1" operator="equal">
      <formula>"Towel"</formula>
    </cfRule>
  </conditionalFormatting>
  <conditionalFormatting sqref="C44">
    <cfRule type="cellIs" dxfId="11895" priority="14863" stopIfTrue="1" operator="equal">
      <formula>"Towel"</formula>
    </cfRule>
    <cfRule type="cellIs" dxfId="11894" priority="14864" stopIfTrue="1" operator="equal">
      <formula>"Napkin Hs"</formula>
    </cfRule>
  </conditionalFormatting>
  <conditionalFormatting sqref="C44">
    <cfRule type="cellIs" dxfId="11893" priority="14861" stopIfTrue="1" operator="equal">
      <formula>"Towel"</formula>
    </cfRule>
    <cfRule type="cellIs" dxfId="11892" priority="14862" stopIfTrue="1" operator="equal">
      <formula>"Napkin Hs"</formula>
    </cfRule>
  </conditionalFormatting>
  <conditionalFormatting sqref="C44">
    <cfRule type="cellIs" dxfId="11891" priority="14845" stopIfTrue="1" operator="equal">
      <formula>"Towel"</formula>
    </cfRule>
    <cfRule type="cellIs" dxfId="11890" priority="14846" stopIfTrue="1" operator="equal">
      <formula>"Napkin Hs"</formula>
    </cfRule>
  </conditionalFormatting>
  <conditionalFormatting sqref="C44">
    <cfRule type="cellIs" dxfId="11889" priority="14843" stopIfTrue="1" operator="equal">
      <formula>"Towel"</formula>
    </cfRule>
    <cfRule type="cellIs" dxfId="11888" priority="14844" stopIfTrue="1" operator="equal">
      <formula>"Napkin Hs"</formula>
    </cfRule>
  </conditionalFormatting>
  <conditionalFormatting sqref="C44">
    <cfRule type="cellIs" dxfId="11887" priority="14822" stopIfTrue="1" operator="equal">
      <formula>"Napkin Hs"</formula>
    </cfRule>
  </conditionalFormatting>
  <conditionalFormatting sqref="C44">
    <cfRule type="cellIs" dxfId="11886" priority="14821" stopIfTrue="1" operator="equal">
      <formula>"Towel"</formula>
    </cfRule>
  </conditionalFormatting>
  <conditionalFormatting sqref="C44">
    <cfRule type="cellIs" dxfId="11885" priority="14820" stopIfTrue="1" operator="equal">
      <formula>"Napkin Hs"</formula>
    </cfRule>
  </conditionalFormatting>
  <conditionalFormatting sqref="C44">
    <cfRule type="cellIs" dxfId="11884" priority="14819" stopIfTrue="1" operator="equal">
      <formula>"Towel"</formula>
    </cfRule>
  </conditionalFormatting>
  <conditionalFormatting sqref="C44">
    <cfRule type="cellIs" dxfId="11883" priority="14816" stopIfTrue="1" operator="equal">
      <formula>"Napkin Hs"</formula>
    </cfRule>
  </conditionalFormatting>
  <conditionalFormatting sqref="C44">
    <cfRule type="cellIs" dxfId="11882" priority="14815" stopIfTrue="1" operator="equal">
      <formula>"Towel"</formula>
    </cfRule>
  </conditionalFormatting>
  <conditionalFormatting sqref="C44">
    <cfRule type="cellIs" dxfId="11881" priority="14814" stopIfTrue="1" operator="equal">
      <formula>"Napkin Hs"</formula>
    </cfRule>
  </conditionalFormatting>
  <conditionalFormatting sqref="C44">
    <cfRule type="cellIs" dxfId="11880" priority="14813" stopIfTrue="1" operator="equal">
      <formula>"Towel"</formula>
    </cfRule>
  </conditionalFormatting>
  <conditionalFormatting sqref="B44:C44">
    <cfRule type="cellIs" dxfId="11879" priority="14804" stopIfTrue="1" operator="equal">
      <formula>"Napkin Hs"</formula>
    </cfRule>
  </conditionalFormatting>
  <conditionalFormatting sqref="B44:C44">
    <cfRule type="cellIs" dxfId="11878" priority="14803" stopIfTrue="1" operator="equal">
      <formula>"Towel"</formula>
    </cfRule>
  </conditionalFormatting>
  <conditionalFormatting sqref="C44">
    <cfRule type="cellIs" dxfId="11877" priority="14802" stopIfTrue="1" operator="equal">
      <formula>"Napkin Hs"</formula>
    </cfRule>
  </conditionalFormatting>
  <conditionalFormatting sqref="C44">
    <cfRule type="cellIs" dxfId="11876" priority="14799" stopIfTrue="1" operator="equal">
      <formula>"Towel"</formula>
    </cfRule>
    <cfRule type="cellIs" dxfId="11875" priority="14800" stopIfTrue="1" operator="equal">
      <formula>"Napkin Hs"</formula>
    </cfRule>
  </conditionalFormatting>
  <conditionalFormatting sqref="C44">
    <cfRule type="cellIs" dxfId="11874" priority="14801" stopIfTrue="1" operator="equal">
      <formula>"Towel"</formula>
    </cfRule>
  </conditionalFormatting>
  <conditionalFormatting sqref="C45:C46">
    <cfRule type="cellIs" dxfId="11873" priority="14715" stopIfTrue="1" operator="equal">
      <formula>"Towel"</formula>
    </cfRule>
    <cfRule type="cellIs" dxfId="11872" priority="14716" stopIfTrue="1" operator="equal">
      <formula>"Napkin Hs"</formula>
    </cfRule>
  </conditionalFormatting>
  <conditionalFormatting sqref="C45:C46">
    <cfRule type="cellIs" dxfId="11871" priority="14709" stopIfTrue="1" operator="equal">
      <formula>"Towel"</formula>
    </cfRule>
    <cfRule type="cellIs" dxfId="11870" priority="14710" stopIfTrue="1" operator="equal">
      <formula>"Napkin Hs"</formula>
    </cfRule>
  </conditionalFormatting>
  <conditionalFormatting sqref="C45:C46">
    <cfRule type="cellIs" dxfId="11869" priority="14690" stopIfTrue="1" operator="equal">
      <formula>"Napkin Hs"</formula>
    </cfRule>
  </conditionalFormatting>
  <conditionalFormatting sqref="C45:C46">
    <cfRule type="cellIs" dxfId="11868" priority="14689" stopIfTrue="1" operator="equal">
      <formula>"Towel"</formula>
    </cfRule>
  </conditionalFormatting>
  <conditionalFormatting sqref="C45:C46">
    <cfRule type="cellIs" dxfId="11867" priority="14688" stopIfTrue="1" operator="equal">
      <formula>"Napkin Hs"</formula>
    </cfRule>
  </conditionalFormatting>
  <conditionalFormatting sqref="C45:C46">
    <cfRule type="cellIs" dxfId="11866" priority="14685" stopIfTrue="1" operator="equal">
      <formula>"Towel"</formula>
    </cfRule>
    <cfRule type="cellIs" dxfId="11865" priority="14686" stopIfTrue="1" operator="equal">
      <formula>"Napkin Hs"</formula>
    </cfRule>
  </conditionalFormatting>
  <conditionalFormatting sqref="C45:C46">
    <cfRule type="cellIs" dxfId="11864" priority="14687" stopIfTrue="1" operator="equal">
      <formula>"Towel"</formula>
    </cfRule>
  </conditionalFormatting>
  <conditionalFormatting sqref="C45:C46">
    <cfRule type="cellIs" dxfId="11863" priority="14684" stopIfTrue="1" operator="equal">
      <formula>"Napkin Hs"</formula>
    </cfRule>
  </conditionalFormatting>
  <conditionalFormatting sqref="C45:C46">
    <cfRule type="cellIs" dxfId="11862" priority="14683" stopIfTrue="1" operator="equal">
      <formula>"Towel"</formula>
    </cfRule>
  </conditionalFormatting>
  <conditionalFormatting sqref="C45:C46">
    <cfRule type="cellIs" dxfId="11861" priority="14682" stopIfTrue="1" operator="equal">
      <formula>"Napkin Hs"</formula>
    </cfRule>
  </conditionalFormatting>
  <conditionalFormatting sqref="C45:C46">
    <cfRule type="cellIs" dxfId="11860" priority="14679" stopIfTrue="1" operator="equal">
      <formula>"Towel"</formula>
    </cfRule>
    <cfRule type="cellIs" dxfId="11859" priority="14680" stopIfTrue="1" operator="equal">
      <formula>"Napkin Hs"</formula>
    </cfRule>
  </conditionalFormatting>
  <conditionalFormatting sqref="C45:C46">
    <cfRule type="cellIs" dxfId="11858" priority="14681" stopIfTrue="1" operator="equal">
      <formula>"Towel"</formula>
    </cfRule>
  </conditionalFormatting>
  <conditionalFormatting sqref="C45:C46">
    <cfRule type="cellIs" dxfId="11857" priority="14785" stopIfTrue="1" operator="equal">
      <formula>"Towel"</formula>
    </cfRule>
    <cfRule type="cellIs" dxfId="11856" priority="14786" stopIfTrue="1" operator="equal">
      <formula>"Napkin Hs"</formula>
    </cfRule>
  </conditionalFormatting>
  <conditionalFormatting sqref="C45:C46">
    <cfRule type="cellIs" dxfId="11855" priority="14783" stopIfTrue="1" operator="equal">
      <formula>"Towel"</formula>
    </cfRule>
    <cfRule type="cellIs" dxfId="11854" priority="14784" stopIfTrue="1" operator="equal">
      <formula>"Napkin Hs"</formula>
    </cfRule>
  </conditionalFormatting>
  <conditionalFormatting sqref="C45:C46">
    <cfRule type="cellIs" dxfId="11853" priority="14781" stopIfTrue="1" operator="equal">
      <formula>"Towel"</formula>
    </cfRule>
    <cfRule type="cellIs" dxfId="11852" priority="14782" stopIfTrue="1" operator="equal">
      <formula>"Napkin Hs"</formula>
    </cfRule>
  </conditionalFormatting>
  <conditionalFormatting sqref="C45:C46">
    <cfRule type="cellIs" dxfId="11851" priority="14780" stopIfTrue="1" operator="equal">
      <formula>"Napkin Hs"</formula>
    </cfRule>
  </conditionalFormatting>
  <conditionalFormatting sqref="C45:C46">
    <cfRule type="cellIs" dxfId="11850" priority="14779" stopIfTrue="1" operator="equal">
      <formula>"Towel"</formula>
    </cfRule>
  </conditionalFormatting>
  <conditionalFormatting sqref="C45:C46">
    <cfRule type="cellIs" dxfId="11849" priority="14778" stopIfTrue="1" operator="equal">
      <formula>"Napkin Hs"</formula>
    </cfRule>
  </conditionalFormatting>
  <conditionalFormatting sqref="C45:C46">
    <cfRule type="cellIs" dxfId="11848" priority="14777" stopIfTrue="1" operator="equal">
      <formula>"Towel"</formula>
    </cfRule>
  </conditionalFormatting>
  <conditionalFormatting sqref="C45:C46">
    <cfRule type="cellIs" dxfId="11847" priority="14775" stopIfTrue="1" operator="equal">
      <formula>"Towel"</formula>
    </cfRule>
    <cfRule type="cellIs" dxfId="11846" priority="14776" stopIfTrue="1" operator="equal">
      <formula>"Napkin Hs"</formula>
    </cfRule>
  </conditionalFormatting>
  <conditionalFormatting sqref="C45:C46">
    <cfRule type="cellIs" dxfId="11845" priority="14773" stopIfTrue="1" operator="equal">
      <formula>"Towel"</formula>
    </cfRule>
    <cfRule type="cellIs" dxfId="11844" priority="14774" stopIfTrue="1" operator="equal">
      <formula>"Napkin Hs"</formula>
    </cfRule>
  </conditionalFormatting>
  <conditionalFormatting sqref="C45:C46">
    <cfRule type="cellIs" dxfId="11843" priority="14769" stopIfTrue="1" operator="equal">
      <formula>"Towel"</formula>
    </cfRule>
    <cfRule type="cellIs" dxfId="11842" priority="14770" stopIfTrue="1" operator="equal">
      <formula>"Napkin Hs"</formula>
    </cfRule>
  </conditionalFormatting>
  <conditionalFormatting sqref="C45:C46">
    <cfRule type="cellIs" dxfId="11841" priority="14771" stopIfTrue="1" operator="equal">
      <formula>"Towel"</formula>
    </cfRule>
    <cfRule type="cellIs" dxfId="11840" priority="14772" stopIfTrue="1" operator="equal">
      <formula>"Napkin Hs"</formula>
    </cfRule>
  </conditionalFormatting>
  <conditionalFormatting sqref="C45:C46">
    <cfRule type="cellIs" dxfId="11839" priority="14763" stopIfTrue="1" operator="equal">
      <formula>"Towel"</formula>
    </cfRule>
    <cfRule type="cellIs" dxfId="11838" priority="14764" stopIfTrue="1" operator="equal">
      <formula>"Napkin Hs"</formula>
    </cfRule>
  </conditionalFormatting>
  <conditionalFormatting sqref="C45:C46">
    <cfRule type="cellIs" dxfId="11837" priority="14761" stopIfTrue="1" operator="equal">
      <formula>"Towel"</formula>
    </cfRule>
    <cfRule type="cellIs" dxfId="11836" priority="14762" stopIfTrue="1" operator="equal">
      <formula>"Napkin Hs"</formula>
    </cfRule>
  </conditionalFormatting>
  <conditionalFormatting sqref="C45:C46">
    <cfRule type="cellIs" dxfId="11835" priority="14759" stopIfTrue="1" operator="equal">
      <formula>"Towel"</formula>
    </cfRule>
    <cfRule type="cellIs" dxfId="11834" priority="14760" stopIfTrue="1" operator="equal">
      <formula>"Napkin Hs"</formula>
    </cfRule>
  </conditionalFormatting>
  <conditionalFormatting sqref="C45:C46">
    <cfRule type="cellIs" dxfId="11833" priority="14757" stopIfTrue="1" operator="equal">
      <formula>"Towel"</formula>
    </cfRule>
    <cfRule type="cellIs" dxfId="11832" priority="14758" stopIfTrue="1" operator="equal">
      <formula>"Napkin Hs"</formula>
    </cfRule>
  </conditionalFormatting>
  <conditionalFormatting sqref="C45:C46">
    <cfRule type="cellIs" dxfId="11831" priority="14755" stopIfTrue="1" operator="equal">
      <formula>"Towel"</formula>
    </cfRule>
    <cfRule type="cellIs" dxfId="11830" priority="14756" stopIfTrue="1" operator="equal">
      <formula>"Napkin Hs"</formula>
    </cfRule>
  </conditionalFormatting>
  <conditionalFormatting sqref="C45:C46">
    <cfRule type="cellIs" dxfId="11829" priority="14753" stopIfTrue="1" operator="equal">
      <formula>"Towel"</formula>
    </cfRule>
    <cfRule type="cellIs" dxfId="11828" priority="14754" stopIfTrue="1" operator="equal">
      <formula>"Napkin Hs"</formula>
    </cfRule>
  </conditionalFormatting>
  <conditionalFormatting sqref="C45:C46">
    <cfRule type="cellIs" dxfId="11827" priority="14751" stopIfTrue="1" operator="equal">
      <formula>"Towel"</formula>
    </cfRule>
    <cfRule type="cellIs" dxfId="11826" priority="14752" stopIfTrue="1" operator="equal">
      <formula>"Napkin Hs"</formula>
    </cfRule>
  </conditionalFormatting>
  <conditionalFormatting sqref="C45:C46">
    <cfRule type="cellIs" dxfId="11825" priority="14749" stopIfTrue="1" operator="equal">
      <formula>"Towel"</formula>
    </cfRule>
    <cfRule type="cellIs" dxfId="11824" priority="14750" stopIfTrue="1" operator="equal">
      <formula>"Napkin Hs"</formula>
    </cfRule>
  </conditionalFormatting>
  <conditionalFormatting sqref="C45:C46">
    <cfRule type="cellIs" dxfId="11823" priority="14747" stopIfTrue="1" operator="equal">
      <formula>"Towel"</formula>
    </cfRule>
    <cfRule type="cellIs" dxfId="11822" priority="14748" stopIfTrue="1" operator="equal">
      <formula>"Napkin Hs"</formula>
    </cfRule>
  </conditionalFormatting>
  <conditionalFormatting sqref="C45:C46">
    <cfRule type="cellIs" dxfId="11821" priority="14745" stopIfTrue="1" operator="equal">
      <formula>"Towel"</formula>
    </cfRule>
    <cfRule type="cellIs" dxfId="11820" priority="14746" stopIfTrue="1" operator="equal">
      <formula>"Napkin Hs"</formula>
    </cfRule>
  </conditionalFormatting>
  <conditionalFormatting sqref="C45:C46">
    <cfRule type="cellIs" dxfId="11819" priority="14739" stopIfTrue="1" operator="equal">
      <formula>"Towel"</formula>
    </cfRule>
    <cfRule type="cellIs" dxfId="11818" priority="14740" stopIfTrue="1" operator="equal">
      <formula>"Napkin Hs"</formula>
    </cfRule>
  </conditionalFormatting>
  <conditionalFormatting sqref="C45:C46">
    <cfRule type="cellIs" dxfId="11817" priority="14733" stopIfTrue="1" operator="equal">
      <formula>"Towel"</formula>
    </cfRule>
    <cfRule type="cellIs" dxfId="11816" priority="14734" stopIfTrue="1" operator="equal">
      <formula>"Napkin Hs"</formula>
    </cfRule>
  </conditionalFormatting>
  <conditionalFormatting sqref="C45:C46">
    <cfRule type="cellIs" dxfId="11815" priority="14727" stopIfTrue="1" operator="equal">
      <formula>"Towel"</formula>
    </cfRule>
    <cfRule type="cellIs" dxfId="11814" priority="14728" stopIfTrue="1" operator="equal">
      <formula>"Napkin Hs"</formula>
    </cfRule>
  </conditionalFormatting>
  <conditionalFormatting sqref="C45:C46">
    <cfRule type="cellIs" dxfId="11813" priority="14726" stopIfTrue="1" operator="equal">
      <formula>"Napkin Hs"</formula>
    </cfRule>
  </conditionalFormatting>
  <conditionalFormatting sqref="C45:C46">
    <cfRule type="cellIs" dxfId="11812" priority="14725" stopIfTrue="1" operator="equal">
      <formula>"Towel"</formula>
    </cfRule>
  </conditionalFormatting>
  <conditionalFormatting sqref="C45:C46">
    <cfRule type="cellIs" dxfId="11811" priority="14724" stopIfTrue="1" operator="equal">
      <formula>"Napkin Hs"</formula>
    </cfRule>
  </conditionalFormatting>
  <conditionalFormatting sqref="C45:C46">
    <cfRule type="cellIs" dxfId="11810" priority="14723" stopIfTrue="1" operator="equal">
      <formula>"Towel"</formula>
    </cfRule>
  </conditionalFormatting>
  <conditionalFormatting sqref="C45:C46">
    <cfRule type="cellIs" dxfId="11809" priority="14721" stopIfTrue="1" operator="equal">
      <formula>"Towel"</formula>
    </cfRule>
    <cfRule type="cellIs" dxfId="11808" priority="14722" stopIfTrue="1" operator="equal">
      <formula>"Napkin Hs"</formula>
    </cfRule>
  </conditionalFormatting>
  <conditionalFormatting sqref="C45:C46">
    <cfRule type="cellIs" dxfId="11807" priority="14719" stopIfTrue="1" operator="equal">
      <formula>"Towel"</formula>
    </cfRule>
    <cfRule type="cellIs" dxfId="11806" priority="14720" stopIfTrue="1" operator="equal">
      <formula>"Napkin Hs"</formula>
    </cfRule>
  </conditionalFormatting>
  <conditionalFormatting sqref="C45:C46">
    <cfRule type="cellIs" dxfId="11805" priority="14717" stopIfTrue="1" operator="equal">
      <formula>"Towel"</formula>
    </cfRule>
    <cfRule type="cellIs" dxfId="11804" priority="14718" stopIfTrue="1" operator="equal">
      <formula>"Napkin Hs"</formula>
    </cfRule>
  </conditionalFormatting>
  <conditionalFormatting sqref="C45:C46">
    <cfRule type="cellIs" dxfId="11803" priority="14707" stopIfTrue="1" operator="equal">
      <formula>"Towel"</formula>
    </cfRule>
    <cfRule type="cellIs" dxfId="11802" priority="14708" stopIfTrue="1" operator="equal">
      <formula>"Napkin Hs"</formula>
    </cfRule>
  </conditionalFormatting>
  <conditionalFormatting sqref="C45:C46">
    <cfRule type="cellIs" dxfId="11801" priority="14705" stopIfTrue="1" operator="equal">
      <formula>"Towel"</formula>
    </cfRule>
    <cfRule type="cellIs" dxfId="11800" priority="14706" stopIfTrue="1" operator="equal">
      <formula>"Napkin Hs"</formula>
    </cfRule>
  </conditionalFormatting>
  <conditionalFormatting sqref="C45:C46">
    <cfRule type="cellIs" dxfId="11799" priority="14703" stopIfTrue="1" operator="equal">
      <formula>"Towel"</formula>
    </cfRule>
    <cfRule type="cellIs" dxfId="11798" priority="14704" stopIfTrue="1" operator="equal">
      <formula>"Napkin Hs"</formula>
    </cfRule>
  </conditionalFormatting>
  <conditionalFormatting sqref="C45:C46">
    <cfRule type="cellIs" dxfId="11797" priority="14701" stopIfTrue="1" operator="equal">
      <formula>"Towel"</formula>
    </cfRule>
    <cfRule type="cellIs" dxfId="11796" priority="14702" stopIfTrue="1" operator="equal">
      <formula>"Napkin Hs"</formula>
    </cfRule>
  </conditionalFormatting>
  <conditionalFormatting sqref="C45:C46">
    <cfRule type="cellIs" dxfId="11795" priority="14699" stopIfTrue="1" operator="equal">
      <formula>"Towel"</formula>
    </cfRule>
    <cfRule type="cellIs" dxfId="11794" priority="14700" stopIfTrue="1" operator="equal">
      <formula>"Napkin Hs"</formula>
    </cfRule>
  </conditionalFormatting>
  <conditionalFormatting sqref="C45:C46">
    <cfRule type="cellIs" dxfId="11793" priority="14697" stopIfTrue="1" operator="equal">
      <formula>"Towel"</formula>
    </cfRule>
    <cfRule type="cellIs" dxfId="11792" priority="14698" stopIfTrue="1" operator="equal">
      <formula>"Napkin Hs"</formula>
    </cfRule>
  </conditionalFormatting>
  <conditionalFormatting sqref="C45:C46">
    <cfRule type="cellIs" dxfId="11791" priority="14695" stopIfTrue="1" operator="equal">
      <formula>"Towel"</formula>
    </cfRule>
    <cfRule type="cellIs" dxfId="11790" priority="14696" stopIfTrue="1" operator="equal">
      <formula>"Napkin Hs"</formula>
    </cfRule>
  </conditionalFormatting>
  <conditionalFormatting sqref="C45:C46">
    <cfRule type="cellIs" dxfId="11789" priority="14693" stopIfTrue="1" operator="equal">
      <formula>"Towel"</formula>
    </cfRule>
    <cfRule type="cellIs" dxfId="11788" priority="14694" stopIfTrue="1" operator="equal">
      <formula>"Napkin Hs"</formula>
    </cfRule>
  </conditionalFormatting>
  <conditionalFormatting sqref="C45:C46">
    <cfRule type="cellIs" dxfId="11787" priority="14691" stopIfTrue="1" operator="equal">
      <formula>"Towel"</formula>
    </cfRule>
    <cfRule type="cellIs" dxfId="11786" priority="14692" stopIfTrue="1" operator="equal">
      <formula>"Napkin Hs"</formula>
    </cfRule>
  </conditionalFormatting>
  <conditionalFormatting sqref="C45:C46">
    <cfRule type="cellIs" dxfId="11785" priority="14678" stopIfTrue="1" operator="equal">
      <formula>"Napkin Hs"</formula>
    </cfRule>
  </conditionalFormatting>
  <conditionalFormatting sqref="C45:C46">
    <cfRule type="cellIs" dxfId="11784" priority="14677" stopIfTrue="1" operator="equal">
      <formula>"Towel"</formula>
    </cfRule>
  </conditionalFormatting>
  <conditionalFormatting sqref="C45:C46">
    <cfRule type="cellIs" dxfId="11783" priority="14676" stopIfTrue="1" operator="equal">
      <formula>"Napkin Hs"</formula>
    </cfRule>
  </conditionalFormatting>
  <conditionalFormatting sqref="C45:C46">
    <cfRule type="cellIs" dxfId="11782" priority="14673" stopIfTrue="1" operator="equal">
      <formula>"Towel"</formula>
    </cfRule>
    <cfRule type="cellIs" dxfId="11781" priority="14674" stopIfTrue="1" operator="equal">
      <formula>"Napkin Hs"</formula>
    </cfRule>
  </conditionalFormatting>
  <conditionalFormatting sqref="C45:C46">
    <cfRule type="cellIs" dxfId="11780" priority="14675" stopIfTrue="1" operator="equal">
      <formula>"Towel"</formula>
    </cfRule>
  </conditionalFormatting>
  <conditionalFormatting sqref="C45:C46">
    <cfRule type="cellIs" dxfId="11779" priority="14793" stopIfTrue="1" operator="equal">
      <formula>"Towel"</formula>
    </cfRule>
    <cfRule type="cellIs" dxfId="11778" priority="14794" stopIfTrue="1" operator="equal">
      <formula>"Napkin Hs"</formula>
    </cfRule>
  </conditionalFormatting>
  <conditionalFormatting sqref="C45:C46">
    <cfRule type="cellIs" dxfId="11777" priority="14792" stopIfTrue="1" operator="equal">
      <formula>"Napkin Hs"</formula>
    </cfRule>
  </conditionalFormatting>
  <conditionalFormatting sqref="C45:C46">
    <cfRule type="cellIs" dxfId="11776" priority="14791" stopIfTrue="1" operator="equal">
      <formula>"Towel"</formula>
    </cfRule>
  </conditionalFormatting>
  <conditionalFormatting sqref="C45:C46">
    <cfRule type="cellIs" dxfId="11775" priority="14790" stopIfTrue="1" operator="equal">
      <formula>"Napkin Hs"</formula>
    </cfRule>
  </conditionalFormatting>
  <conditionalFormatting sqref="C45:C46">
    <cfRule type="cellIs" dxfId="11774" priority="14787" stopIfTrue="1" operator="equal">
      <formula>"Towel"</formula>
    </cfRule>
    <cfRule type="cellIs" dxfId="11773" priority="14788" stopIfTrue="1" operator="equal">
      <formula>"Napkin Hs"</formula>
    </cfRule>
  </conditionalFormatting>
  <conditionalFormatting sqref="C45:C46">
    <cfRule type="cellIs" dxfId="11772" priority="14789" stopIfTrue="1" operator="equal">
      <formula>"Towel"</formula>
    </cfRule>
  </conditionalFormatting>
  <conditionalFormatting sqref="C45:C46">
    <cfRule type="cellIs" dxfId="11771" priority="14797" stopIfTrue="1" operator="equal">
      <formula>"Towel"</formula>
    </cfRule>
    <cfRule type="cellIs" dxfId="11770" priority="14798" stopIfTrue="1" operator="equal">
      <formula>"Napkin Hs"</formula>
    </cfRule>
  </conditionalFormatting>
  <conditionalFormatting sqref="C45:C46">
    <cfRule type="cellIs" dxfId="11769" priority="14795" stopIfTrue="1" operator="equal">
      <formula>"Towel"</formula>
    </cfRule>
    <cfRule type="cellIs" dxfId="11768" priority="14796" stopIfTrue="1" operator="equal">
      <formula>"Napkin Hs"</formula>
    </cfRule>
  </conditionalFormatting>
  <conditionalFormatting sqref="C45:C46">
    <cfRule type="cellIs" dxfId="11767" priority="14767" stopIfTrue="1" operator="equal">
      <formula>"Towel"</formula>
    </cfRule>
    <cfRule type="cellIs" dxfId="11766" priority="14768" stopIfTrue="1" operator="equal">
      <formula>"Napkin Hs"</formula>
    </cfRule>
  </conditionalFormatting>
  <conditionalFormatting sqref="C45:C46">
    <cfRule type="cellIs" dxfId="11765" priority="14765" stopIfTrue="1" operator="equal">
      <formula>"Towel"</formula>
    </cfRule>
    <cfRule type="cellIs" dxfId="11764" priority="14766" stopIfTrue="1" operator="equal">
      <formula>"Napkin Hs"</formula>
    </cfRule>
  </conditionalFormatting>
  <conditionalFormatting sqref="C45:C46">
    <cfRule type="cellIs" dxfId="11763" priority="14744" stopIfTrue="1" operator="equal">
      <formula>"Napkin Hs"</formula>
    </cfRule>
  </conditionalFormatting>
  <conditionalFormatting sqref="C45:C46">
    <cfRule type="cellIs" dxfId="11762" priority="14743" stopIfTrue="1" operator="equal">
      <formula>"Towel"</formula>
    </cfRule>
  </conditionalFormatting>
  <conditionalFormatting sqref="C45:C46">
    <cfRule type="cellIs" dxfId="11761" priority="14742" stopIfTrue="1" operator="equal">
      <formula>"Napkin Hs"</formula>
    </cfRule>
  </conditionalFormatting>
  <conditionalFormatting sqref="C45:C46">
    <cfRule type="cellIs" dxfId="11760" priority="14741" stopIfTrue="1" operator="equal">
      <formula>"Towel"</formula>
    </cfRule>
  </conditionalFormatting>
  <conditionalFormatting sqref="C45:C46">
    <cfRule type="cellIs" dxfId="11759" priority="14738" stopIfTrue="1" operator="equal">
      <formula>"Napkin Hs"</formula>
    </cfRule>
  </conditionalFormatting>
  <conditionalFormatting sqref="C45:C46">
    <cfRule type="cellIs" dxfId="11758" priority="14737" stopIfTrue="1" operator="equal">
      <formula>"Towel"</formula>
    </cfRule>
  </conditionalFormatting>
  <conditionalFormatting sqref="C45:C46">
    <cfRule type="cellIs" dxfId="11757" priority="14736" stopIfTrue="1" operator="equal">
      <formula>"Napkin Hs"</formula>
    </cfRule>
  </conditionalFormatting>
  <conditionalFormatting sqref="C45:C46">
    <cfRule type="cellIs" dxfId="11756" priority="14735" stopIfTrue="1" operator="equal">
      <formula>"Towel"</formula>
    </cfRule>
  </conditionalFormatting>
  <conditionalFormatting sqref="C45:C46">
    <cfRule type="cellIs" dxfId="11755" priority="14731" stopIfTrue="1" operator="equal">
      <formula>"Towel"</formula>
    </cfRule>
    <cfRule type="cellIs" dxfId="11754" priority="14732" stopIfTrue="1" operator="equal">
      <formula>"Napkin Hs"</formula>
    </cfRule>
  </conditionalFormatting>
  <conditionalFormatting sqref="C45:C46">
    <cfRule type="cellIs" dxfId="11753" priority="14729" stopIfTrue="1" operator="equal">
      <formula>"Towel"</formula>
    </cfRule>
    <cfRule type="cellIs" dxfId="11752" priority="14730" stopIfTrue="1" operator="equal">
      <formula>"Napkin Hs"</formula>
    </cfRule>
  </conditionalFormatting>
  <conditionalFormatting sqref="C45:C46">
    <cfRule type="cellIs" dxfId="11751" priority="14713" stopIfTrue="1" operator="equal">
      <formula>"Towel"</formula>
    </cfRule>
    <cfRule type="cellIs" dxfId="11750" priority="14714" stopIfTrue="1" operator="equal">
      <formula>"Napkin Hs"</formula>
    </cfRule>
  </conditionalFormatting>
  <conditionalFormatting sqref="C45:C46">
    <cfRule type="cellIs" dxfId="11749" priority="14711" stopIfTrue="1" operator="equal">
      <formula>"Towel"</formula>
    </cfRule>
    <cfRule type="cellIs" dxfId="11748" priority="14712" stopIfTrue="1" operator="equal">
      <formula>"Napkin Hs"</formula>
    </cfRule>
  </conditionalFormatting>
  <conditionalFormatting sqref="B45:C46">
    <cfRule type="cellIs" dxfId="11747" priority="14672" stopIfTrue="1" operator="equal">
      <formula>"Napkin Hs"</formula>
    </cfRule>
  </conditionalFormatting>
  <conditionalFormatting sqref="B45:C46">
    <cfRule type="cellIs" dxfId="11746" priority="14671" stopIfTrue="1" operator="equal">
      <formula>"Towel"</formula>
    </cfRule>
  </conditionalFormatting>
  <conditionalFormatting sqref="C45:C46">
    <cfRule type="cellIs" dxfId="11745" priority="14670" stopIfTrue="1" operator="equal">
      <formula>"Napkin Hs"</formula>
    </cfRule>
  </conditionalFormatting>
  <conditionalFormatting sqref="C45:C46">
    <cfRule type="cellIs" dxfId="11744" priority="14667" stopIfTrue="1" operator="equal">
      <formula>"Towel"</formula>
    </cfRule>
    <cfRule type="cellIs" dxfId="11743" priority="14668" stopIfTrue="1" operator="equal">
      <formula>"Napkin Hs"</formula>
    </cfRule>
  </conditionalFormatting>
  <conditionalFormatting sqref="C45:C46">
    <cfRule type="cellIs" dxfId="11742" priority="14669" stopIfTrue="1" operator="equal">
      <formula>"Towel"</formula>
    </cfRule>
  </conditionalFormatting>
  <conditionalFormatting sqref="B43:C43">
    <cfRule type="cellIs" dxfId="11741" priority="14665" stopIfTrue="1" operator="equal">
      <formula>"Towel"</formula>
    </cfRule>
    <cfRule type="cellIs" dxfId="11740" priority="14666" stopIfTrue="1" operator="equal">
      <formula>"Napkin Hs"</formula>
    </cfRule>
  </conditionalFormatting>
  <conditionalFormatting sqref="C43">
    <cfRule type="cellIs" dxfId="11739" priority="14661" stopIfTrue="1" operator="equal">
      <formula>"Towel"</formula>
    </cfRule>
    <cfRule type="cellIs" dxfId="11738" priority="14662" stopIfTrue="1" operator="equal">
      <formula>"Napkin Hs"</formula>
    </cfRule>
  </conditionalFormatting>
  <conditionalFormatting sqref="C43">
    <cfRule type="cellIs" dxfId="11737" priority="14663" stopIfTrue="1" operator="equal">
      <formula>"Towel"</formula>
    </cfRule>
    <cfRule type="cellIs" dxfId="11736" priority="14664" stopIfTrue="1" operator="equal">
      <formula>"Napkin Hs"</formula>
    </cfRule>
  </conditionalFormatting>
  <conditionalFormatting sqref="B43:C43">
    <cfRule type="cellIs" dxfId="11735" priority="14659" stopIfTrue="1" operator="equal">
      <formula>"Towel"</formula>
    </cfRule>
    <cfRule type="cellIs" dxfId="11734" priority="14660" stopIfTrue="1" operator="equal">
      <formula>"Napkin Hs"</formula>
    </cfRule>
  </conditionalFormatting>
  <conditionalFormatting sqref="C43">
    <cfRule type="cellIs" dxfId="11733" priority="14655" stopIfTrue="1" operator="equal">
      <formula>"Towel"</formula>
    </cfRule>
    <cfRule type="cellIs" dxfId="11732" priority="14656" stopIfTrue="1" operator="equal">
      <formula>"Napkin Hs"</formula>
    </cfRule>
  </conditionalFormatting>
  <conditionalFormatting sqref="C43">
    <cfRule type="cellIs" dxfId="11731" priority="14657" stopIfTrue="1" operator="equal">
      <formula>"Towel"</formula>
    </cfRule>
    <cfRule type="cellIs" dxfId="11730" priority="14658" stopIfTrue="1" operator="equal">
      <formula>"Napkin Hs"</formula>
    </cfRule>
  </conditionalFormatting>
  <conditionalFormatting sqref="B43:C43">
    <cfRule type="cellIs" dxfId="11729" priority="14653" stopIfTrue="1" operator="equal">
      <formula>"Towel"</formula>
    </cfRule>
    <cfRule type="cellIs" dxfId="11728" priority="14654" stopIfTrue="1" operator="equal">
      <formula>"Napkin Hs"</formula>
    </cfRule>
  </conditionalFormatting>
  <conditionalFormatting sqref="C43">
    <cfRule type="cellIs" dxfId="11727" priority="14651" stopIfTrue="1" operator="equal">
      <formula>"Towel"</formula>
    </cfRule>
    <cfRule type="cellIs" dxfId="11726" priority="14652" stopIfTrue="1" operator="equal">
      <formula>"Napkin Hs"</formula>
    </cfRule>
  </conditionalFormatting>
  <conditionalFormatting sqref="C43">
    <cfRule type="cellIs" dxfId="11725" priority="14649" stopIfTrue="1" operator="equal">
      <formula>"Towel"</formula>
    </cfRule>
    <cfRule type="cellIs" dxfId="11724" priority="14650" stopIfTrue="1" operator="equal">
      <formula>"Napkin Hs"</formula>
    </cfRule>
  </conditionalFormatting>
  <conditionalFormatting sqref="B43:C43">
    <cfRule type="cellIs" dxfId="11723" priority="14648" stopIfTrue="1" operator="equal">
      <formula>"Napkin Hs"</formula>
    </cfRule>
  </conditionalFormatting>
  <conditionalFormatting sqref="B43:C43">
    <cfRule type="cellIs" dxfId="11722" priority="14647" stopIfTrue="1" operator="equal">
      <formula>"Towel"</formula>
    </cfRule>
  </conditionalFormatting>
  <conditionalFormatting sqref="C43">
    <cfRule type="cellIs" dxfId="11721" priority="14646" stopIfTrue="1" operator="equal">
      <formula>"Napkin Hs"</formula>
    </cfRule>
  </conditionalFormatting>
  <conditionalFormatting sqref="C43">
    <cfRule type="cellIs" dxfId="11720" priority="14645" stopIfTrue="1" operator="equal">
      <formula>"Towel"</formula>
    </cfRule>
  </conditionalFormatting>
  <conditionalFormatting sqref="C43">
    <cfRule type="cellIs" dxfId="11719" priority="14643" stopIfTrue="1" operator="equal">
      <formula>"Towel"</formula>
    </cfRule>
    <cfRule type="cellIs" dxfId="11718" priority="14644" stopIfTrue="1" operator="equal">
      <formula>"Napkin Hs"</formula>
    </cfRule>
  </conditionalFormatting>
  <conditionalFormatting sqref="C43">
    <cfRule type="cellIs" dxfId="11717" priority="14641" stopIfTrue="1" operator="equal">
      <formula>"Towel"</formula>
    </cfRule>
    <cfRule type="cellIs" dxfId="11716" priority="14642" stopIfTrue="1" operator="equal">
      <formula>"Napkin Hs"</formula>
    </cfRule>
  </conditionalFormatting>
  <conditionalFormatting sqref="C43">
    <cfRule type="cellIs" dxfId="11715" priority="14557" stopIfTrue="1" operator="equal">
      <formula>"Towel"</formula>
    </cfRule>
    <cfRule type="cellIs" dxfId="11714" priority="14558" stopIfTrue="1" operator="equal">
      <formula>"Napkin Hs"</formula>
    </cfRule>
  </conditionalFormatting>
  <conditionalFormatting sqref="C43">
    <cfRule type="cellIs" dxfId="11713" priority="14551" stopIfTrue="1" operator="equal">
      <formula>"Towel"</formula>
    </cfRule>
    <cfRule type="cellIs" dxfId="11712" priority="14552" stopIfTrue="1" operator="equal">
      <formula>"Napkin Hs"</formula>
    </cfRule>
  </conditionalFormatting>
  <conditionalFormatting sqref="C43">
    <cfRule type="cellIs" dxfId="11711" priority="14532" stopIfTrue="1" operator="equal">
      <formula>"Napkin Hs"</formula>
    </cfRule>
  </conditionalFormatting>
  <conditionalFormatting sqref="C43">
    <cfRule type="cellIs" dxfId="11710" priority="14531" stopIfTrue="1" operator="equal">
      <formula>"Towel"</formula>
    </cfRule>
  </conditionalFormatting>
  <conditionalFormatting sqref="C43">
    <cfRule type="cellIs" dxfId="11709" priority="14530" stopIfTrue="1" operator="equal">
      <formula>"Napkin Hs"</formula>
    </cfRule>
  </conditionalFormatting>
  <conditionalFormatting sqref="C43">
    <cfRule type="cellIs" dxfId="11708" priority="14527" stopIfTrue="1" operator="equal">
      <formula>"Towel"</formula>
    </cfRule>
    <cfRule type="cellIs" dxfId="11707" priority="14528" stopIfTrue="1" operator="equal">
      <formula>"Napkin Hs"</formula>
    </cfRule>
  </conditionalFormatting>
  <conditionalFormatting sqref="C43">
    <cfRule type="cellIs" dxfId="11706" priority="14529" stopIfTrue="1" operator="equal">
      <formula>"Towel"</formula>
    </cfRule>
  </conditionalFormatting>
  <conditionalFormatting sqref="C43">
    <cfRule type="cellIs" dxfId="11705" priority="14526" stopIfTrue="1" operator="equal">
      <formula>"Napkin Hs"</formula>
    </cfRule>
  </conditionalFormatting>
  <conditionalFormatting sqref="C43">
    <cfRule type="cellIs" dxfId="11704" priority="14525" stopIfTrue="1" operator="equal">
      <formula>"Towel"</formula>
    </cfRule>
  </conditionalFormatting>
  <conditionalFormatting sqref="C43">
    <cfRule type="cellIs" dxfId="11703" priority="14524" stopIfTrue="1" operator="equal">
      <formula>"Napkin Hs"</formula>
    </cfRule>
  </conditionalFormatting>
  <conditionalFormatting sqref="C43">
    <cfRule type="cellIs" dxfId="11702" priority="14521" stopIfTrue="1" operator="equal">
      <formula>"Towel"</formula>
    </cfRule>
    <cfRule type="cellIs" dxfId="11701" priority="14522" stopIfTrue="1" operator="equal">
      <formula>"Napkin Hs"</formula>
    </cfRule>
  </conditionalFormatting>
  <conditionalFormatting sqref="C43">
    <cfRule type="cellIs" dxfId="11700" priority="14523" stopIfTrue="1" operator="equal">
      <formula>"Towel"</formula>
    </cfRule>
  </conditionalFormatting>
  <conditionalFormatting sqref="C43">
    <cfRule type="cellIs" dxfId="11699" priority="14627" stopIfTrue="1" operator="equal">
      <formula>"Towel"</formula>
    </cfRule>
    <cfRule type="cellIs" dxfId="11698" priority="14628" stopIfTrue="1" operator="equal">
      <formula>"Napkin Hs"</formula>
    </cfRule>
  </conditionalFormatting>
  <conditionalFormatting sqref="C43">
    <cfRule type="cellIs" dxfId="11697" priority="14625" stopIfTrue="1" operator="equal">
      <formula>"Towel"</formula>
    </cfRule>
    <cfRule type="cellIs" dxfId="11696" priority="14626" stopIfTrue="1" operator="equal">
      <formula>"Napkin Hs"</formula>
    </cfRule>
  </conditionalFormatting>
  <conditionalFormatting sqref="C43">
    <cfRule type="cellIs" dxfId="11695" priority="14623" stopIfTrue="1" operator="equal">
      <formula>"Towel"</formula>
    </cfRule>
    <cfRule type="cellIs" dxfId="11694" priority="14624" stopIfTrue="1" operator="equal">
      <formula>"Napkin Hs"</formula>
    </cfRule>
  </conditionalFormatting>
  <conditionalFormatting sqref="C43">
    <cfRule type="cellIs" dxfId="11693" priority="14622" stopIfTrue="1" operator="equal">
      <formula>"Napkin Hs"</formula>
    </cfRule>
  </conditionalFormatting>
  <conditionalFormatting sqref="C43">
    <cfRule type="cellIs" dxfId="11692" priority="14621" stopIfTrue="1" operator="equal">
      <formula>"Towel"</formula>
    </cfRule>
  </conditionalFormatting>
  <conditionalFormatting sqref="C43">
    <cfRule type="cellIs" dxfId="11691" priority="14620" stopIfTrue="1" operator="equal">
      <formula>"Napkin Hs"</formula>
    </cfRule>
  </conditionalFormatting>
  <conditionalFormatting sqref="C43">
    <cfRule type="cellIs" dxfId="11690" priority="14619" stopIfTrue="1" operator="equal">
      <formula>"Towel"</formula>
    </cfRule>
  </conditionalFormatting>
  <conditionalFormatting sqref="C43">
    <cfRule type="cellIs" dxfId="11689" priority="14617" stopIfTrue="1" operator="equal">
      <formula>"Towel"</formula>
    </cfRule>
    <cfRule type="cellIs" dxfId="11688" priority="14618" stopIfTrue="1" operator="equal">
      <formula>"Napkin Hs"</formula>
    </cfRule>
  </conditionalFormatting>
  <conditionalFormatting sqref="C43">
    <cfRule type="cellIs" dxfId="11687" priority="14615" stopIfTrue="1" operator="equal">
      <formula>"Towel"</formula>
    </cfRule>
    <cfRule type="cellIs" dxfId="11686" priority="14616" stopIfTrue="1" operator="equal">
      <formula>"Napkin Hs"</formula>
    </cfRule>
  </conditionalFormatting>
  <conditionalFormatting sqref="C43">
    <cfRule type="cellIs" dxfId="11685" priority="14611" stopIfTrue="1" operator="equal">
      <formula>"Towel"</formula>
    </cfRule>
    <cfRule type="cellIs" dxfId="11684" priority="14612" stopIfTrue="1" operator="equal">
      <formula>"Napkin Hs"</formula>
    </cfRule>
  </conditionalFormatting>
  <conditionalFormatting sqref="C43">
    <cfRule type="cellIs" dxfId="11683" priority="14613" stopIfTrue="1" operator="equal">
      <formula>"Towel"</formula>
    </cfRule>
    <cfRule type="cellIs" dxfId="11682" priority="14614" stopIfTrue="1" operator="equal">
      <formula>"Napkin Hs"</formula>
    </cfRule>
  </conditionalFormatting>
  <conditionalFormatting sqref="C43">
    <cfRule type="cellIs" dxfId="11681" priority="14605" stopIfTrue="1" operator="equal">
      <formula>"Towel"</formula>
    </cfRule>
    <cfRule type="cellIs" dxfId="11680" priority="14606" stopIfTrue="1" operator="equal">
      <formula>"Napkin Hs"</formula>
    </cfRule>
  </conditionalFormatting>
  <conditionalFormatting sqref="C43">
    <cfRule type="cellIs" dxfId="11679" priority="14603" stopIfTrue="1" operator="equal">
      <formula>"Towel"</formula>
    </cfRule>
    <cfRule type="cellIs" dxfId="11678" priority="14604" stopIfTrue="1" operator="equal">
      <formula>"Napkin Hs"</formula>
    </cfRule>
  </conditionalFormatting>
  <conditionalFormatting sqref="C43">
    <cfRule type="cellIs" dxfId="11677" priority="14601" stopIfTrue="1" operator="equal">
      <formula>"Towel"</formula>
    </cfRule>
    <cfRule type="cellIs" dxfId="11676" priority="14602" stopIfTrue="1" operator="equal">
      <formula>"Napkin Hs"</formula>
    </cfRule>
  </conditionalFormatting>
  <conditionalFormatting sqref="C43">
    <cfRule type="cellIs" dxfId="11675" priority="14599" stopIfTrue="1" operator="equal">
      <formula>"Towel"</formula>
    </cfRule>
    <cfRule type="cellIs" dxfId="11674" priority="14600" stopIfTrue="1" operator="equal">
      <formula>"Napkin Hs"</formula>
    </cfRule>
  </conditionalFormatting>
  <conditionalFormatting sqref="C43">
    <cfRule type="cellIs" dxfId="11673" priority="14597" stopIfTrue="1" operator="equal">
      <formula>"Towel"</formula>
    </cfRule>
    <cfRule type="cellIs" dxfId="11672" priority="14598" stopIfTrue="1" operator="equal">
      <formula>"Napkin Hs"</formula>
    </cfRule>
  </conditionalFormatting>
  <conditionalFormatting sqref="C43">
    <cfRule type="cellIs" dxfId="11671" priority="14595" stopIfTrue="1" operator="equal">
      <formula>"Towel"</formula>
    </cfRule>
    <cfRule type="cellIs" dxfId="11670" priority="14596" stopIfTrue="1" operator="equal">
      <formula>"Napkin Hs"</formula>
    </cfRule>
  </conditionalFormatting>
  <conditionalFormatting sqref="C43">
    <cfRule type="cellIs" dxfId="11669" priority="14593" stopIfTrue="1" operator="equal">
      <formula>"Towel"</formula>
    </cfRule>
    <cfRule type="cellIs" dxfId="11668" priority="14594" stopIfTrue="1" operator="equal">
      <formula>"Napkin Hs"</formula>
    </cfRule>
  </conditionalFormatting>
  <conditionalFormatting sqref="C43">
    <cfRule type="cellIs" dxfId="11667" priority="14591" stopIfTrue="1" operator="equal">
      <formula>"Towel"</formula>
    </cfRule>
    <cfRule type="cellIs" dxfId="11666" priority="14592" stopIfTrue="1" operator="equal">
      <formula>"Napkin Hs"</formula>
    </cfRule>
  </conditionalFormatting>
  <conditionalFormatting sqref="C43">
    <cfRule type="cellIs" dxfId="11665" priority="14589" stopIfTrue="1" operator="equal">
      <formula>"Towel"</formula>
    </cfRule>
    <cfRule type="cellIs" dxfId="11664" priority="14590" stopIfTrue="1" operator="equal">
      <formula>"Napkin Hs"</formula>
    </cfRule>
  </conditionalFormatting>
  <conditionalFormatting sqref="C43">
    <cfRule type="cellIs" dxfId="11663" priority="14587" stopIfTrue="1" operator="equal">
      <formula>"Towel"</formula>
    </cfRule>
    <cfRule type="cellIs" dxfId="11662" priority="14588" stopIfTrue="1" operator="equal">
      <formula>"Napkin Hs"</formula>
    </cfRule>
  </conditionalFormatting>
  <conditionalFormatting sqref="C43">
    <cfRule type="cellIs" dxfId="11661" priority="14581" stopIfTrue="1" operator="equal">
      <formula>"Towel"</formula>
    </cfRule>
    <cfRule type="cellIs" dxfId="11660" priority="14582" stopIfTrue="1" operator="equal">
      <formula>"Napkin Hs"</formula>
    </cfRule>
  </conditionalFormatting>
  <conditionalFormatting sqref="C43">
    <cfRule type="cellIs" dxfId="11659" priority="14575" stopIfTrue="1" operator="equal">
      <formula>"Towel"</formula>
    </cfRule>
    <cfRule type="cellIs" dxfId="11658" priority="14576" stopIfTrue="1" operator="equal">
      <formula>"Napkin Hs"</formula>
    </cfRule>
  </conditionalFormatting>
  <conditionalFormatting sqref="C43">
    <cfRule type="cellIs" dxfId="11657" priority="14569" stopIfTrue="1" operator="equal">
      <formula>"Towel"</formula>
    </cfRule>
    <cfRule type="cellIs" dxfId="11656" priority="14570" stopIfTrue="1" operator="equal">
      <formula>"Napkin Hs"</formula>
    </cfRule>
  </conditionalFormatting>
  <conditionalFormatting sqref="C43">
    <cfRule type="cellIs" dxfId="11655" priority="14568" stopIfTrue="1" operator="equal">
      <formula>"Napkin Hs"</formula>
    </cfRule>
  </conditionalFormatting>
  <conditionalFormatting sqref="C43">
    <cfRule type="cellIs" dxfId="11654" priority="14567" stopIfTrue="1" operator="equal">
      <formula>"Towel"</formula>
    </cfRule>
  </conditionalFormatting>
  <conditionalFormatting sqref="C43">
    <cfRule type="cellIs" dxfId="11653" priority="14566" stopIfTrue="1" operator="equal">
      <formula>"Napkin Hs"</formula>
    </cfRule>
  </conditionalFormatting>
  <conditionalFormatting sqref="C43">
    <cfRule type="cellIs" dxfId="11652" priority="14565" stopIfTrue="1" operator="equal">
      <formula>"Towel"</formula>
    </cfRule>
  </conditionalFormatting>
  <conditionalFormatting sqref="C43">
    <cfRule type="cellIs" dxfId="11651" priority="14563" stopIfTrue="1" operator="equal">
      <formula>"Towel"</formula>
    </cfRule>
    <cfRule type="cellIs" dxfId="11650" priority="14564" stopIfTrue="1" operator="equal">
      <formula>"Napkin Hs"</formula>
    </cfRule>
  </conditionalFormatting>
  <conditionalFormatting sqref="C43">
    <cfRule type="cellIs" dxfId="11649" priority="14561" stopIfTrue="1" operator="equal">
      <formula>"Towel"</formula>
    </cfRule>
    <cfRule type="cellIs" dxfId="11648" priority="14562" stopIfTrue="1" operator="equal">
      <formula>"Napkin Hs"</formula>
    </cfRule>
  </conditionalFormatting>
  <conditionalFormatting sqref="C43">
    <cfRule type="cellIs" dxfId="11647" priority="14559" stopIfTrue="1" operator="equal">
      <formula>"Towel"</formula>
    </cfRule>
    <cfRule type="cellIs" dxfId="11646" priority="14560" stopIfTrue="1" operator="equal">
      <formula>"Napkin Hs"</formula>
    </cfRule>
  </conditionalFormatting>
  <conditionalFormatting sqref="C43">
    <cfRule type="cellIs" dxfId="11645" priority="14549" stopIfTrue="1" operator="equal">
      <formula>"Towel"</formula>
    </cfRule>
    <cfRule type="cellIs" dxfId="11644" priority="14550" stopIfTrue="1" operator="equal">
      <formula>"Napkin Hs"</formula>
    </cfRule>
  </conditionalFormatting>
  <conditionalFormatting sqref="C43">
    <cfRule type="cellIs" dxfId="11643" priority="14547" stopIfTrue="1" operator="equal">
      <formula>"Towel"</formula>
    </cfRule>
    <cfRule type="cellIs" dxfId="11642" priority="14548" stopIfTrue="1" operator="equal">
      <formula>"Napkin Hs"</formula>
    </cfRule>
  </conditionalFormatting>
  <conditionalFormatting sqref="C43">
    <cfRule type="cellIs" dxfId="11641" priority="14545" stopIfTrue="1" operator="equal">
      <formula>"Towel"</formula>
    </cfRule>
    <cfRule type="cellIs" dxfId="11640" priority="14546" stopIfTrue="1" operator="equal">
      <formula>"Napkin Hs"</formula>
    </cfRule>
  </conditionalFormatting>
  <conditionalFormatting sqref="C43">
    <cfRule type="cellIs" dxfId="11639" priority="14543" stopIfTrue="1" operator="equal">
      <formula>"Towel"</formula>
    </cfRule>
    <cfRule type="cellIs" dxfId="11638" priority="14544" stopIfTrue="1" operator="equal">
      <formula>"Napkin Hs"</formula>
    </cfRule>
  </conditionalFormatting>
  <conditionalFormatting sqref="C43">
    <cfRule type="cellIs" dxfId="11637" priority="14541" stopIfTrue="1" operator="equal">
      <formula>"Towel"</formula>
    </cfRule>
    <cfRule type="cellIs" dxfId="11636" priority="14542" stopIfTrue="1" operator="equal">
      <formula>"Napkin Hs"</formula>
    </cfRule>
  </conditionalFormatting>
  <conditionalFormatting sqref="C43">
    <cfRule type="cellIs" dxfId="11635" priority="14539" stopIfTrue="1" operator="equal">
      <formula>"Towel"</formula>
    </cfRule>
    <cfRule type="cellIs" dxfId="11634" priority="14540" stopIfTrue="1" operator="equal">
      <formula>"Napkin Hs"</formula>
    </cfRule>
  </conditionalFormatting>
  <conditionalFormatting sqref="C43">
    <cfRule type="cellIs" dxfId="11633" priority="14537" stopIfTrue="1" operator="equal">
      <formula>"Towel"</formula>
    </cfRule>
    <cfRule type="cellIs" dxfId="11632" priority="14538" stopIfTrue="1" operator="equal">
      <formula>"Napkin Hs"</formula>
    </cfRule>
  </conditionalFormatting>
  <conditionalFormatting sqref="C43">
    <cfRule type="cellIs" dxfId="11631" priority="14535" stopIfTrue="1" operator="equal">
      <formula>"Towel"</formula>
    </cfRule>
    <cfRule type="cellIs" dxfId="11630" priority="14536" stopIfTrue="1" operator="equal">
      <formula>"Napkin Hs"</formula>
    </cfRule>
  </conditionalFormatting>
  <conditionalFormatting sqref="C43">
    <cfRule type="cellIs" dxfId="11629" priority="14533" stopIfTrue="1" operator="equal">
      <formula>"Towel"</formula>
    </cfRule>
    <cfRule type="cellIs" dxfId="11628" priority="14534" stopIfTrue="1" operator="equal">
      <formula>"Napkin Hs"</formula>
    </cfRule>
  </conditionalFormatting>
  <conditionalFormatting sqref="C43">
    <cfRule type="cellIs" dxfId="11627" priority="14520" stopIfTrue="1" operator="equal">
      <formula>"Napkin Hs"</formula>
    </cfRule>
  </conditionalFormatting>
  <conditionalFormatting sqref="C43">
    <cfRule type="cellIs" dxfId="11626" priority="14519" stopIfTrue="1" operator="equal">
      <formula>"Towel"</formula>
    </cfRule>
  </conditionalFormatting>
  <conditionalFormatting sqref="C43">
    <cfRule type="cellIs" dxfId="11625" priority="14518" stopIfTrue="1" operator="equal">
      <formula>"Napkin Hs"</formula>
    </cfRule>
  </conditionalFormatting>
  <conditionalFormatting sqref="C43">
    <cfRule type="cellIs" dxfId="11624" priority="14515" stopIfTrue="1" operator="equal">
      <formula>"Towel"</formula>
    </cfRule>
    <cfRule type="cellIs" dxfId="11623" priority="14516" stopIfTrue="1" operator="equal">
      <formula>"Napkin Hs"</formula>
    </cfRule>
  </conditionalFormatting>
  <conditionalFormatting sqref="C43">
    <cfRule type="cellIs" dxfId="11622" priority="14517" stopIfTrue="1" operator="equal">
      <formula>"Towel"</formula>
    </cfRule>
  </conditionalFormatting>
  <conditionalFormatting sqref="C43">
    <cfRule type="cellIs" dxfId="11621" priority="14635" stopIfTrue="1" operator="equal">
      <formula>"Towel"</formula>
    </cfRule>
    <cfRule type="cellIs" dxfId="11620" priority="14636" stopIfTrue="1" operator="equal">
      <formula>"Napkin Hs"</formula>
    </cfRule>
  </conditionalFormatting>
  <conditionalFormatting sqref="C43">
    <cfRule type="cellIs" dxfId="11619" priority="14634" stopIfTrue="1" operator="equal">
      <formula>"Napkin Hs"</formula>
    </cfRule>
  </conditionalFormatting>
  <conditionalFormatting sqref="C43">
    <cfRule type="cellIs" dxfId="11618" priority="14633" stopIfTrue="1" operator="equal">
      <formula>"Towel"</formula>
    </cfRule>
  </conditionalFormatting>
  <conditionalFormatting sqref="C43">
    <cfRule type="cellIs" dxfId="11617" priority="14632" stopIfTrue="1" operator="equal">
      <formula>"Napkin Hs"</formula>
    </cfRule>
  </conditionalFormatting>
  <conditionalFormatting sqref="C43">
    <cfRule type="cellIs" dxfId="11616" priority="14629" stopIfTrue="1" operator="equal">
      <formula>"Towel"</formula>
    </cfRule>
    <cfRule type="cellIs" dxfId="11615" priority="14630" stopIfTrue="1" operator="equal">
      <formula>"Napkin Hs"</formula>
    </cfRule>
  </conditionalFormatting>
  <conditionalFormatting sqref="C43">
    <cfRule type="cellIs" dxfId="11614" priority="14631" stopIfTrue="1" operator="equal">
      <formula>"Towel"</formula>
    </cfRule>
  </conditionalFormatting>
  <conditionalFormatting sqref="C43">
    <cfRule type="cellIs" dxfId="11613" priority="14639" stopIfTrue="1" operator="equal">
      <formula>"Towel"</formula>
    </cfRule>
    <cfRule type="cellIs" dxfId="11612" priority="14640" stopIfTrue="1" operator="equal">
      <formula>"Napkin Hs"</formula>
    </cfRule>
  </conditionalFormatting>
  <conditionalFormatting sqref="C43">
    <cfRule type="cellIs" dxfId="11611" priority="14637" stopIfTrue="1" operator="equal">
      <formula>"Towel"</formula>
    </cfRule>
    <cfRule type="cellIs" dxfId="11610" priority="14638" stopIfTrue="1" operator="equal">
      <formula>"Napkin Hs"</formula>
    </cfRule>
  </conditionalFormatting>
  <conditionalFormatting sqref="C43">
    <cfRule type="cellIs" dxfId="11609" priority="14609" stopIfTrue="1" operator="equal">
      <formula>"Towel"</formula>
    </cfRule>
    <cfRule type="cellIs" dxfId="11608" priority="14610" stopIfTrue="1" operator="equal">
      <formula>"Napkin Hs"</formula>
    </cfRule>
  </conditionalFormatting>
  <conditionalFormatting sqref="C43">
    <cfRule type="cellIs" dxfId="11607" priority="14607" stopIfTrue="1" operator="equal">
      <formula>"Towel"</formula>
    </cfRule>
    <cfRule type="cellIs" dxfId="11606" priority="14608" stopIfTrue="1" operator="equal">
      <formula>"Napkin Hs"</formula>
    </cfRule>
  </conditionalFormatting>
  <conditionalFormatting sqref="C43">
    <cfRule type="cellIs" dxfId="11605" priority="14586" stopIfTrue="1" operator="equal">
      <formula>"Napkin Hs"</formula>
    </cfRule>
  </conditionalFormatting>
  <conditionalFormatting sqref="C43">
    <cfRule type="cellIs" dxfId="11604" priority="14585" stopIfTrue="1" operator="equal">
      <formula>"Towel"</formula>
    </cfRule>
  </conditionalFormatting>
  <conditionalFormatting sqref="C43">
    <cfRule type="cellIs" dxfId="11603" priority="14584" stopIfTrue="1" operator="equal">
      <formula>"Napkin Hs"</formula>
    </cfRule>
  </conditionalFormatting>
  <conditionalFormatting sqref="C43">
    <cfRule type="cellIs" dxfId="11602" priority="14583" stopIfTrue="1" operator="equal">
      <formula>"Towel"</formula>
    </cfRule>
  </conditionalFormatting>
  <conditionalFormatting sqref="C43">
    <cfRule type="cellIs" dxfId="11601" priority="14580" stopIfTrue="1" operator="equal">
      <formula>"Napkin Hs"</formula>
    </cfRule>
  </conditionalFormatting>
  <conditionalFormatting sqref="C43">
    <cfRule type="cellIs" dxfId="11600" priority="14579" stopIfTrue="1" operator="equal">
      <formula>"Towel"</formula>
    </cfRule>
  </conditionalFormatting>
  <conditionalFormatting sqref="C43">
    <cfRule type="cellIs" dxfId="11599" priority="14578" stopIfTrue="1" operator="equal">
      <formula>"Napkin Hs"</formula>
    </cfRule>
  </conditionalFormatting>
  <conditionalFormatting sqref="C43">
    <cfRule type="cellIs" dxfId="11598" priority="14577" stopIfTrue="1" operator="equal">
      <formula>"Towel"</formula>
    </cfRule>
  </conditionalFormatting>
  <conditionalFormatting sqref="C43">
    <cfRule type="cellIs" dxfId="11597" priority="14573" stopIfTrue="1" operator="equal">
      <formula>"Towel"</formula>
    </cfRule>
    <cfRule type="cellIs" dxfId="11596" priority="14574" stopIfTrue="1" operator="equal">
      <formula>"Napkin Hs"</formula>
    </cfRule>
  </conditionalFormatting>
  <conditionalFormatting sqref="C43">
    <cfRule type="cellIs" dxfId="11595" priority="14571" stopIfTrue="1" operator="equal">
      <formula>"Towel"</formula>
    </cfRule>
    <cfRule type="cellIs" dxfId="11594" priority="14572" stopIfTrue="1" operator="equal">
      <formula>"Napkin Hs"</formula>
    </cfRule>
  </conditionalFormatting>
  <conditionalFormatting sqref="C43">
    <cfRule type="cellIs" dxfId="11593" priority="14555" stopIfTrue="1" operator="equal">
      <formula>"Towel"</formula>
    </cfRule>
    <cfRule type="cellIs" dxfId="11592" priority="14556" stopIfTrue="1" operator="equal">
      <formula>"Napkin Hs"</formula>
    </cfRule>
  </conditionalFormatting>
  <conditionalFormatting sqref="C43">
    <cfRule type="cellIs" dxfId="11591" priority="14553" stopIfTrue="1" operator="equal">
      <formula>"Towel"</formula>
    </cfRule>
    <cfRule type="cellIs" dxfId="11590" priority="14554" stopIfTrue="1" operator="equal">
      <formula>"Napkin Hs"</formula>
    </cfRule>
  </conditionalFormatting>
  <conditionalFormatting sqref="B43:C43">
    <cfRule type="cellIs" dxfId="11589" priority="14514" stopIfTrue="1" operator="equal">
      <formula>"Napkin Hs"</formula>
    </cfRule>
  </conditionalFormatting>
  <conditionalFormatting sqref="B43:C43">
    <cfRule type="cellIs" dxfId="11588" priority="14513" stopIfTrue="1" operator="equal">
      <formula>"Towel"</formula>
    </cfRule>
  </conditionalFormatting>
  <conditionalFormatting sqref="C43">
    <cfRule type="cellIs" dxfId="11587" priority="14512" stopIfTrue="1" operator="equal">
      <formula>"Napkin Hs"</formula>
    </cfRule>
  </conditionalFormatting>
  <conditionalFormatting sqref="C43">
    <cfRule type="cellIs" dxfId="11586" priority="14509" stopIfTrue="1" operator="equal">
      <formula>"Towel"</formula>
    </cfRule>
    <cfRule type="cellIs" dxfId="11585" priority="14510" stopIfTrue="1" operator="equal">
      <formula>"Napkin Hs"</formula>
    </cfRule>
  </conditionalFormatting>
  <conditionalFormatting sqref="C43">
    <cfRule type="cellIs" dxfId="11584" priority="14511" stopIfTrue="1" operator="equal">
      <formula>"Towel"</formula>
    </cfRule>
  </conditionalFormatting>
  <conditionalFormatting sqref="B51:C51">
    <cfRule type="cellIs" dxfId="11583" priority="14507" stopIfTrue="1" operator="equal">
      <formula>"Towel"</formula>
    </cfRule>
    <cfRule type="cellIs" dxfId="11582" priority="14508" stopIfTrue="1" operator="equal">
      <formula>"Napkin Hs"</formula>
    </cfRule>
  </conditionalFormatting>
  <conditionalFormatting sqref="C51">
    <cfRule type="cellIs" dxfId="11581" priority="14503" stopIfTrue="1" operator="equal">
      <formula>"Towel"</formula>
    </cfRule>
    <cfRule type="cellIs" dxfId="11580" priority="14504" stopIfTrue="1" operator="equal">
      <formula>"Napkin Hs"</formula>
    </cfRule>
  </conditionalFormatting>
  <conditionalFormatting sqref="C51">
    <cfRule type="cellIs" dxfId="11579" priority="14505" stopIfTrue="1" operator="equal">
      <formula>"Towel"</formula>
    </cfRule>
    <cfRule type="cellIs" dxfId="11578" priority="14506" stopIfTrue="1" operator="equal">
      <formula>"Napkin Hs"</formula>
    </cfRule>
  </conditionalFormatting>
  <conditionalFormatting sqref="B51:C51">
    <cfRule type="cellIs" dxfId="11577" priority="14501" stopIfTrue="1" operator="equal">
      <formula>"Towel"</formula>
    </cfRule>
    <cfRule type="cellIs" dxfId="11576" priority="14502" stopIfTrue="1" operator="equal">
      <formula>"Napkin Hs"</formula>
    </cfRule>
  </conditionalFormatting>
  <conditionalFormatting sqref="C51">
    <cfRule type="cellIs" dxfId="11575" priority="14497" stopIfTrue="1" operator="equal">
      <formula>"Towel"</formula>
    </cfRule>
    <cfRule type="cellIs" dxfId="11574" priority="14498" stopIfTrue="1" operator="equal">
      <formula>"Napkin Hs"</formula>
    </cfRule>
  </conditionalFormatting>
  <conditionalFormatting sqref="C51">
    <cfRule type="cellIs" dxfId="11573" priority="14499" stopIfTrue="1" operator="equal">
      <formula>"Towel"</formula>
    </cfRule>
    <cfRule type="cellIs" dxfId="11572" priority="14500" stopIfTrue="1" operator="equal">
      <formula>"Napkin Hs"</formula>
    </cfRule>
  </conditionalFormatting>
  <conditionalFormatting sqref="B51:C51">
    <cfRule type="cellIs" dxfId="11571" priority="14495" stopIfTrue="1" operator="equal">
      <formula>"Towel"</formula>
    </cfRule>
    <cfRule type="cellIs" dxfId="11570" priority="14496" stopIfTrue="1" operator="equal">
      <formula>"Napkin Hs"</formula>
    </cfRule>
  </conditionalFormatting>
  <conditionalFormatting sqref="C51">
    <cfRule type="cellIs" dxfId="11569" priority="14491" stopIfTrue="1" operator="equal">
      <formula>"Towel"</formula>
    </cfRule>
    <cfRule type="cellIs" dxfId="11568" priority="14492" stopIfTrue="1" operator="equal">
      <formula>"Napkin Hs"</formula>
    </cfRule>
  </conditionalFormatting>
  <conditionalFormatting sqref="C51">
    <cfRule type="cellIs" dxfId="11567" priority="14493" stopIfTrue="1" operator="equal">
      <formula>"Towel"</formula>
    </cfRule>
    <cfRule type="cellIs" dxfId="11566" priority="14494" stopIfTrue="1" operator="equal">
      <formula>"Napkin Hs"</formula>
    </cfRule>
  </conditionalFormatting>
  <conditionalFormatting sqref="B51:C51">
    <cfRule type="cellIs" dxfId="11565" priority="14489" stopIfTrue="1" operator="equal">
      <formula>"Towel"</formula>
    </cfRule>
    <cfRule type="cellIs" dxfId="11564" priority="14490" stopIfTrue="1" operator="equal">
      <formula>"Napkin Hs"</formula>
    </cfRule>
  </conditionalFormatting>
  <conditionalFormatting sqref="C51">
    <cfRule type="cellIs" dxfId="11563" priority="14487" stopIfTrue="1" operator="equal">
      <formula>"Towel"</formula>
    </cfRule>
    <cfRule type="cellIs" dxfId="11562" priority="14488" stopIfTrue="1" operator="equal">
      <formula>"Napkin Hs"</formula>
    </cfRule>
  </conditionalFormatting>
  <conditionalFormatting sqref="C51">
    <cfRule type="cellIs" dxfId="11561" priority="14485" stopIfTrue="1" operator="equal">
      <formula>"Towel"</formula>
    </cfRule>
    <cfRule type="cellIs" dxfId="11560" priority="14486" stopIfTrue="1" operator="equal">
      <formula>"Napkin Hs"</formula>
    </cfRule>
  </conditionalFormatting>
  <conditionalFormatting sqref="B51:C51">
    <cfRule type="cellIs" dxfId="11559" priority="14484" stopIfTrue="1" operator="equal">
      <formula>"Napkin Hs"</formula>
    </cfRule>
  </conditionalFormatting>
  <conditionalFormatting sqref="B51:C51">
    <cfRule type="cellIs" dxfId="11558" priority="14483" stopIfTrue="1" operator="equal">
      <formula>"Towel"</formula>
    </cfRule>
  </conditionalFormatting>
  <conditionalFormatting sqref="C51">
    <cfRule type="cellIs" dxfId="11557" priority="14482" stopIfTrue="1" operator="equal">
      <formula>"Napkin Hs"</formula>
    </cfRule>
  </conditionalFormatting>
  <conditionalFormatting sqref="C51">
    <cfRule type="cellIs" dxfId="11556" priority="14481" stopIfTrue="1" operator="equal">
      <formula>"Towel"</formula>
    </cfRule>
  </conditionalFormatting>
  <conditionalFormatting sqref="C51">
    <cfRule type="cellIs" dxfId="11555" priority="14479" stopIfTrue="1" operator="equal">
      <formula>"Towel"</formula>
    </cfRule>
    <cfRule type="cellIs" dxfId="11554" priority="14480" stopIfTrue="1" operator="equal">
      <formula>"Napkin Hs"</formula>
    </cfRule>
  </conditionalFormatting>
  <conditionalFormatting sqref="C51">
    <cfRule type="cellIs" dxfId="11553" priority="14477" stopIfTrue="1" operator="equal">
      <formula>"Towel"</formula>
    </cfRule>
    <cfRule type="cellIs" dxfId="11552" priority="14478" stopIfTrue="1" operator="equal">
      <formula>"Napkin Hs"</formula>
    </cfRule>
  </conditionalFormatting>
  <conditionalFormatting sqref="B51:C51">
    <cfRule type="cellIs" dxfId="11551" priority="14379" stopIfTrue="1" operator="equal">
      <formula>"Towel"</formula>
    </cfRule>
    <cfRule type="cellIs" dxfId="11550" priority="14380" stopIfTrue="1" operator="equal">
      <formula>"Napkin Hs"</formula>
    </cfRule>
  </conditionalFormatting>
  <conditionalFormatting sqref="C51">
    <cfRule type="cellIs" dxfId="11549" priority="14375" stopIfTrue="1" operator="equal">
      <formula>"Towel"</formula>
    </cfRule>
    <cfRule type="cellIs" dxfId="11548" priority="14376" stopIfTrue="1" operator="equal">
      <formula>"Napkin Hs"</formula>
    </cfRule>
  </conditionalFormatting>
  <conditionalFormatting sqref="C51">
    <cfRule type="cellIs" dxfId="11547" priority="14377" stopIfTrue="1" operator="equal">
      <formula>"Towel"</formula>
    </cfRule>
    <cfRule type="cellIs" dxfId="11546" priority="14378" stopIfTrue="1" operator="equal">
      <formula>"Napkin Hs"</formula>
    </cfRule>
  </conditionalFormatting>
  <conditionalFormatting sqref="B51:C51">
    <cfRule type="cellIs" dxfId="11545" priority="14373" stopIfTrue="1" operator="equal">
      <formula>"Towel"</formula>
    </cfRule>
    <cfRule type="cellIs" dxfId="11544" priority="14374" stopIfTrue="1" operator="equal">
      <formula>"Napkin Hs"</formula>
    </cfRule>
  </conditionalFormatting>
  <conditionalFormatting sqref="C51">
    <cfRule type="cellIs" dxfId="11543" priority="14369" stopIfTrue="1" operator="equal">
      <formula>"Towel"</formula>
    </cfRule>
    <cfRule type="cellIs" dxfId="11542" priority="14370" stopIfTrue="1" operator="equal">
      <formula>"Napkin Hs"</formula>
    </cfRule>
  </conditionalFormatting>
  <conditionalFormatting sqref="C51">
    <cfRule type="cellIs" dxfId="11541" priority="14371" stopIfTrue="1" operator="equal">
      <formula>"Towel"</formula>
    </cfRule>
    <cfRule type="cellIs" dxfId="11540" priority="14372" stopIfTrue="1" operator="equal">
      <formula>"Napkin Hs"</formula>
    </cfRule>
  </conditionalFormatting>
  <conditionalFormatting sqref="B51:C51">
    <cfRule type="cellIs" dxfId="11539" priority="14367" stopIfTrue="1" operator="equal">
      <formula>"Towel"</formula>
    </cfRule>
    <cfRule type="cellIs" dxfId="11538" priority="14368" stopIfTrue="1" operator="equal">
      <formula>"Napkin Hs"</formula>
    </cfRule>
  </conditionalFormatting>
  <conditionalFormatting sqref="C51">
    <cfRule type="cellIs" dxfId="11537" priority="14365" stopIfTrue="1" operator="equal">
      <formula>"Towel"</formula>
    </cfRule>
    <cfRule type="cellIs" dxfId="11536" priority="14366" stopIfTrue="1" operator="equal">
      <formula>"Napkin Hs"</formula>
    </cfRule>
  </conditionalFormatting>
  <conditionalFormatting sqref="C51">
    <cfRule type="cellIs" dxfId="11535" priority="14363" stopIfTrue="1" operator="equal">
      <formula>"Towel"</formula>
    </cfRule>
    <cfRule type="cellIs" dxfId="11534" priority="14364" stopIfTrue="1" operator="equal">
      <formula>"Napkin Hs"</formula>
    </cfRule>
  </conditionalFormatting>
  <conditionalFormatting sqref="B51:C51">
    <cfRule type="cellIs" dxfId="11533" priority="14362" stopIfTrue="1" operator="equal">
      <formula>"Napkin Hs"</formula>
    </cfRule>
  </conditionalFormatting>
  <conditionalFormatting sqref="B51:C51">
    <cfRule type="cellIs" dxfId="11532" priority="14361" stopIfTrue="1" operator="equal">
      <formula>"Towel"</formula>
    </cfRule>
  </conditionalFormatting>
  <conditionalFormatting sqref="C51">
    <cfRule type="cellIs" dxfId="11531" priority="14360" stopIfTrue="1" operator="equal">
      <formula>"Napkin Hs"</formula>
    </cfRule>
  </conditionalFormatting>
  <conditionalFormatting sqref="C51">
    <cfRule type="cellIs" dxfId="11530" priority="14359" stopIfTrue="1" operator="equal">
      <formula>"Towel"</formula>
    </cfRule>
  </conditionalFormatting>
  <conditionalFormatting sqref="C51">
    <cfRule type="cellIs" dxfId="11529" priority="14357" stopIfTrue="1" operator="equal">
      <formula>"Towel"</formula>
    </cfRule>
    <cfRule type="cellIs" dxfId="11528" priority="14358" stopIfTrue="1" operator="equal">
      <formula>"Napkin Hs"</formula>
    </cfRule>
  </conditionalFormatting>
  <conditionalFormatting sqref="C51">
    <cfRule type="cellIs" dxfId="11527" priority="14355" stopIfTrue="1" operator="equal">
      <formula>"Towel"</formula>
    </cfRule>
    <cfRule type="cellIs" dxfId="11526" priority="14356" stopIfTrue="1" operator="equal">
      <formula>"Napkin Hs"</formula>
    </cfRule>
  </conditionalFormatting>
  <conditionalFormatting sqref="B50:C50">
    <cfRule type="cellIs" dxfId="11525" priority="14353" stopIfTrue="1" operator="equal">
      <formula>"Towel"</formula>
    </cfRule>
    <cfRule type="cellIs" dxfId="11524" priority="14354" stopIfTrue="1" operator="equal">
      <formula>"Napkin Hs"</formula>
    </cfRule>
  </conditionalFormatting>
  <conditionalFormatting sqref="C50">
    <cfRule type="cellIs" dxfId="11523" priority="14347" stopIfTrue="1" operator="equal">
      <formula>"Towel"</formula>
    </cfRule>
    <cfRule type="cellIs" dxfId="11522" priority="14348" stopIfTrue="1" operator="equal">
      <formula>"Napkin Hs"</formula>
    </cfRule>
  </conditionalFormatting>
  <conditionalFormatting sqref="C50">
    <cfRule type="cellIs" dxfId="11521" priority="14351" stopIfTrue="1" operator="equal">
      <formula>"Towel"</formula>
    </cfRule>
    <cfRule type="cellIs" dxfId="11520" priority="14352" stopIfTrue="1" operator="equal">
      <formula>"Napkin Hs"</formula>
    </cfRule>
  </conditionalFormatting>
  <conditionalFormatting sqref="B50:C50">
    <cfRule type="cellIs" dxfId="11519" priority="14343" stopIfTrue="1" operator="equal">
      <formula>"Towel"</formula>
    </cfRule>
    <cfRule type="cellIs" dxfId="11518" priority="14344" stopIfTrue="1" operator="equal">
      <formula>"Napkin Hs"</formula>
    </cfRule>
  </conditionalFormatting>
  <conditionalFormatting sqref="C50">
    <cfRule type="cellIs" dxfId="11517" priority="14337" stopIfTrue="1" operator="equal">
      <formula>"Towel"</formula>
    </cfRule>
    <cfRule type="cellIs" dxfId="11516" priority="14338" stopIfTrue="1" operator="equal">
      <formula>"Napkin Hs"</formula>
    </cfRule>
  </conditionalFormatting>
  <conditionalFormatting sqref="C50">
    <cfRule type="cellIs" dxfId="11515" priority="14341" stopIfTrue="1" operator="equal">
      <formula>"Towel"</formula>
    </cfRule>
    <cfRule type="cellIs" dxfId="11514" priority="14342" stopIfTrue="1" operator="equal">
      <formula>"Napkin Hs"</formula>
    </cfRule>
  </conditionalFormatting>
  <conditionalFormatting sqref="B50:C50">
    <cfRule type="cellIs" dxfId="11513" priority="14329" stopIfTrue="1" operator="equal">
      <formula>"Towel"</formula>
    </cfRule>
    <cfRule type="cellIs" dxfId="11512" priority="14330" stopIfTrue="1" operator="equal">
      <formula>"Napkin Hs"</formula>
    </cfRule>
  </conditionalFormatting>
  <conditionalFormatting sqref="C50">
    <cfRule type="cellIs" dxfId="11511" priority="14327" stopIfTrue="1" operator="equal">
      <formula>"Towel"</formula>
    </cfRule>
    <cfRule type="cellIs" dxfId="11510" priority="14328" stopIfTrue="1" operator="equal">
      <formula>"Napkin Hs"</formula>
    </cfRule>
  </conditionalFormatting>
  <conditionalFormatting sqref="C50">
    <cfRule type="cellIs" dxfId="11509" priority="14325" stopIfTrue="1" operator="equal">
      <formula>"Towel"</formula>
    </cfRule>
    <cfRule type="cellIs" dxfId="11508" priority="14326" stopIfTrue="1" operator="equal">
      <formula>"Napkin Hs"</formula>
    </cfRule>
  </conditionalFormatting>
  <conditionalFormatting sqref="B50:C50">
    <cfRule type="cellIs" dxfId="11507" priority="14324" stopIfTrue="1" operator="equal">
      <formula>"Napkin Hs"</formula>
    </cfRule>
  </conditionalFormatting>
  <conditionalFormatting sqref="B50:C50">
    <cfRule type="cellIs" dxfId="11506" priority="14323" stopIfTrue="1" operator="equal">
      <formula>"Towel"</formula>
    </cfRule>
  </conditionalFormatting>
  <conditionalFormatting sqref="C50">
    <cfRule type="cellIs" dxfId="11505" priority="14322" stopIfTrue="1" operator="equal">
      <formula>"Napkin Hs"</formula>
    </cfRule>
  </conditionalFormatting>
  <conditionalFormatting sqref="C50">
    <cfRule type="cellIs" dxfId="11504" priority="14321" stopIfTrue="1" operator="equal">
      <formula>"Towel"</formula>
    </cfRule>
  </conditionalFormatting>
  <conditionalFormatting sqref="C50">
    <cfRule type="cellIs" dxfId="11503" priority="14317" stopIfTrue="1" operator="equal">
      <formula>"Towel"</formula>
    </cfRule>
    <cfRule type="cellIs" dxfId="11502" priority="14318" stopIfTrue="1" operator="equal">
      <formula>"Napkin Hs"</formula>
    </cfRule>
  </conditionalFormatting>
  <conditionalFormatting sqref="C50">
    <cfRule type="cellIs" dxfId="11501" priority="14313" stopIfTrue="1" operator="equal">
      <formula>"Towel"</formula>
    </cfRule>
    <cfRule type="cellIs" dxfId="11500" priority="14314" stopIfTrue="1" operator="equal">
      <formula>"Napkin Hs"</formula>
    </cfRule>
  </conditionalFormatting>
  <conditionalFormatting sqref="C50">
    <cfRule type="cellIs" dxfId="11499" priority="14223" stopIfTrue="1" operator="equal">
      <formula>"Towel"</formula>
    </cfRule>
    <cfRule type="cellIs" dxfId="11498" priority="14224" stopIfTrue="1" operator="equal">
      <formula>"Napkin Hs"</formula>
    </cfRule>
  </conditionalFormatting>
  <conditionalFormatting sqref="C50">
    <cfRule type="cellIs" dxfId="11497" priority="14217" stopIfTrue="1" operator="equal">
      <formula>"Towel"</formula>
    </cfRule>
    <cfRule type="cellIs" dxfId="11496" priority="14218" stopIfTrue="1" operator="equal">
      <formula>"Napkin Hs"</formula>
    </cfRule>
  </conditionalFormatting>
  <conditionalFormatting sqref="C50">
    <cfRule type="cellIs" dxfId="11495" priority="14198" stopIfTrue="1" operator="equal">
      <formula>"Napkin Hs"</formula>
    </cfRule>
  </conditionalFormatting>
  <conditionalFormatting sqref="C50">
    <cfRule type="cellIs" dxfId="11494" priority="14197" stopIfTrue="1" operator="equal">
      <formula>"Towel"</formula>
    </cfRule>
  </conditionalFormatting>
  <conditionalFormatting sqref="C50">
    <cfRule type="cellIs" dxfId="11493" priority="14196" stopIfTrue="1" operator="equal">
      <formula>"Napkin Hs"</formula>
    </cfRule>
  </conditionalFormatting>
  <conditionalFormatting sqref="C50">
    <cfRule type="cellIs" dxfId="11492" priority="14193" stopIfTrue="1" operator="equal">
      <formula>"Towel"</formula>
    </cfRule>
    <cfRule type="cellIs" dxfId="11491" priority="14194" stopIfTrue="1" operator="equal">
      <formula>"Napkin Hs"</formula>
    </cfRule>
  </conditionalFormatting>
  <conditionalFormatting sqref="C50">
    <cfRule type="cellIs" dxfId="11490" priority="14195" stopIfTrue="1" operator="equal">
      <formula>"Towel"</formula>
    </cfRule>
  </conditionalFormatting>
  <conditionalFormatting sqref="C50">
    <cfRule type="cellIs" dxfId="11489" priority="14192" stopIfTrue="1" operator="equal">
      <formula>"Napkin Hs"</formula>
    </cfRule>
  </conditionalFormatting>
  <conditionalFormatting sqref="C50">
    <cfRule type="cellIs" dxfId="11488" priority="14191" stopIfTrue="1" operator="equal">
      <formula>"Towel"</formula>
    </cfRule>
  </conditionalFormatting>
  <conditionalFormatting sqref="C50">
    <cfRule type="cellIs" dxfId="11487" priority="14190" stopIfTrue="1" operator="equal">
      <formula>"Napkin Hs"</formula>
    </cfRule>
  </conditionalFormatting>
  <conditionalFormatting sqref="C50">
    <cfRule type="cellIs" dxfId="11486" priority="14187" stopIfTrue="1" operator="equal">
      <formula>"Towel"</formula>
    </cfRule>
    <cfRule type="cellIs" dxfId="11485" priority="14188" stopIfTrue="1" operator="equal">
      <formula>"Napkin Hs"</formula>
    </cfRule>
  </conditionalFormatting>
  <conditionalFormatting sqref="C50">
    <cfRule type="cellIs" dxfId="11484" priority="14189" stopIfTrue="1" operator="equal">
      <formula>"Towel"</formula>
    </cfRule>
  </conditionalFormatting>
  <conditionalFormatting sqref="C50">
    <cfRule type="cellIs" dxfId="11483" priority="14293" stopIfTrue="1" operator="equal">
      <formula>"Towel"</formula>
    </cfRule>
    <cfRule type="cellIs" dxfId="11482" priority="14294" stopIfTrue="1" operator="equal">
      <formula>"Napkin Hs"</formula>
    </cfRule>
  </conditionalFormatting>
  <conditionalFormatting sqref="C50">
    <cfRule type="cellIs" dxfId="11481" priority="14291" stopIfTrue="1" operator="equal">
      <formula>"Towel"</formula>
    </cfRule>
    <cfRule type="cellIs" dxfId="11480" priority="14292" stopIfTrue="1" operator="equal">
      <formula>"Napkin Hs"</formula>
    </cfRule>
  </conditionalFormatting>
  <conditionalFormatting sqref="C50">
    <cfRule type="cellIs" dxfId="11479" priority="14289" stopIfTrue="1" operator="equal">
      <formula>"Towel"</formula>
    </cfRule>
    <cfRule type="cellIs" dxfId="11478" priority="14290" stopIfTrue="1" operator="equal">
      <formula>"Napkin Hs"</formula>
    </cfRule>
  </conditionalFormatting>
  <conditionalFormatting sqref="C50">
    <cfRule type="cellIs" dxfId="11477" priority="14288" stopIfTrue="1" operator="equal">
      <formula>"Napkin Hs"</formula>
    </cfRule>
  </conditionalFormatting>
  <conditionalFormatting sqref="C50">
    <cfRule type="cellIs" dxfId="11476" priority="14287" stopIfTrue="1" operator="equal">
      <formula>"Towel"</formula>
    </cfRule>
  </conditionalFormatting>
  <conditionalFormatting sqref="C50">
    <cfRule type="cellIs" dxfId="11475" priority="14286" stopIfTrue="1" operator="equal">
      <formula>"Napkin Hs"</formula>
    </cfRule>
  </conditionalFormatting>
  <conditionalFormatting sqref="C50">
    <cfRule type="cellIs" dxfId="11474" priority="14285" stopIfTrue="1" operator="equal">
      <formula>"Towel"</formula>
    </cfRule>
  </conditionalFormatting>
  <conditionalFormatting sqref="C50">
    <cfRule type="cellIs" dxfId="11473" priority="14283" stopIfTrue="1" operator="equal">
      <formula>"Towel"</formula>
    </cfRule>
    <cfRule type="cellIs" dxfId="11472" priority="14284" stopIfTrue="1" operator="equal">
      <formula>"Napkin Hs"</formula>
    </cfRule>
  </conditionalFormatting>
  <conditionalFormatting sqref="C50">
    <cfRule type="cellIs" dxfId="11471" priority="14281" stopIfTrue="1" operator="equal">
      <formula>"Towel"</formula>
    </cfRule>
    <cfRule type="cellIs" dxfId="11470" priority="14282" stopIfTrue="1" operator="equal">
      <formula>"Napkin Hs"</formula>
    </cfRule>
  </conditionalFormatting>
  <conditionalFormatting sqref="C50">
    <cfRule type="cellIs" dxfId="11469" priority="14277" stopIfTrue="1" operator="equal">
      <formula>"Towel"</formula>
    </cfRule>
    <cfRule type="cellIs" dxfId="11468" priority="14278" stopIfTrue="1" operator="equal">
      <formula>"Napkin Hs"</formula>
    </cfRule>
  </conditionalFormatting>
  <conditionalFormatting sqref="C50">
    <cfRule type="cellIs" dxfId="11467" priority="14279" stopIfTrue="1" operator="equal">
      <formula>"Towel"</formula>
    </cfRule>
    <cfRule type="cellIs" dxfId="11466" priority="14280" stopIfTrue="1" operator="equal">
      <formula>"Napkin Hs"</formula>
    </cfRule>
  </conditionalFormatting>
  <conditionalFormatting sqref="C50">
    <cfRule type="cellIs" dxfId="11465" priority="14271" stopIfTrue="1" operator="equal">
      <formula>"Towel"</formula>
    </cfRule>
    <cfRule type="cellIs" dxfId="11464" priority="14272" stopIfTrue="1" operator="equal">
      <formula>"Napkin Hs"</formula>
    </cfRule>
  </conditionalFormatting>
  <conditionalFormatting sqref="C50">
    <cfRule type="cellIs" dxfId="11463" priority="14269" stopIfTrue="1" operator="equal">
      <formula>"Towel"</formula>
    </cfRule>
    <cfRule type="cellIs" dxfId="11462" priority="14270" stopIfTrue="1" operator="equal">
      <formula>"Napkin Hs"</formula>
    </cfRule>
  </conditionalFormatting>
  <conditionalFormatting sqref="C50">
    <cfRule type="cellIs" dxfId="11461" priority="14267" stopIfTrue="1" operator="equal">
      <formula>"Towel"</formula>
    </cfRule>
    <cfRule type="cellIs" dxfId="11460" priority="14268" stopIfTrue="1" operator="equal">
      <formula>"Napkin Hs"</formula>
    </cfRule>
  </conditionalFormatting>
  <conditionalFormatting sqref="C50">
    <cfRule type="cellIs" dxfId="11459" priority="14265" stopIfTrue="1" operator="equal">
      <formula>"Towel"</formula>
    </cfRule>
    <cfRule type="cellIs" dxfId="11458" priority="14266" stopIfTrue="1" operator="equal">
      <formula>"Napkin Hs"</formula>
    </cfRule>
  </conditionalFormatting>
  <conditionalFormatting sqref="C50">
    <cfRule type="cellIs" dxfId="11457" priority="14263" stopIfTrue="1" operator="equal">
      <formula>"Towel"</formula>
    </cfRule>
    <cfRule type="cellIs" dxfId="11456" priority="14264" stopIfTrue="1" operator="equal">
      <formula>"Napkin Hs"</formula>
    </cfRule>
  </conditionalFormatting>
  <conditionalFormatting sqref="C50">
    <cfRule type="cellIs" dxfId="11455" priority="14261" stopIfTrue="1" operator="equal">
      <formula>"Towel"</formula>
    </cfRule>
    <cfRule type="cellIs" dxfId="11454" priority="14262" stopIfTrue="1" operator="equal">
      <formula>"Napkin Hs"</formula>
    </cfRule>
  </conditionalFormatting>
  <conditionalFormatting sqref="C50">
    <cfRule type="cellIs" dxfId="11453" priority="14259" stopIfTrue="1" operator="equal">
      <formula>"Towel"</formula>
    </cfRule>
    <cfRule type="cellIs" dxfId="11452" priority="14260" stopIfTrue="1" operator="equal">
      <formula>"Napkin Hs"</formula>
    </cfRule>
  </conditionalFormatting>
  <conditionalFormatting sqref="C50">
    <cfRule type="cellIs" dxfId="11451" priority="14257" stopIfTrue="1" operator="equal">
      <formula>"Towel"</formula>
    </cfRule>
    <cfRule type="cellIs" dxfId="11450" priority="14258" stopIfTrue="1" operator="equal">
      <formula>"Napkin Hs"</formula>
    </cfRule>
  </conditionalFormatting>
  <conditionalFormatting sqref="C50">
    <cfRule type="cellIs" dxfId="11449" priority="14255" stopIfTrue="1" operator="equal">
      <formula>"Towel"</formula>
    </cfRule>
    <cfRule type="cellIs" dxfId="11448" priority="14256" stopIfTrue="1" operator="equal">
      <formula>"Napkin Hs"</formula>
    </cfRule>
  </conditionalFormatting>
  <conditionalFormatting sqref="C50">
    <cfRule type="cellIs" dxfId="11447" priority="14253" stopIfTrue="1" operator="equal">
      <formula>"Towel"</formula>
    </cfRule>
    <cfRule type="cellIs" dxfId="11446" priority="14254" stopIfTrue="1" operator="equal">
      <formula>"Napkin Hs"</formula>
    </cfRule>
  </conditionalFormatting>
  <conditionalFormatting sqref="C50">
    <cfRule type="cellIs" dxfId="11445" priority="14247" stopIfTrue="1" operator="equal">
      <formula>"Towel"</formula>
    </cfRule>
    <cfRule type="cellIs" dxfId="11444" priority="14248" stopIfTrue="1" operator="equal">
      <formula>"Napkin Hs"</formula>
    </cfRule>
  </conditionalFormatting>
  <conditionalFormatting sqref="C50">
    <cfRule type="cellIs" dxfId="11443" priority="14241" stopIfTrue="1" operator="equal">
      <formula>"Towel"</formula>
    </cfRule>
    <cfRule type="cellIs" dxfId="11442" priority="14242" stopIfTrue="1" operator="equal">
      <formula>"Napkin Hs"</formula>
    </cfRule>
  </conditionalFormatting>
  <conditionalFormatting sqref="C50">
    <cfRule type="cellIs" dxfId="11441" priority="14235" stopIfTrue="1" operator="equal">
      <formula>"Towel"</formula>
    </cfRule>
    <cfRule type="cellIs" dxfId="11440" priority="14236" stopIfTrue="1" operator="equal">
      <formula>"Napkin Hs"</formula>
    </cfRule>
  </conditionalFormatting>
  <conditionalFormatting sqref="C50">
    <cfRule type="cellIs" dxfId="11439" priority="14234" stopIfTrue="1" operator="equal">
      <formula>"Napkin Hs"</formula>
    </cfRule>
  </conditionalFormatting>
  <conditionalFormatting sqref="C50">
    <cfRule type="cellIs" dxfId="11438" priority="14233" stopIfTrue="1" operator="equal">
      <formula>"Towel"</formula>
    </cfRule>
  </conditionalFormatting>
  <conditionalFormatting sqref="C50">
    <cfRule type="cellIs" dxfId="11437" priority="14232" stopIfTrue="1" operator="equal">
      <formula>"Napkin Hs"</formula>
    </cfRule>
  </conditionalFormatting>
  <conditionalFormatting sqref="C50">
    <cfRule type="cellIs" dxfId="11436" priority="14231" stopIfTrue="1" operator="equal">
      <formula>"Towel"</formula>
    </cfRule>
  </conditionalFormatting>
  <conditionalFormatting sqref="C50">
    <cfRule type="cellIs" dxfId="11435" priority="14229" stopIfTrue="1" operator="equal">
      <formula>"Towel"</formula>
    </cfRule>
    <cfRule type="cellIs" dxfId="11434" priority="14230" stopIfTrue="1" operator="equal">
      <formula>"Napkin Hs"</formula>
    </cfRule>
  </conditionalFormatting>
  <conditionalFormatting sqref="C50">
    <cfRule type="cellIs" dxfId="11433" priority="14227" stopIfTrue="1" operator="equal">
      <formula>"Towel"</formula>
    </cfRule>
    <cfRule type="cellIs" dxfId="11432" priority="14228" stopIfTrue="1" operator="equal">
      <formula>"Napkin Hs"</formula>
    </cfRule>
  </conditionalFormatting>
  <conditionalFormatting sqref="C50">
    <cfRule type="cellIs" dxfId="11431" priority="14225" stopIfTrue="1" operator="equal">
      <formula>"Towel"</formula>
    </cfRule>
    <cfRule type="cellIs" dxfId="11430" priority="14226" stopIfTrue="1" operator="equal">
      <formula>"Napkin Hs"</formula>
    </cfRule>
  </conditionalFormatting>
  <conditionalFormatting sqref="C50">
    <cfRule type="cellIs" dxfId="11429" priority="14215" stopIfTrue="1" operator="equal">
      <formula>"Towel"</formula>
    </cfRule>
    <cfRule type="cellIs" dxfId="11428" priority="14216" stopIfTrue="1" operator="equal">
      <formula>"Napkin Hs"</formula>
    </cfRule>
  </conditionalFormatting>
  <conditionalFormatting sqref="C50">
    <cfRule type="cellIs" dxfId="11427" priority="14213" stopIfTrue="1" operator="equal">
      <formula>"Towel"</formula>
    </cfRule>
    <cfRule type="cellIs" dxfId="11426" priority="14214" stopIfTrue="1" operator="equal">
      <formula>"Napkin Hs"</formula>
    </cfRule>
  </conditionalFormatting>
  <conditionalFormatting sqref="C50">
    <cfRule type="cellIs" dxfId="11425" priority="14211" stopIfTrue="1" operator="equal">
      <formula>"Towel"</formula>
    </cfRule>
    <cfRule type="cellIs" dxfId="11424" priority="14212" stopIfTrue="1" operator="equal">
      <formula>"Napkin Hs"</formula>
    </cfRule>
  </conditionalFormatting>
  <conditionalFormatting sqref="C50">
    <cfRule type="cellIs" dxfId="11423" priority="14209" stopIfTrue="1" operator="equal">
      <formula>"Towel"</formula>
    </cfRule>
    <cfRule type="cellIs" dxfId="11422" priority="14210" stopIfTrue="1" operator="equal">
      <formula>"Napkin Hs"</formula>
    </cfRule>
  </conditionalFormatting>
  <conditionalFormatting sqref="C50">
    <cfRule type="cellIs" dxfId="11421" priority="14207" stopIfTrue="1" operator="equal">
      <formula>"Towel"</formula>
    </cfRule>
    <cfRule type="cellIs" dxfId="11420" priority="14208" stopIfTrue="1" operator="equal">
      <formula>"Napkin Hs"</formula>
    </cfRule>
  </conditionalFormatting>
  <conditionalFormatting sqref="C50">
    <cfRule type="cellIs" dxfId="11419" priority="14205" stopIfTrue="1" operator="equal">
      <formula>"Towel"</formula>
    </cfRule>
    <cfRule type="cellIs" dxfId="11418" priority="14206" stopIfTrue="1" operator="equal">
      <formula>"Napkin Hs"</formula>
    </cfRule>
  </conditionalFormatting>
  <conditionalFormatting sqref="C50">
    <cfRule type="cellIs" dxfId="11417" priority="14203" stopIfTrue="1" operator="equal">
      <formula>"Towel"</formula>
    </cfRule>
    <cfRule type="cellIs" dxfId="11416" priority="14204" stopIfTrue="1" operator="equal">
      <formula>"Napkin Hs"</formula>
    </cfRule>
  </conditionalFormatting>
  <conditionalFormatting sqref="C50">
    <cfRule type="cellIs" dxfId="11415" priority="14201" stopIfTrue="1" operator="equal">
      <formula>"Towel"</formula>
    </cfRule>
    <cfRule type="cellIs" dxfId="11414" priority="14202" stopIfTrue="1" operator="equal">
      <formula>"Napkin Hs"</formula>
    </cfRule>
  </conditionalFormatting>
  <conditionalFormatting sqref="C50">
    <cfRule type="cellIs" dxfId="11413" priority="14199" stopIfTrue="1" operator="equal">
      <formula>"Towel"</formula>
    </cfRule>
    <cfRule type="cellIs" dxfId="11412" priority="14200" stopIfTrue="1" operator="equal">
      <formula>"Napkin Hs"</formula>
    </cfRule>
  </conditionalFormatting>
  <conditionalFormatting sqref="C50">
    <cfRule type="cellIs" dxfId="11411" priority="14186" stopIfTrue="1" operator="equal">
      <formula>"Napkin Hs"</formula>
    </cfRule>
  </conditionalFormatting>
  <conditionalFormatting sqref="C50">
    <cfRule type="cellIs" dxfId="11410" priority="14185" stopIfTrue="1" operator="equal">
      <formula>"Towel"</formula>
    </cfRule>
  </conditionalFormatting>
  <conditionalFormatting sqref="C50">
    <cfRule type="cellIs" dxfId="11409" priority="14184" stopIfTrue="1" operator="equal">
      <formula>"Napkin Hs"</formula>
    </cfRule>
  </conditionalFormatting>
  <conditionalFormatting sqref="C50">
    <cfRule type="cellIs" dxfId="11408" priority="14181" stopIfTrue="1" operator="equal">
      <formula>"Towel"</formula>
    </cfRule>
    <cfRule type="cellIs" dxfId="11407" priority="14182" stopIfTrue="1" operator="equal">
      <formula>"Napkin Hs"</formula>
    </cfRule>
  </conditionalFormatting>
  <conditionalFormatting sqref="C50">
    <cfRule type="cellIs" dxfId="11406" priority="14183" stopIfTrue="1" operator="equal">
      <formula>"Towel"</formula>
    </cfRule>
  </conditionalFormatting>
  <conditionalFormatting sqref="C50">
    <cfRule type="cellIs" dxfId="11405" priority="14301" stopIfTrue="1" operator="equal">
      <formula>"Towel"</formula>
    </cfRule>
    <cfRule type="cellIs" dxfId="11404" priority="14302" stopIfTrue="1" operator="equal">
      <formula>"Napkin Hs"</formula>
    </cfRule>
  </conditionalFormatting>
  <conditionalFormatting sqref="C50">
    <cfRule type="cellIs" dxfId="11403" priority="14300" stopIfTrue="1" operator="equal">
      <formula>"Napkin Hs"</formula>
    </cfRule>
  </conditionalFormatting>
  <conditionalFormatting sqref="C50">
    <cfRule type="cellIs" dxfId="11402" priority="14299" stopIfTrue="1" operator="equal">
      <formula>"Towel"</formula>
    </cfRule>
  </conditionalFormatting>
  <conditionalFormatting sqref="C50">
    <cfRule type="cellIs" dxfId="11401" priority="14298" stopIfTrue="1" operator="equal">
      <formula>"Napkin Hs"</formula>
    </cfRule>
  </conditionalFormatting>
  <conditionalFormatting sqref="C50">
    <cfRule type="cellIs" dxfId="11400" priority="14295" stopIfTrue="1" operator="equal">
      <formula>"Towel"</formula>
    </cfRule>
    <cfRule type="cellIs" dxfId="11399" priority="14296" stopIfTrue="1" operator="equal">
      <formula>"Napkin Hs"</formula>
    </cfRule>
  </conditionalFormatting>
  <conditionalFormatting sqref="C50">
    <cfRule type="cellIs" dxfId="11398" priority="14297" stopIfTrue="1" operator="equal">
      <formula>"Towel"</formula>
    </cfRule>
  </conditionalFormatting>
  <conditionalFormatting sqref="C50">
    <cfRule type="cellIs" dxfId="11397" priority="14305" stopIfTrue="1" operator="equal">
      <formula>"Towel"</formula>
    </cfRule>
    <cfRule type="cellIs" dxfId="11396" priority="14306" stopIfTrue="1" operator="equal">
      <formula>"Napkin Hs"</formula>
    </cfRule>
  </conditionalFormatting>
  <conditionalFormatting sqref="C50">
    <cfRule type="cellIs" dxfId="11395" priority="14303" stopIfTrue="1" operator="equal">
      <formula>"Towel"</formula>
    </cfRule>
    <cfRule type="cellIs" dxfId="11394" priority="14304" stopIfTrue="1" operator="equal">
      <formula>"Napkin Hs"</formula>
    </cfRule>
  </conditionalFormatting>
  <conditionalFormatting sqref="C50">
    <cfRule type="cellIs" dxfId="11393" priority="14275" stopIfTrue="1" operator="equal">
      <formula>"Towel"</formula>
    </cfRule>
    <cfRule type="cellIs" dxfId="11392" priority="14276" stopIfTrue="1" operator="equal">
      <formula>"Napkin Hs"</formula>
    </cfRule>
  </conditionalFormatting>
  <conditionalFormatting sqref="C50">
    <cfRule type="cellIs" dxfId="11391" priority="14273" stopIfTrue="1" operator="equal">
      <formula>"Towel"</formula>
    </cfRule>
    <cfRule type="cellIs" dxfId="11390" priority="14274" stopIfTrue="1" operator="equal">
      <formula>"Napkin Hs"</formula>
    </cfRule>
  </conditionalFormatting>
  <conditionalFormatting sqref="C50">
    <cfRule type="cellIs" dxfId="11389" priority="14252" stopIfTrue="1" operator="equal">
      <formula>"Napkin Hs"</formula>
    </cfRule>
  </conditionalFormatting>
  <conditionalFormatting sqref="C50">
    <cfRule type="cellIs" dxfId="11388" priority="14251" stopIfTrue="1" operator="equal">
      <formula>"Towel"</formula>
    </cfRule>
  </conditionalFormatting>
  <conditionalFormatting sqref="C50">
    <cfRule type="cellIs" dxfId="11387" priority="14250" stopIfTrue="1" operator="equal">
      <formula>"Napkin Hs"</formula>
    </cfRule>
  </conditionalFormatting>
  <conditionalFormatting sqref="C50">
    <cfRule type="cellIs" dxfId="11386" priority="14249" stopIfTrue="1" operator="equal">
      <formula>"Towel"</formula>
    </cfRule>
  </conditionalFormatting>
  <conditionalFormatting sqref="C50">
    <cfRule type="cellIs" dxfId="11385" priority="14246" stopIfTrue="1" operator="equal">
      <formula>"Napkin Hs"</formula>
    </cfRule>
  </conditionalFormatting>
  <conditionalFormatting sqref="C50">
    <cfRule type="cellIs" dxfId="11384" priority="14245" stopIfTrue="1" operator="equal">
      <formula>"Towel"</formula>
    </cfRule>
  </conditionalFormatting>
  <conditionalFormatting sqref="C50">
    <cfRule type="cellIs" dxfId="11383" priority="14244" stopIfTrue="1" operator="equal">
      <formula>"Napkin Hs"</formula>
    </cfRule>
  </conditionalFormatting>
  <conditionalFormatting sqref="C50">
    <cfRule type="cellIs" dxfId="11382" priority="14243" stopIfTrue="1" operator="equal">
      <formula>"Towel"</formula>
    </cfRule>
  </conditionalFormatting>
  <conditionalFormatting sqref="C50">
    <cfRule type="cellIs" dxfId="11381" priority="14239" stopIfTrue="1" operator="equal">
      <formula>"Towel"</formula>
    </cfRule>
    <cfRule type="cellIs" dxfId="11380" priority="14240" stopIfTrue="1" operator="equal">
      <formula>"Napkin Hs"</formula>
    </cfRule>
  </conditionalFormatting>
  <conditionalFormatting sqref="C50">
    <cfRule type="cellIs" dxfId="11379" priority="14237" stopIfTrue="1" operator="equal">
      <formula>"Towel"</formula>
    </cfRule>
    <cfRule type="cellIs" dxfId="11378" priority="14238" stopIfTrue="1" operator="equal">
      <formula>"Napkin Hs"</formula>
    </cfRule>
  </conditionalFormatting>
  <conditionalFormatting sqref="C50">
    <cfRule type="cellIs" dxfId="11377" priority="14221" stopIfTrue="1" operator="equal">
      <formula>"Towel"</formula>
    </cfRule>
    <cfRule type="cellIs" dxfId="11376" priority="14222" stopIfTrue="1" operator="equal">
      <formula>"Napkin Hs"</formula>
    </cfRule>
  </conditionalFormatting>
  <conditionalFormatting sqref="C50">
    <cfRule type="cellIs" dxfId="11375" priority="14219" stopIfTrue="1" operator="equal">
      <formula>"Towel"</formula>
    </cfRule>
    <cfRule type="cellIs" dxfId="11374" priority="14220" stopIfTrue="1" operator="equal">
      <formula>"Napkin Hs"</formula>
    </cfRule>
  </conditionalFormatting>
  <conditionalFormatting sqref="B50:C50">
    <cfRule type="cellIs" dxfId="11373" priority="14180" stopIfTrue="1" operator="equal">
      <formula>"Napkin Hs"</formula>
    </cfRule>
  </conditionalFormatting>
  <conditionalFormatting sqref="B50:C50">
    <cfRule type="cellIs" dxfId="11372" priority="14179" stopIfTrue="1" operator="equal">
      <formula>"Towel"</formula>
    </cfRule>
  </conditionalFormatting>
  <conditionalFormatting sqref="C50">
    <cfRule type="cellIs" dxfId="11371" priority="14178" stopIfTrue="1" operator="equal">
      <formula>"Napkin Hs"</formula>
    </cfRule>
  </conditionalFormatting>
  <conditionalFormatting sqref="C50">
    <cfRule type="cellIs" dxfId="11370" priority="14175" stopIfTrue="1" operator="equal">
      <formula>"Towel"</formula>
    </cfRule>
    <cfRule type="cellIs" dxfId="11369" priority="14176" stopIfTrue="1" operator="equal">
      <formula>"Napkin Hs"</formula>
    </cfRule>
  </conditionalFormatting>
  <conditionalFormatting sqref="C50">
    <cfRule type="cellIs" dxfId="11368" priority="14177" stopIfTrue="1" operator="equal">
      <formula>"Towel"</formula>
    </cfRule>
  </conditionalFormatting>
  <conditionalFormatting sqref="B49:C49">
    <cfRule type="cellIs" dxfId="11367" priority="13593" stopIfTrue="1" operator="equal">
      <formula>"Towel"</formula>
    </cfRule>
    <cfRule type="cellIs" dxfId="11366" priority="13594" stopIfTrue="1" operator="equal">
      <formula>"Napkin Hs"</formula>
    </cfRule>
  </conditionalFormatting>
  <conditionalFormatting sqref="C49">
    <cfRule type="cellIs" dxfId="11365" priority="13589" stopIfTrue="1" operator="equal">
      <formula>"Towel"</formula>
    </cfRule>
    <cfRule type="cellIs" dxfId="11364" priority="13590" stopIfTrue="1" operator="equal">
      <formula>"Napkin Hs"</formula>
    </cfRule>
  </conditionalFormatting>
  <conditionalFormatting sqref="C49">
    <cfRule type="cellIs" dxfId="11363" priority="13591" stopIfTrue="1" operator="equal">
      <formula>"Towel"</formula>
    </cfRule>
    <cfRule type="cellIs" dxfId="11362" priority="13592" stopIfTrue="1" operator="equal">
      <formula>"Napkin Hs"</formula>
    </cfRule>
  </conditionalFormatting>
  <conditionalFormatting sqref="B49:C49">
    <cfRule type="cellIs" dxfId="11361" priority="13587" stopIfTrue="1" operator="equal">
      <formula>"Towel"</formula>
    </cfRule>
    <cfRule type="cellIs" dxfId="11360" priority="13588" stopIfTrue="1" operator="equal">
      <formula>"Napkin Hs"</formula>
    </cfRule>
  </conditionalFormatting>
  <conditionalFormatting sqref="C49">
    <cfRule type="cellIs" dxfId="11359" priority="13585" stopIfTrue="1" operator="equal">
      <formula>"Towel"</formula>
    </cfRule>
    <cfRule type="cellIs" dxfId="11358" priority="13586" stopIfTrue="1" operator="equal">
      <formula>"Napkin Hs"</formula>
    </cfRule>
  </conditionalFormatting>
  <conditionalFormatting sqref="C49">
    <cfRule type="cellIs" dxfId="11357" priority="13583" stopIfTrue="1" operator="equal">
      <formula>"Towel"</formula>
    </cfRule>
    <cfRule type="cellIs" dxfId="11356" priority="13584" stopIfTrue="1" operator="equal">
      <formula>"Napkin Hs"</formula>
    </cfRule>
  </conditionalFormatting>
  <conditionalFormatting sqref="B49:C49">
    <cfRule type="cellIs" dxfId="11355" priority="13581" stopIfTrue="1" operator="equal">
      <formula>"Towel"</formula>
    </cfRule>
    <cfRule type="cellIs" dxfId="11354" priority="13582" stopIfTrue="1" operator="equal">
      <formula>"Napkin Hs"</formula>
    </cfRule>
  </conditionalFormatting>
  <conditionalFormatting sqref="C49">
    <cfRule type="cellIs" dxfId="11353" priority="13579" stopIfTrue="1" operator="equal">
      <formula>"Towel"</formula>
    </cfRule>
    <cfRule type="cellIs" dxfId="11352" priority="13580" stopIfTrue="1" operator="equal">
      <formula>"Napkin Hs"</formula>
    </cfRule>
  </conditionalFormatting>
  <conditionalFormatting sqref="C49">
    <cfRule type="cellIs" dxfId="11351" priority="13577" stopIfTrue="1" operator="equal">
      <formula>"Towel"</formula>
    </cfRule>
    <cfRule type="cellIs" dxfId="11350" priority="13578" stopIfTrue="1" operator="equal">
      <formula>"Napkin Hs"</formula>
    </cfRule>
  </conditionalFormatting>
  <conditionalFormatting sqref="B49:C49">
    <cfRule type="cellIs" dxfId="11349" priority="13575" stopIfTrue="1" operator="equal">
      <formula>"Towel"</formula>
    </cfRule>
    <cfRule type="cellIs" dxfId="11348" priority="13576" stopIfTrue="1" operator="equal">
      <formula>"Napkin Hs"</formula>
    </cfRule>
  </conditionalFormatting>
  <conditionalFormatting sqref="C49">
    <cfRule type="cellIs" dxfId="11347" priority="13573" stopIfTrue="1" operator="equal">
      <formula>"Towel"</formula>
    </cfRule>
    <cfRule type="cellIs" dxfId="11346" priority="13574" stopIfTrue="1" operator="equal">
      <formula>"Napkin Hs"</formula>
    </cfRule>
  </conditionalFormatting>
  <conditionalFormatting sqref="C49">
    <cfRule type="cellIs" dxfId="11345" priority="13571" stopIfTrue="1" operator="equal">
      <formula>"Towel"</formula>
    </cfRule>
    <cfRule type="cellIs" dxfId="11344" priority="13572" stopIfTrue="1" operator="equal">
      <formula>"Napkin Hs"</formula>
    </cfRule>
  </conditionalFormatting>
  <conditionalFormatting sqref="B49:C49">
    <cfRule type="cellIs" dxfId="11343" priority="13570" stopIfTrue="1" operator="equal">
      <formula>"Napkin Hs"</formula>
    </cfRule>
  </conditionalFormatting>
  <conditionalFormatting sqref="B49:C49">
    <cfRule type="cellIs" dxfId="11342" priority="13569" stopIfTrue="1" operator="equal">
      <formula>"Towel"</formula>
    </cfRule>
  </conditionalFormatting>
  <conditionalFormatting sqref="C49">
    <cfRule type="cellIs" dxfId="11341" priority="13568" stopIfTrue="1" operator="equal">
      <formula>"Napkin Hs"</formula>
    </cfRule>
  </conditionalFormatting>
  <conditionalFormatting sqref="C49">
    <cfRule type="cellIs" dxfId="11340" priority="13565" stopIfTrue="1" operator="equal">
      <formula>"Towel"</formula>
    </cfRule>
    <cfRule type="cellIs" dxfId="11339" priority="13566" stopIfTrue="1" operator="equal">
      <formula>"Napkin Hs"</formula>
    </cfRule>
  </conditionalFormatting>
  <conditionalFormatting sqref="C49">
    <cfRule type="cellIs" dxfId="11338" priority="13567" stopIfTrue="1" operator="equal">
      <formula>"Towel"</formula>
    </cfRule>
  </conditionalFormatting>
  <conditionalFormatting sqref="C49">
    <cfRule type="cellIs" dxfId="11337" priority="13481" stopIfTrue="1" operator="equal">
      <formula>"Towel"</formula>
    </cfRule>
    <cfRule type="cellIs" dxfId="11336" priority="13482" stopIfTrue="1" operator="equal">
      <formula>"Napkin Hs"</formula>
    </cfRule>
  </conditionalFormatting>
  <conditionalFormatting sqref="C49">
    <cfRule type="cellIs" dxfId="11335" priority="13475" stopIfTrue="1" operator="equal">
      <formula>"Towel"</formula>
    </cfRule>
    <cfRule type="cellIs" dxfId="11334" priority="13476" stopIfTrue="1" operator="equal">
      <formula>"Napkin Hs"</formula>
    </cfRule>
  </conditionalFormatting>
  <conditionalFormatting sqref="C49">
    <cfRule type="cellIs" dxfId="11333" priority="13456" stopIfTrue="1" operator="equal">
      <formula>"Napkin Hs"</formula>
    </cfRule>
  </conditionalFormatting>
  <conditionalFormatting sqref="C49">
    <cfRule type="cellIs" dxfId="11332" priority="13455" stopIfTrue="1" operator="equal">
      <formula>"Towel"</formula>
    </cfRule>
  </conditionalFormatting>
  <conditionalFormatting sqref="C49">
    <cfRule type="cellIs" dxfId="11331" priority="13454" stopIfTrue="1" operator="equal">
      <formula>"Napkin Hs"</formula>
    </cfRule>
  </conditionalFormatting>
  <conditionalFormatting sqref="C49">
    <cfRule type="cellIs" dxfId="11330" priority="13451" stopIfTrue="1" operator="equal">
      <formula>"Towel"</formula>
    </cfRule>
    <cfRule type="cellIs" dxfId="11329" priority="13452" stopIfTrue="1" operator="equal">
      <formula>"Napkin Hs"</formula>
    </cfRule>
  </conditionalFormatting>
  <conditionalFormatting sqref="C49">
    <cfRule type="cellIs" dxfId="11328" priority="13453" stopIfTrue="1" operator="equal">
      <formula>"Towel"</formula>
    </cfRule>
  </conditionalFormatting>
  <conditionalFormatting sqref="C49">
    <cfRule type="cellIs" dxfId="11327" priority="13450" stopIfTrue="1" operator="equal">
      <formula>"Napkin Hs"</formula>
    </cfRule>
  </conditionalFormatting>
  <conditionalFormatting sqref="C49">
    <cfRule type="cellIs" dxfId="11326" priority="13449" stopIfTrue="1" operator="equal">
      <formula>"Towel"</formula>
    </cfRule>
  </conditionalFormatting>
  <conditionalFormatting sqref="C49">
    <cfRule type="cellIs" dxfId="11325" priority="13448" stopIfTrue="1" operator="equal">
      <formula>"Napkin Hs"</formula>
    </cfRule>
  </conditionalFormatting>
  <conditionalFormatting sqref="C49">
    <cfRule type="cellIs" dxfId="11324" priority="13445" stopIfTrue="1" operator="equal">
      <formula>"Towel"</formula>
    </cfRule>
    <cfRule type="cellIs" dxfId="11323" priority="13446" stopIfTrue="1" operator="equal">
      <formula>"Napkin Hs"</formula>
    </cfRule>
  </conditionalFormatting>
  <conditionalFormatting sqref="C49">
    <cfRule type="cellIs" dxfId="11322" priority="13447" stopIfTrue="1" operator="equal">
      <formula>"Towel"</formula>
    </cfRule>
  </conditionalFormatting>
  <conditionalFormatting sqref="C49">
    <cfRule type="cellIs" dxfId="11321" priority="13551" stopIfTrue="1" operator="equal">
      <formula>"Towel"</formula>
    </cfRule>
    <cfRule type="cellIs" dxfId="11320" priority="13552" stopIfTrue="1" operator="equal">
      <formula>"Napkin Hs"</formula>
    </cfRule>
  </conditionalFormatting>
  <conditionalFormatting sqref="C49">
    <cfRule type="cellIs" dxfId="11319" priority="13549" stopIfTrue="1" operator="equal">
      <formula>"Towel"</formula>
    </cfRule>
    <cfRule type="cellIs" dxfId="11318" priority="13550" stopIfTrue="1" operator="equal">
      <formula>"Napkin Hs"</formula>
    </cfRule>
  </conditionalFormatting>
  <conditionalFormatting sqref="C49">
    <cfRule type="cellIs" dxfId="11317" priority="13547" stopIfTrue="1" operator="equal">
      <formula>"Towel"</formula>
    </cfRule>
    <cfRule type="cellIs" dxfId="11316" priority="13548" stopIfTrue="1" operator="equal">
      <formula>"Napkin Hs"</formula>
    </cfRule>
  </conditionalFormatting>
  <conditionalFormatting sqref="C49">
    <cfRule type="cellIs" dxfId="11315" priority="13546" stopIfTrue="1" operator="equal">
      <formula>"Napkin Hs"</formula>
    </cfRule>
  </conditionalFormatting>
  <conditionalFormatting sqref="C49">
    <cfRule type="cellIs" dxfId="11314" priority="13545" stopIfTrue="1" operator="equal">
      <formula>"Towel"</formula>
    </cfRule>
  </conditionalFormatting>
  <conditionalFormatting sqref="C49">
    <cfRule type="cellIs" dxfId="11313" priority="13544" stopIfTrue="1" operator="equal">
      <formula>"Napkin Hs"</formula>
    </cfRule>
  </conditionalFormatting>
  <conditionalFormatting sqref="C49">
    <cfRule type="cellIs" dxfId="11312" priority="13543" stopIfTrue="1" operator="equal">
      <formula>"Towel"</formula>
    </cfRule>
  </conditionalFormatting>
  <conditionalFormatting sqref="C49">
    <cfRule type="cellIs" dxfId="11311" priority="13541" stopIfTrue="1" operator="equal">
      <formula>"Towel"</formula>
    </cfRule>
    <cfRule type="cellIs" dxfId="11310" priority="13542" stopIfTrue="1" operator="equal">
      <formula>"Napkin Hs"</formula>
    </cfRule>
  </conditionalFormatting>
  <conditionalFormatting sqref="C49">
    <cfRule type="cellIs" dxfId="11309" priority="13539" stopIfTrue="1" operator="equal">
      <formula>"Towel"</formula>
    </cfRule>
    <cfRule type="cellIs" dxfId="11308" priority="13540" stopIfTrue="1" operator="equal">
      <formula>"Napkin Hs"</formula>
    </cfRule>
  </conditionalFormatting>
  <conditionalFormatting sqref="C49">
    <cfRule type="cellIs" dxfId="11307" priority="13535" stopIfTrue="1" operator="equal">
      <formula>"Towel"</formula>
    </cfRule>
    <cfRule type="cellIs" dxfId="11306" priority="13536" stopIfTrue="1" operator="equal">
      <formula>"Napkin Hs"</formula>
    </cfRule>
  </conditionalFormatting>
  <conditionalFormatting sqref="C49">
    <cfRule type="cellIs" dxfId="11305" priority="13537" stopIfTrue="1" operator="equal">
      <formula>"Towel"</formula>
    </cfRule>
    <cfRule type="cellIs" dxfId="11304" priority="13538" stopIfTrue="1" operator="equal">
      <formula>"Napkin Hs"</formula>
    </cfRule>
  </conditionalFormatting>
  <conditionalFormatting sqref="C49">
    <cfRule type="cellIs" dxfId="11303" priority="13529" stopIfTrue="1" operator="equal">
      <formula>"Towel"</formula>
    </cfRule>
    <cfRule type="cellIs" dxfId="11302" priority="13530" stopIfTrue="1" operator="equal">
      <formula>"Napkin Hs"</formula>
    </cfRule>
  </conditionalFormatting>
  <conditionalFormatting sqref="C49">
    <cfRule type="cellIs" dxfId="11301" priority="13527" stopIfTrue="1" operator="equal">
      <formula>"Towel"</formula>
    </cfRule>
    <cfRule type="cellIs" dxfId="11300" priority="13528" stopIfTrue="1" operator="equal">
      <formula>"Napkin Hs"</formula>
    </cfRule>
  </conditionalFormatting>
  <conditionalFormatting sqref="C49">
    <cfRule type="cellIs" dxfId="11299" priority="13525" stopIfTrue="1" operator="equal">
      <formula>"Towel"</formula>
    </cfRule>
    <cfRule type="cellIs" dxfId="11298" priority="13526" stopIfTrue="1" operator="equal">
      <formula>"Napkin Hs"</formula>
    </cfRule>
  </conditionalFormatting>
  <conditionalFormatting sqref="C49">
    <cfRule type="cellIs" dxfId="11297" priority="13523" stopIfTrue="1" operator="equal">
      <formula>"Towel"</formula>
    </cfRule>
    <cfRule type="cellIs" dxfId="11296" priority="13524" stopIfTrue="1" operator="equal">
      <formula>"Napkin Hs"</formula>
    </cfRule>
  </conditionalFormatting>
  <conditionalFormatting sqref="C49">
    <cfRule type="cellIs" dxfId="11295" priority="13521" stopIfTrue="1" operator="equal">
      <formula>"Towel"</formula>
    </cfRule>
    <cfRule type="cellIs" dxfId="11294" priority="13522" stopIfTrue="1" operator="equal">
      <formula>"Napkin Hs"</formula>
    </cfRule>
  </conditionalFormatting>
  <conditionalFormatting sqref="C49">
    <cfRule type="cellIs" dxfId="11293" priority="13519" stopIfTrue="1" operator="equal">
      <formula>"Towel"</formula>
    </cfRule>
    <cfRule type="cellIs" dxfId="11292" priority="13520" stopIfTrue="1" operator="equal">
      <formula>"Napkin Hs"</formula>
    </cfRule>
  </conditionalFormatting>
  <conditionalFormatting sqref="C49">
    <cfRule type="cellIs" dxfId="11291" priority="13517" stopIfTrue="1" operator="equal">
      <formula>"Towel"</formula>
    </cfRule>
    <cfRule type="cellIs" dxfId="11290" priority="13518" stopIfTrue="1" operator="equal">
      <formula>"Napkin Hs"</formula>
    </cfRule>
  </conditionalFormatting>
  <conditionalFormatting sqref="C49">
    <cfRule type="cellIs" dxfId="11289" priority="13515" stopIfTrue="1" operator="equal">
      <formula>"Towel"</formula>
    </cfRule>
    <cfRule type="cellIs" dxfId="11288" priority="13516" stopIfTrue="1" operator="equal">
      <formula>"Napkin Hs"</formula>
    </cfRule>
  </conditionalFormatting>
  <conditionalFormatting sqref="C49">
    <cfRule type="cellIs" dxfId="11287" priority="13513" stopIfTrue="1" operator="equal">
      <formula>"Towel"</formula>
    </cfRule>
    <cfRule type="cellIs" dxfId="11286" priority="13514" stopIfTrue="1" operator="equal">
      <formula>"Napkin Hs"</formula>
    </cfRule>
  </conditionalFormatting>
  <conditionalFormatting sqref="C49">
    <cfRule type="cellIs" dxfId="11285" priority="13511" stopIfTrue="1" operator="equal">
      <formula>"Towel"</formula>
    </cfRule>
    <cfRule type="cellIs" dxfId="11284" priority="13512" stopIfTrue="1" operator="equal">
      <formula>"Napkin Hs"</formula>
    </cfRule>
  </conditionalFormatting>
  <conditionalFormatting sqref="C49">
    <cfRule type="cellIs" dxfId="11283" priority="13505" stopIfTrue="1" operator="equal">
      <formula>"Towel"</formula>
    </cfRule>
    <cfRule type="cellIs" dxfId="11282" priority="13506" stopIfTrue="1" operator="equal">
      <formula>"Napkin Hs"</formula>
    </cfRule>
  </conditionalFormatting>
  <conditionalFormatting sqref="C49">
    <cfRule type="cellIs" dxfId="11281" priority="13499" stopIfTrue="1" operator="equal">
      <formula>"Towel"</formula>
    </cfRule>
    <cfRule type="cellIs" dxfId="11280" priority="13500" stopIfTrue="1" operator="equal">
      <formula>"Napkin Hs"</formula>
    </cfRule>
  </conditionalFormatting>
  <conditionalFormatting sqref="C49">
    <cfRule type="cellIs" dxfId="11279" priority="13493" stopIfTrue="1" operator="equal">
      <formula>"Towel"</formula>
    </cfRule>
    <cfRule type="cellIs" dxfId="11278" priority="13494" stopIfTrue="1" operator="equal">
      <formula>"Napkin Hs"</formula>
    </cfRule>
  </conditionalFormatting>
  <conditionalFormatting sqref="C49">
    <cfRule type="cellIs" dxfId="11277" priority="13492" stopIfTrue="1" operator="equal">
      <formula>"Napkin Hs"</formula>
    </cfRule>
  </conditionalFormatting>
  <conditionalFormatting sqref="C49">
    <cfRule type="cellIs" dxfId="11276" priority="13491" stopIfTrue="1" operator="equal">
      <formula>"Towel"</formula>
    </cfRule>
  </conditionalFormatting>
  <conditionalFormatting sqref="C49">
    <cfRule type="cellIs" dxfId="11275" priority="13490" stopIfTrue="1" operator="equal">
      <formula>"Napkin Hs"</formula>
    </cfRule>
  </conditionalFormatting>
  <conditionalFormatting sqref="C49">
    <cfRule type="cellIs" dxfId="11274" priority="13489" stopIfTrue="1" operator="equal">
      <formula>"Towel"</formula>
    </cfRule>
  </conditionalFormatting>
  <conditionalFormatting sqref="C49">
    <cfRule type="cellIs" dxfId="11273" priority="13487" stopIfTrue="1" operator="equal">
      <formula>"Towel"</formula>
    </cfRule>
    <cfRule type="cellIs" dxfId="11272" priority="13488" stopIfTrue="1" operator="equal">
      <formula>"Napkin Hs"</formula>
    </cfRule>
  </conditionalFormatting>
  <conditionalFormatting sqref="C49">
    <cfRule type="cellIs" dxfId="11271" priority="13485" stopIfTrue="1" operator="equal">
      <formula>"Towel"</formula>
    </cfRule>
    <cfRule type="cellIs" dxfId="11270" priority="13486" stopIfTrue="1" operator="equal">
      <formula>"Napkin Hs"</formula>
    </cfRule>
  </conditionalFormatting>
  <conditionalFormatting sqref="C49">
    <cfRule type="cellIs" dxfId="11269" priority="13483" stopIfTrue="1" operator="equal">
      <formula>"Towel"</formula>
    </cfRule>
    <cfRule type="cellIs" dxfId="11268" priority="13484" stopIfTrue="1" operator="equal">
      <formula>"Napkin Hs"</formula>
    </cfRule>
  </conditionalFormatting>
  <conditionalFormatting sqref="C49">
    <cfRule type="cellIs" dxfId="11267" priority="13473" stopIfTrue="1" operator="equal">
      <formula>"Towel"</formula>
    </cfRule>
    <cfRule type="cellIs" dxfId="11266" priority="13474" stopIfTrue="1" operator="equal">
      <formula>"Napkin Hs"</formula>
    </cfRule>
  </conditionalFormatting>
  <conditionalFormatting sqref="C49">
    <cfRule type="cellIs" dxfId="11265" priority="13471" stopIfTrue="1" operator="equal">
      <formula>"Towel"</formula>
    </cfRule>
    <cfRule type="cellIs" dxfId="11264" priority="13472" stopIfTrue="1" operator="equal">
      <formula>"Napkin Hs"</formula>
    </cfRule>
  </conditionalFormatting>
  <conditionalFormatting sqref="C49">
    <cfRule type="cellIs" dxfId="11263" priority="13469" stopIfTrue="1" operator="equal">
      <formula>"Towel"</formula>
    </cfRule>
    <cfRule type="cellIs" dxfId="11262" priority="13470" stopIfTrue="1" operator="equal">
      <formula>"Napkin Hs"</formula>
    </cfRule>
  </conditionalFormatting>
  <conditionalFormatting sqref="C49">
    <cfRule type="cellIs" dxfId="11261" priority="13467" stopIfTrue="1" operator="equal">
      <formula>"Towel"</formula>
    </cfRule>
    <cfRule type="cellIs" dxfId="11260" priority="13468" stopIfTrue="1" operator="equal">
      <formula>"Napkin Hs"</formula>
    </cfRule>
  </conditionalFormatting>
  <conditionalFormatting sqref="C49">
    <cfRule type="cellIs" dxfId="11259" priority="13465" stopIfTrue="1" operator="equal">
      <formula>"Towel"</formula>
    </cfRule>
    <cfRule type="cellIs" dxfId="11258" priority="13466" stopIfTrue="1" operator="equal">
      <formula>"Napkin Hs"</formula>
    </cfRule>
  </conditionalFormatting>
  <conditionalFormatting sqref="C49">
    <cfRule type="cellIs" dxfId="11257" priority="13463" stopIfTrue="1" operator="equal">
      <formula>"Towel"</formula>
    </cfRule>
    <cfRule type="cellIs" dxfId="11256" priority="13464" stopIfTrue="1" operator="equal">
      <formula>"Napkin Hs"</formula>
    </cfRule>
  </conditionalFormatting>
  <conditionalFormatting sqref="C49">
    <cfRule type="cellIs" dxfId="11255" priority="13461" stopIfTrue="1" operator="equal">
      <formula>"Towel"</formula>
    </cfRule>
    <cfRule type="cellIs" dxfId="11254" priority="13462" stopIfTrue="1" operator="equal">
      <formula>"Napkin Hs"</formula>
    </cfRule>
  </conditionalFormatting>
  <conditionalFormatting sqref="C49">
    <cfRule type="cellIs" dxfId="11253" priority="13459" stopIfTrue="1" operator="equal">
      <formula>"Towel"</formula>
    </cfRule>
    <cfRule type="cellIs" dxfId="11252" priority="13460" stopIfTrue="1" operator="equal">
      <formula>"Napkin Hs"</formula>
    </cfRule>
  </conditionalFormatting>
  <conditionalFormatting sqref="C49">
    <cfRule type="cellIs" dxfId="11251" priority="13457" stopIfTrue="1" operator="equal">
      <formula>"Towel"</formula>
    </cfRule>
    <cfRule type="cellIs" dxfId="11250" priority="13458" stopIfTrue="1" operator="equal">
      <formula>"Napkin Hs"</formula>
    </cfRule>
  </conditionalFormatting>
  <conditionalFormatting sqref="C49">
    <cfRule type="cellIs" dxfId="11249" priority="13444" stopIfTrue="1" operator="equal">
      <formula>"Napkin Hs"</formula>
    </cfRule>
  </conditionalFormatting>
  <conditionalFormatting sqref="C49">
    <cfRule type="cellIs" dxfId="11248" priority="13443" stopIfTrue="1" operator="equal">
      <formula>"Towel"</formula>
    </cfRule>
  </conditionalFormatting>
  <conditionalFormatting sqref="C49">
    <cfRule type="cellIs" dxfId="11247" priority="13442" stopIfTrue="1" operator="equal">
      <formula>"Napkin Hs"</formula>
    </cfRule>
  </conditionalFormatting>
  <conditionalFormatting sqref="C49">
    <cfRule type="cellIs" dxfId="11246" priority="13439" stopIfTrue="1" operator="equal">
      <formula>"Towel"</formula>
    </cfRule>
    <cfRule type="cellIs" dxfId="11245" priority="13440" stopIfTrue="1" operator="equal">
      <formula>"Napkin Hs"</formula>
    </cfRule>
  </conditionalFormatting>
  <conditionalFormatting sqref="C49">
    <cfRule type="cellIs" dxfId="11244" priority="13441" stopIfTrue="1" operator="equal">
      <formula>"Towel"</formula>
    </cfRule>
  </conditionalFormatting>
  <conditionalFormatting sqref="C49">
    <cfRule type="cellIs" dxfId="11243" priority="13559" stopIfTrue="1" operator="equal">
      <formula>"Towel"</formula>
    </cfRule>
    <cfRule type="cellIs" dxfId="11242" priority="13560" stopIfTrue="1" operator="equal">
      <formula>"Napkin Hs"</formula>
    </cfRule>
  </conditionalFormatting>
  <conditionalFormatting sqref="C49">
    <cfRule type="cellIs" dxfId="11241" priority="13558" stopIfTrue="1" operator="equal">
      <formula>"Napkin Hs"</formula>
    </cfRule>
  </conditionalFormatting>
  <conditionalFormatting sqref="C49">
    <cfRule type="cellIs" dxfId="11240" priority="13557" stopIfTrue="1" operator="equal">
      <formula>"Towel"</formula>
    </cfRule>
  </conditionalFormatting>
  <conditionalFormatting sqref="C49">
    <cfRule type="cellIs" dxfId="11239" priority="13556" stopIfTrue="1" operator="equal">
      <formula>"Napkin Hs"</formula>
    </cfRule>
  </conditionalFormatting>
  <conditionalFormatting sqref="C49">
    <cfRule type="cellIs" dxfId="11238" priority="13553" stopIfTrue="1" operator="equal">
      <formula>"Towel"</formula>
    </cfRule>
    <cfRule type="cellIs" dxfId="11237" priority="13554" stopIfTrue="1" operator="equal">
      <formula>"Napkin Hs"</formula>
    </cfRule>
  </conditionalFormatting>
  <conditionalFormatting sqref="C49">
    <cfRule type="cellIs" dxfId="11236" priority="13555" stopIfTrue="1" operator="equal">
      <formula>"Towel"</formula>
    </cfRule>
  </conditionalFormatting>
  <conditionalFormatting sqref="C49">
    <cfRule type="cellIs" dxfId="11235" priority="13563" stopIfTrue="1" operator="equal">
      <formula>"Towel"</formula>
    </cfRule>
    <cfRule type="cellIs" dxfId="11234" priority="13564" stopIfTrue="1" operator="equal">
      <formula>"Napkin Hs"</formula>
    </cfRule>
  </conditionalFormatting>
  <conditionalFormatting sqref="C49">
    <cfRule type="cellIs" dxfId="11233" priority="13561" stopIfTrue="1" operator="equal">
      <formula>"Towel"</formula>
    </cfRule>
    <cfRule type="cellIs" dxfId="11232" priority="13562" stopIfTrue="1" operator="equal">
      <formula>"Napkin Hs"</formula>
    </cfRule>
  </conditionalFormatting>
  <conditionalFormatting sqref="C49">
    <cfRule type="cellIs" dxfId="11231" priority="13533" stopIfTrue="1" operator="equal">
      <formula>"Towel"</formula>
    </cfRule>
    <cfRule type="cellIs" dxfId="11230" priority="13534" stopIfTrue="1" operator="equal">
      <formula>"Napkin Hs"</formula>
    </cfRule>
  </conditionalFormatting>
  <conditionalFormatting sqref="C49">
    <cfRule type="cellIs" dxfId="11229" priority="13531" stopIfTrue="1" operator="equal">
      <formula>"Towel"</formula>
    </cfRule>
    <cfRule type="cellIs" dxfId="11228" priority="13532" stopIfTrue="1" operator="equal">
      <formula>"Napkin Hs"</formula>
    </cfRule>
  </conditionalFormatting>
  <conditionalFormatting sqref="C49">
    <cfRule type="cellIs" dxfId="11227" priority="13510" stopIfTrue="1" operator="equal">
      <formula>"Napkin Hs"</formula>
    </cfRule>
  </conditionalFormatting>
  <conditionalFormatting sqref="C49">
    <cfRule type="cellIs" dxfId="11226" priority="13509" stopIfTrue="1" operator="equal">
      <formula>"Towel"</formula>
    </cfRule>
  </conditionalFormatting>
  <conditionalFormatting sqref="C49">
    <cfRule type="cellIs" dxfId="11225" priority="13508" stopIfTrue="1" operator="equal">
      <formula>"Napkin Hs"</formula>
    </cfRule>
  </conditionalFormatting>
  <conditionalFormatting sqref="C49">
    <cfRule type="cellIs" dxfId="11224" priority="13507" stopIfTrue="1" operator="equal">
      <formula>"Towel"</formula>
    </cfRule>
  </conditionalFormatting>
  <conditionalFormatting sqref="C49">
    <cfRule type="cellIs" dxfId="11223" priority="13504" stopIfTrue="1" operator="equal">
      <formula>"Napkin Hs"</formula>
    </cfRule>
  </conditionalFormatting>
  <conditionalFormatting sqref="C49">
    <cfRule type="cellIs" dxfId="11222" priority="13503" stopIfTrue="1" operator="equal">
      <formula>"Towel"</formula>
    </cfRule>
  </conditionalFormatting>
  <conditionalFormatting sqref="C49">
    <cfRule type="cellIs" dxfId="11221" priority="13502" stopIfTrue="1" operator="equal">
      <formula>"Napkin Hs"</formula>
    </cfRule>
  </conditionalFormatting>
  <conditionalFormatting sqref="C49">
    <cfRule type="cellIs" dxfId="11220" priority="13501" stopIfTrue="1" operator="equal">
      <formula>"Towel"</formula>
    </cfRule>
  </conditionalFormatting>
  <conditionalFormatting sqref="C49">
    <cfRule type="cellIs" dxfId="11219" priority="13497" stopIfTrue="1" operator="equal">
      <formula>"Towel"</formula>
    </cfRule>
    <cfRule type="cellIs" dxfId="11218" priority="13498" stopIfTrue="1" operator="equal">
      <formula>"Napkin Hs"</formula>
    </cfRule>
  </conditionalFormatting>
  <conditionalFormatting sqref="C49">
    <cfRule type="cellIs" dxfId="11217" priority="13495" stopIfTrue="1" operator="equal">
      <formula>"Towel"</formula>
    </cfRule>
    <cfRule type="cellIs" dxfId="11216" priority="13496" stopIfTrue="1" operator="equal">
      <formula>"Napkin Hs"</formula>
    </cfRule>
  </conditionalFormatting>
  <conditionalFormatting sqref="C49">
    <cfRule type="cellIs" dxfId="11215" priority="13479" stopIfTrue="1" operator="equal">
      <formula>"Towel"</formula>
    </cfRule>
    <cfRule type="cellIs" dxfId="11214" priority="13480" stopIfTrue="1" operator="equal">
      <formula>"Napkin Hs"</formula>
    </cfRule>
  </conditionalFormatting>
  <conditionalFormatting sqref="C49">
    <cfRule type="cellIs" dxfId="11213" priority="13477" stopIfTrue="1" operator="equal">
      <formula>"Towel"</formula>
    </cfRule>
    <cfRule type="cellIs" dxfId="11212" priority="13478" stopIfTrue="1" operator="equal">
      <formula>"Napkin Hs"</formula>
    </cfRule>
  </conditionalFormatting>
  <conditionalFormatting sqref="B49:C49">
    <cfRule type="cellIs" dxfId="11211" priority="13438" stopIfTrue="1" operator="equal">
      <formula>"Napkin Hs"</formula>
    </cfRule>
  </conditionalFormatting>
  <conditionalFormatting sqref="B49:C49">
    <cfRule type="cellIs" dxfId="11210" priority="13437" stopIfTrue="1" operator="equal">
      <formula>"Towel"</formula>
    </cfRule>
  </conditionalFormatting>
  <conditionalFormatting sqref="C49">
    <cfRule type="cellIs" dxfId="11209" priority="13436" stopIfTrue="1" operator="equal">
      <formula>"Napkin Hs"</formula>
    </cfRule>
  </conditionalFormatting>
  <conditionalFormatting sqref="C49">
    <cfRule type="cellIs" dxfId="11208" priority="13433" stopIfTrue="1" operator="equal">
      <formula>"Towel"</formula>
    </cfRule>
    <cfRule type="cellIs" dxfId="11207" priority="13434" stopIfTrue="1" operator="equal">
      <formula>"Napkin Hs"</formula>
    </cfRule>
  </conditionalFormatting>
  <conditionalFormatting sqref="C49">
    <cfRule type="cellIs" dxfId="11206" priority="13435" stopIfTrue="1" operator="equal">
      <formula>"Towel"</formula>
    </cfRule>
  </conditionalFormatting>
  <conditionalFormatting sqref="B47:C47">
    <cfRule type="cellIs" dxfId="11205" priority="13431" stopIfTrue="1" operator="equal">
      <formula>"Towel"</formula>
    </cfRule>
    <cfRule type="cellIs" dxfId="11204" priority="13432" stopIfTrue="1" operator="equal">
      <formula>"Napkin Hs"</formula>
    </cfRule>
  </conditionalFormatting>
  <conditionalFormatting sqref="C47">
    <cfRule type="cellIs" dxfId="11203" priority="13427" stopIfTrue="1" operator="equal">
      <formula>"Towel"</formula>
    </cfRule>
    <cfRule type="cellIs" dxfId="11202" priority="13428" stopIfTrue="1" operator="equal">
      <formula>"Napkin Hs"</formula>
    </cfRule>
  </conditionalFormatting>
  <conditionalFormatting sqref="C47">
    <cfRule type="cellIs" dxfId="11201" priority="13429" stopIfTrue="1" operator="equal">
      <formula>"Towel"</formula>
    </cfRule>
    <cfRule type="cellIs" dxfId="11200" priority="13430" stopIfTrue="1" operator="equal">
      <formula>"Napkin Hs"</formula>
    </cfRule>
  </conditionalFormatting>
  <conditionalFormatting sqref="B47:C47">
    <cfRule type="cellIs" dxfId="11199" priority="13425" stopIfTrue="1" operator="equal">
      <formula>"Towel"</formula>
    </cfRule>
    <cfRule type="cellIs" dxfId="11198" priority="13426" stopIfTrue="1" operator="equal">
      <formula>"Napkin Hs"</formula>
    </cfRule>
  </conditionalFormatting>
  <conditionalFormatting sqref="C47">
    <cfRule type="cellIs" dxfId="11197" priority="13421" stopIfTrue="1" operator="equal">
      <formula>"Towel"</formula>
    </cfRule>
    <cfRule type="cellIs" dxfId="11196" priority="13422" stopIfTrue="1" operator="equal">
      <formula>"Napkin Hs"</formula>
    </cfRule>
  </conditionalFormatting>
  <conditionalFormatting sqref="C47">
    <cfRule type="cellIs" dxfId="11195" priority="13423" stopIfTrue="1" operator="equal">
      <formula>"Towel"</formula>
    </cfRule>
    <cfRule type="cellIs" dxfId="11194" priority="13424" stopIfTrue="1" operator="equal">
      <formula>"Napkin Hs"</formula>
    </cfRule>
  </conditionalFormatting>
  <conditionalFormatting sqref="B47:C47">
    <cfRule type="cellIs" dxfId="11193" priority="13419" stopIfTrue="1" operator="equal">
      <formula>"Towel"</formula>
    </cfRule>
    <cfRule type="cellIs" dxfId="11192" priority="13420" stopIfTrue="1" operator="equal">
      <formula>"Napkin Hs"</formula>
    </cfRule>
  </conditionalFormatting>
  <conditionalFormatting sqref="C47">
    <cfRule type="cellIs" dxfId="11191" priority="13417" stopIfTrue="1" operator="equal">
      <formula>"Towel"</formula>
    </cfRule>
    <cfRule type="cellIs" dxfId="11190" priority="13418" stopIfTrue="1" operator="equal">
      <formula>"Napkin Hs"</formula>
    </cfRule>
  </conditionalFormatting>
  <conditionalFormatting sqref="C47">
    <cfRule type="cellIs" dxfId="11189" priority="13415" stopIfTrue="1" operator="equal">
      <formula>"Towel"</formula>
    </cfRule>
    <cfRule type="cellIs" dxfId="11188" priority="13416" stopIfTrue="1" operator="equal">
      <formula>"Napkin Hs"</formula>
    </cfRule>
  </conditionalFormatting>
  <conditionalFormatting sqref="B47:C47">
    <cfRule type="cellIs" dxfId="11187" priority="13414" stopIfTrue="1" operator="equal">
      <formula>"Napkin Hs"</formula>
    </cfRule>
  </conditionalFormatting>
  <conditionalFormatting sqref="B47:C47">
    <cfRule type="cellIs" dxfId="11186" priority="13413" stopIfTrue="1" operator="equal">
      <formula>"Towel"</formula>
    </cfRule>
  </conditionalFormatting>
  <conditionalFormatting sqref="C47">
    <cfRule type="cellIs" dxfId="11185" priority="13412" stopIfTrue="1" operator="equal">
      <formula>"Napkin Hs"</formula>
    </cfRule>
  </conditionalFormatting>
  <conditionalFormatting sqref="C47">
    <cfRule type="cellIs" dxfId="11184" priority="13411" stopIfTrue="1" operator="equal">
      <formula>"Towel"</formula>
    </cfRule>
  </conditionalFormatting>
  <conditionalFormatting sqref="C47">
    <cfRule type="cellIs" dxfId="11183" priority="13409" stopIfTrue="1" operator="equal">
      <formula>"Towel"</formula>
    </cfRule>
    <cfRule type="cellIs" dxfId="11182" priority="13410" stopIfTrue="1" operator="equal">
      <formula>"Napkin Hs"</formula>
    </cfRule>
  </conditionalFormatting>
  <conditionalFormatting sqref="C47">
    <cfRule type="cellIs" dxfId="11181" priority="13407" stopIfTrue="1" operator="equal">
      <formula>"Towel"</formula>
    </cfRule>
    <cfRule type="cellIs" dxfId="11180" priority="13408" stopIfTrue="1" operator="equal">
      <formula>"Napkin Hs"</formula>
    </cfRule>
  </conditionalFormatting>
  <conditionalFormatting sqref="C47">
    <cfRule type="cellIs" dxfId="11179" priority="13323" stopIfTrue="1" operator="equal">
      <formula>"Towel"</formula>
    </cfRule>
    <cfRule type="cellIs" dxfId="11178" priority="13324" stopIfTrue="1" operator="equal">
      <formula>"Napkin Hs"</formula>
    </cfRule>
  </conditionalFormatting>
  <conditionalFormatting sqref="C47">
    <cfRule type="cellIs" dxfId="11177" priority="13317" stopIfTrue="1" operator="equal">
      <formula>"Towel"</formula>
    </cfRule>
    <cfRule type="cellIs" dxfId="11176" priority="13318" stopIfTrue="1" operator="equal">
      <formula>"Napkin Hs"</formula>
    </cfRule>
  </conditionalFormatting>
  <conditionalFormatting sqref="C47">
    <cfRule type="cellIs" dxfId="11175" priority="13298" stopIfTrue="1" operator="equal">
      <formula>"Napkin Hs"</formula>
    </cfRule>
  </conditionalFormatting>
  <conditionalFormatting sqref="C47">
    <cfRule type="cellIs" dxfId="11174" priority="13297" stopIfTrue="1" operator="equal">
      <formula>"Towel"</formula>
    </cfRule>
  </conditionalFormatting>
  <conditionalFormatting sqref="C47">
    <cfRule type="cellIs" dxfId="11173" priority="13296" stopIfTrue="1" operator="equal">
      <formula>"Napkin Hs"</formula>
    </cfRule>
  </conditionalFormatting>
  <conditionalFormatting sqref="C47">
    <cfRule type="cellIs" dxfId="11172" priority="13293" stopIfTrue="1" operator="equal">
      <formula>"Towel"</formula>
    </cfRule>
    <cfRule type="cellIs" dxfId="11171" priority="13294" stopIfTrue="1" operator="equal">
      <formula>"Napkin Hs"</formula>
    </cfRule>
  </conditionalFormatting>
  <conditionalFormatting sqref="C47">
    <cfRule type="cellIs" dxfId="11170" priority="13295" stopIfTrue="1" operator="equal">
      <formula>"Towel"</formula>
    </cfRule>
  </conditionalFormatting>
  <conditionalFormatting sqref="C47">
    <cfRule type="cellIs" dxfId="11169" priority="13292" stopIfTrue="1" operator="equal">
      <formula>"Napkin Hs"</formula>
    </cfRule>
  </conditionalFormatting>
  <conditionalFormatting sqref="C47">
    <cfRule type="cellIs" dxfId="11168" priority="13291" stopIfTrue="1" operator="equal">
      <formula>"Towel"</formula>
    </cfRule>
  </conditionalFormatting>
  <conditionalFormatting sqref="C47">
    <cfRule type="cellIs" dxfId="11167" priority="13290" stopIfTrue="1" operator="equal">
      <formula>"Napkin Hs"</formula>
    </cfRule>
  </conditionalFormatting>
  <conditionalFormatting sqref="C47">
    <cfRule type="cellIs" dxfId="11166" priority="13287" stopIfTrue="1" operator="equal">
      <formula>"Towel"</formula>
    </cfRule>
    <cfRule type="cellIs" dxfId="11165" priority="13288" stopIfTrue="1" operator="equal">
      <formula>"Napkin Hs"</formula>
    </cfRule>
  </conditionalFormatting>
  <conditionalFormatting sqref="C47">
    <cfRule type="cellIs" dxfId="11164" priority="13289" stopIfTrue="1" operator="equal">
      <formula>"Towel"</formula>
    </cfRule>
  </conditionalFormatting>
  <conditionalFormatting sqref="C47">
    <cfRule type="cellIs" dxfId="11163" priority="13393" stopIfTrue="1" operator="equal">
      <formula>"Towel"</formula>
    </cfRule>
    <cfRule type="cellIs" dxfId="11162" priority="13394" stopIfTrue="1" operator="equal">
      <formula>"Napkin Hs"</formula>
    </cfRule>
  </conditionalFormatting>
  <conditionalFormatting sqref="C47">
    <cfRule type="cellIs" dxfId="11161" priority="13391" stopIfTrue="1" operator="equal">
      <formula>"Towel"</formula>
    </cfRule>
    <cfRule type="cellIs" dxfId="11160" priority="13392" stopIfTrue="1" operator="equal">
      <formula>"Napkin Hs"</formula>
    </cfRule>
  </conditionalFormatting>
  <conditionalFormatting sqref="C47">
    <cfRule type="cellIs" dxfId="11159" priority="13389" stopIfTrue="1" operator="equal">
      <formula>"Towel"</formula>
    </cfRule>
    <cfRule type="cellIs" dxfId="11158" priority="13390" stopIfTrue="1" operator="equal">
      <formula>"Napkin Hs"</formula>
    </cfRule>
  </conditionalFormatting>
  <conditionalFormatting sqref="C47">
    <cfRule type="cellIs" dxfId="11157" priority="13388" stopIfTrue="1" operator="equal">
      <formula>"Napkin Hs"</formula>
    </cfRule>
  </conditionalFormatting>
  <conditionalFormatting sqref="C47">
    <cfRule type="cellIs" dxfId="11156" priority="13387" stopIfTrue="1" operator="equal">
      <formula>"Towel"</formula>
    </cfRule>
  </conditionalFormatting>
  <conditionalFormatting sqref="C47">
    <cfRule type="cellIs" dxfId="11155" priority="13386" stopIfTrue="1" operator="equal">
      <formula>"Napkin Hs"</formula>
    </cfRule>
  </conditionalFormatting>
  <conditionalFormatting sqref="C47">
    <cfRule type="cellIs" dxfId="11154" priority="13385" stopIfTrue="1" operator="equal">
      <formula>"Towel"</formula>
    </cfRule>
  </conditionalFormatting>
  <conditionalFormatting sqref="C47">
    <cfRule type="cellIs" dxfId="11153" priority="13383" stopIfTrue="1" operator="equal">
      <formula>"Towel"</formula>
    </cfRule>
    <cfRule type="cellIs" dxfId="11152" priority="13384" stopIfTrue="1" operator="equal">
      <formula>"Napkin Hs"</formula>
    </cfRule>
  </conditionalFormatting>
  <conditionalFormatting sqref="C47">
    <cfRule type="cellIs" dxfId="11151" priority="13381" stopIfTrue="1" operator="equal">
      <formula>"Towel"</formula>
    </cfRule>
    <cfRule type="cellIs" dxfId="11150" priority="13382" stopIfTrue="1" operator="equal">
      <formula>"Napkin Hs"</formula>
    </cfRule>
  </conditionalFormatting>
  <conditionalFormatting sqref="C47">
    <cfRule type="cellIs" dxfId="11149" priority="13377" stopIfTrue="1" operator="equal">
      <formula>"Towel"</formula>
    </cfRule>
    <cfRule type="cellIs" dxfId="11148" priority="13378" stopIfTrue="1" operator="equal">
      <formula>"Napkin Hs"</formula>
    </cfRule>
  </conditionalFormatting>
  <conditionalFormatting sqref="C47">
    <cfRule type="cellIs" dxfId="11147" priority="13379" stopIfTrue="1" operator="equal">
      <formula>"Towel"</formula>
    </cfRule>
    <cfRule type="cellIs" dxfId="11146" priority="13380" stopIfTrue="1" operator="equal">
      <formula>"Napkin Hs"</formula>
    </cfRule>
  </conditionalFormatting>
  <conditionalFormatting sqref="C47">
    <cfRule type="cellIs" dxfId="11145" priority="13371" stopIfTrue="1" operator="equal">
      <formula>"Towel"</formula>
    </cfRule>
    <cfRule type="cellIs" dxfId="11144" priority="13372" stopIfTrue="1" operator="equal">
      <formula>"Napkin Hs"</formula>
    </cfRule>
  </conditionalFormatting>
  <conditionalFormatting sqref="C47">
    <cfRule type="cellIs" dxfId="11143" priority="13369" stopIfTrue="1" operator="equal">
      <formula>"Towel"</formula>
    </cfRule>
    <cfRule type="cellIs" dxfId="11142" priority="13370" stopIfTrue="1" operator="equal">
      <formula>"Napkin Hs"</formula>
    </cfRule>
  </conditionalFormatting>
  <conditionalFormatting sqref="C47">
    <cfRule type="cellIs" dxfId="11141" priority="13367" stopIfTrue="1" operator="equal">
      <formula>"Towel"</formula>
    </cfRule>
    <cfRule type="cellIs" dxfId="11140" priority="13368" stopIfTrue="1" operator="equal">
      <formula>"Napkin Hs"</formula>
    </cfRule>
  </conditionalFormatting>
  <conditionalFormatting sqref="C47">
    <cfRule type="cellIs" dxfId="11139" priority="13365" stopIfTrue="1" operator="equal">
      <formula>"Towel"</formula>
    </cfRule>
    <cfRule type="cellIs" dxfId="11138" priority="13366" stopIfTrue="1" operator="equal">
      <formula>"Napkin Hs"</formula>
    </cfRule>
  </conditionalFormatting>
  <conditionalFormatting sqref="C47">
    <cfRule type="cellIs" dxfId="11137" priority="13363" stopIfTrue="1" operator="equal">
      <formula>"Towel"</formula>
    </cfRule>
    <cfRule type="cellIs" dxfId="11136" priority="13364" stopIfTrue="1" operator="equal">
      <formula>"Napkin Hs"</formula>
    </cfRule>
  </conditionalFormatting>
  <conditionalFormatting sqref="C47">
    <cfRule type="cellIs" dxfId="11135" priority="13361" stopIfTrue="1" operator="equal">
      <formula>"Towel"</formula>
    </cfRule>
    <cfRule type="cellIs" dxfId="11134" priority="13362" stopIfTrue="1" operator="equal">
      <formula>"Napkin Hs"</formula>
    </cfRule>
  </conditionalFormatting>
  <conditionalFormatting sqref="C47">
    <cfRule type="cellIs" dxfId="11133" priority="13359" stopIfTrue="1" operator="equal">
      <formula>"Towel"</formula>
    </cfRule>
    <cfRule type="cellIs" dxfId="11132" priority="13360" stopIfTrue="1" operator="equal">
      <formula>"Napkin Hs"</formula>
    </cfRule>
  </conditionalFormatting>
  <conditionalFormatting sqref="C47">
    <cfRule type="cellIs" dxfId="11131" priority="13357" stopIfTrue="1" operator="equal">
      <formula>"Towel"</formula>
    </cfRule>
    <cfRule type="cellIs" dxfId="11130" priority="13358" stopIfTrue="1" operator="equal">
      <formula>"Napkin Hs"</formula>
    </cfRule>
  </conditionalFormatting>
  <conditionalFormatting sqref="C47">
    <cfRule type="cellIs" dxfId="11129" priority="13355" stopIfTrue="1" operator="equal">
      <formula>"Towel"</formula>
    </cfRule>
    <cfRule type="cellIs" dxfId="11128" priority="13356" stopIfTrue="1" operator="equal">
      <formula>"Napkin Hs"</formula>
    </cfRule>
  </conditionalFormatting>
  <conditionalFormatting sqref="C47">
    <cfRule type="cellIs" dxfId="11127" priority="13353" stopIfTrue="1" operator="equal">
      <formula>"Towel"</formula>
    </cfRule>
    <cfRule type="cellIs" dxfId="11126" priority="13354" stopIfTrue="1" operator="equal">
      <formula>"Napkin Hs"</formula>
    </cfRule>
  </conditionalFormatting>
  <conditionalFormatting sqref="C47">
    <cfRule type="cellIs" dxfId="11125" priority="13347" stopIfTrue="1" operator="equal">
      <formula>"Towel"</formula>
    </cfRule>
    <cfRule type="cellIs" dxfId="11124" priority="13348" stopIfTrue="1" operator="equal">
      <formula>"Napkin Hs"</formula>
    </cfRule>
  </conditionalFormatting>
  <conditionalFormatting sqref="C47">
    <cfRule type="cellIs" dxfId="11123" priority="13341" stopIfTrue="1" operator="equal">
      <formula>"Towel"</formula>
    </cfRule>
    <cfRule type="cellIs" dxfId="11122" priority="13342" stopIfTrue="1" operator="equal">
      <formula>"Napkin Hs"</formula>
    </cfRule>
  </conditionalFormatting>
  <conditionalFormatting sqref="C47">
    <cfRule type="cellIs" dxfId="11121" priority="13335" stopIfTrue="1" operator="equal">
      <formula>"Towel"</formula>
    </cfRule>
    <cfRule type="cellIs" dxfId="11120" priority="13336" stopIfTrue="1" operator="equal">
      <formula>"Napkin Hs"</formula>
    </cfRule>
  </conditionalFormatting>
  <conditionalFormatting sqref="C47">
    <cfRule type="cellIs" dxfId="11119" priority="13334" stopIfTrue="1" operator="equal">
      <formula>"Napkin Hs"</formula>
    </cfRule>
  </conditionalFormatting>
  <conditionalFormatting sqref="C47">
    <cfRule type="cellIs" dxfId="11118" priority="13333" stopIfTrue="1" operator="equal">
      <formula>"Towel"</formula>
    </cfRule>
  </conditionalFormatting>
  <conditionalFormatting sqref="C47">
    <cfRule type="cellIs" dxfId="11117" priority="13332" stopIfTrue="1" operator="equal">
      <formula>"Napkin Hs"</formula>
    </cfRule>
  </conditionalFormatting>
  <conditionalFormatting sqref="C47">
    <cfRule type="cellIs" dxfId="11116" priority="13331" stopIfTrue="1" operator="equal">
      <formula>"Towel"</formula>
    </cfRule>
  </conditionalFormatting>
  <conditionalFormatting sqref="C47">
    <cfRule type="cellIs" dxfId="11115" priority="13329" stopIfTrue="1" operator="equal">
      <formula>"Towel"</formula>
    </cfRule>
    <cfRule type="cellIs" dxfId="11114" priority="13330" stopIfTrue="1" operator="equal">
      <formula>"Napkin Hs"</formula>
    </cfRule>
  </conditionalFormatting>
  <conditionalFormatting sqref="C47">
    <cfRule type="cellIs" dxfId="11113" priority="13327" stopIfTrue="1" operator="equal">
      <formula>"Towel"</formula>
    </cfRule>
    <cfRule type="cellIs" dxfId="11112" priority="13328" stopIfTrue="1" operator="equal">
      <formula>"Napkin Hs"</formula>
    </cfRule>
  </conditionalFormatting>
  <conditionalFormatting sqref="C47">
    <cfRule type="cellIs" dxfId="11111" priority="13325" stopIfTrue="1" operator="equal">
      <formula>"Towel"</formula>
    </cfRule>
    <cfRule type="cellIs" dxfId="11110" priority="13326" stopIfTrue="1" operator="equal">
      <formula>"Napkin Hs"</formula>
    </cfRule>
  </conditionalFormatting>
  <conditionalFormatting sqref="C47">
    <cfRule type="cellIs" dxfId="11109" priority="13315" stopIfTrue="1" operator="equal">
      <formula>"Towel"</formula>
    </cfRule>
    <cfRule type="cellIs" dxfId="11108" priority="13316" stopIfTrue="1" operator="equal">
      <formula>"Napkin Hs"</formula>
    </cfRule>
  </conditionalFormatting>
  <conditionalFormatting sqref="C47">
    <cfRule type="cellIs" dxfId="11107" priority="13313" stopIfTrue="1" operator="equal">
      <formula>"Towel"</formula>
    </cfRule>
    <cfRule type="cellIs" dxfId="11106" priority="13314" stopIfTrue="1" operator="equal">
      <formula>"Napkin Hs"</formula>
    </cfRule>
  </conditionalFormatting>
  <conditionalFormatting sqref="C47">
    <cfRule type="cellIs" dxfId="11105" priority="13311" stopIfTrue="1" operator="equal">
      <formula>"Towel"</formula>
    </cfRule>
    <cfRule type="cellIs" dxfId="11104" priority="13312" stopIfTrue="1" operator="equal">
      <formula>"Napkin Hs"</formula>
    </cfRule>
  </conditionalFormatting>
  <conditionalFormatting sqref="C47">
    <cfRule type="cellIs" dxfId="11103" priority="13309" stopIfTrue="1" operator="equal">
      <formula>"Towel"</formula>
    </cfRule>
    <cfRule type="cellIs" dxfId="11102" priority="13310" stopIfTrue="1" operator="equal">
      <formula>"Napkin Hs"</formula>
    </cfRule>
  </conditionalFormatting>
  <conditionalFormatting sqref="C47">
    <cfRule type="cellIs" dxfId="11101" priority="13307" stopIfTrue="1" operator="equal">
      <formula>"Towel"</formula>
    </cfRule>
    <cfRule type="cellIs" dxfId="11100" priority="13308" stopIfTrue="1" operator="equal">
      <formula>"Napkin Hs"</formula>
    </cfRule>
  </conditionalFormatting>
  <conditionalFormatting sqref="C47">
    <cfRule type="cellIs" dxfId="11099" priority="13305" stopIfTrue="1" operator="equal">
      <formula>"Towel"</formula>
    </cfRule>
    <cfRule type="cellIs" dxfId="11098" priority="13306" stopIfTrue="1" operator="equal">
      <formula>"Napkin Hs"</formula>
    </cfRule>
  </conditionalFormatting>
  <conditionalFormatting sqref="C47">
    <cfRule type="cellIs" dxfId="11097" priority="13303" stopIfTrue="1" operator="equal">
      <formula>"Towel"</formula>
    </cfRule>
    <cfRule type="cellIs" dxfId="11096" priority="13304" stopIfTrue="1" operator="equal">
      <formula>"Napkin Hs"</formula>
    </cfRule>
  </conditionalFormatting>
  <conditionalFormatting sqref="C47">
    <cfRule type="cellIs" dxfId="11095" priority="13301" stopIfTrue="1" operator="equal">
      <formula>"Towel"</formula>
    </cfRule>
    <cfRule type="cellIs" dxfId="11094" priority="13302" stopIfTrue="1" operator="equal">
      <formula>"Napkin Hs"</formula>
    </cfRule>
  </conditionalFormatting>
  <conditionalFormatting sqref="C47">
    <cfRule type="cellIs" dxfId="11093" priority="13299" stopIfTrue="1" operator="equal">
      <formula>"Towel"</formula>
    </cfRule>
    <cfRule type="cellIs" dxfId="11092" priority="13300" stopIfTrue="1" operator="equal">
      <formula>"Napkin Hs"</formula>
    </cfRule>
  </conditionalFormatting>
  <conditionalFormatting sqref="C47">
    <cfRule type="cellIs" dxfId="11091" priority="13286" stopIfTrue="1" operator="equal">
      <formula>"Napkin Hs"</formula>
    </cfRule>
  </conditionalFormatting>
  <conditionalFormatting sqref="C47">
    <cfRule type="cellIs" dxfId="11090" priority="13285" stopIfTrue="1" operator="equal">
      <formula>"Towel"</formula>
    </cfRule>
  </conditionalFormatting>
  <conditionalFormatting sqref="C47">
    <cfRule type="cellIs" dxfId="11089" priority="13284" stopIfTrue="1" operator="equal">
      <formula>"Napkin Hs"</formula>
    </cfRule>
  </conditionalFormatting>
  <conditionalFormatting sqref="C47">
    <cfRule type="cellIs" dxfId="11088" priority="13281" stopIfTrue="1" operator="equal">
      <formula>"Towel"</formula>
    </cfRule>
    <cfRule type="cellIs" dxfId="11087" priority="13282" stopIfTrue="1" operator="equal">
      <formula>"Napkin Hs"</formula>
    </cfRule>
  </conditionalFormatting>
  <conditionalFormatting sqref="C47">
    <cfRule type="cellIs" dxfId="11086" priority="13283" stopIfTrue="1" operator="equal">
      <formula>"Towel"</formula>
    </cfRule>
  </conditionalFormatting>
  <conditionalFormatting sqref="C47">
    <cfRule type="cellIs" dxfId="11085" priority="13401" stopIfTrue="1" operator="equal">
      <formula>"Towel"</formula>
    </cfRule>
    <cfRule type="cellIs" dxfId="11084" priority="13402" stopIfTrue="1" operator="equal">
      <formula>"Napkin Hs"</formula>
    </cfRule>
  </conditionalFormatting>
  <conditionalFormatting sqref="C47">
    <cfRule type="cellIs" dxfId="11083" priority="13400" stopIfTrue="1" operator="equal">
      <formula>"Napkin Hs"</formula>
    </cfRule>
  </conditionalFormatting>
  <conditionalFormatting sqref="C47">
    <cfRule type="cellIs" dxfId="11082" priority="13399" stopIfTrue="1" operator="equal">
      <formula>"Towel"</formula>
    </cfRule>
  </conditionalFormatting>
  <conditionalFormatting sqref="C47">
    <cfRule type="cellIs" dxfId="11081" priority="13398" stopIfTrue="1" operator="equal">
      <formula>"Napkin Hs"</formula>
    </cfRule>
  </conditionalFormatting>
  <conditionalFormatting sqref="C47">
    <cfRule type="cellIs" dxfId="11080" priority="13395" stopIfTrue="1" operator="equal">
      <formula>"Towel"</formula>
    </cfRule>
    <cfRule type="cellIs" dxfId="11079" priority="13396" stopIfTrue="1" operator="equal">
      <formula>"Napkin Hs"</formula>
    </cfRule>
  </conditionalFormatting>
  <conditionalFormatting sqref="C47">
    <cfRule type="cellIs" dxfId="11078" priority="13397" stopIfTrue="1" operator="equal">
      <formula>"Towel"</formula>
    </cfRule>
  </conditionalFormatting>
  <conditionalFormatting sqref="C47">
    <cfRule type="cellIs" dxfId="11077" priority="13405" stopIfTrue="1" operator="equal">
      <formula>"Towel"</formula>
    </cfRule>
    <cfRule type="cellIs" dxfId="11076" priority="13406" stopIfTrue="1" operator="equal">
      <formula>"Napkin Hs"</formula>
    </cfRule>
  </conditionalFormatting>
  <conditionalFormatting sqref="C47">
    <cfRule type="cellIs" dxfId="11075" priority="13403" stopIfTrue="1" operator="equal">
      <formula>"Towel"</formula>
    </cfRule>
    <cfRule type="cellIs" dxfId="11074" priority="13404" stopIfTrue="1" operator="equal">
      <formula>"Napkin Hs"</formula>
    </cfRule>
  </conditionalFormatting>
  <conditionalFormatting sqref="C47">
    <cfRule type="cellIs" dxfId="11073" priority="13375" stopIfTrue="1" operator="equal">
      <formula>"Towel"</formula>
    </cfRule>
    <cfRule type="cellIs" dxfId="11072" priority="13376" stopIfTrue="1" operator="equal">
      <formula>"Napkin Hs"</formula>
    </cfRule>
  </conditionalFormatting>
  <conditionalFormatting sqref="C47">
    <cfRule type="cellIs" dxfId="11071" priority="13373" stopIfTrue="1" operator="equal">
      <formula>"Towel"</formula>
    </cfRule>
    <cfRule type="cellIs" dxfId="11070" priority="13374" stopIfTrue="1" operator="equal">
      <formula>"Napkin Hs"</formula>
    </cfRule>
  </conditionalFormatting>
  <conditionalFormatting sqref="C47">
    <cfRule type="cellIs" dxfId="11069" priority="13352" stopIfTrue="1" operator="equal">
      <formula>"Napkin Hs"</formula>
    </cfRule>
  </conditionalFormatting>
  <conditionalFormatting sqref="C47">
    <cfRule type="cellIs" dxfId="11068" priority="13351" stopIfTrue="1" operator="equal">
      <formula>"Towel"</formula>
    </cfRule>
  </conditionalFormatting>
  <conditionalFormatting sqref="C47">
    <cfRule type="cellIs" dxfId="11067" priority="13350" stopIfTrue="1" operator="equal">
      <formula>"Napkin Hs"</formula>
    </cfRule>
  </conditionalFormatting>
  <conditionalFormatting sqref="C47">
    <cfRule type="cellIs" dxfId="11066" priority="13349" stopIfTrue="1" operator="equal">
      <formula>"Towel"</formula>
    </cfRule>
  </conditionalFormatting>
  <conditionalFormatting sqref="C47">
    <cfRule type="cellIs" dxfId="11065" priority="13346" stopIfTrue="1" operator="equal">
      <formula>"Napkin Hs"</formula>
    </cfRule>
  </conditionalFormatting>
  <conditionalFormatting sqref="C47">
    <cfRule type="cellIs" dxfId="11064" priority="13345" stopIfTrue="1" operator="equal">
      <formula>"Towel"</formula>
    </cfRule>
  </conditionalFormatting>
  <conditionalFormatting sqref="C47">
    <cfRule type="cellIs" dxfId="11063" priority="13344" stopIfTrue="1" operator="equal">
      <formula>"Napkin Hs"</formula>
    </cfRule>
  </conditionalFormatting>
  <conditionalFormatting sqref="C47">
    <cfRule type="cellIs" dxfId="11062" priority="13343" stopIfTrue="1" operator="equal">
      <formula>"Towel"</formula>
    </cfRule>
  </conditionalFormatting>
  <conditionalFormatting sqref="C47">
    <cfRule type="cellIs" dxfId="11061" priority="13339" stopIfTrue="1" operator="equal">
      <formula>"Towel"</formula>
    </cfRule>
    <cfRule type="cellIs" dxfId="11060" priority="13340" stopIfTrue="1" operator="equal">
      <formula>"Napkin Hs"</formula>
    </cfRule>
  </conditionalFormatting>
  <conditionalFormatting sqref="C47">
    <cfRule type="cellIs" dxfId="11059" priority="13337" stopIfTrue="1" operator="equal">
      <formula>"Towel"</formula>
    </cfRule>
    <cfRule type="cellIs" dxfId="11058" priority="13338" stopIfTrue="1" operator="equal">
      <formula>"Napkin Hs"</formula>
    </cfRule>
  </conditionalFormatting>
  <conditionalFormatting sqref="C47">
    <cfRule type="cellIs" dxfId="11057" priority="13321" stopIfTrue="1" operator="equal">
      <formula>"Towel"</formula>
    </cfRule>
    <cfRule type="cellIs" dxfId="11056" priority="13322" stopIfTrue="1" operator="equal">
      <formula>"Napkin Hs"</formula>
    </cfRule>
  </conditionalFormatting>
  <conditionalFormatting sqref="C47">
    <cfRule type="cellIs" dxfId="11055" priority="13319" stopIfTrue="1" operator="equal">
      <formula>"Towel"</formula>
    </cfRule>
    <cfRule type="cellIs" dxfId="11054" priority="13320" stopIfTrue="1" operator="equal">
      <formula>"Napkin Hs"</formula>
    </cfRule>
  </conditionalFormatting>
  <conditionalFormatting sqref="B47:C47">
    <cfRule type="cellIs" dxfId="11053" priority="13280" stopIfTrue="1" operator="equal">
      <formula>"Napkin Hs"</formula>
    </cfRule>
  </conditionalFormatting>
  <conditionalFormatting sqref="B47:C47">
    <cfRule type="cellIs" dxfId="11052" priority="13279" stopIfTrue="1" operator="equal">
      <formula>"Towel"</formula>
    </cfRule>
  </conditionalFormatting>
  <conditionalFormatting sqref="C47">
    <cfRule type="cellIs" dxfId="11051" priority="13278" stopIfTrue="1" operator="equal">
      <formula>"Napkin Hs"</formula>
    </cfRule>
  </conditionalFormatting>
  <conditionalFormatting sqref="C47">
    <cfRule type="cellIs" dxfId="11050" priority="13275" stopIfTrue="1" operator="equal">
      <formula>"Towel"</formula>
    </cfRule>
    <cfRule type="cellIs" dxfId="11049" priority="13276" stopIfTrue="1" operator="equal">
      <formula>"Napkin Hs"</formula>
    </cfRule>
  </conditionalFormatting>
  <conditionalFormatting sqref="C47">
    <cfRule type="cellIs" dxfId="11048" priority="13277" stopIfTrue="1" operator="equal">
      <formula>"Towel"</formula>
    </cfRule>
  </conditionalFormatting>
  <conditionalFormatting sqref="C48">
    <cfRule type="cellIs" dxfId="11047" priority="13191" stopIfTrue="1" operator="equal">
      <formula>"Towel"</formula>
    </cfRule>
    <cfRule type="cellIs" dxfId="11046" priority="13192" stopIfTrue="1" operator="equal">
      <formula>"Napkin Hs"</formula>
    </cfRule>
  </conditionalFormatting>
  <conditionalFormatting sqref="C48">
    <cfRule type="cellIs" dxfId="11045" priority="13185" stopIfTrue="1" operator="equal">
      <formula>"Towel"</formula>
    </cfRule>
    <cfRule type="cellIs" dxfId="11044" priority="13186" stopIfTrue="1" operator="equal">
      <formula>"Napkin Hs"</formula>
    </cfRule>
  </conditionalFormatting>
  <conditionalFormatting sqref="C48">
    <cfRule type="cellIs" dxfId="11043" priority="13166" stopIfTrue="1" operator="equal">
      <formula>"Napkin Hs"</formula>
    </cfRule>
  </conditionalFormatting>
  <conditionalFormatting sqref="C48">
    <cfRule type="cellIs" dxfId="11042" priority="13165" stopIfTrue="1" operator="equal">
      <formula>"Towel"</formula>
    </cfRule>
  </conditionalFormatting>
  <conditionalFormatting sqref="C48">
    <cfRule type="cellIs" dxfId="11041" priority="13164" stopIfTrue="1" operator="equal">
      <formula>"Napkin Hs"</formula>
    </cfRule>
  </conditionalFormatting>
  <conditionalFormatting sqref="C48">
    <cfRule type="cellIs" dxfId="11040" priority="13161" stopIfTrue="1" operator="equal">
      <formula>"Towel"</formula>
    </cfRule>
    <cfRule type="cellIs" dxfId="11039" priority="13162" stopIfTrue="1" operator="equal">
      <formula>"Napkin Hs"</formula>
    </cfRule>
  </conditionalFormatting>
  <conditionalFormatting sqref="C48">
    <cfRule type="cellIs" dxfId="11038" priority="13163" stopIfTrue="1" operator="equal">
      <formula>"Towel"</formula>
    </cfRule>
  </conditionalFormatting>
  <conditionalFormatting sqref="C48">
    <cfRule type="cellIs" dxfId="11037" priority="13160" stopIfTrue="1" operator="equal">
      <formula>"Napkin Hs"</formula>
    </cfRule>
  </conditionalFormatting>
  <conditionalFormatting sqref="C48">
    <cfRule type="cellIs" dxfId="11036" priority="13159" stopIfTrue="1" operator="equal">
      <formula>"Towel"</formula>
    </cfRule>
  </conditionalFormatting>
  <conditionalFormatting sqref="C48">
    <cfRule type="cellIs" dxfId="11035" priority="13158" stopIfTrue="1" operator="equal">
      <formula>"Napkin Hs"</formula>
    </cfRule>
  </conditionalFormatting>
  <conditionalFormatting sqref="C48">
    <cfRule type="cellIs" dxfId="11034" priority="13155" stopIfTrue="1" operator="equal">
      <formula>"Towel"</formula>
    </cfRule>
    <cfRule type="cellIs" dxfId="11033" priority="13156" stopIfTrue="1" operator="equal">
      <formula>"Napkin Hs"</formula>
    </cfRule>
  </conditionalFormatting>
  <conditionalFormatting sqref="C48">
    <cfRule type="cellIs" dxfId="11032" priority="13157" stopIfTrue="1" operator="equal">
      <formula>"Towel"</formula>
    </cfRule>
  </conditionalFormatting>
  <conditionalFormatting sqref="C48">
    <cfRule type="cellIs" dxfId="11031" priority="13261" stopIfTrue="1" operator="equal">
      <formula>"Towel"</formula>
    </cfRule>
    <cfRule type="cellIs" dxfId="11030" priority="13262" stopIfTrue="1" operator="equal">
      <formula>"Napkin Hs"</formula>
    </cfRule>
  </conditionalFormatting>
  <conditionalFormatting sqref="C48">
    <cfRule type="cellIs" dxfId="11029" priority="13259" stopIfTrue="1" operator="equal">
      <formula>"Towel"</formula>
    </cfRule>
    <cfRule type="cellIs" dxfId="11028" priority="13260" stopIfTrue="1" operator="equal">
      <formula>"Napkin Hs"</formula>
    </cfRule>
  </conditionalFormatting>
  <conditionalFormatting sqref="C48">
    <cfRule type="cellIs" dxfId="11027" priority="13257" stopIfTrue="1" operator="equal">
      <formula>"Towel"</formula>
    </cfRule>
    <cfRule type="cellIs" dxfId="11026" priority="13258" stopIfTrue="1" operator="equal">
      <formula>"Napkin Hs"</formula>
    </cfRule>
  </conditionalFormatting>
  <conditionalFormatting sqref="C48">
    <cfRule type="cellIs" dxfId="11025" priority="13256" stopIfTrue="1" operator="equal">
      <formula>"Napkin Hs"</formula>
    </cfRule>
  </conditionalFormatting>
  <conditionalFormatting sqref="C48">
    <cfRule type="cellIs" dxfId="11024" priority="13255" stopIfTrue="1" operator="equal">
      <formula>"Towel"</formula>
    </cfRule>
  </conditionalFormatting>
  <conditionalFormatting sqref="C48">
    <cfRule type="cellIs" dxfId="11023" priority="13254" stopIfTrue="1" operator="equal">
      <formula>"Napkin Hs"</formula>
    </cfRule>
  </conditionalFormatting>
  <conditionalFormatting sqref="C48">
    <cfRule type="cellIs" dxfId="11022" priority="13253" stopIfTrue="1" operator="equal">
      <formula>"Towel"</formula>
    </cfRule>
  </conditionalFormatting>
  <conditionalFormatting sqref="C48">
    <cfRule type="cellIs" dxfId="11021" priority="13251" stopIfTrue="1" operator="equal">
      <formula>"Towel"</formula>
    </cfRule>
    <cfRule type="cellIs" dxfId="11020" priority="13252" stopIfTrue="1" operator="equal">
      <formula>"Napkin Hs"</formula>
    </cfRule>
  </conditionalFormatting>
  <conditionalFormatting sqref="C48">
    <cfRule type="cellIs" dxfId="11019" priority="13249" stopIfTrue="1" operator="equal">
      <formula>"Towel"</formula>
    </cfRule>
    <cfRule type="cellIs" dxfId="11018" priority="13250" stopIfTrue="1" operator="equal">
      <formula>"Napkin Hs"</formula>
    </cfRule>
  </conditionalFormatting>
  <conditionalFormatting sqref="C48">
    <cfRule type="cellIs" dxfId="11017" priority="13245" stopIfTrue="1" operator="equal">
      <formula>"Towel"</formula>
    </cfRule>
    <cfRule type="cellIs" dxfId="11016" priority="13246" stopIfTrue="1" operator="equal">
      <formula>"Napkin Hs"</formula>
    </cfRule>
  </conditionalFormatting>
  <conditionalFormatting sqref="C48">
    <cfRule type="cellIs" dxfId="11015" priority="13247" stopIfTrue="1" operator="equal">
      <formula>"Towel"</formula>
    </cfRule>
    <cfRule type="cellIs" dxfId="11014" priority="13248" stopIfTrue="1" operator="equal">
      <formula>"Napkin Hs"</formula>
    </cfRule>
  </conditionalFormatting>
  <conditionalFormatting sqref="C48">
    <cfRule type="cellIs" dxfId="11013" priority="13239" stopIfTrue="1" operator="equal">
      <formula>"Towel"</formula>
    </cfRule>
    <cfRule type="cellIs" dxfId="11012" priority="13240" stopIfTrue="1" operator="equal">
      <formula>"Napkin Hs"</formula>
    </cfRule>
  </conditionalFormatting>
  <conditionalFormatting sqref="C48">
    <cfRule type="cellIs" dxfId="11011" priority="13237" stopIfTrue="1" operator="equal">
      <formula>"Towel"</formula>
    </cfRule>
    <cfRule type="cellIs" dxfId="11010" priority="13238" stopIfTrue="1" operator="equal">
      <formula>"Napkin Hs"</formula>
    </cfRule>
  </conditionalFormatting>
  <conditionalFormatting sqref="C48">
    <cfRule type="cellIs" dxfId="11009" priority="13235" stopIfTrue="1" operator="equal">
      <formula>"Towel"</formula>
    </cfRule>
    <cfRule type="cellIs" dxfId="11008" priority="13236" stopIfTrue="1" operator="equal">
      <formula>"Napkin Hs"</formula>
    </cfRule>
  </conditionalFormatting>
  <conditionalFormatting sqref="C48">
    <cfRule type="cellIs" dxfId="11007" priority="13233" stopIfTrue="1" operator="equal">
      <formula>"Towel"</formula>
    </cfRule>
    <cfRule type="cellIs" dxfId="11006" priority="13234" stopIfTrue="1" operator="equal">
      <formula>"Napkin Hs"</formula>
    </cfRule>
  </conditionalFormatting>
  <conditionalFormatting sqref="C48">
    <cfRule type="cellIs" dxfId="11005" priority="13231" stopIfTrue="1" operator="equal">
      <formula>"Towel"</formula>
    </cfRule>
    <cfRule type="cellIs" dxfId="11004" priority="13232" stopIfTrue="1" operator="equal">
      <formula>"Napkin Hs"</formula>
    </cfRule>
  </conditionalFormatting>
  <conditionalFormatting sqref="C48">
    <cfRule type="cellIs" dxfId="11003" priority="13229" stopIfTrue="1" operator="equal">
      <formula>"Towel"</formula>
    </cfRule>
    <cfRule type="cellIs" dxfId="11002" priority="13230" stopIfTrue="1" operator="equal">
      <formula>"Napkin Hs"</formula>
    </cfRule>
  </conditionalFormatting>
  <conditionalFormatting sqref="C48">
    <cfRule type="cellIs" dxfId="11001" priority="13227" stopIfTrue="1" operator="equal">
      <formula>"Towel"</formula>
    </cfRule>
    <cfRule type="cellIs" dxfId="11000" priority="13228" stopIfTrue="1" operator="equal">
      <formula>"Napkin Hs"</formula>
    </cfRule>
  </conditionalFormatting>
  <conditionalFormatting sqref="C48">
    <cfRule type="cellIs" dxfId="10999" priority="13225" stopIfTrue="1" operator="equal">
      <formula>"Towel"</formula>
    </cfRule>
    <cfRule type="cellIs" dxfId="10998" priority="13226" stopIfTrue="1" operator="equal">
      <formula>"Napkin Hs"</formula>
    </cfRule>
  </conditionalFormatting>
  <conditionalFormatting sqref="C48">
    <cfRule type="cellIs" dxfId="10997" priority="13223" stopIfTrue="1" operator="equal">
      <formula>"Towel"</formula>
    </cfRule>
    <cfRule type="cellIs" dxfId="10996" priority="13224" stopIfTrue="1" operator="equal">
      <formula>"Napkin Hs"</formula>
    </cfRule>
  </conditionalFormatting>
  <conditionalFormatting sqref="C48">
    <cfRule type="cellIs" dxfId="10995" priority="13221" stopIfTrue="1" operator="equal">
      <formula>"Towel"</formula>
    </cfRule>
    <cfRule type="cellIs" dxfId="10994" priority="13222" stopIfTrue="1" operator="equal">
      <formula>"Napkin Hs"</formula>
    </cfRule>
  </conditionalFormatting>
  <conditionalFormatting sqref="C48">
    <cfRule type="cellIs" dxfId="10993" priority="13215" stopIfTrue="1" operator="equal">
      <formula>"Towel"</formula>
    </cfRule>
    <cfRule type="cellIs" dxfId="10992" priority="13216" stopIfTrue="1" operator="equal">
      <formula>"Napkin Hs"</formula>
    </cfRule>
  </conditionalFormatting>
  <conditionalFormatting sqref="C48">
    <cfRule type="cellIs" dxfId="10991" priority="13209" stopIfTrue="1" operator="equal">
      <formula>"Towel"</formula>
    </cfRule>
    <cfRule type="cellIs" dxfId="10990" priority="13210" stopIfTrue="1" operator="equal">
      <formula>"Napkin Hs"</formula>
    </cfRule>
  </conditionalFormatting>
  <conditionalFormatting sqref="C48">
    <cfRule type="cellIs" dxfId="10989" priority="13203" stopIfTrue="1" operator="equal">
      <formula>"Towel"</formula>
    </cfRule>
    <cfRule type="cellIs" dxfId="10988" priority="13204" stopIfTrue="1" operator="equal">
      <formula>"Napkin Hs"</formula>
    </cfRule>
  </conditionalFormatting>
  <conditionalFormatting sqref="C48">
    <cfRule type="cellIs" dxfId="10987" priority="13202" stopIfTrue="1" operator="equal">
      <formula>"Napkin Hs"</formula>
    </cfRule>
  </conditionalFormatting>
  <conditionalFormatting sqref="C48">
    <cfRule type="cellIs" dxfId="10986" priority="13201" stopIfTrue="1" operator="equal">
      <formula>"Towel"</formula>
    </cfRule>
  </conditionalFormatting>
  <conditionalFormatting sqref="C48">
    <cfRule type="cellIs" dxfId="10985" priority="13200" stopIfTrue="1" operator="equal">
      <formula>"Napkin Hs"</formula>
    </cfRule>
  </conditionalFormatting>
  <conditionalFormatting sqref="C48">
    <cfRule type="cellIs" dxfId="10984" priority="13199" stopIfTrue="1" operator="equal">
      <formula>"Towel"</formula>
    </cfRule>
  </conditionalFormatting>
  <conditionalFormatting sqref="C48">
    <cfRule type="cellIs" dxfId="10983" priority="13197" stopIfTrue="1" operator="equal">
      <formula>"Towel"</formula>
    </cfRule>
    <cfRule type="cellIs" dxfId="10982" priority="13198" stopIfTrue="1" operator="equal">
      <formula>"Napkin Hs"</formula>
    </cfRule>
  </conditionalFormatting>
  <conditionalFormatting sqref="C48">
    <cfRule type="cellIs" dxfId="10981" priority="13195" stopIfTrue="1" operator="equal">
      <formula>"Towel"</formula>
    </cfRule>
    <cfRule type="cellIs" dxfId="10980" priority="13196" stopIfTrue="1" operator="equal">
      <formula>"Napkin Hs"</formula>
    </cfRule>
  </conditionalFormatting>
  <conditionalFormatting sqref="C48">
    <cfRule type="cellIs" dxfId="10979" priority="13193" stopIfTrue="1" operator="equal">
      <formula>"Towel"</formula>
    </cfRule>
    <cfRule type="cellIs" dxfId="10978" priority="13194" stopIfTrue="1" operator="equal">
      <formula>"Napkin Hs"</formula>
    </cfRule>
  </conditionalFormatting>
  <conditionalFormatting sqref="C48">
    <cfRule type="cellIs" dxfId="10977" priority="13183" stopIfTrue="1" operator="equal">
      <formula>"Towel"</formula>
    </cfRule>
    <cfRule type="cellIs" dxfId="10976" priority="13184" stopIfTrue="1" operator="equal">
      <formula>"Napkin Hs"</formula>
    </cfRule>
  </conditionalFormatting>
  <conditionalFormatting sqref="C48">
    <cfRule type="cellIs" dxfId="10975" priority="13181" stopIfTrue="1" operator="equal">
      <formula>"Towel"</formula>
    </cfRule>
    <cfRule type="cellIs" dxfId="10974" priority="13182" stopIfTrue="1" operator="equal">
      <formula>"Napkin Hs"</formula>
    </cfRule>
  </conditionalFormatting>
  <conditionalFormatting sqref="C48">
    <cfRule type="cellIs" dxfId="10973" priority="13179" stopIfTrue="1" operator="equal">
      <formula>"Towel"</formula>
    </cfRule>
    <cfRule type="cellIs" dxfId="10972" priority="13180" stopIfTrue="1" operator="equal">
      <formula>"Napkin Hs"</formula>
    </cfRule>
  </conditionalFormatting>
  <conditionalFormatting sqref="C48">
    <cfRule type="cellIs" dxfId="10971" priority="13177" stopIfTrue="1" operator="equal">
      <formula>"Towel"</formula>
    </cfRule>
    <cfRule type="cellIs" dxfId="10970" priority="13178" stopIfTrue="1" operator="equal">
      <formula>"Napkin Hs"</formula>
    </cfRule>
  </conditionalFormatting>
  <conditionalFormatting sqref="C48">
    <cfRule type="cellIs" dxfId="10969" priority="13175" stopIfTrue="1" operator="equal">
      <formula>"Towel"</formula>
    </cfRule>
    <cfRule type="cellIs" dxfId="10968" priority="13176" stopIfTrue="1" operator="equal">
      <formula>"Napkin Hs"</formula>
    </cfRule>
  </conditionalFormatting>
  <conditionalFormatting sqref="C48">
    <cfRule type="cellIs" dxfId="10967" priority="13173" stopIfTrue="1" operator="equal">
      <formula>"Towel"</formula>
    </cfRule>
    <cfRule type="cellIs" dxfId="10966" priority="13174" stopIfTrue="1" operator="equal">
      <formula>"Napkin Hs"</formula>
    </cfRule>
  </conditionalFormatting>
  <conditionalFormatting sqref="C48">
    <cfRule type="cellIs" dxfId="10965" priority="13171" stopIfTrue="1" operator="equal">
      <formula>"Towel"</formula>
    </cfRule>
    <cfRule type="cellIs" dxfId="10964" priority="13172" stopIfTrue="1" operator="equal">
      <formula>"Napkin Hs"</formula>
    </cfRule>
  </conditionalFormatting>
  <conditionalFormatting sqref="C48">
    <cfRule type="cellIs" dxfId="10963" priority="13169" stopIfTrue="1" operator="equal">
      <formula>"Towel"</formula>
    </cfRule>
    <cfRule type="cellIs" dxfId="10962" priority="13170" stopIfTrue="1" operator="equal">
      <formula>"Napkin Hs"</formula>
    </cfRule>
  </conditionalFormatting>
  <conditionalFormatting sqref="C48">
    <cfRule type="cellIs" dxfId="10961" priority="13167" stopIfTrue="1" operator="equal">
      <formula>"Towel"</formula>
    </cfRule>
    <cfRule type="cellIs" dxfId="10960" priority="13168" stopIfTrue="1" operator="equal">
      <formula>"Napkin Hs"</formula>
    </cfRule>
  </conditionalFormatting>
  <conditionalFormatting sqref="C48">
    <cfRule type="cellIs" dxfId="10959" priority="13154" stopIfTrue="1" operator="equal">
      <formula>"Napkin Hs"</formula>
    </cfRule>
  </conditionalFormatting>
  <conditionalFormatting sqref="C48">
    <cfRule type="cellIs" dxfId="10958" priority="13153" stopIfTrue="1" operator="equal">
      <formula>"Towel"</formula>
    </cfRule>
  </conditionalFormatting>
  <conditionalFormatting sqref="C48">
    <cfRule type="cellIs" dxfId="10957" priority="13152" stopIfTrue="1" operator="equal">
      <formula>"Napkin Hs"</formula>
    </cfRule>
  </conditionalFormatting>
  <conditionalFormatting sqref="C48">
    <cfRule type="cellIs" dxfId="10956" priority="13149" stopIfTrue="1" operator="equal">
      <formula>"Towel"</formula>
    </cfRule>
    <cfRule type="cellIs" dxfId="10955" priority="13150" stopIfTrue="1" operator="equal">
      <formula>"Napkin Hs"</formula>
    </cfRule>
  </conditionalFormatting>
  <conditionalFormatting sqref="C48">
    <cfRule type="cellIs" dxfId="10954" priority="13151" stopIfTrue="1" operator="equal">
      <formula>"Towel"</formula>
    </cfRule>
  </conditionalFormatting>
  <conditionalFormatting sqref="C48">
    <cfRule type="cellIs" dxfId="10953" priority="13269" stopIfTrue="1" operator="equal">
      <formula>"Towel"</formula>
    </cfRule>
    <cfRule type="cellIs" dxfId="10952" priority="13270" stopIfTrue="1" operator="equal">
      <formula>"Napkin Hs"</formula>
    </cfRule>
  </conditionalFormatting>
  <conditionalFormatting sqref="C48">
    <cfRule type="cellIs" dxfId="10951" priority="13268" stopIfTrue="1" operator="equal">
      <formula>"Napkin Hs"</formula>
    </cfRule>
  </conditionalFormatting>
  <conditionalFormatting sqref="C48">
    <cfRule type="cellIs" dxfId="10950" priority="13267" stopIfTrue="1" operator="equal">
      <formula>"Towel"</formula>
    </cfRule>
  </conditionalFormatting>
  <conditionalFormatting sqref="C48">
    <cfRule type="cellIs" dxfId="10949" priority="13266" stopIfTrue="1" operator="equal">
      <formula>"Napkin Hs"</formula>
    </cfRule>
  </conditionalFormatting>
  <conditionalFormatting sqref="C48">
    <cfRule type="cellIs" dxfId="10948" priority="13263" stopIfTrue="1" operator="equal">
      <formula>"Towel"</formula>
    </cfRule>
    <cfRule type="cellIs" dxfId="10947" priority="13264" stopIfTrue="1" operator="equal">
      <formula>"Napkin Hs"</formula>
    </cfRule>
  </conditionalFormatting>
  <conditionalFormatting sqref="C48">
    <cfRule type="cellIs" dxfId="10946" priority="13265" stopIfTrue="1" operator="equal">
      <formula>"Towel"</formula>
    </cfRule>
  </conditionalFormatting>
  <conditionalFormatting sqref="C48">
    <cfRule type="cellIs" dxfId="10945" priority="13273" stopIfTrue="1" operator="equal">
      <formula>"Towel"</formula>
    </cfRule>
    <cfRule type="cellIs" dxfId="10944" priority="13274" stopIfTrue="1" operator="equal">
      <formula>"Napkin Hs"</formula>
    </cfRule>
  </conditionalFormatting>
  <conditionalFormatting sqref="C48">
    <cfRule type="cellIs" dxfId="10943" priority="13271" stopIfTrue="1" operator="equal">
      <formula>"Towel"</formula>
    </cfRule>
    <cfRule type="cellIs" dxfId="10942" priority="13272" stopIfTrue="1" operator="equal">
      <formula>"Napkin Hs"</formula>
    </cfRule>
  </conditionalFormatting>
  <conditionalFormatting sqref="C48">
    <cfRule type="cellIs" dxfId="10941" priority="13243" stopIfTrue="1" operator="equal">
      <formula>"Towel"</formula>
    </cfRule>
    <cfRule type="cellIs" dxfId="10940" priority="13244" stopIfTrue="1" operator="equal">
      <formula>"Napkin Hs"</formula>
    </cfRule>
  </conditionalFormatting>
  <conditionalFormatting sqref="C48">
    <cfRule type="cellIs" dxfId="10939" priority="13241" stopIfTrue="1" operator="equal">
      <formula>"Towel"</formula>
    </cfRule>
    <cfRule type="cellIs" dxfId="10938" priority="13242" stopIfTrue="1" operator="equal">
      <formula>"Napkin Hs"</formula>
    </cfRule>
  </conditionalFormatting>
  <conditionalFormatting sqref="C48">
    <cfRule type="cellIs" dxfId="10937" priority="13220" stopIfTrue="1" operator="equal">
      <formula>"Napkin Hs"</formula>
    </cfRule>
  </conditionalFormatting>
  <conditionalFormatting sqref="C48">
    <cfRule type="cellIs" dxfId="10936" priority="13219" stopIfTrue="1" operator="equal">
      <formula>"Towel"</formula>
    </cfRule>
  </conditionalFormatting>
  <conditionalFormatting sqref="C48">
    <cfRule type="cellIs" dxfId="10935" priority="13218" stopIfTrue="1" operator="equal">
      <formula>"Napkin Hs"</formula>
    </cfRule>
  </conditionalFormatting>
  <conditionalFormatting sqref="C48">
    <cfRule type="cellIs" dxfId="10934" priority="13217" stopIfTrue="1" operator="equal">
      <formula>"Towel"</formula>
    </cfRule>
  </conditionalFormatting>
  <conditionalFormatting sqref="C48">
    <cfRule type="cellIs" dxfId="10933" priority="13214" stopIfTrue="1" operator="equal">
      <formula>"Napkin Hs"</formula>
    </cfRule>
  </conditionalFormatting>
  <conditionalFormatting sqref="C48">
    <cfRule type="cellIs" dxfId="10932" priority="13213" stopIfTrue="1" operator="equal">
      <formula>"Towel"</formula>
    </cfRule>
  </conditionalFormatting>
  <conditionalFormatting sqref="C48">
    <cfRule type="cellIs" dxfId="10931" priority="13212" stopIfTrue="1" operator="equal">
      <formula>"Napkin Hs"</formula>
    </cfRule>
  </conditionalFormatting>
  <conditionalFormatting sqref="C48">
    <cfRule type="cellIs" dxfId="10930" priority="13211" stopIfTrue="1" operator="equal">
      <formula>"Towel"</formula>
    </cfRule>
  </conditionalFormatting>
  <conditionalFormatting sqref="C48">
    <cfRule type="cellIs" dxfId="10929" priority="13207" stopIfTrue="1" operator="equal">
      <formula>"Towel"</formula>
    </cfRule>
    <cfRule type="cellIs" dxfId="10928" priority="13208" stopIfTrue="1" operator="equal">
      <formula>"Napkin Hs"</formula>
    </cfRule>
  </conditionalFormatting>
  <conditionalFormatting sqref="C48">
    <cfRule type="cellIs" dxfId="10927" priority="13205" stopIfTrue="1" operator="equal">
      <formula>"Towel"</formula>
    </cfRule>
    <cfRule type="cellIs" dxfId="10926" priority="13206" stopIfTrue="1" operator="equal">
      <formula>"Napkin Hs"</formula>
    </cfRule>
  </conditionalFormatting>
  <conditionalFormatting sqref="C48">
    <cfRule type="cellIs" dxfId="10925" priority="13189" stopIfTrue="1" operator="equal">
      <formula>"Towel"</formula>
    </cfRule>
    <cfRule type="cellIs" dxfId="10924" priority="13190" stopIfTrue="1" operator="equal">
      <formula>"Napkin Hs"</formula>
    </cfRule>
  </conditionalFormatting>
  <conditionalFormatting sqref="C48">
    <cfRule type="cellIs" dxfId="10923" priority="13187" stopIfTrue="1" operator="equal">
      <formula>"Towel"</formula>
    </cfRule>
    <cfRule type="cellIs" dxfId="10922" priority="13188" stopIfTrue="1" operator="equal">
      <formula>"Napkin Hs"</formula>
    </cfRule>
  </conditionalFormatting>
  <conditionalFormatting sqref="B48:C48">
    <cfRule type="cellIs" dxfId="10921" priority="13148" stopIfTrue="1" operator="equal">
      <formula>"Napkin Hs"</formula>
    </cfRule>
  </conditionalFormatting>
  <conditionalFormatting sqref="B48:C48">
    <cfRule type="cellIs" dxfId="10920" priority="13147" stopIfTrue="1" operator="equal">
      <formula>"Towel"</formula>
    </cfRule>
  </conditionalFormatting>
  <conditionalFormatting sqref="C48">
    <cfRule type="cellIs" dxfId="10919" priority="13146" stopIfTrue="1" operator="equal">
      <formula>"Napkin Hs"</formula>
    </cfRule>
  </conditionalFormatting>
  <conditionalFormatting sqref="C48">
    <cfRule type="cellIs" dxfId="10918" priority="13143" stopIfTrue="1" operator="equal">
      <formula>"Towel"</formula>
    </cfRule>
    <cfRule type="cellIs" dxfId="10917" priority="13144" stopIfTrue="1" operator="equal">
      <formula>"Napkin Hs"</formula>
    </cfRule>
  </conditionalFormatting>
  <conditionalFormatting sqref="C48">
    <cfRule type="cellIs" dxfId="10916" priority="13145" stopIfTrue="1" operator="equal">
      <formula>"Towel"</formula>
    </cfRule>
  </conditionalFormatting>
  <conditionalFormatting sqref="B54:C54">
    <cfRule type="cellIs" dxfId="10915" priority="13079" stopIfTrue="1" operator="equal">
      <formula>"Towel"</formula>
    </cfRule>
    <cfRule type="cellIs" dxfId="10914" priority="13080" stopIfTrue="1" operator="equal">
      <formula>"Napkin Hs"</formula>
    </cfRule>
  </conditionalFormatting>
  <conditionalFormatting sqref="B55:C55">
    <cfRule type="cellIs" dxfId="10913" priority="13083" stopIfTrue="1" operator="equal">
      <formula>"Towel"</formula>
    </cfRule>
    <cfRule type="cellIs" dxfId="10912" priority="13084" stopIfTrue="1" operator="equal">
      <formula>"Napkin Hs"</formula>
    </cfRule>
  </conditionalFormatting>
  <conditionalFormatting sqref="C54">
    <cfRule type="cellIs" dxfId="10911" priority="13075" stopIfTrue="1" operator="equal">
      <formula>"Towel"</formula>
    </cfRule>
    <cfRule type="cellIs" dxfId="10910" priority="13076" stopIfTrue="1" operator="equal">
      <formula>"Napkin Hs"</formula>
    </cfRule>
  </conditionalFormatting>
  <conditionalFormatting sqref="C54:C55">
    <cfRule type="cellIs" dxfId="10909" priority="13077" stopIfTrue="1" operator="equal">
      <formula>"Towel"</formula>
    </cfRule>
    <cfRule type="cellIs" dxfId="10908" priority="13078" stopIfTrue="1" operator="equal">
      <formula>"Napkin Hs"</formula>
    </cfRule>
  </conditionalFormatting>
  <conditionalFormatting sqref="C55">
    <cfRule type="cellIs" dxfId="10907" priority="13081" stopIfTrue="1" operator="equal">
      <formula>"Towel"</formula>
    </cfRule>
    <cfRule type="cellIs" dxfId="10906" priority="13082" stopIfTrue="1" operator="equal">
      <formula>"Napkin Hs"</formula>
    </cfRule>
  </conditionalFormatting>
  <conditionalFormatting sqref="B54:C54">
    <cfRule type="cellIs" dxfId="10905" priority="13069" stopIfTrue="1" operator="equal">
      <formula>"Towel"</formula>
    </cfRule>
    <cfRule type="cellIs" dxfId="10904" priority="13070" stopIfTrue="1" operator="equal">
      <formula>"Napkin Hs"</formula>
    </cfRule>
  </conditionalFormatting>
  <conditionalFormatting sqref="B55:C55">
    <cfRule type="cellIs" dxfId="10903" priority="13073" stopIfTrue="1" operator="equal">
      <formula>"Towel"</formula>
    </cfRule>
    <cfRule type="cellIs" dxfId="10902" priority="13074" stopIfTrue="1" operator="equal">
      <formula>"Napkin Hs"</formula>
    </cfRule>
  </conditionalFormatting>
  <conditionalFormatting sqref="C54:C55">
    <cfRule type="cellIs" dxfId="10901" priority="13067" stopIfTrue="1" operator="equal">
      <formula>"Towel"</formula>
    </cfRule>
    <cfRule type="cellIs" dxfId="10900" priority="13068" stopIfTrue="1" operator="equal">
      <formula>"Napkin Hs"</formula>
    </cfRule>
  </conditionalFormatting>
  <conditionalFormatting sqref="C54">
    <cfRule type="cellIs" dxfId="10899" priority="13065" stopIfTrue="1" operator="equal">
      <formula>"Towel"</formula>
    </cfRule>
    <cfRule type="cellIs" dxfId="10898" priority="13066" stopIfTrue="1" operator="equal">
      <formula>"Napkin Hs"</formula>
    </cfRule>
  </conditionalFormatting>
  <conditionalFormatting sqref="C55">
    <cfRule type="cellIs" dxfId="10897" priority="13071" stopIfTrue="1" operator="equal">
      <formula>"Towel"</formula>
    </cfRule>
    <cfRule type="cellIs" dxfId="10896" priority="13072" stopIfTrue="1" operator="equal">
      <formula>"Napkin Hs"</formula>
    </cfRule>
  </conditionalFormatting>
  <conditionalFormatting sqref="B54:C54">
    <cfRule type="cellIs" dxfId="10895" priority="13063" stopIfTrue="1" operator="equal">
      <formula>"Towel"</formula>
    </cfRule>
    <cfRule type="cellIs" dxfId="10894" priority="13064" stopIfTrue="1" operator="equal">
      <formula>"Napkin Hs"</formula>
    </cfRule>
  </conditionalFormatting>
  <conditionalFormatting sqref="B55:C55">
    <cfRule type="cellIs" dxfId="10893" priority="13059" stopIfTrue="1" operator="equal">
      <formula>"Towel"</formula>
    </cfRule>
    <cfRule type="cellIs" dxfId="10892" priority="13060" stopIfTrue="1" operator="equal">
      <formula>"Napkin Hs"</formula>
    </cfRule>
  </conditionalFormatting>
  <conditionalFormatting sqref="C54">
    <cfRule type="cellIs" dxfId="10891" priority="13061" stopIfTrue="1" operator="equal">
      <formula>"Towel"</formula>
    </cfRule>
    <cfRule type="cellIs" dxfId="10890" priority="13062" stopIfTrue="1" operator="equal">
      <formula>"Napkin Hs"</formula>
    </cfRule>
  </conditionalFormatting>
  <conditionalFormatting sqref="C54:C55">
    <cfRule type="cellIs" dxfId="10889" priority="13057" stopIfTrue="1" operator="equal">
      <formula>"Towel"</formula>
    </cfRule>
    <cfRule type="cellIs" dxfId="10888" priority="13058" stopIfTrue="1" operator="equal">
      <formula>"Napkin Hs"</formula>
    </cfRule>
  </conditionalFormatting>
  <conditionalFormatting sqref="C55">
    <cfRule type="cellIs" dxfId="10887" priority="13055" stopIfTrue="1" operator="equal">
      <formula>"Towel"</formula>
    </cfRule>
    <cfRule type="cellIs" dxfId="10886" priority="13056" stopIfTrue="1" operator="equal">
      <formula>"Napkin Hs"</formula>
    </cfRule>
  </conditionalFormatting>
  <conditionalFormatting sqref="B55:C55">
    <cfRule type="cellIs" dxfId="10885" priority="13054" stopIfTrue="1" operator="equal">
      <formula>"Napkin Hs"</formula>
    </cfRule>
  </conditionalFormatting>
  <conditionalFormatting sqref="B55:C55">
    <cfRule type="cellIs" dxfId="10884" priority="13053" stopIfTrue="1" operator="equal">
      <formula>"Towel"</formula>
    </cfRule>
  </conditionalFormatting>
  <conditionalFormatting sqref="B54:C54">
    <cfRule type="cellIs" dxfId="10883" priority="13049" stopIfTrue="1" operator="equal">
      <formula>"Towel"</formula>
    </cfRule>
    <cfRule type="cellIs" dxfId="10882" priority="13050" stopIfTrue="1" operator="equal">
      <formula>"Napkin Hs"</formula>
    </cfRule>
  </conditionalFormatting>
  <conditionalFormatting sqref="C55">
    <cfRule type="cellIs" dxfId="10881" priority="13052" stopIfTrue="1" operator="equal">
      <formula>"Napkin Hs"</formula>
    </cfRule>
  </conditionalFormatting>
  <conditionalFormatting sqref="C55">
    <cfRule type="cellIs" dxfId="10880" priority="13051" stopIfTrue="1" operator="equal">
      <formula>"Towel"</formula>
    </cfRule>
  </conditionalFormatting>
  <conditionalFormatting sqref="C54:C55">
    <cfRule type="cellIs" dxfId="10879" priority="13047" stopIfTrue="1" operator="equal">
      <formula>"Towel"</formula>
    </cfRule>
    <cfRule type="cellIs" dxfId="10878" priority="13048" stopIfTrue="1" operator="equal">
      <formula>"Napkin Hs"</formula>
    </cfRule>
  </conditionalFormatting>
  <conditionalFormatting sqref="C54">
    <cfRule type="cellIs" dxfId="10877" priority="13045" stopIfTrue="1" operator="equal">
      <formula>"Towel"</formula>
    </cfRule>
    <cfRule type="cellIs" dxfId="10876" priority="13046" stopIfTrue="1" operator="equal">
      <formula>"Napkin Hs"</formula>
    </cfRule>
  </conditionalFormatting>
  <conditionalFormatting sqref="C55">
    <cfRule type="cellIs" dxfId="10875" priority="13043" stopIfTrue="1" operator="equal">
      <formula>"Towel"</formula>
    </cfRule>
    <cfRule type="cellIs" dxfId="10874" priority="13044" stopIfTrue="1" operator="equal">
      <formula>"Napkin Hs"</formula>
    </cfRule>
  </conditionalFormatting>
  <conditionalFormatting sqref="B54:C54">
    <cfRule type="cellIs" dxfId="10873" priority="13042" stopIfTrue="1" operator="equal">
      <formula>"Napkin Hs"</formula>
    </cfRule>
  </conditionalFormatting>
  <conditionalFormatting sqref="B54:C54">
    <cfRule type="cellIs" dxfId="10872" priority="13041" stopIfTrue="1" operator="equal">
      <formula>"Towel"</formula>
    </cfRule>
  </conditionalFormatting>
  <conditionalFormatting sqref="C54">
    <cfRule type="cellIs" dxfId="10871" priority="13040" stopIfTrue="1" operator="equal">
      <formula>"Napkin Hs"</formula>
    </cfRule>
  </conditionalFormatting>
  <conditionalFormatting sqref="C54">
    <cfRule type="cellIs" dxfId="10870" priority="13037" stopIfTrue="1" operator="equal">
      <formula>"Towel"</formula>
    </cfRule>
    <cfRule type="cellIs" dxfId="10869" priority="13038" stopIfTrue="1" operator="equal">
      <formula>"Napkin Hs"</formula>
    </cfRule>
  </conditionalFormatting>
  <conditionalFormatting sqref="C54">
    <cfRule type="cellIs" dxfId="10868" priority="13039" stopIfTrue="1" operator="equal">
      <formula>"Towel"</formula>
    </cfRule>
  </conditionalFormatting>
  <conditionalFormatting sqref="C54:C55">
    <cfRule type="cellIs" dxfId="10867" priority="12953" stopIfTrue="1" operator="equal">
      <formula>"Towel"</formula>
    </cfRule>
    <cfRule type="cellIs" dxfId="10866" priority="12954" stopIfTrue="1" operator="equal">
      <formula>"Napkin Hs"</formula>
    </cfRule>
  </conditionalFormatting>
  <conditionalFormatting sqref="C54:C55">
    <cfRule type="cellIs" dxfId="10865" priority="12947" stopIfTrue="1" operator="equal">
      <formula>"Towel"</formula>
    </cfRule>
    <cfRule type="cellIs" dxfId="10864" priority="12948" stopIfTrue="1" operator="equal">
      <formula>"Napkin Hs"</formula>
    </cfRule>
  </conditionalFormatting>
  <conditionalFormatting sqref="C54:C55">
    <cfRule type="cellIs" dxfId="10863" priority="12928" stopIfTrue="1" operator="equal">
      <formula>"Napkin Hs"</formula>
    </cfRule>
  </conditionalFormatting>
  <conditionalFormatting sqref="C54:C55">
    <cfRule type="cellIs" dxfId="10862" priority="12927" stopIfTrue="1" operator="equal">
      <formula>"Towel"</formula>
    </cfRule>
  </conditionalFormatting>
  <conditionalFormatting sqref="C54:C55">
    <cfRule type="cellIs" dxfId="10861" priority="12926" stopIfTrue="1" operator="equal">
      <formula>"Napkin Hs"</formula>
    </cfRule>
  </conditionalFormatting>
  <conditionalFormatting sqref="C54:C55">
    <cfRule type="cellIs" dxfId="10860" priority="12923" stopIfTrue="1" operator="equal">
      <formula>"Towel"</formula>
    </cfRule>
    <cfRule type="cellIs" dxfId="10859" priority="12924" stopIfTrue="1" operator="equal">
      <formula>"Napkin Hs"</formula>
    </cfRule>
  </conditionalFormatting>
  <conditionalFormatting sqref="C54:C55">
    <cfRule type="cellIs" dxfId="10858" priority="12925" stopIfTrue="1" operator="equal">
      <formula>"Towel"</formula>
    </cfRule>
  </conditionalFormatting>
  <conditionalFormatting sqref="C54:C55">
    <cfRule type="cellIs" dxfId="10857" priority="12922" stopIfTrue="1" operator="equal">
      <formula>"Napkin Hs"</formula>
    </cfRule>
  </conditionalFormatting>
  <conditionalFormatting sqref="C54:C55">
    <cfRule type="cellIs" dxfId="10856" priority="12921" stopIfTrue="1" operator="equal">
      <formula>"Towel"</formula>
    </cfRule>
  </conditionalFormatting>
  <conditionalFormatting sqref="C54:C55">
    <cfRule type="cellIs" dxfId="10855" priority="12920" stopIfTrue="1" operator="equal">
      <formula>"Napkin Hs"</formula>
    </cfRule>
  </conditionalFormatting>
  <conditionalFormatting sqref="C54:C55">
    <cfRule type="cellIs" dxfId="10854" priority="12917" stopIfTrue="1" operator="equal">
      <formula>"Towel"</formula>
    </cfRule>
    <cfRule type="cellIs" dxfId="10853" priority="12918" stopIfTrue="1" operator="equal">
      <formula>"Napkin Hs"</formula>
    </cfRule>
  </conditionalFormatting>
  <conditionalFormatting sqref="C54:C55">
    <cfRule type="cellIs" dxfId="10852" priority="12919" stopIfTrue="1" operator="equal">
      <formula>"Towel"</formula>
    </cfRule>
  </conditionalFormatting>
  <conditionalFormatting sqref="C54:C55">
    <cfRule type="cellIs" dxfId="10851" priority="13023" stopIfTrue="1" operator="equal">
      <formula>"Towel"</formula>
    </cfRule>
    <cfRule type="cellIs" dxfId="10850" priority="13024" stopIfTrue="1" operator="equal">
      <formula>"Napkin Hs"</formula>
    </cfRule>
  </conditionalFormatting>
  <conditionalFormatting sqref="C54:C55">
    <cfRule type="cellIs" dxfId="10849" priority="13021" stopIfTrue="1" operator="equal">
      <formula>"Towel"</formula>
    </cfRule>
    <cfRule type="cellIs" dxfId="10848" priority="13022" stopIfTrue="1" operator="equal">
      <formula>"Napkin Hs"</formula>
    </cfRule>
  </conditionalFormatting>
  <conditionalFormatting sqref="C54:C55">
    <cfRule type="cellIs" dxfId="10847" priority="13019" stopIfTrue="1" operator="equal">
      <formula>"Towel"</formula>
    </cfRule>
    <cfRule type="cellIs" dxfId="10846" priority="13020" stopIfTrue="1" operator="equal">
      <formula>"Napkin Hs"</formula>
    </cfRule>
  </conditionalFormatting>
  <conditionalFormatting sqref="C54:C55">
    <cfRule type="cellIs" dxfId="10845" priority="13018" stopIfTrue="1" operator="equal">
      <formula>"Napkin Hs"</formula>
    </cfRule>
  </conditionalFormatting>
  <conditionalFormatting sqref="C54:C55">
    <cfRule type="cellIs" dxfId="10844" priority="13017" stopIfTrue="1" operator="equal">
      <formula>"Towel"</formula>
    </cfRule>
  </conditionalFormatting>
  <conditionalFormatting sqref="C54:C55">
    <cfRule type="cellIs" dxfId="10843" priority="13016" stopIfTrue="1" operator="equal">
      <formula>"Napkin Hs"</formula>
    </cfRule>
  </conditionalFormatting>
  <conditionalFormatting sqref="C54:C55">
    <cfRule type="cellIs" dxfId="10842" priority="13015" stopIfTrue="1" operator="equal">
      <formula>"Towel"</formula>
    </cfRule>
  </conditionalFormatting>
  <conditionalFormatting sqref="C54:C55">
    <cfRule type="cellIs" dxfId="10841" priority="13013" stopIfTrue="1" operator="equal">
      <formula>"Towel"</formula>
    </cfRule>
    <cfRule type="cellIs" dxfId="10840" priority="13014" stopIfTrue="1" operator="equal">
      <formula>"Napkin Hs"</formula>
    </cfRule>
  </conditionalFormatting>
  <conditionalFormatting sqref="C54:C55">
    <cfRule type="cellIs" dxfId="10839" priority="13011" stopIfTrue="1" operator="equal">
      <formula>"Towel"</formula>
    </cfRule>
    <cfRule type="cellIs" dxfId="10838" priority="13012" stopIfTrue="1" operator="equal">
      <formula>"Napkin Hs"</formula>
    </cfRule>
  </conditionalFormatting>
  <conditionalFormatting sqref="C54:C55">
    <cfRule type="cellIs" dxfId="10837" priority="13007" stopIfTrue="1" operator="equal">
      <formula>"Towel"</formula>
    </cfRule>
    <cfRule type="cellIs" dxfId="10836" priority="13008" stopIfTrue="1" operator="equal">
      <formula>"Napkin Hs"</formula>
    </cfRule>
  </conditionalFormatting>
  <conditionalFormatting sqref="C54:C55">
    <cfRule type="cellIs" dxfId="10835" priority="13009" stopIfTrue="1" operator="equal">
      <formula>"Towel"</formula>
    </cfRule>
    <cfRule type="cellIs" dxfId="10834" priority="13010" stopIfTrue="1" operator="equal">
      <formula>"Napkin Hs"</formula>
    </cfRule>
  </conditionalFormatting>
  <conditionalFormatting sqref="C54:C55">
    <cfRule type="cellIs" dxfId="10833" priority="13001" stopIfTrue="1" operator="equal">
      <formula>"Towel"</formula>
    </cfRule>
    <cfRule type="cellIs" dxfId="10832" priority="13002" stopIfTrue="1" operator="equal">
      <formula>"Napkin Hs"</formula>
    </cfRule>
  </conditionalFormatting>
  <conditionalFormatting sqref="C54:C55">
    <cfRule type="cellIs" dxfId="10831" priority="12999" stopIfTrue="1" operator="equal">
      <formula>"Towel"</formula>
    </cfRule>
    <cfRule type="cellIs" dxfId="10830" priority="13000" stopIfTrue="1" operator="equal">
      <formula>"Napkin Hs"</formula>
    </cfRule>
  </conditionalFormatting>
  <conditionalFormatting sqref="C54:C55">
    <cfRule type="cellIs" dxfId="10829" priority="12997" stopIfTrue="1" operator="equal">
      <formula>"Towel"</formula>
    </cfRule>
    <cfRule type="cellIs" dxfId="10828" priority="12998" stopIfTrue="1" operator="equal">
      <formula>"Napkin Hs"</formula>
    </cfRule>
  </conditionalFormatting>
  <conditionalFormatting sqref="C54:C55">
    <cfRule type="cellIs" dxfId="10827" priority="12995" stopIfTrue="1" operator="equal">
      <formula>"Towel"</formula>
    </cfRule>
    <cfRule type="cellIs" dxfId="10826" priority="12996" stopIfTrue="1" operator="equal">
      <formula>"Napkin Hs"</formula>
    </cfRule>
  </conditionalFormatting>
  <conditionalFormatting sqref="C54:C55">
    <cfRule type="cellIs" dxfId="10825" priority="12993" stopIfTrue="1" operator="equal">
      <formula>"Towel"</formula>
    </cfRule>
    <cfRule type="cellIs" dxfId="10824" priority="12994" stopIfTrue="1" operator="equal">
      <formula>"Napkin Hs"</formula>
    </cfRule>
  </conditionalFormatting>
  <conditionalFormatting sqref="C54:C55">
    <cfRule type="cellIs" dxfId="10823" priority="12991" stopIfTrue="1" operator="equal">
      <formula>"Towel"</formula>
    </cfRule>
    <cfRule type="cellIs" dxfId="10822" priority="12992" stopIfTrue="1" operator="equal">
      <formula>"Napkin Hs"</formula>
    </cfRule>
  </conditionalFormatting>
  <conditionalFormatting sqref="C54:C55">
    <cfRule type="cellIs" dxfId="10821" priority="12989" stopIfTrue="1" operator="equal">
      <formula>"Towel"</formula>
    </cfRule>
    <cfRule type="cellIs" dxfId="10820" priority="12990" stopIfTrue="1" operator="equal">
      <formula>"Napkin Hs"</formula>
    </cfRule>
  </conditionalFormatting>
  <conditionalFormatting sqref="C54:C55">
    <cfRule type="cellIs" dxfId="10819" priority="12987" stopIfTrue="1" operator="equal">
      <formula>"Towel"</formula>
    </cfRule>
    <cfRule type="cellIs" dxfId="10818" priority="12988" stopIfTrue="1" operator="equal">
      <formula>"Napkin Hs"</formula>
    </cfRule>
  </conditionalFormatting>
  <conditionalFormatting sqref="C54:C55">
    <cfRule type="cellIs" dxfId="10817" priority="12985" stopIfTrue="1" operator="equal">
      <formula>"Towel"</formula>
    </cfRule>
    <cfRule type="cellIs" dxfId="10816" priority="12986" stopIfTrue="1" operator="equal">
      <formula>"Napkin Hs"</formula>
    </cfRule>
  </conditionalFormatting>
  <conditionalFormatting sqref="C54:C55">
    <cfRule type="cellIs" dxfId="10815" priority="12983" stopIfTrue="1" operator="equal">
      <formula>"Towel"</formula>
    </cfRule>
    <cfRule type="cellIs" dxfId="10814" priority="12984" stopIfTrue="1" operator="equal">
      <formula>"Napkin Hs"</formula>
    </cfRule>
  </conditionalFormatting>
  <conditionalFormatting sqref="C54:C55">
    <cfRule type="cellIs" dxfId="10813" priority="12977" stopIfTrue="1" operator="equal">
      <formula>"Towel"</formula>
    </cfRule>
    <cfRule type="cellIs" dxfId="10812" priority="12978" stopIfTrue="1" operator="equal">
      <formula>"Napkin Hs"</formula>
    </cfRule>
  </conditionalFormatting>
  <conditionalFormatting sqref="C54:C55">
    <cfRule type="cellIs" dxfId="10811" priority="12971" stopIfTrue="1" operator="equal">
      <formula>"Towel"</formula>
    </cfRule>
    <cfRule type="cellIs" dxfId="10810" priority="12972" stopIfTrue="1" operator="equal">
      <formula>"Napkin Hs"</formula>
    </cfRule>
  </conditionalFormatting>
  <conditionalFormatting sqref="C54:C55">
    <cfRule type="cellIs" dxfId="10809" priority="12965" stopIfTrue="1" operator="equal">
      <formula>"Towel"</formula>
    </cfRule>
    <cfRule type="cellIs" dxfId="10808" priority="12966" stopIfTrue="1" operator="equal">
      <formula>"Napkin Hs"</formula>
    </cfRule>
  </conditionalFormatting>
  <conditionalFormatting sqref="C54:C55">
    <cfRule type="cellIs" dxfId="10807" priority="12964" stopIfTrue="1" operator="equal">
      <formula>"Napkin Hs"</formula>
    </cfRule>
  </conditionalFormatting>
  <conditionalFormatting sqref="C54:C55">
    <cfRule type="cellIs" dxfId="10806" priority="12963" stopIfTrue="1" operator="equal">
      <formula>"Towel"</formula>
    </cfRule>
  </conditionalFormatting>
  <conditionalFormatting sqref="C54:C55">
    <cfRule type="cellIs" dxfId="10805" priority="12962" stopIfTrue="1" operator="equal">
      <formula>"Napkin Hs"</formula>
    </cfRule>
  </conditionalFormatting>
  <conditionalFormatting sqref="C54:C55">
    <cfRule type="cellIs" dxfId="10804" priority="12961" stopIfTrue="1" operator="equal">
      <formula>"Towel"</formula>
    </cfRule>
  </conditionalFormatting>
  <conditionalFormatting sqref="C54:C55">
    <cfRule type="cellIs" dxfId="10803" priority="12959" stopIfTrue="1" operator="equal">
      <formula>"Towel"</formula>
    </cfRule>
    <cfRule type="cellIs" dxfId="10802" priority="12960" stopIfTrue="1" operator="equal">
      <formula>"Napkin Hs"</formula>
    </cfRule>
  </conditionalFormatting>
  <conditionalFormatting sqref="C54:C55">
    <cfRule type="cellIs" dxfId="10801" priority="12957" stopIfTrue="1" operator="equal">
      <formula>"Towel"</formula>
    </cfRule>
    <cfRule type="cellIs" dxfId="10800" priority="12958" stopIfTrue="1" operator="equal">
      <formula>"Napkin Hs"</formula>
    </cfRule>
  </conditionalFormatting>
  <conditionalFormatting sqref="C54:C55">
    <cfRule type="cellIs" dxfId="10799" priority="12955" stopIfTrue="1" operator="equal">
      <formula>"Towel"</formula>
    </cfRule>
    <cfRule type="cellIs" dxfId="10798" priority="12956" stopIfTrue="1" operator="equal">
      <formula>"Napkin Hs"</formula>
    </cfRule>
  </conditionalFormatting>
  <conditionalFormatting sqref="C54:C55">
    <cfRule type="cellIs" dxfId="10797" priority="12945" stopIfTrue="1" operator="equal">
      <formula>"Towel"</formula>
    </cfRule>
    <cfRule type="cellIs" dxfId="10796" priority="12946" stopIfTrue="1" operator="equal">
      <formula>"Napkin Hs"</formula>
    </cfRule>
  </conditionalFormatting>
  <conditionalFormatting sqref="C54:C55">
    <cfRule type="cellIs" dxfId="10795" priority="12943" stopIfTrue="1" operator="equal">
      <formula>"Towel"</formula>
    </cfRule>
    <cfRule type="cellIs" dxfId="10794" priority="12944" stopIfTrue="1" operator="equal">
      <formula>"Napkin Hs"</formula>
    </cfRule>
  </conditionalFormatting>
  <conditionalFormatting sqref="C54:C55">
    <cfRule type="cellIs" dxfId="10793" priority="12941" stopIfTrue="1" operator="equal">
      <formula>"Towel"</formula>
    </cfRule>
    <cfRule type="cellIs" dxfId="10792" priority="12942" stopIfTrue="1" operator="equal">
      <formula>"Napkin Hs"</formula>
    </cfRule>
  </conditionalFormatting>
  <conditionalFormatting sqref="C54:C55">
    <cfRule type="cellIs" dxfId="10791" priority="12939" stopIfTrue="1" operator="equal">
      <formula>"Towel"</formula>
    </cfRule>
    <cfRule type="cellIs" dxfId="10790" priority="12940" stopIfTrue="1" operator="equal">
      <formula>"Napkin Hs"</formula>
    </cfRule>
  </conditionalFormatting>
  <conditionalFormatting sqref="C54:C55">
    <cfRule type="cellIs" dxfId="10789" priority="12937" stopIfTrue="1" operator="equal">
      <formula>"Towel"</formula>
    </cfRule>
    <cfRule type="cellIs" dxfId="10788" priority="12938" stopIfTrue="1" operator="equal">
      <formula>"Napkin Hs"</formula>
    </cfRule>
  </conditionalFormatting>
  <conditionalFormatting sqref="C54:C55">
    <cfRule type="cellIs" dxfId="10787" priority="12935" stopIfTrue="1" operator="equal">
      <formula>"Towel"</formula>
    </cfRule>
    <cfRule type="cellIs" dxfId="10786" priority="12936" stopIfTrue="1" operator="equal">
      <formula>"Napkin Hs"</formula>
    </cfRule>
  </conditionalFormatting>
  <conditionalFormatting sqref="C54:C55">
    <cfRule type="cellIs" dxfId="10785" priority="12933" stopIfTrue="1" operator="equal">
      <formula>"Towel"</formula>
    </cfRule>
    <cfRule type="cellIs" dxfId="10784" priority="12934" stopIfTrue="1" operator="equal">
      <formula>"Napkin Hs"</formula>
    </cfRule>
  </conditionalFormatting>
  <conditionalFormatting sqref="C54:C55">
    <cfRule type="cellIs" dxfId="10783" priority="12931" stopIfTrue="1" operator="equal">
      <formula>"Towel"</formula>
    </cfRule>
    <cfRule type="cellIs" dxfId="10782" priority="12932" stopIfTrue="1" operator="equal">
      <formula>"Napkin Hs"</formula>
    </cfRule>
  </conditionalFormatting>
  <conditionalFormatting sqref="C54:C55">
    <cfRule type="cellIs" dxfId="10781" priority="12929" stopIfTrue="1" operator="equal">
      <formula>"Towel"</formula>
    </cfRule>
    <cfRule type="cellIs" dxfId="10780" priority="12930" stopIfTrue="1" operator="equal">
      <formula>"Napkin Hs"</formula>
    </cfRule>
  </conditionalFormatting>
  <conditionalFormatting sqref="C54:C55">
    <cfRule type="cellIs" dxfId="10779" priority="12916" stopIfTrue="1" operator="equal">
      <formula>"Napkin Hs"</formula>
    </cfRule>
  </conditionalFormatting>
  <conditionalFormatting sqref="C54:C55">
    <cfRule type="cellIs" dxfId="10778" priority="12915" stopIfTrue="1" operator="equal">
      <formula>"Towel"</formula>
    </cfRule>
  </conditionalFormatting>
  <conditionalFormatting sqref="C54:C55">
    <cfRule type="cellIs" dxfId="10777" priority="12914" stopIfTrue="1" operator="equal">
      <formula>"Napkin Hs"</formula>
    </cfRule>
  </conditionalFormatting>
  <conditionalFormatting sqref="C54:C55">
    <cfRule type="cellIs" dxfId="10776" priority="12911" stopIfTrue="1" operator="equal">
      <formula>"Towel"</formula>
    </cfRule>
    <cfRule type="cellIs" dxfId="10775" priority="12912" stopIfTrue="1" operator="equal">
      <formula>"Napkin Hs"</formula>
    </cfRule>
  </conditionalFormatting>
  <conditionalFormatting sqref="C54:C55">
    <cfRule type="cellIs" dxfId="10774" priority="12913" stopIfTrue="1" operator="equal">
      <formula>"Towel"</formula>
    </cfRule>
  </conditionalFormatting>
  <conditionalFormatting sqref="C54:C55">
    <cfRule type="cellIs" dxfId="10773" priority="13031" stopIfTrue="1" operator="equal">
      <formula>"Towel"</formula>
    </cfRule>
    <cfRule type="cellIs" dxfId="10772" priority="13032" stopIfTrue="1" operator="equal">
      <formula>"Napkin Hs"</formula>
    </cfRule>
  </conditionalFormatting>
  <conditionalFormatting sqref="C54:C55">
    <cfRule type="cellIs" dxfId="10771" priority="13030" stopIfTrue="1" operator="equal">
      <formula>"Napkin Hs"</formula>
    </cfRule>
  </conditionalFormatting>
  <conditionalFormatting sqref="C54:C55">
    <cfRule type="cellIs" dxfId="10770" priority="13029" stopIfTrue="1" operator="equal">
      <formula>"Towel"</formula>
    </cfRule>
  </conditionalFormatting>
  <conditionalFormatting sqref="C54:C55">
    <cfRule type="cellIs" dxfId="10769" priority="13028" stopIfTrue="1" operator="equal">
      <formula>"Napkin Hs"</formula>
    </cfRule>
  </conditionalFormatting>
  <conditionalFormatting sqref="C54:C55">
    <cfRule type="cellIs" dxfId="10768" priority="13025" stopIfTrue="1" operator="equal">
      <formula>"Towel"</formula>
    </cfRule>
    <cfRule type="cellIs" dxfId="10767" priority="13026" stopIfTrue="1" operator="equal">
      <formula>"Napkin Hs"</formula>
    </cfRule>
  </conditionalFormatting>
  <conditionalFormatting sqref="C54:C55">
    <cfRule type="cellIs" dxfId="10766" priority="13027" stopIfTrue="1" operator="equal">
      <formula>"Towel"</formula>
    </cfRule>
  </conditionalFormatting>
  <conditionalFormatting sqref="C54:C55">
    <cfRule type="cellIs" dxfId="10765" priority="13035" stopIfTrue="1" operator="equal">
      <formula>"Towel"</formula>
    </cfRule>
    <cfRule type="cellIs" dxfId="10764" priority="13036" stopIfTrue="1" operator="equal">
      <formula>"Napkin Hs"</formula>
    </cfRule>
  </conditionalFormatting>
  <conditionalFormatting sqref="C54:C55">
    <cfRule type="cellIs" dxfId="10763" priority="13033" stopIfTrue="1" operator="equal">
      <formula>"Towel"</formula>
    </cfRule>
    <cfRule type="cellIs" dxfId="10762" priority="13034" stopIfTrue="1" operator="equal">
      <formula>"Napkin Hs"</formula>
    </cfRule>
  </conditionalFormatting>
  <conditionalFormatting sqref="C54:C55">
    <cfRule type="cellIs" dxfId="10761" priority="13005" stopIfTrue="1" operator="equal">
      <formula>"Towel"</formula>
    </cfRule>
    <cfRule type="cellIs" dxfId="10760" priority="13006" stopIfTrue="1" operator="equal">
      <formula>"Napkin Hs"</formula>
    </cfRule>
  </conditionalFormatting>
  <conditionalFormatting sqref="C54:C55">
    <cfRule type="cellIs" dxfId="10759" priority="13003" stopIfTrue="1" operator="equal">
      <formula>"Towel"</formula>
    </cfRule>
    <cfRule type="cellIs" dxfId="10758" priority="13004" stopIfTrue="1" operator="equal">
      <formula>"Napkin Hs"</formula>
    </cfRule>
  </conditionalFormatting>
  <conditionalFormatting sqref="C54:C55">
    <cfRule type="cellIs" dxfId="10757" priority="12982" stopIfTrue="1" operator="equal">
      <formula>"Napkin Hs"</formula>
    </cfRule>
  </conditionalFormatting>
  <conditionalFormatting sqref="C54:C55">
    <cfRule type="cellIs" dxfId="10756" priority="12981" stopIfTrue="1" operator="equal">
      <formula>"Towel"</formula>
    </cfRule>
  </conditionalFormatting>
  <conditionalFormatting sqref="C54:C55">
    <cfRule type="cellIs" dxfId="10755" priority="12980" stopIfTrue="1" operator="equal">
      <formula>"Napkin Hs"</formula>
    </cfRule>
  </conditionalFormatting>
  <conditionalFormatting sqref="C54:C55">
    <cfRule type="cellIs" dxfId="10754" priority="12979" stopIfTrue="1" operator="equal">
      <formula>"Towel"</formula>
    </cfRule>
  </conditionalFormatting>
  <conditionalFormatting sqref="C54:C55">
    <cfRule type="cellIs" dxfId="10753" priority="12976" stopIfTrue="1" operator="equal">
      <formula>"Napkin Hs"</formula>
    </cfRule>
  </conditionalFormatting>
  <conditionalFormatting sqref="C54:C55">
    <cfRule type="cellIs" dxfId="10752" priority="12975" stopIfTrue="1" operator="equal">
      <formula>"Towel"</formula>
    </cfRule>
  </conditionalFormatting>
  <conditionalFormatting sqref="C54:C55">
    <cfRule type="cellIs" dxfId="10751" priority="12974" stopIfTrue="1" operator="equal">
      <formula>"Napkin Hs"</formula>
    </cfRule>
  </conditionalFormatting>
  <conditionalFormatting sqref="C54:C55">
    <cfRule type="cellIs" dxfId="10750" priority="12973" stopIfTrue="1" operator="equal">
      <formula>"Towel"</formula>
    </cfRule>
  </conditionalFormatting>
  <conditionalFormatting sqref="C54:C55">
    <cfRule type="cellIs" dxfId="10749" priority="12969" stopIfTrue="1" operator="equal">
      <formula>"Towel"</formula>
    </cfRule>
    <cfRule type="cellIs" dxfId="10748" priority="12970" stopIfTrue="1" operator="equal">
      <formula>"Napkin Hs"</formula>
    </cfRule>
  </conditionalFormatting>
  <conditionalFormatting sqref="C54:C55">
    <cfRule type="cellIs" dxfId="10747" priority="12967" stopIfTrue="1" operator="equal">
      <formula>"Towel"</formula>
    </cfRule>
    <cfRule type="cellIs" dxfId="10746" priority="12968" stopIfTrue="1" operator="equal">
      <formula>"Napkin Hs"</formula>
    </cfRule>
  </conditionalFormatting>
  <conditionalFormatting sqref="C54:C55">
    <cfRule type="cellIs" dxfId="10745" priority="12951" stopIfTrue="1" operator="equal">
      <formula>"Towel"</formula>
    </cfRule>
    <cfRule type="cellIs" dxfId="10744" priority="12952" stopIfTrue="1" operator="equal">
      <formula>"Napkin Hs"</formula>
    </cfRule>
  </conditionalFormatting>
  <conditionalFormatting sqref="C54:C55">
    <cfRule type="cellIs" dxfId="10743" priority="12949" stopIfTrue="1" operator="equal">
      <formula>"Towel"</formula>
    </cfRule>
    <cfRule type="cellIs" dxfId="10742" priority="12950" stopIfTrue="1" operator="equal">
      <formula>"Napkin Hs"</formula>
    </cfRule>
  </conditionalFormatting>
  <conditionalFormatting sqref="B54:C55">
    <cfRule type="cellIs" dxfId="10741" priority="12910" stopIfTrue="1" operator="equal">
      <formula>"Napkin Hs"</formula>
    </cfRule>
  </conditionalFormatting>
  <conditionalFormatting sqref="B54:C55">
    <cfRule type="cellIs" dxfId="10740" priority="12909" stopIfTrue="1" operator="equal">
      <formula>"Towel"</formula>
    </cfRule>
  </conditionalFormatting>
  <conditionalFormatting sqref="C54:C55">
    <cfRule type="cellIs" dxfId="10739" priority="12908" stopIfTrue="1" operator="equal">
      <formula>"Napkin Hs"</formula>
    </cfRule>
  </conditionalFormatting>
  <conditionalFormatting sqref="C54:C55">
    <cfRule type="cellIs" dxfId="10738" priority="12905" stopIfTrue="1" operator="equal">
      <formula>"Towel"</formula>
    </cfRule>
    <cfRule type="cellIs" dxfId="10737" priority="12906" stopIfTrue="1" operator="equal">
      <formula>"Napkin Hs"</formula>
    </cfRule>
  </conditionalFormatting>
  <conditionalFormatting sqref="C54:C55">
    <cfRule type="cellIs" dxfId="10736" priority="12907" stopIfTrue="1" operator="equal">
      <formula>"Towel"</formula>
    </cfRule>
  </conditionalFormatting>
  <conditionalFormatting sqref="B52:C52">
    <cfRule type="cellIs" dxfId="10735" priority="12903" stopIfTrue="1" operator="equal">
      <formula>"Towel"</formula>
    </cfRule>
    <cfRule type="cellIs" dxfId="10734" priority="12904" stopIfTrue="1" operator="equal">
      <formula>"Napkin Hs"</formula>
    </cfRule>
  </conditionalFormatting>
  <conditionalFormatting sqref="C52">
    <cfRule type="cellIs" dxfId="10733" priority="12899" stopIfTrue="1" operator="equal">
      <formula>"Towel"</formula>
    </cfRule>
    <cfRule type="cellIs" dxfId="10732" priority="12900" stopIfTrue="1" operator="equal">
      <formula>"Napkin Hs"</formula>
    </cfRule>
  </conditionalFormatting>
  <conditionalFormatting sqref="C52">
    <cfRule type="cellIs" dxfId="10731" priority="12901" stopIfTrue="1" operator="equal">
      <formula>"Towel"</formula>
    </cfRule>
    <cfRule type="cellIs" dxfId="10730" priority="12902" stopIfTrue="1" operator="equal">
      <formula>"Napkin Hs"</formula>
    </cfRule>
  </conditionalFormatting>
  <conditionalFormatting sqref="B52:C52">
    <cfRule type="cellIs" dxfId="10729" priority="12897" stopIfTrue="1" operator="equal">
      <formula>"Towel"</formula>
    </cfRule>
    <cfRule type="cellIs" dxfId="10728" priority="12898" stopIfTrue="1" operator="equal">
      <formula>"Napkin Hs"</formula>
    </cfRule>
  </conditionalFormatting>
  <conditionalFormatting sqref="C52">
    <cfRule type="cellIs" dxfId="10727" priority="12893" stopIfTrue="1" operator="equal">
      <formula>"Towel"</formula>
    </cfRule>
    <cfRule type="cellIs" dxfId="10726" priority="12894" stopIfTrue="1" operator="equal">
      <formula>"Napkin Hs"</formula>
    </cfRule>
  </conditionalFormatting>
  <conditionalFormatting sqref="C52">
    <cfRule type="cellIs" dxfId="10725" priority="12895" stopIfTrue="1" operator="equal">
      <formula>"Towel"</formula>
    </cfRule>
    <cfRule type="cellIs" dxfId="10724" priority="12896" stopIfTrue="1" operator="equal">
      <formula>"Napkin Hs"</formula>
    </cfRule>
  </conditionalFormatting>
  <conditionalFormatting sqref="B52:C52">
    <cfRule type="cellIs" dxfId="10723" priority="12891" stopIfTrue="1" operator="equal">
      <formula>"Towel"</formula>
    </cfRule>
    <cfRule type="cellIs" dxfId="10722" priority="12892" stopIfTrue="1" operator="equal">
      <formula>"Napkin Hs"</formula>
    </cfRule>
  </conditionalFormatting>
  <conditionalFormatting sqref="C52">
    <cfRule type="cellIs" dxfId="10721" priority="12889" stopIfTrue="1" operator="equal">
      <formula>"Towel"</formula>
    </cfRule>
    <cfRule type="cellIs" dxfId="10720" priority="12890" stopIfTrue="1" operator="equal">
      <formula>"Napkin Hs"</formula>
    </cfRule>
  </conditionalFormatting>
  <conditionalFormatting sqref="C52">
    <cfRule type="cellIs" dxfId="10719" priority="12887" stopIfTrue="1" operator="equal">
      <formula>"Towel"</formula>
    </cfRule>
    <cfRule type="cellIs" dxfId="10718" priority="12888" stopIfTrue="1" operator="equal">
      <formula>"Napkin Hs"</formula>
    </cfRule>
  </conditionalFormatting>
  <conditionalFormatting sqref="B52:C52">
    <cfRule type="cellIs" dxfId="10717" priority="12886" stopIfTrue="1" operator="equal">
      <formula>"Napkin Hs"</formula>
    </cfRule>
  </conditionalFormatting>
  <conditionalFormatting sqref="B52:C52">
    <cfRule type="cellIs" dxfId="10716" priority="12885" stopIfTrue="1" operator="equal">
      <formula>"Towel"</formula>
    </cfRule>
  </conditionalFormatting>
  <conditionalFormatting sqref="C52">
    <cfRule type="cellIs" dxfId="10715" priority="12884" stopIfTrue="1" operator="equal">
      <formula>"Napkin Hs"</formula>
    </cfRule>
  </conditionalFormatting>
  <conditionalFormatting sqref="C52">
    <cfRule type="cellIs" dxfId="10714" priority="12883" stopIfTrue="1" operator="equal">
      <formula>"Towel"</formula>
    </cfRule>
  </conditionalFormatting>
  <conditionalFormatting sqref="C52">
    <cfRule type="cellIs" dxfId="10713" priority="12881" stopIfTrue="1" operator="equal">
      <formula>"Towel"</formula>
    </cfRule>
    <cfRule type="cellIs" dxfId="10712" priority="12882" stopIfTrue="1" operator="equal">
      <formula>"Napkin Hs"</formula>
    </cfRule>
  </conditionalFormatting>
  <conditionalFormatting sqref="C52">
    <cfRule type="cellIs" dxfId="10711" priority="12879" stopIfTrue="1" operator="equal">
      <formula>"Towel"</formula>
    </cfRule>
    <cfRule type="cellIs" dxfId="10710" priority="12880" stopIfTrue="1" operator="equal">
      <formula>"Napkin Hs"</formula>
    </cfRule>
  </conditionalFormatting>
  <conditionalFormatting sqref="C52">
    <cfRule type="cellIs" dxfId="10709" priority="12795" stopIfTrue="1" operator="equal">
      <formula>"Towel"</formula>
    </cfRule>
    <cfRule type="cellIs" dxfId="10708" priority="12796" stopIfTrue="1" operator="equal">
      <formula>"Napkin Hs"</formula>
    </cfRule>
  </conditionalFormatting>
  <conditionalFormatting sqref="C52">
    <cfRule type="cellIs" dxfId="10707" priority="12789" stopIfTrue="1" operator="equal">
      <formula>"Towel"</formula>
    </cfRule>
    <cfRule type="cellIs" dxfId="10706" priority="12790" stopIfTrue="1" operator="equal">
      <formula>"Napkin Hs"</formula>
    </cfRule>
  </conditionalFormatting>
  <conditionalFormatting sqref="C52">
    <cfRule type="cellIs" dxfId="10705" priority="12770" stopIfTrue="1" operator="equal">
      <formula>"Napkin Hs"</formula>
    </cfRule>
  </conditionalFormatting>
  <conditionalFormatting sqref="C52">
    <cfRule type="cellIs" dxfId="10704" priority="12769" stopIfTrue="1" operator="equal">
      <formula>"Towel"</formula>
    </cfRule>
  </conditionalFormatting>
  <conditionalFormatting sqref="C52">
    <cfRule type="cellIs" dxfId="10703" priority="12768" stopIfTrue="1" operator="equal">
      <formula>"Napkin Hs"</formula>
    </cfRule>
  </conditionalFormatting>
  <conditionalFormatting sqref="C52">
    <cfRule type="cellIs" dxfId="10702" priority="12765" stopIfTrue="1" operator="equal">
      <formula>"Towel"</formula>
    </cfRule>
    <cfRule type="cellIs" dxfId="10701" priority="12766" stopIfTrue="1" operator="equal">
      <formula>"Napkin Hs"</formula>
    </cfRule>
  </conditionalFormatting>
  <conditionalFormatting sqref="C52">
    <cfRule type="cellIs" dxfId="10700" priority="12767" stopIfTrue="1" operator="equal">
      <formula>"Towel"</formula>
    </cfRule>
  </conditionalFormatting>
  <conditionalFormatting sqref="C52">
    <cfRule type="cellIs" dxfId="10699" priority="12764" stopIfTrue="1" operator="equal">
      <formula>"Napkin Hs"</formula>
    </cfRule>
  </conditionalFormatting>
  <conditionalFormatting sqref="C52">
    <cfRule type="cellIs" dxfId="10698" priority="12763" stopIfTrue="1" operator="equal">
      <formula>"Towel"</formula>
    </cfRule>
  </conditionalFormatting>
  <conditionalFormatting sqref="C52">
    <cfRule type="cellIs" dxfId="10697" priority="12762" stopIfTrue="1" operator="equal">
      <formula>"Napkin Hs"</formula>
    </cfRule>
  </conditionalFormatting>
  <conditionalFormatting sqref="C52">
    <cfRule type="cellIs" dxfId="10696" priority="12759" stopIfTrue="1" operator="equal">
      <formula>"Towel"</formula>
    </cfRule>
    <cfRule type="cellIs" dxfId="10695" priority="12760" stopIfTrue="1" operator="equal">
      <formula>"Napkin Hs"</formula>
    </cfRule>
  </conditionalFormatting>
  <conditionalFormatting sqref="C52">
    <cfRule type="cellIs" dxfId="10694" priority="12761" stopIfTrue="1" operator="equal">
      <formula>"Towel"</formula>
    </cfRule>
  </conditionalFormatting>
  <conditionalFormatting sqref="C52">
    <cfRule type="cellIs" dxfId="10693" priority="12865" stopIfTrue="1" operator="equal">
      <formula>"Towel"</formula>
    </cfRule>
    <cfRule type="cellIs" dxfId="10692" priority="12866" stopIfTrue="1" operator="equal">
      <formula>"Napkin Hs"</formula>
    </cfRule>
  </conditionalFormatting>
  <conditionalFormatting sqref="C52">
    <cfRule type="cellIs" dxfId="10691" priority="12863" stopIfTrue="1" operator="equal">
      <formula>"Towel"</formula>
    </cfRule>
    <cfRule type="cellIs" dxfId="10690" priority="12864" stopIfTrue="1" operator="equal">
      <formula>"Napkin Hs"</formula>
    </cfRule>
  </conditionalFormatting>
  <conditionalFormatting sqref="C52">
    <cfRule type="cellIs" dxfId="10689" priority="12861" stopIfTrue="1" operator="equal">
      <formula>"Towel"</formula>
    </cfRule>
    <cfRule type="cellIs" dxfId="10688" priority="12862" stopIfTrue="1" operator="equal">
      <formula>"Napkin Hs"</formula>
    </cfRule>
  </conditionalFormatting>
  <conditionalFormatting sqref="C52">
    <cfRule type="cellIs" dxfId="10687" priority="12860" stopIfTrue="1" operator="equal">
      <formula>"Napkin Hs"</formula>
    </cfRule>
  </conditionalFormatting>
  <conditionalFormatting sqref="C52">
    <cfRule type="cellIs" dxfId="10686" priority="12859" stopIfTrue="1" operator="equal">
      <formula>"Towel"</formula>
    </cfRule>
  </conditionalFormatting>
  <conditionalFormatting sqref="C52">
    <cfRule type="cellIs" dxfId="10685" priority="12858" stopIfTrue="1" operator="equal">
      <formula>"Napkin Hs"</formula>
    </cfRule>
  </conditionalFormatting>
  <conditionalFormatting sqref="C52">
    <cfRule type="cellIs" dxfId="10684" priority="12857" stopIfTrue="1" operator="equal">
      <formula>"Towel"</formula>
    </cfRule>
  </conditionalFormatting>
  <conditionalFormatting sqref="C52">
    <cfRule type="cellIs" dxfId="10683" priority="12855" stopIfTrue="1" operator="equal">
      <formula>"Towel"</formula>
    </cfRule>
    <cfRule type="cellIs" dxfId="10682" priority="12856" stopIfTrue="1" operator="equal">
      <formula>"Napkin Hs"</formula>
    </cfRule>
  </conditionalFormatting>
  <conditionalFormatting sqref="C52">
    <cfRule type="cellIs" dxfId="10681" priority="12853" stopIfTrue="1" operator="equal">
      <formula>"Towel"</formula>
    </cfRule>
    <cfRule type="cellIs" dxfId="10680" priority="12854" stopIfTrue="1" operator="equal">
      <formula>"Napkin Hs"</formula>
    </cfRule>
  </conditionalFormatting>
  <conditionalFormatting sqref="C52">
    <cfRule type="cellIs" dxfId="10679" priority="12849" stopIfTrue="1" operator="equal">
      <formula>"Towel"</formula>
    </cfRule>
    <cfRule type="cellIs" dxfId="10678" priority="12850" stopIfTrue="1" operator="equal">
      <formula>"Napkin Hs"</formula>
    </cfRule>
  </conditionalFormatting>
  <conditionalFormatting sqref="C52">
    <cfRule type="cellIs" dxfId="10677" priority="12851" stopIfTrue="1" operator="equal">
      <formula>"Towel"</formula>
    </cfRule>
    <cfRule type="cellIs" dxfId="10676" priority="12852" stopIfTrue="1" operator="equal">
      <formula>"Napkin Hs"</formula>
    </cfRule>
  </conditionalFormatting>
  <conditionalFormatting sqref="C52">
    <cfRule type="cellIs" dxfId="10675" priority="12843" stopIfTrue="1" operator="equal">
      <formula>"Towel"</formula>
    </cfRule>
    <cfRule type="cellIs" dxfId="10674" priority="12844" stopIfTrue="1" operator="equal">
      <formula>"Napkin Hs"</formula>
    </cfRule>
  </conditionalFormatting>
  <conditionalFormatting sqref="C52">
    <cfRule type="cellIs" dxfId="10673" priority="12841" stopIfTrue="1" operator="equal">
      <formula>"Towel"</formula>
    </cfRule>
    <cfRule type="cellIs" dxfId="10672" priority="12842" stopIfTrue="1" operator="equal">
      <formula>"Napkin Hs"</formula>
    </cfRule>
  </conditionalFormatting>
  <conditionalFormatting sqref="C52">
    <cfRule type="cellIs" dxfId="10671" priority="12839" stopIfTrue="1" operator="equal">
      <formula>"Towel"</formula>
    </cfRule>
    <cfRule type="cellIs" dxfId="10670" priority="12840" stopIfTrue="1" operator="equal">
      <formula>"Napkin Hs"</formula>
    </cfRule>
  </conditionalFormatting>
  <conditionalFormatting sqref="C52">
    <cfRule type="cellIs" dxfId="10669" priority="12837" stopIfTrue="1" operator="equal">
      <formula>"Towel"</formula>
    </cfRule>
    <cfRule type="cellIs" dxfId="10668" priority="12838" stopIfTrue="1" operator="equal">
      <formula>"Napkin Hs"</formula>
    </cfRule>
  </conditionalFormatting>
  <conditionalFormatting sqref="C52">
    <cfRule type="cellIs" dxfId="10667" priority="12835" stopIfTrue="1" operator="equal">
      <formula>"Towel"</formula>
    </cfRule>
    <cfRule type="cellIs" dxfId="10666" priority="12836" stopIfTrue="1" operator="equal">
      <formula>"Napkin Hs"</formula>
    </cfRule>
  </conditionalFormatting>
  <conditionalFormatting sqref="C52">
    <cfRule type="cellIs" dxfId="10665" priority="12833" stopIfTrue="1" operator="equal">
      <formula>"Towel"</formula>
    </cfRule>
    <cfRule type="cellIs" dxfId="10664" priority="12834" stopIfTrue="1" operator="equal">
      <formula>"Napkin Hs"</formula>
    </cfRule>
  </conditionalFormatting>
  <conditionalFormatting sqref="C52">
    <cfRule type="cellIs" dxfId="10663" priority="12831" stopIfTrue="1" operator="equal">
      <formula>"Towel"</formula>
    </cfRule>
    <cfRule type="cellIs" dxfId="10662" priority="12832" stopIfTrue="1" operator="equal">
      <formula>"Napkin Hs"</formula>
    </cfRule>
  </conditionalFormatting>
  <conditionalFormatting sqref="C52">
    <cfRule type="cellIs" dxfId="10661" priority="12829" stopIfTrue="1" operator="equal">
      <formula>"Towel"</formula>
    </cfRule>
    <cfRule type="cellIs" dxfId="10660" priority="12830" stopIfTrue="1" operator="equal">
      <formula>"Napkin Hs"</formula>
    </cfRule>
  </conditionalFormatting>
  <conditionalFormatting sqref="C52">
    <cfRule type="cellIs" dxfId="10659" priority="12827" stopIfTrue="1" operator="equal">
      <formula>"Towel"</formula>
    </cfRule>
    <cfRule type="cellIs" dxfId="10658" priority="12828" stopIfTrue="1" operator="equal">
      <formula>"Napkin Hs"</formula>
    </cfRule>
  </conditionalFormatting>
  <conditionalFormatting sqref="C52">
    <cfRule type="cellIs" dxfId="10657" priority="12825" stopIfTrue="1" operator="equal">
      <formula>"Towel"</formula>
    </cfRule>
    <cfRule type="cellIs" dxfId="10656" priority="12826" stopIfTrue="1" operator="equal">
      <formula>"Napkin Hs"</formula>
    </cfRule>
  </conditionalFormatting>
  <conditionalFormatting sqref="C52">
    <cfRule type="cellIs" dxfId="10655" priority="12819" stopIfTrue="1" operator="equal">
      <formula>"Towel"</formula>
    </cfRule>
    <cfRule type="cellIs" dxfId="10654" priority="12820" stopIfTrue="1" operator="equal">
      <formula>"Napkin Hs"</formula>
    </cfRule>
  </conditionalFormatting>
  <conditionalFormatting sqref="C52">
    <cfRule type="cellIs" dxfId="10653" priority="12813" stopIfTrue="1" operator="equal">
      <formula>"Towel"</formula>
    </cfRule>
    <cfRule type="cellIs" dxfId="10652" priority="12814" stopIfTrue="1" operator="equal">
      <formula>"Napkin Hs"</formula>
    </cfRule>
  </conditionalFormatting>
  <conditionalFormatting sqref="C52">
    <cfRule type="cellIs" dxfId="10651" priority="12807" stopIfTrue="1" operator="equal">
      <formula>"Towel"</formula>
    </cfRule>
    <cfRule type="cellIs" dxfId="10650" priority="12808" stopIfTrue="1" operator="equal">
      <formula>"Napkin Hs"</formula>
    </cfRule>
  </conditionalFormatting>
  <conditionalFormatting sqref="C52">
    <cfRule type="cellIs" dxfId="10649" priority="12806" stopIfTrue="1" operator="equal">
      <formula>"Napkin Hs"</formula>
    </cfRule>
  </conditionalFormatting>
  <conditionalFormatting sqref="C52">
    <cfRule type="cellIs" dxfId="10648" priority="12805" stopIfTrue="1" operator="equal">
      <formula>"Towel"</formula>
    </cfRule>
  </conditionalFormatting>
  <conditionalFormatting sqref="C52">
    <cfRule type="cellIs" dxfId="10647" priority="12804" stopIfTrue="1" operator="equal">
      <formula>"Napkin Hs"</formula>
    </cfRule>
  </conditionalFormatting>
  <conditionalFormatting sqref="C52">
    <cfRule type="cellIs" dxfId="10646" priority="12803" stopIfTrue="1" operator="equal">
      <formula>"Towel"</formula>
    </cfRule>
  </conditionalFormatting>
  <conditionalFormatting sqref="C52">
    <cfRule type="cellIs" dxfId="10645" priority="12801" stopIfTrue="1" operator="equal">
      <formula>"Towel"</formula>
    </cfRule>
    <cfRule type="cellIs" dxfId="10644" priority="12802" stopIfTrue="1" operator="equal">
      <formula>"Napkin Hs"</formula>
    </cfRule>
  </conditionalFormatting>
  <conditionalFormatting sqref="C52">
    <cfRule type="cellIs" dxfId="10643" priority="12799" stopIfTrue="1" operator="equal">
      <formula>"Towel"</formula>
    </cfRule>
    <cfRule type="cellIs" dxfId="10642" priority="12800" stopIfTrue="1" operator="equal">
      <formula>"Napkin Hs"</formula>
    </cfRule>
  </conditionalFormatting>
  <conditionalFormatting sqref="C52">
    <cfRule type="cellIs" dxfId="10641" priority="12797" stopIfTrue="1" operator="equal">
      <formula>"Towel"</formula>
    </cfRule>
    <cfRule type="cellIs" dxfId="10640" priority="12798" stopIfTrue="1" operator="equal">
      <formula>"Napkin Hs"</formula>
    </cfRule>
  </conditionalFormatting>
  <conditionalFormatting sqref="C52">
    <cfRule type="cellIs" dxfId="10639" priority="12787" stopIfTrue="1" operator="equal">
      <formula>"Towel"</formula>
    </cfRule>
    <cfRule type="cellIs" dxfId="10638" priority="12788" stopIfTrue="1" operator="equal">
      <formula>"Napkin Hs"</formula>
    </cfRule>
  </conditionalFormatting>
  <conditionalFormatting sqref="C52">
    <cfRule type="cellIs" dxfId="10637" priority="12785" stopIfTrue="1" operator="equal">
      <formula>"Towel"</formula>
    </cfRule>
    <cfRule type="cellIs" dxfId="10636" priority="12786" stopIfTrue="1" operator="equal">
      <formula>"Napkin Hs"</formula>
    </cfRule>
  </conditionalFormatting>
  <conditionalFormatting sqref="C52">
    <cfRule type="cellIs" dxfId="10635" priority="12783" stopIfTrue="1" operator="equal">
      <formula>"Towel"</formula>
    </cfRule>
    <cfRule type="cellIs" dxfId="10634" priority="12784" stopIfTrue="1" operator="equal">
      <formula>"Napkin Hs"</formula>
    </cfRule>
  </conditionalFormatting>
  <conditionalFormatting sqref="C52">
    <cfRule type="cellIs" dxfId="10633" priority="12781" stopIfTrue="1" operator="equal">
      <formula>"Towel"</formula>
    </cfRule>
    <cfRule type="cellIs" dxfId="10632" priority="12782" stopIfTrue="1" operator="equal">
      <formula>"Napkin Hs"</formula>
    </cfRule>
  </conditionalFormatting>
  <conditionalFormatting sqref="C52">
    <cfRule type="cellIs" dxfId="10631" priority="12779" stopIfTrue="1" operator="equal">
      <formula>"Towel"</formula>
    </cfRule>
    <cfRule type="cellIs" dxfId="10630" priority="12780" stopIfTrue="1" operator="equal">
      <formula>"Napkin Hs"</formula>
    </cfRule>
  </conditionalFormatting>
  <conditionalFormatting sqref="C52">
    <cfRule type="cellIs" dxfId="10629" priority="12777" stopIfTrue="1" operator="equal">
      <formula>"Towel"</formula>
    </cfRule>
    <cfRule type="cellIs" dxfId="10628" priority="12778" stopIfTrue="1" operator="equal">
      <formula>"Napkin Hs"</formula>
    </cfRule>
  </conditionalFormatting>
  <conditionalFormatting sqref="C52">
    <cfRule type="cellIs" dxfId="10627" priority="12775" stopIfTrue="1" operator="equal">
      <formula>"Towel"</formula>
    </cfRule>
    <cfRule type="cellIs" dxfId="10626" priority="12776" stopIfTrue="1" operator="equal">
      <formula>"Napkin Hs"</formula>
    </cfRule>
  </conditionalFormatting>
  <conditionalFormatting sqref="C52">
    <cfRule type="cellIs" dxfId="10625" priority="12773" stopIfTrue="1" operator="equal">
      <formula>"Towel"</formula>
    </cfRule>
    <cfRule type="cellIs" dxfId="10624" priority="12774" stopIfTrue="1" operator="equal">
      <formula>"Napkin Hs"</formula>
    </cfRule>
  </conditionalFormatting>
  <conditionalFormatting sqref="C52">
    <cfRule type="cellIs" dxfId="10623" priority="12771" stopIfTrue="1" operator="equal">
      <formula>"Towel"</formula>
    </cfRule>
    <cfRule type="cellIs" dxfId="10622" priority="12772" stopIfTrue="1" operator="equal">
      <formula>"Napkin Hs"</formula>
    </cfRule>
  </conditionalFormatting>
  <conditionalFormatting sqref="C52">
    <cfRule type="cellIs" dxfId="10621" priority="12758" stopIfTrue="1" operator="equal">
      <formula>"Napkin Hs"</formula>
    </cfRule>
  </conditionalFormatting>
  <conditionalFormatting sqref="C52">
    <cfRule type="cellIs" dxfId="10620" priority="12757" stopIfTrue="1" operator="equal">
      <formula>"Towel"</formula>
    </cfRule>
  </conditionalFormatting>
  <conditionalFormatting sqref="C52">
    <cfRule type="cellIs" dxfId="10619" priority="12756" stopIfTrue="1" operator="equal">
      <formula>"Napkin Hs"</formula>
    </cfRule>
  </conditionalFormatting>
  <conditionalFormatting sqref="C52">
    <cfRule type="cellIs" dxfId="10618" priority="12753" stopIfTrue="1" operator="equal">
      <formula>"Towel"</formula>
    </cfRule>
    <cfRule type="cellIs" dxfId="10617" priority="12754" stopIfTrue="1" operator="equal">
      <formula>"Napkin Hs"</formula>
    </cfRule>
  </conditionalFormatting>
  <conditionalFormatting sqref="C52">
    <cfRule type="cellIs" dxfId="10616" priority="12755" stopIfTrue="1" operator="equal">
      <formula>"Towel"</formula>
    </cfRule>
  </conditionalFormatting>
  <conditionalFormatting sqref="C52">
    <cfRule type="cellIs" dxfId="10615" priority="12873" stopIfTrue="1" operator="equal">
      <formula>"Towel"</formula>
    </cfRule>
    <cfRule type="cellIs" dxfId="10614" priority="12874" stopIfTrue="1" operator="equal">
      <formula>"Napkin Hs"</formula>
    </cfRule>
  </conditionalFormatting>
  <conditionalFormatting sqref="C52">
    <cfRule type="cellIs" dxfId="10613" priority="12872" stopIfTrue="1" operator="equal">
      <formula>"Napkin Hs"</formula>
    </cfRule>
  </conditionalFormatting>
  <conditionalFormatting sqref="C52">
    <cfRule type="cellIs" dxfId="10612" priority="12871" stopIfTrue="1" operator="equal">
      <formula>"Towel"</formula>
    </cfRule>
  </conditionalFormatting>
  <conditionalFormatting sqref="C52">
    <cfRule type="cellIs" dxfId="10611" priority="12870" stopIfTrue="1" operator="equal">
      <formula>"Napkin Hs"</formula>
    </cfRule>
  </conditionalFormatting>
  <conditionalFormatting sqref="C52">
    <cfRule type="cellIs" dxfId="10610" priority="12867" stopIfTrue="1" operator="equal">
      <formula>"Towel"</formula>
    </cfRule>
    <cfRule type="cellIs" dxfId="10609" priority="12868" stopIfTrue="1" operator="equal">
      <formula>"Napkin Hs"</formula>
    </cfRule>
  </conditionalFormatting>
  <conditionalFormatting sqref="C52">
    <cfRule type="cellIs" dxfId="10608" priority="12869" stopIfTrue="1" operator="equal">
      <formula>"Towel"</formula>
    </cfRule>
  </conditionalFormatting>
  <conditionalFormatting sqref="C52">
    <cfRule type="cellIs" dxfId="10607" priority="12877" stopIfTrue="1" operator="equal">
      <formula>"Towel"</formula>
    </cfRule>
    <cfRule type="cellIs" dxfId="10606" priority="12878" stopIfTrue="1" operator="equal">
      <formula>"Napkin Hs"</formula>
    </cfRule>
  </conditionalFormatting>
  <conditionalFormatting sqref="C52">
    <cfRule type="cellIs" dxfId="10605" priority="12875" stopIfTrue="1" operator="equal">
      <formula>"Towel"</formula>
    </cfRule>
    <cfRule type="cellIs" dxfId="10604" priority="12876" stopIfTrue="1" operator="equal">
      <formula>"Napkin Hs"</formula>
    </cfRule>
  </conditionalFormatting>
  <conditionalFormatting sqref="C52">
    <cfRule type="cellIs" dxfId="10603" priority="12847" stopIfTrue="1" operator="equal">
      <formula>"Towel"</formula>
    </cfRule>
    <cfRule type="cellIs" dxfId="10602" priority="12848" stopIfTrue="1" operator="equal">
      <formula>"Napkin Hs"</formula>
    </cfRule>
  </conditionalFormatting>
  <conditionalFormatting sqref="C52">
    <cfRule type="cellIs" dxfId="10601" priority="12845" stopIfTrue="1" operator="equal">
      <formula>"Towel"</formula>
    </cfRule>
    <cfRule type="cellIs" dxfId="10600" priority="12846" stopIfTrue="1" operator="equal">
      <formula>"Napkin Hs"</formula>
    </cfRule>
  </conditionalFormatting>
  <conditionalFormatting sqref="C52">
    <cfRule type="cellIs" dxfId="10599" priority="12824" stopIfTrue="1" operator="equal">
      <formula>"Napkin Hs"</formula>
    </cfRule>
  </conditionalFormatting>
  <conditionalFormatting sqref="C52">
    <cfRule type="cellIs" dxfId="10598" priority="12823" stopIfTrue="1" operator="equal">
      <formula>"Towel"</formula>
    </cfRule>
  </conditionalFormatting>
  <conditionalFormatting sqref="C52">
    <cfRule type="cellIs" dxfId="10597" priority="12822" stopIfTrue="1" operator="equal">
      <formula>"Napkin Hs"</formula>
    </cfRule>
  </conditionalFormatting>
  <conditionalFormatting sqref="C52">
    <cfRule type="cellIs" dxfId="10596" priority="12821" stopIfTrue="1" operator="equal">
      <formula>"Towel"</formula>
    </cfRule>
  </conditionalFormatting>
  <conditionalFormatting sqref="C52">
    <cfRule type="cellIs" dxfId="10595" priority="12818" stopIfTrue="1" operator="equal">
      <formula>"Napkin Hs"</formula>
    </cfRule>
  </conditionalFormatting>
  <conditionalFormatting sqref="C52">
    <cfRule type="cellIs" dxfId="10594" priority="12817" stopIfTrue="1" operator="equal">
      <formula>"Towel"</formula>
    </cfRule>
  </conditionalFormatting>
  <conditionalFormatting sqref="C52">
    <cfRule type="cellIs" dxfId="10593" priority="12816" stopIfTrue="1" operator="equal">
      <formula>"Napkin Hs"</formula>
    </cfRule>
  </conditionalFormatting>
  <conditionalFormatting sqref="C52">
    <cfRule type="cellIs" dxfId="10592" priority="12815" stopIfTrue="1" operator="equal">
      <formula>"Towel"</formula>
    </cfRule>
  </conditionalFormatting>
  <conditionalFormatting sqref="C52">
    <cfRule type="cellIs" dxfId="10591" priority="12811" stopIfTrue="1" operator="equal">
      <formula>"Towel"</formula>
    </cfRule>
    <cfRule type="cellIs" dxfId="10590" priority="12812" stopIfTrue="1" operator="equal">
      <formula>"Napkin Hs"</formula>
    </cfRule>
  </conditionalFormatting>
  <conditionalFormatting sqref="C52">
    <cfRule type="cellIs" dxfId="10589" priority="12809" stopIfTrue="1" operator="equal">
      <formula>"Towel"</formula>
    </cfRule>
    <cfRule type="cellIs" dxfId="10588" priority="12810" stopIfTrue="1" operator="equal">
      <formula>"Napkin Hs"</formula>
    </cfRule>
  </conditionalFormatting>
  <conditionalFormatting sqref="C52">
    <cfRule type="cellIs" dxfId="10587" priority="12793" stopIfTrue="1" operator="equal">
      <formula>"Towel"</formula>
    </cfRule>
    <cfRule type="cellIs" dxfId="10586" priority="12794" stopIfTrue="1" operator="equal">
      <formula>"Napkin Hs"</formula>
    </cfRule>
  </conditionalFormatting>
  <conditionalFormatting sqref="C52">
    <cfRule type="cellIs" dxfId="10585" priority="12791" stopIfTrue="1" operator="equal">
      <formula>"Towel"</formula>
    </cfRule>
    <cfRule type="cellIs" dxfId="10584" priority="12792" stopIfTrue="1" operator="equal">
      <formula>"Napkin Hs"</formula>
    </cfRule>
  </conditionalFormatting>
  <conditionalFormatting sqref="B52:C52">
    <cfRule type="cellIs" dxfId="10583" priority="12752" stopIfTrue="1" operator="equal">
      <formula>"Napkin Hs"</formula>
    </cfRule>
  </conditionalFormatting>
  <conditionalFormatting sqref="B52:C52">
    <cfRule type="cellIs" dxfId="10582" priority="12751" stopIfTrue="1" operator="equal">
      <formula>"Towel"</formula>
    </cfRule>
  </conditionalFormatting>
  <conditionalFormatting sqref="C52">
    <cfRule type="cellIs" dxfId="10581" priority="12750" stopIfTrue="1" operator="equal">
      <formula>"Napkin Hs"</formula>
    </cfRule>
  </conditionalFormatting>
  <conditionalFormatting sqref="C52">
    <cfRule type="cellIs" dxfId="10580" priority="12747" stopIfTrue="1" operator="equal">
      <formula>"Towel"</formula>
    </cfRule>
    <cfRule type="cellIs" dxfId="10579" priority="12748" stopIfTrue="1" operator="equal">
      <formula>"Napkin Hs"</formula>
    </cfRule>
  </conditionalFormatting>
  <conditionalFormatting sqref="C52">
    <cfRule type="cellIs" dxfId="10578" priority="12749" stopIfTrue="1" operator="equal">
      <formula>"Towel"</formula>
    </cfRule>
  </conditionalFormatting>
  <conditionalFormatting sqref="C53">
    <cfRule type="cellIs" dxfId="10577" priority="12663" stopIfTrue="1" operator="equal">
      <formula>"Towel"</formula>
    </cfRule>
    <cfRule type="cellIs" dxfId="10576" priority="12664" stopIfTrue="1" operator="equal">
      <formula>"Napkin Hs"</formula>
    </cfRule>
  </conditionalFormatting>
  <conditionalFormatting sqref="C53">
    <cfRule type="cellIs" dxfId="10575" priority="12657" stopIfTrue="1" operator="equal">
      <formula>"Towel"</formula>
    </cfRule>
    <cfRule type="cellIs" dxfId="10574" priority="12658" stopIfTrue="1" operator="equal">
      <formula>"Napkin Hs"</formula>
    </cfRule>
  </conditionalFormatting>
  <conditionalFormatting sqref="C53">
    <cfRule type="cellIs" dxfId="10573" priority="12638" stopIfTrue="1" operator="equal">
      <formula>"Napkin Hs"</formula>
    </cfRule>
  </conditionalFormatting>
  <conditionalFormatting sqref="C53">
    <cfRule type="cellIs" dxfId="10572" priority="12637" stopIfTrue="1" operator="equal">
      <formula>"Towel"</formula>
    </cfRule>
  </conditionalFormatting>
  <conditionalFormatting sqref="C53">
    <cfRule type="cellIs" dxfId="10571" priority="12636" stopIfTrue="1" operator="equal">
      <formula>"Napkin Hs"</formula>
    </cfRule>
  </conditionalFormatting>
  <conditionalFormatting sqref="C53">
    <cfRule type="cellIs" dxfId="10570" priority="12633" stopIfTrue="1" operator="equal">
      <formula>"Towel"</formula>
    </cfRule>
    <cfRule type="cellIs" dxfId="10569" priority="12634" stopIfTrue="1" operator="equal">
      <formula>"Napkin Hs"</formula>
    </cfRule>
  </conditionalFormatting>
  <conditionalFormatting sqref="C53">
    <cfRule type="cellIs" dxfId="10568" priority="12635" stopIfTrue="1" operator="equal">
      <formula>"Towel"</formula>
    </cfRule>
  </conditionalFormatting>
  <conditionalFormatting sqref="C53">
    <cfRule type="cellIs" dxfId="10567" priority="12632" stopIfTrue="1" operator="equal">
      <formula>"Napkin Hs"</formula>
    </cfRule>
  </conditionalFormatting>
  <conditionalFormatting sqref="C53">
    <cfRule type="cellIs" dxfId="10566" priority="12631" stopIfTrue="1" operator="equal">
      <formula>"Towel"</formula>
    </cfRule>
  </conditionalFormatting>
  <conditionalFormatting sqref="C53">
    <cfRule type="cellIs" dxfId="10565" priority="12630" stopIfTrue="1" operator="equal">
      <formula>"Napkin Hs"</formula>
    </cfRule>
  </conditionalFormatting>
  <conditionalFormatting sqref="C53">
    <cfRule type="cellIs" dxfId="10564" priority="12627" stopIfTrue="1" operator="equal">
      <formula>"Towel"</formula>
    </cfRule>
    <cfRule type="cellIs" dxfId="10563" priority="12628" stopIfTrue="1" operator="equal">
      <formula>"Napkin Hs"</formula>
    </cfRule>
  </conditionalFormatting>
  <conditionalFormatting sqref="C53">
    <cfRule type="cellIs" dxfId="10562" priority="12629" stopIfTrue="1" operator="equal">
      <formula>"Towel"</formula>
    </cfRule>
  </conditionalFormatting>
  <conditionalFormatting sqref="C53">
    <cfRule type="cellIs" dxfId="10561" priority="12733" stopIfTrue="1" operator="equal">
      <formula>"Towel"</formula>
    </cfRule>
    <cfRule type="cellIs" dxfId="10560" priority="12734" stopIfTrue="1" operator="equal">
      <formula>"Napkin Hs"</formula>
    </cfRule>
  </conditionalFormatting>
  <conditionalFormatting sqref="C53">
    <cfRule type="cellIs" dxfId="10559" priority="12731" stopIfTrue="1" operator="equal">
      <formula>"Towel"</formula>
    </cfRule>
    <cfRule type="cellIs" dxfId="10558" priority="12732" stopIfTrue="1" operator="equal">
      <formula>"Napkin Hs"</formula>
    </cfRule>
  </conditionalFormatting>
  <conditionalFormatting sqref="C53">
    <cfRule type="cellIs" dxfId="10557" priority="12729" stopIfTrue="1" operator="equal">
      <formula>"Towel"</formula>
    </cfRule>
    <cfRule type="cellIs" dxfId="10556" priority="12730" stopIfTrue="1" operator="equal">
      <formula>"Napkin Hs"</formula>
    </cfRule>
  </conditionalFormatting>
  <conditionalFormatting sqref="C53">
    <cfRule type="cellIs" dxfId="10555" priority="12728" stopIfTrue="1" operator="equal">
      <formula>"Napkin Hs"</formula>
    </cfRule>
  </conditionalFormatting>
  <conditionalFormatting sqref="C53">
    <cfRule type="cellIs" dxfId="10554" priority="12727" stopIfTrue="1" operator="equal">
      <formula>"Towel"</formula>
    </cfRule>
  </conditionalFormatting>
  <conditionalFormatting sqref="C53">
    <cfRule type="cellIs" dxfId="10553" priority="12726" stopIfTrue="1" operator="equal">
      <formula>"Napkin Hs"</formula>
    </cfRule>
  </conditionalFormatting>
  <conditionalFormatting sqref="C53">
    <cfRule type="cellIs" dxfId="10552" priority="12725" stopIfTrue="1" operator="equal">
      <formula>"Towel"</formula>
    </cfRule>
  </conditionalFormatting>
  <conditionalFormatting sqref="C53">
    <cfRule type="cellIs" dxfId="10551" priority="12723" stopIfTrue="1" operator="equal">
      <formula>"Towel"</formula>
    </cfRule>
    <cfRule type="cellIs" dxfId="10550" priority="12724" stopIfTrue="1" operator="equal">
      <formula>"Napkin Hs"</formula>
    </cfRule>
  </conditionalFormatting>
  <conditionalFormatting sqref="C53">
    <cfRule type="cellIs" dxfId="10549" priority="12721" stopIfTrue="1" operator="equal">
      <formula>"Towel"</formula>
    </cfRule>
    <cfRule type="cellIs" dxfId="10548" priority="12722" stopIfTrue="1" operator="equal">
      <formula>"Napkin Hs"</formula>
    </cfRule>
  </conditionalFormatting>
  <conditionalFormatting sqref="C53">
    <cfRule type="cellIs" dxfId="10547" priority="12717" stopIfTrue="1" operator="equal">
      <formula>"Towel"</formula>
    </cfRule>
    <cfRule type="cellIs" dxfId="10546" priority="12718" stopIfTrue="1" operator="equal">
      <formula>"Napkin Hs"</formula>
    </cfRule>
  </conditionalFormatting>
  <conditionalFormatting sqref="C53">
    <cfRule type="cellIs" dxfId="10545" priority="12719" stopIfTrue="1" operator="equal">
      <formula>"Towel"</formula>
    </cfRule>
    <cfRule type="cellIs" dxfId="10544" priority="12720" stopIfTrue="1" operator="equal">
      <formula>"Napkin Hs"</formula>
    </cfRule>
  </conditionalFormatting>
  <conditionalFormatting sqref="C53">
    <cfRule type="cellIs" dxfId="10543" priority="12711" stopIfTrue="1" operator="equal">
      <formula>"Towel"</formula>
    </cfRule>
    <cfRule type="cellIs" dxfId="10542" priority="12712" stopIfTrue="1" operator="equal">
      <formula>"Napkin Hs"</formula>
    </cfRule>
  </conditionalFormatting>
  <conditionalFormatting sqref="C53">
    <cfRule type="cellIs" dxfId="10541" priority="12709" stopIfTrue="1" operator="equal">
      <formula>"Towel"</formula>
    </cfRule>
    <cfRule type="cellIs" dxfId="10540" priority="12710" stopIfTrue="1" operator="equal">
      <formula>"Napkin Hs"</formula>
    </cfRule>
  </conditionalFormatting>
  <conditionalFormatting sqref="C53">
    <cfRule type="cellIs" dxfId="10539" priority="12707" stopIfTrue="1" operator="equal">
      <formula>"Towel"</formula>
    </cfRule>
    <cfRule type="cellIs" dxfId="10538" priority="12708" stopIfTrue="1" operator="equal">
      <formula>"Napkin Hs"</formula>
    </cfRule>
  </conditionalFormatting>
  <conditionalFormatting sqref="C53">
    <cfRule type="cellIs" dxfId="10537" priority="12705" stopIfTrue="1" operator="equal">
      <formula>"Towel"</formula>
    </cfRule>
    <cfRule type="cellIs" dxfId="10536" priority="12706" stopIfTrue="1" operator="equal">
      <formula>"Napkin Hs"</formula>
    </cfRule>
  </conditionalFormatting>
  <conditionalFormatting sqref="C53">
    <cfRule type="cellIs" dxfId="10535" priority="12703" stopIfTrue="1" operator="equal">
      <formula>"Towel"</formula>
    </cfRule>
    <cfRule type="cellIs" dxfId="10534" priority="12704" stopIfTrue="1" operator="equal">
      <formula>"Napkin Hs"</formula>
    </cfRule>
  </conditionalFormatting>
  <conditionalFormatting sqref="C53">
    <cfRule type="cellIs" dxfId="10533" priority="12701" stopIfTrue="1" operator="equal">
      <formula>"Towel"</formula>
    </cfRule>
    <cfRule type="cellIs" dxfId="10532" priority="12702" stopIfTrue="1" operator="equal">
      <formula>"Napkin Hs"</formula>
    </cfRule>
  </conditionalFormatting>
  <conditionalFormatting sqref="C53">
    <cfRule type="cellIs" dxfId="10531" priority="12699" stopIfTrue="1" operator="equal">
      <formula>"Towel"</formula>
    </cfRule>
    <cfRule type="cellIs" dxfId="10530" priority="12700" stopIfTrue="1" operator="equal">
      <formula>"Napkin Hs"</formula>
    </cfRule>
  </conditionalFormatting>
  <conditionalFormatting sqref="C53">
    <cfRule type="cellIs" dxfId="10529" priority="12697" stopIfTrue="1" operator="equal">
      <formula>"Towel"</formula>
    </cfRule>
    <cfRule type="cellIs" dxfId="10528" priority="12698" stopIfTrue="1" operator="equal">
      <formula>"Napkin Hs"</formula>
    </cfRule>
  </conditionalFormatting>
  <conditionalFormatting sqref="C53">
    <cfRule type="cellIs" dxfId="10527" priority="12695" stopIfTrue="1" operator="equal">
      <formula>"Towel"</formula>
    </cfRule>
    <cfRule type="cellIs" dxfId="10526" priority="12696" stopIfTrue="1" operator="equal">
      <formula>"Napkin Hs"</formula>
    </cfRule>
  </conditionalFormatting>
  <conditionalFormatting sqref="C53">
    <cfRule type="cellIs" dxfId="10525" priority="12693" stopIfTrue="1" operator="equal">
      <formula>"Towel"</formula>
    </cfRule>
    <cfRule type="cellIs" dxfId="10524" priority="12694" stopIfTrue="1" operator="equal">
      <formula>"Napkin Hs"</formula>
    </cfRule>
  </conditionalFormatting>
  <conditionalFormatting sqref="C53">
    <cfRule type="cellIs" dxfId="10523" priority="12687" stopIfTrue="1" operator="equal">
      <formula>"Towel"</formula>
    </cfRule>
    <cfRule type="cellIs" dxfId="10522" priority="12688" stopIfTrue="1" operator="equal">
      <formula>"Napkin Hs"</formula>
    </cfRule>
  </conditionalFormatting>
  <conditionalFormatting sqref="C53">
    <cfRule type="cellIs" dxfId="10521" priority="12681" stopIfTrue="1" operator="equal">
      <formula>"Towel"</formula>
    </cfRule>
    <cfRule type="cellIs" dxfId="10520" priority="12682" stopIfTrue="1" operator="equal">
      <formula>"Napkin Hs"</formula>
    </cfRule>
  </conditionalFormatting>
  <conditionalFormatting sqref="C53">
    <cfRule type="cellIs" dxfId="10519" priority="12675" stopIfTrue="1" operator="equal">
      <formula>"Towel"</formula>
    </cfRule>
    <cfRule type="cellIs" dxfId="10518" priority="12676" stopIfTrue="1" operator="equal">
      <formula>"Napkin Hs"</formula>
    </cfRule>
  </conditionalFormatting>
  <conditionalFormatting sqref="C53">
    <cfRule type="cellIs" dxfId="10517" priority="12674" stopIfTrue="1" operator="equal">
      <formula>"Napkin Hs"</formula>
    </cfRule>
  </conditionalFormatting>
  <conditionalFormatting sqref="C53">
    <cfRule type="cellIs" dxfId="10516" priority="12673" stopIfTrue="1" operator="equal">
      <formula>"Towel"</formula>
    </cfRule>
  </conditionalFormatting>
  <conditionalFormatting sqref="C53">
    <cfRule type="cellIs" dxfId="10515" priority="12672" stopIfTrue="1" operator="equal">
      <formula>"Napkin Hs"</formula>
    </cfRule>
  </conditionalFormatting>
  <conditionalFormatting sqref="C53">
    <cfRule type="cellIs" dxfId="10514" priority="12671" stopIfTrue="1" operator="equal">
      <formula>"Towel"</formula>
    </cfRule>
  </conditionalFormatting>
  <conditionalFormatting sqref="C53">
    <cfRule type="cellIs" dxfId="10513" priority="12669" stopIfTrue="1" operator="equal">
      <formula>"Towel"</formula>
    </cfRule>
    <cfRule type="cellIs" dxfId="10512" priority="12670" stopIfTrue="1" operator="equal">
      <formula>"Napkin Hs"</formula>
    </cfRule>
  </conditionalFormatting>
  <conditionalFormatting sqref="C53">
    <cfRule type="cellIs" dxfId="10511" priority="12667" stopIfTrue="1" operator="equal">
      <formula>"Towel"</formula>
    </cfRule>
    <cfRule type="cellIs" dxfId="10510" priority="12668" stopIfTrue="1" operator="equal">
      <formula>"Napkin Hs"</formula>
    </cfRule>
  </conditionalFormatting>
  <conditionalFormatting sqref="C53">
    <cfRule type="cellIs" dxfId="10509" priority="12665" stopIfTrue="1" operator="equal">
      <formula>"Towel"</formula>
    </cfRule>
    <cfRule type="cellIs" dxfId="10508" priority="12666" stopIfTrue="1" operator="equal">
      <formula>"Napkin Hs"</formula>
    </cfRule>
  </conditionalFormatting>
  <conditionalFormatting sqref="C53">
    <cfRule type="cellIs" dxfId="10507" priority="12655" stopIfTrue="1" operator="equal">
      <formula>"Towel"</formula>
    </cfRule>
    <cfRule type="cellIs" dxfId="10506" priority="12656" stopIfTrue="1" operator="equal">
      <formula>"Napkin Hs"</formula>
    </cfRule>
  </conditionalFormatting>
  <conditionalFormatting sqref="C53">
    <cfRule type="cellIs" dxfId="10505" priority="12653" stopIfTrue="1" operator="equal">
      <formula>"Towel"</formula>
    </cfRule>
    <cfRule type="cellIs" dxfId="10504" priority="12654" stopIfTrue="1" operator="equal">
      <formula>"Napkin Hs"</formula>
    </cfRule>
  </conditionalFormatting>
  <conditionalFormatting sqref="C53">
    <cfRule type="cellIs" dxfId="10503" priority="12651" stopIfTrue="1" operator="equal">
      <formula>"Towel"</formula>
    </cfRule>
    <cfRule type="cellIs" dxfId="10502" priority="12652" stopIfTrue="1" operator="equal">
      <formula>"Napkin Hs"</formula>
    </cfRule>
  </conditionalFormatting>
  <conditionalFormatting sqref="C53">
    <cfRule type="cellIs" dxfId="10501" priority="12649" stopIfTrue="1" operator="equal">
      <formula>"Towel"</formula>
    </cfRule>
    <cfRule type="cellIs" dxfId="10500" priority="12650" stopIfTrue="1" operator="equal">
      <formula>"Napkin Hs"</formula>
    </cfRule>
  </conditionalFormatting>
  <conditionalFormatting sqref="C53">
    <cfRule type="cellIs" dxfId="10499" priority="12647" stopIfTrue="1" operator="equal">
      <formula>"Towel"</formula>
    </cfRule>
    <cfRule type="cellIs" dxfId="10498" priority="12648" stopIfTrue="1" operator="equal">
      <formula>"Napkin Hs"</formula>
    </cfRule>
  </conditionalFormatting>
  <conditionalFormatting sqref="C53">
    <cfRule type="cellIs" dxfId="10497" priority="12645" stopIfTrue="1" operator="equal">
      <formula>"Towel"</formula>
    </cfRule>
    <cfRule type="cellIs" dxfId="10496" priority="12646" stopIfTrue="1" operator="equal">
      <formula>"Napkin Hs"</formula>
    </cfRule>
  </conditionalFormatting>
  <conditionalFormatting sqref="C53">
    <cfRule type="cellIs" dxfId="10495" priority="12643" stopIfTrue="1" operator="equal">
      <formula>"Towel"</formula>
    </cfRule>
    <cfRule type="cellIs" dxfId="10494" priority="12644" stopIfTrue="1" operator="equal">
      <formula>"Napkin Hs"</formula>
    </cfRule>
  </conditionalFormatting>
  <conditionalFormatting sqref="C53">
    <cfRule type="cellIs" dxfId="10493" priority="12641" stopIfTrue="1" operator="equal">
      <formula>"Towel"</formula>
    </cfRule>
    <cfRule type="cellIs" dxfId="10492" priority="12642" stopIfTrue="1" operator="equal">
      <formula>"Napkin Hs"</formula>
    </cfRule>
  </conditionalFormatting>
  <conditionalFormatting sqref="C53">
    <cfRule type="cellIs" dxfId="10491" priority="12639" stopIfTrue="1" operator="equal">
      <formula>"Towel"</formula>
    </cfRule>
    <cfRule type="cellIs" dxfId="10490" priority="12640" stopIfTrue="1" operator="equal">
      <formula>"Napkin Hs"</formula>
    </cfRule>
  </conditionalFormatting>
  <conditionalFormatting sqref="C53">
    <cfRule type="cellIs" dxfId="10489" priority="12626" stopIfTrue="1" operator="equal">
      <formula>"Napkin Hs"</formula>
    </cfRule>
  </conditionalFormatting>
  <conditionalFormatting sqref="C53">
    <cfRule type="cellIs" dxfId="10488" priority="12625" stopIfTrue="1" operator="equal">
      <formula>"Towel"</formula>
    </cfRule>
  </conditionalFormatting>
  <conditionalFormatting sqref="C53">
    <cfRule type="cellIs" dxfId="10487" priority="12624" stopIfTrue="1" operator="equal">
      <formula>"Napkin Hs"</formula>
    </cfRule>
  </conditionalFormatting>
  <conditionalFormatting sqref="C53">
    <cfRule type="cellIs" dxfId="10486" priority="12621" stopIfTrue="1" operator="equal">
      <formula>"Towel"</formula>
    </cfRule>
    <cfRule type="cellIs" dxfId="10485" priority="12622" stopIfTrue="1" operator="equal">
      <formula>"Napkin Hs"</formula>
    </cfRule>
  </conditionalFormatting>
  <conditionalFormatting sqref="C53">
    <cfRule type="cellIs" dxfId="10484" priority="12623" stopIfTrue="1" operator="equal">
      <formula>"Towel"</formula>
    </cfRule>
  </conditionalFormatting>
  <conditionalFormatting sqref="C53">
    <cfRule type="cellIs" dxfId="10483" priority="12741" stopIfTrue="1" operator="equal">
      <formula>"Towel"</formula>
    </cfRule>
    <cfRule type="cellIs" dxfId="10482" priority="12742" stopIfTrue="1" operator="equal">
      <formula>"Napkin Hs"</formula>
    </cfRule>
  </conditionalFormatting>
  <conditionalFormatting sqref="C53">
    <cfRule type="cellIs" dxfId="10481" priority="12740" stopIfTrue="1" operator="equal">
      <formula>"Napkin Hs"</formula>
    </cfRule>
  </conditionalFormatting>
  <conditionalFormatting sqref="C53">
    <cfRule type="cellIs" dxfId="10480" priority="12739" stopIfTrue="1" operator="equal">
      <formula>"Towel"</formula>
    </cfRule>
  </conditionalFormatting>
  <conditionalFormatting sqref="C53">
    <cfRule type="cellIs" dxfId="10479" priority="12738" stopIfTrue="1" operator="equal">
      <formula>"Napkin Hs"</formula>
    </cfRule>
  </conditionalFormatting>
  <conditionalFormatting sqref="C53">
    <cfRule type="cellIs" dxfId="10478" priority="12735" stopIfTrue="1" operator="equal">
      <formula>"Towel"</formula>
    </cfRule>
    <cfRule type="cellIs" dxfId="10477" priority="12736" stopIfTrue="1" operator="equal">
      <formula>"Napkin Hs"</formula>
    </cfRule>
  </conditionalFormatting>
  <conditionalFormatting sqref="C53">
    <cfRule type="cellIs" dxfId="10476" priority="12737" stopIfTrue="1" operator="equal">
      <formula>"Towel"</formula>
    </cfRule>
  </conditionalFormatting>
  <conditionalFormatting sqref="C53">
    <cfRule type="cellIs" dxfId="10475" priority="12745" stopIfTrue="1" operator="equal">
      <formula>"Towel"</formula>
    </cfRule>
    <cfRule type="cellIs" dxfId="10474" priority="12746" stopIfTrue="1" operator="equal">
      <formula>"Napkin Hs"</formula>
    </cfRule>
  </conditionalFormatting>
  <conditionalFormatting sqref="C53">
    <cfRule type="cellIs" dxfId="10473" priority="12743" stopIfTrue="1" operator="equal">
      <formula>"Towel"</formula>
    </cfRule>
    <cfRule type="cellIs" dxfId="10472" priority="12744" stopIfTrue="1" operator="equal">
      <formula>"Napkin Hs"</formula>
    </cfRule>
  </conditionalFormatting>
  <conditionalFormatting sqref="C53">
    <cfRule type="cellIs" dxfId="10471" priority="12715" stopIfTrue="1" operator="equal">
      <formula>"Towel"</formula>
    </cfRule>
    <cfRule type="cellIs" dxfId="10470" priority="12716" stopIfTrue="1" operator="equal">
      <formula>"Napkin Hs"</formula>
    </cfRule>
  </conditionalFormatting>
  <conditionalFormatting sqref="C53">
    <cfRule type="cellIs" dxfId="10469" priority="12713" stopIfTrue="1" operator="equal">
      <formula>"Towel"</formula>
    </cfRule>
    <cfRule type="cellIs" dxfId="10468" priority="12714" stopIfTrue="1" operator="equal">
      <formula>"Napkin Hs"</formula>
    </cfRule>
  </conditionalFormatting>
  <conditionalFormatting sqref="C53">
    <cfRule type="cellIs" dxfId="10467" priority="12692" stopIfTrue="1" operator="equal">
      <formula>"Napkin Hs"</formula>
    </cfRule>
  </conditionalFormatting>
  <conditionalFormatting sqref="C53">
    <cfRule type="cellIs" dxfId="10466" priority="12691" stopIfTrue="1" operator="equal">
      <formula>"Towel"</formula>
    </cfRule>
  </conditionalFormatting>
  <conditionalFormatting sqref="C53">
    <cfRule type="cellIs" dxfId="10465" priority="12690" stopIfTrue="1" operator="equal">
      <formula>"Napkin Hs"</formula>
    </cfRule>
  </conditionalFormatting>
  <conditionalFormatting sqref="C53">
    <cfRule type="cellIs" dxfId="10464" priority="12689" stopIfTrue="1" operator="equal">
      <formula>"Towel"</formula>
    </cfRule>
  </conditionalFormatting>
  <conditionalFormatting sqref="C53">
    <cfRule type="cellIs" dxfId="10463" priority="12686" stopIfTrue="1" operator="equal">
      <formula>"Napkin Hs"</formula>
    </cfRule>
  </conditionalFormatting>
  <conditionalFormatting sqref="C53">
    <cfRule type="cellIs" dxfId="10462" priority="12685" stopIfTrue="1" operator="equal">
      <formula>"Towel"</formula>
    </cfRule>
  </conditionalFormatting>
  <conditionalFormatting sqref="C53">
    <cfRule type="cellIs" dxfId="10461" priority="12684" stopIfTrue="1" operator="equal">
      <formula>"Napkin Hs"</formula>
    </cfRule>
  </conditionalFormatting>
  <conditionalFormatting sqref="C53">
    <cfRule type="cellIs" dxfId="10460" priority="12683" stopIfTrue="1" operator="equal">
      <formula>"Towel"</formula>
    </cfRule>
  </conditionalFormatting>
  <conditionalFormatting sqref="C53">
    <cfRule type="cellIs" dxfId="10459" priority="12679" stopIfTrue="1" operator="equal">
      <formula>"Towel"</formula>
    </cfRule>
    <cfRule type="cellIs" dxfId="10458" priority="12680" stopIfTrue="1" operator="equal">
      <formula>"Napkin Hs"</formula>
    </cfRule>
  </conditionalFormatting>
  <conditionalFormatting sqref="C53">
    <cfRule type="cellIs" dxfId="10457" priority="12677" stopIfTrue="1" operator="equal">
      <formula>"Towel"</formula>
    </cfRule>
    <cfRule type="cellIs" dxfId="10456" priority="12678" stopIfTrue="1" operator="equal">
      <formula>"Napkin Hs"</formula>
    </cfRule>
  </conditionalFormatting>
  <conditionalFormatting sqref="C53">
    <cfRule type="cellIs" dxfId="10455" priority="12661" stopIfTrue="1" operator="equal">
      <formula>"Towel"</formula>
    </cfRule>
    <cfRule type="cellIs" dxfId="10454" priority="12662" stopIfTrue="1" operator="equal">
      <formula>"Napkin Hs"</formula>
    </cfRule>
  </conditionalFormatting>
  <conditionalFormatting sqref="C53">
    <cfRule type="cellIs" dxfId="10453" priority="12659" stopIfTrue="1" operator="equal">
      <formula>"Towel"</formula>
    </cfRule>
    <cfRule type="cellIs" dxfId="10452" priority="12660" stopIfTrue="1" operator="equal">
      <formula>"Napkin Hs"</formula>
    </cfRule>
  </conditionalFormatting>
  <conditionalFormatting sqref="B53:C53">
    <cfRule type="cellIs" dxfId="10451" priority="12620" stopIfTrue="1" operator="equal">
      <formula>"Napkin Hs"</formula>
    </cfRule>
  </conditionalFormatting>
  <conditionalFormatting sqref="B53:C53">
    <cfRule type="cellIs" dxfId="10450" priority="12619" stopIfTrue="1" operator="equal">
      <formula>"Towel"</formula>
    </cfRule>
  </conditionalFormatting>
  <conditionalFormatting sqref="C53">
    <cfRule type="cellIs" dxfId="10449" priority="12618" stopIfTrue="1" operator="equal">
      <formula>"Napkin Hs"</formula>
    </cfRule>
  </conditionalFormatting>
  <conditionalFormatting sqref="C53">
    <cfRule type="cellIs" dxfId="10448" priority="12615" stopIfTrue="1" operator="equal">
      <formula>"Towel"</formula>
    </cfRule>
    <cfRule type="cellIs" dxfId="10447" priority="12616" stopIfTrue="1" operator="equal">
      <formula>"Napkin Hs"</formula>
    </cfRule>
  </conditionalFormatting>
  <conditionalFormatting sqref="C53">
    <cfRule type="cellIs" dxfId="10446" priority="12617" stopIfTrue="1" operator="equal">
      <formula>"Towel"</formula>
    </cfRule>
  </conditionalFormatting>
  <conditionalFormatting sqref="B62:C62">
    <cfRule type="cellIs" dxfId="10445" priority="12614" stopIfTrue="1" operator="equal">
      <formula>"Napkin Hs"</formula>
    </cfRule>
  </conditionalFormatting>
  <conditionalFormatting sqref="B62:C62">
    <cfRule type="cellIs" dxfId="10444" priority="12613" stopIfTrue="1" operator="equal">
      <formula>"Towel"</formula>
    </cfRule>
  </conditionalFormatting>
  <conditionalFormatting sqref="B61:C61">
    <cfRule type="cellIs" dxfId="10443" priority="12609" stopIfTrue="1" operator="equal">
      <formula>"Towel"</formula>
    </cfRule>
    <cfRule type="cellIs" dxfId="10442" priority="12610" stopIfTrue="1" operator="equal">
      <formula>"Napkin Hs"</formula>
    </cfRule>
  </conditionalFormatting>
  <conditionalFormatting sqref="C62">
    <cfRule type="cellIs" dxfId="10441" priority="12612" stopIfTrue="1" operator="equal">
      <formula>"Napkin Hs"</formula>
    </cfRule>
  </conditionalFormatting>
  <conditionalFormatting sqref="C62">
    <cfRule type="cellIs" dxfId="10440" priority="12611" stopIfTrue="1" operator="equal">
      <formula>"Towel"</formula>
    </cfRule>
  </conditionalFormatting>
  <conditionalFormatting sqref="C61">
    <cfRule type="cellIs" dxfId="10439" priority="12605" stopIfTrue="1" operator="equal">
      <formula>"Towel"</formula>
    </cfRule>
    <cfRule type="cellIs" dxfId="10438" priority="12606" stopIfTrue="1" operator="equal">
      <formula>"Napkin Hs"</formula>
    </cfRule>
  </conditionalFormatting>
  <conditionalFormatting sqref="C61:C63">
    <cfRule type="cellIs" dxfId="10437" priority="12607" stopIfTrue="1" operator="equal">
      <formula>"Towel"</formula>
    </cfRule>
    <cfRule type="cellIs" dxfId="10436" priority="12608" stopIfTrue="1" operator="equal">
      <formula>"Napkin Hs"</formula>
    </cfRule>
  </conditionalFormatting>
  <conditionalFormatting sqref="C64">
    <cfRule type="cellIs" dxfId="10435" priority="12529" stopIfTrue="1" operator="equal">
      <formula>"Towel"</formula>
    </cfRule>
    <cfRule type="cellIs" dxfId="10434" priority="12530" stopIfTrue="1" operator="equal">
      <formula>"Napkin Hs"</formula>
    </cfRule>
  </conditionalFormatting>
  <conditionalFormatting sqref="B64:C64">
    <cfRule type="cellIs" dxfId="10433" priority="12527" stopIfTrue="1" operator="equal">
      <formula>"Towel"</formula>
    </cfRule>
    <cfRule type="cellIs" dxfId="10432" priority="12528" stopIfTrue="1" operator="equal">
      <formula>"Napkin Hs"</formula>
    </cfRule>
  </conditionalFormatting>
  <conditionalFormatting sqref="C64">
    <cfRule type="cellIs" dxfId="10431" priority="12525" stopIfTrue="1" operator="equal">
      <formula>"Towel"</formula>
    </cfRule>
    <cfRule type="cellIs" dxfId="10430" priority="12526" stopIfTrue="1" operator="equal">
      <formula>"Napkin Hs"</formula>
    </cfRule>
  </conditionalFormatting>
  <conditionalFormatting sqref="C64">
    <cfRule type="cellIs" dxfId="10429" priority="12517" stopIfTrue="1" operator="equal">
      <formula>"Towel"</formula>
    </cfRule>
    <cfRule type="cellIs" dxfId="10428" priority="12518" stopIfTrue="1" operator="equal">
      <formula>"Napkin Hs"</formula>
    </cfRule>
  </conditionalFormatting>
  <conditionalFormatting sqref="B64:C64">
    <cfRule type="cellIs" dxfId="10427" priority="12593" stopIfTrue="1" operator="equal">
      <formula>"Towel"</formula>
    </cfRule>
    <cfRule type="cellIs" dxfId="10426" priority="12594" stopIfTrue="1" operator="equal">
      <formula>"Napkin Hs"</formula>
    </cfRule>
  </conditionalFormatting>
  <conditionalFormatting sqref="C64">
    <cfRule type="cellIs" dxfId="10425" priority="12589" stopIfTrue="1" operator="equal">
      <formula>"Towel"</formula>
    </cfRule>
    <cfRule type="cellIs" dxfId="10424" priority="12590" stopIfTrue="1" operator="equal">
      <formula>"Napkin Hs"</formula>
    </cfRule>
  </conditionalFormatting>
  <conditionalFormatting sqref="C64">
    <cfRule type="cellIs" dxfId="10423" priority="12591" stopIfTrue="1" operator="equal">
      <formula>"Towel"</formula>
    </cfRule>
    <cfRule type="cellIs" dxfId="10422" priority="12592" stopIfTrue="1" operator="equal">
      <formula>"Napkin Hs"</formula>
    </cfRule>
  </conditionalFormatting>
  <conditionalFormatting sqref="B64:C64">
    <cfRule type="cellIs" dxfId="10421" priority="12558" stopIfTrue="1" operator="equal">
      <formula>"Napkin Hs"</formula>
    </cfRule>
  </conditionalFormatting>
  <conditionalFormatting sqref="B64:C64">
    <cfRule type="cellIs" dxfId="10420" priority="12557" stopIfTrue="1" operator="equal">
      <formula>"Towel"</formula>
    </cfRule>
  </conditionalFormatting>
  <conditionalFormatting sqref="C64">
    <cfRule type="cellIs" dxfId="10419" priority="12556" stopIfTrue="1" operator="equal">
      <formula>"Napkin Hs"</formula>
    </cfRule>
  </conditionalFormatting>
  <conditionalFormatting sqref="C64">
    <cfRule type="cellIs" dxfId="10418" priority="12555" stopIfTrue="1" operator="equal">
      <formula>"Towel"</formula>
    </cfRule>
  </conditionalFormatting>
  <conditionalFormatting sqref="C64">
    <cfRule type="cellIs" dxfId="10417" priority="12553" stopIfTrue="1" operator="equal">
      <formula>"Towel"</formula>
    </cfRule>
    <cfRule type="cellIs" dxfId="10416" priority="12554" stopIfTrue="1" operator="equal">
      <formula>"Napkin Hs"</formula>
    </cfRule>
  </conditionalFormatting>
  <conditionalFormatting sqref="B64:C64">
    <cfRule type="cellIs" dxfId="10415" priority="12551" stopIfTrue="1" operator="equal">
      <formula>"Towel"</formula>
    </cfRule>
    <cfRule type="cellIs" dxfId="10414" priority="12552" stopIfTrue="1" operator="equal">
      <formula>"Napkin Hs"</formula>
    </cfRule>
  </conditionalFormatting>
  <conditionalFormatting sqref="C64">
    <cfRule type="cellIs" dxfId="10413" priority="12549" stopIfTrue="1" operator="equal">
      <formula>"Towel"</formula>
    </cfRule>
    <cfRule type="cellIs" dxfId="10412" priority="12550" stopIfTrue="1" operator="equal">
      <formula>"Napkin Hs"</formula>
    </cfRule>
  </conditionalFormatting>
  <conditionalFormatting sqref="C64">
    <cfRule type="cellIs" dxfId="10411" priority="12547" stopIfTrue="1" operator="equal">
      <formula>"Towel"</formula>
    </cfRule>
    <cfRule type="cellIs" dxfId="10410" priority="12548" stopIfTrue="1" operator="equal">
      <formula>"Napkin Hs"</formula>
    </cfRule>
  </conditionalFormatting>
  <conditionalFormatting sqref="B64:C64">
    <cfRule type="cellIs" dxfId="10409" priority="12545" stopIfTrue="1" operator="equal">
      <formula>"Towel"</formula>
    </cfRule>
    <cfRule type="cellIs" dxfId="10408" priority="12546" stopIfTrue="1" operator="equal">
      <formula>"Napkin Hs"</formula>
    </cfRule>
  </conditionalFormatting>
  <conditionalFormatting sqref="C64">
    <cfRule type="cellIs" dxfId="10407" priority="12543" stopIfTrue="1" operator="equal">
      <formula>"Towel"</formula>
    </cfRule>
    <cfRule type="cellIs" dxfId="10406" priority="12544" stopIfTrue="1" operator="equal">
      <formula>"Napkin Hs"</formula>
    </cfRule>
  </conditionalFormatting>
  <conditionalFormatting sqref="C64">
    <cfRule type="cellIs" dxfId="10405" priority="12541" stopIfTrue="1" operator="equal">
      <formula>"Towel"</formula>
    </cfRule>
    <cfRule type="cellIs" dxfId="10404" priority="12542" stopIfTrue="1" operator="equal">
      <formula>"Napkin Hs"</formula>
    </cfRule>
  </conditionalFormatting>
  <conditionalFormatting sqref="B64:C64">
    <cfRule type="cellIs" dxfId="10403" priority="12539" stopIfTrue="1" operator="equal">
      <formula>"Towel"</formula>
    </cfRule>
    <cfRule type="cellIs" dxfId="10402" priority="12540" stopIfTrue="1" operator="equal">
      <formula>"Napkin Hs"</formula>
    </cfRule>
  </conditionalFormatting>
  <conditionalFormatting sqref="C64">
    <cfRule type="cellIs" dxfId="10401" priority="12537" stopIfTrue="1" operator="equal">
      <formula>"Towel"</formula>
    </cfRule>
    <cfRule type="cellIs" dxfId="10400" priority="12538" stopIfTrue="1" operator="equal">
      <formula>"Napkin Hs"</formula>
    </cfRule>
  </conditionalFormatting>
  <conditionalFormatting sqref="C64">
    <cfRule type="cellIs" dxfId="10399" priority="12535" stopIfTrue="1" operator="equal">
      <formula>"Towel"</formula>
    </cfRule>
    <cfRule type="cellIs" dxfId="10398" priority="12536" stopIfTrue="1" operator="equal">
      <formula>"Napkin Hs"</formula>
    </cfRule>
  </conditionalFormatting>
  <conditionalFormatting sqref="B64:C64">
    <cfRule type="cellIs" dxfId="10397" priority="12533" stopIfTrue="1" operator="equal">
      <formula>"Towel"</formula>
    </cfRule>
    <cfRule type="cellIs" dxfId="10396" priority="12534" stopIfTrue="1" operator="equal">
      <formula>"Napkin Hs"</formula>
    </cfRule>
  </conditionalFormatting>
  <conditionalFormatting sqref="C64">
    <cfRule type="cellIs" dxfId="10395" priority="12531" stopIfTrue="1" operator="equal">
      <formula>"Towel"</formula>
    </cfRule>
    <cfRule type="cellIs" dxfId="10394" priority="12532" stopIfTrue="1" operator="equal">
      <formula>"Napkin Hs"</formula>
    </cfRule>
  </conditionalFormatting>
  <conditionalFormatting sqref="C64">
    <cfRule type="cellIs" dxfId="10393" priority="12523" stopIfTrue="1" operator="equal">
      <formula>"Towel"</formula>
    </cfRule>
    <cfRule type="cellIs" dxfId="10392" priority="12524" stopIfTrue="1" operator="equal">
      <formula>"Napkin Hs"</formula>
    </cfRule>
  </conditionalFormatting>
  <conditionalFormatting sqref="B64:C64">
    <cfRule type="cellIs" dxfId="10391" priority="12522" stopIfTrue="1" operator="equal">
      <formula>"Napkin Hs"</formula>
    </cfRule>
  </conditionalFormatting>
  <conditionalFormatting sqref="B64:C64">
    <cfRule type="cellIs" dxfId="10390" priority="12521" stopIfTrue="1" operator="equal">
      <formula>"Towel"</formula>
    </cfRule>
  </conditionalFormatting>
  <conditionalFormatting sqref="C64">
    <cfRule type="cellIs" dxfId="10389" priority="12520" stopIfTrue="1" operator="equal">
      <formula>"Napkin Hs"</formula>
    </cfRule>
  </conditionalFormatting>
  <conditionalFormatting sqref="C64">
    <cfRule type="cellIs" dxfId="10388" priority="12519" stopIfTrue="1" operator="equal">
      <formula>"Towel"</formula>
    </cfRule>
  </conditionalFormatting>
  <conditionalFormatting sqref="B63:C63">
    <cfRule type="cellIs" dxfId="10387" priority="12515" stopIfTrue="1" operator="equal">
      <formula>"Towel"</formula>
    </cfRule>
    <cfRule type="cellIs" dxfId="10386" priority="12516" stopIfTrue="1" operator="equal">
      <formula>"Napkin Hs"</formula>
    </cfRule>
  </conditionalFormatting>
  <conditionalFormatting sqref="C63">
    <cfRule type="cellIs" dxfId="10385" priority="12511" stopIfTrue="1" operator="equal">
      <formula>"Towel"</formula>
    </cfRule>
    <cfRule type="cellIs" dxfId="10384" priority="12512" stopIfTrue="1" operator="equal">
      <formula>"Napkin Hs"</formula>
    </cfRule>
  </conditionalFormatting>
  <conditionalFormatting sqref="C63">
    <cfRule type="cellIs" dxfId="10383" priority="12513" stopIfTrue="1" operator="equal">
      <formula>"Towel"</formula>
    </cfRule>
    <cfRule type="cellIs" dxfId="10382" priority="12514" stopIfTrue="1" operator="equal">
      <formula>"Napkin Hs"</formula>
    </cfRule>
  </conditionalFormatting>
  <conditionalFormatting sqref="B63:C63">
    <cfRule type="cellIs" dxfId="10381" priority="12510" stopIfTrue="1" operator="equal">
      <formula>"Napkin Hs"</formula>
    </cfRule>
  </conditionalFormatting>
  <conditionalFormatting sqref="B63:C63">
    <cfRule type="cellIs" dxfId="10380" priority="12509" stopIfTrue="1" operator="equal">
      <formula>"Towel"</formula>
    </cfRule>
  </conditionalFormatting>
  <conditionalFormatting sqref="C63">
    <cfRule type="cellIs" dxfId="10379" priority="12508" stopIfTrue="1" operator="equal">
      <formula>"Napkin Hs"</formula>
    </cfRule>
  </conditionalFormatting>
  <conditionalFormatting sqref="C63">
    <cfRule type="cellIs" dxfId="10378" priority="12507" stopIfTrue="1" operator="equal">
      <formula>"Towel"</formula>
    </cfRule>
  </conditionalFormatting>
  <conditionalFormatting sqref="C63">
    <cfRule type="cellIs" dxfId="10377" priority="12505" stopIfTrue="1" operator="equal">
      <formula>"Towel"</formula>
    </cfRule>
    <cfRule type="cellIs" dxfId="10376" priority="12506" stopIfTrue="1" operator="equal">
      <formula>"Napkin Hs"</formula>
    </cfRule>
  </conditionalFormatting>
  <conditionalFormatting sqref="B63:C63">
    <cfRule type="cellIs" dxfId="10375" priority="12503" stopIfTrue="1" operator="equal">
      <formula>"Towel"</formula>
    </cfRule>
    <cfRule type="cellIs" dxfId="10374" priority="12504" stopIfTrue="1" operator="equal">
      <formula>"Napkin Hs"</formula>
    </cfRule>
  </conditionalFormatting>
  <conditionalFormatting sqref="C63">
    <cfRule type="cellIs" dxfId="10373" priority="12501" stopIfTrue="1" operator="equal">
      <formula>"Towel"</formula>
    </cfRule>
    <cfRule type="cellIs" dxfId="10372" priority="12502" stopIfTrue="1" operator="equal">
      <formula>"Napkin Hs"</formula>
    </cfRule>
  </conditionalFormatting>
  <conditionalFormatting sqref="C63">
    <cfRule type="cellIs" dxfId="10371" priority="12499" stopIfTrue="1" operator="equal">
      <formula>"Towel"</formula>
    </cfRule>
    <cfRule type="cellIs" dxfId="10370" priority="12500" stopIfTrue="1" operator="equal">
      <formula>"Napkin Hs"</formula>
    </cfRule>
  </conditionalFormatting>
  <conditionalFormatting sqref="B63:C63">
    <cfRule type="cellIs" dxfId="10369" priority="12497" stopIfTrue="1" operator="equal">
      <formula>"Towel"</formula>
    </cfRule>
    <cfRule type="cellIs" dxfId="10368" priority="12498" stopIfTrue="1" operator="equal">
      <formula>"Napkin Hs"</formula>
    </cfRule>
  </conditionalFormatting>
  <conditionalFormatting sqref="C63">
    <cfRule type="cellIs" dxfId="10367" priority="12495" stopIfTrue="1" operator="equal">
      <formula>"Towel"</formula>
    </cfRule>
    <cfRule type="cellIs" dxfId="10366" priority="12496" stopIfTrue="1" operator="equal">
      <formula>"Napkin Hs"</formula>
    </cfRule>
  </conditionalFormatting>
  <conditionalFormatting sqref="C63">
    <cfRule type="cellIs" dxfId="10365" priority="12493" stopIfTrue="1" operator="equal">
      <formula>"Towel"</formula>
    </cfRule>
    <cfRule type="cellIs" dxfId="10364" priority="12494" stopIfTrue="1" operator="equal">
      <formula>"Napkin Hs"</formula>
    </cfRule>
  </conditionalFormatting>
  <conditionalFormatting sqref="B63:C63">
    <cfRule type="cellIs" dxfId="10363" priority="12491" stopIfTrue="1" operator="equal">
      <formula>"Towel"</formula>
    </cfRule>
    <cfRule type="cellIs" dxfId="10362" priority="12492" stopIfTrue="1" operator="equal">
      <formula>"Napkin Hs"</formula>
    </cfRule>
  </conditionalFormatting>
  <conditionalFormatting sqref="C63">
    <cfRule type="cellIs" dxfId="10361" priority="12489" stopIfTrue="1" operator="equal">
      <formula>"Towel"</formula>
    </cfRule>
    <cfRule type="cellIs" dxfId="10360" priority="12490" stopIfTrue="1" operator="equal">
      <formula>"Napkin Hs"</formula>
    </cfRule>
  </conditionalFormatting>
  <conditionalFormatting sqref="C63">
    <cfRule type="cellIs" dxfId="10359" priority="12487" stopIfTrue="1" operator="equal">
      <formula>"Towel"</formula>
    </cfRule>
    <cfRule type="cellIs" dxfId="10358" priority="12488" stopIfTrue="1" operator="equal">
      <formula>"Napkin Hs"</formula>
    </cfRule>
  </conditionalFormatting>
  <conditionalFormatting sqref="B63:C63">
    <cfRule type="cellIs" dxfId="10357" priority="12485" stopIfTrue="1" operator="equal">
      <formula>"Towel"</formula>
    </cfRule>
    <cfRule type="cellIs" dxfId="10356" priority="12486" stopIfTrue="1" operator="equal">
      <formula>"Napkin Hs"</formula>
    </cfRule>
  </conditionalFormatting>
  <conditionalFormatting sqref="C63">
    <cfRule type="cellIs" dxfId="10355" priority="12483" stopIfTrue="1" operator="equal">
      <formula>"Towel"</formula>
    </cfRule>
    <cfRule type="cellIs" dxfId="10354" priority="12484" stopIfTrue="1" operator="equal">
      <formula>"Napkin Hs"</formula>
    </cfRule>
  </conditionalFormatting>
  <conditionalFormatting sqref="C63">
    <cfRule type="cellIs" dxfId="10353" priority="12481" stopIfTrue="1" operator="equal">
      <formula>"Towel"</formula>
    </cfRule>
    <cfRule type="cellIs" dxfId="10352" priority="12482" stopIfTrue="1" operator="equal">
      <formula>"Napkin Hs"</formula>
    </cfRule>
  </conditionalFormatting>
  <conditionalFormatting sqref="B63:C63">
    <cfRule type="cellIs" dxfId="10351" priority="12479" stopIfTrue="1" operator="equal">
      <formula>"Towel"</formula>
    </cfRule>
    <cfRule type="cellIs" dxfId="10350" priority="12480" stopIfTrue="1" operator="equal">
      <formula>"Napkin Hs"</formula>
    </cfRule>
  </conditionalFormatting>
  <conditionalFormatting sqref="C63">
    <cfRule type="cellIs" dxfId="10349" priority="12477" stopIfTrue="1" operator="equal">
      <formula>"Towel"</formula>
    </cfRule>
    <cfRule type="cellIs" dxfId="10348" priority="12478" stopIfTrue="1" operator="equal">
      <formula>"Napkin Hs"</formula>
    </cfRule>
  </conditionalFormatting>
  <conditionalFormatting sqref="C63">
    <cfRule type="cellIs" dxfId="10347" priority="12475" stopIfTrue="1" operator="equal">
      <formula>"Towel"</formula>
    </cfRule>
    <cfRule type="cellIs" dxfId="10346" priority="12476" stopIfTrue="1" operator="equal">
      <formula>"Napkin Hs"</formula>
    </cfRule>
  </conditionalFormatting>
  <conditionalFormatting sqref="B63:C63">
    <cfRule type="cellIs" dxfId="10345" priority="12474" stopIfTrue="1" operator="equal">
      <formula>"Napkin Hs"</formula>
    </cfRule>
  </conditionalFormatting>
  <conditionalFormatting sqref="B63:C63">
    <cfRule type="cellIs" dxfId="10344" priority="12473" stopIfTrue="1" operator="equal">
      <formula>"Towel"</formula>
    </cfRule>
  </conditionalFormatting>
  <conditionalFormatting sqref="C63">
    <cfRule type="cellIs" dxfId="10343" priority="12472" stopIfTrue="1" operator="equal">
      <formula>"Napkin Hs"</formula>
    </cfRule>
  </conditionalFormatting>
  <conditionalFormatting sqref="C63">
    <cfRule type="cellIs" dxfId="10342" priority="12469" stopIfTrue="1" operator="equal">
      <formula>"Towel"</formula>
    </cfRule>
    <cfRule type="cellIs" dxfId="10341" priority="12470" stopIfTrue="1" operator="equal">
      <formula>"Napkin Hs"</formula>
    </cfRule>
  </conditionalFormatting>
  <conditionalFormatting sqref="C63">
    <cfRule type="cellIs" dxfId="10340" priority="12471" stopIfTrue="1" operator="equal">
      <formula>"Towel"</formula>
    </cfRule>
  </conditionalFormatting>
  <conditionalFormatting sqref="B59:C59">
    <cfRule type="cellIs" dxfId="10339" priority="12419" stopIfTrue="1" operator="equal">
      <formula>"Towel"</formula>
    </cfRule>
    <cfRule type="cellIs" dxfId="10338" priority="12420" stopIfTrue="1" operator="equal">
      <formula>"Napkin Hs"</formula>
    </cfRule>
  </conditionalFormatting>
  <conditionalFormatting sqref="C59">
    <cfRule type="cellIs" dxfId="10337" priority="12415" stopIfTrue="1" operator="equal">
      <formula>"Towel"</formula>
    </cfRule>
    <cfRule type="cellIs" dxfId="10336" priority="12416" stopIfTrue="1" operator="equal">
      <formula>"Napkin Hs"</formula>
    </cfRule>
  </conditionalFormatting>
  <conditionalFormatting sqref="C59">
    <cfRule type="cellIs" dxfId="10335" priority="12417" stopIfTrue="1" operator="equal">
      <formula>"Towel"</formula>
    </cfRule>
    <cfRule type="cellIs" dxfId="10334" priority="12418" stopIfTrue="1" operator="equal">
      <formula>"Napkin Hs"</formula>
    </cfRule>
  </conditionalFormatting>
  <conditionalFormatting sqref="B59:C59">
    <cfRule type="cellIs" dxfId="10333" priority="12413" stopIfTrue="1" operator="equal">
      <formula>"Towel"</formula>
    </cfRule>
    <cfRule type="cellIs" dxfId="10332" priority="12414" stopIfTrue="1" operator="equal">
      <formula>"Napkin Hs"</formula>
    </cfRule>
  </conditionalFormatting>
  <conditionalFormatting sqref="C59">
    <cfRule type="cellIs" dxfId="10331" priority="12409" stopIfTrue="1" operator="equal">
      <formula>"Towel"</formula>
    </cfRule>
    <cfRule type="cellIs" dxfId="10330" priority="12410" stopIfTrue="1" operator="equal">
      <formula>"Napkin Hs"</formula>
    </cfRule>
  </conditionalFormatting>
  <conditionalFormatting sqref="C59">
    <cfRule type="cellIs" dxfId="10329" priority="12411" stopIfTrue="1" operator="equal">
      <formula>"Towel"</formula>
    </cfRule>
    <cfRule type="cellIs" dxfId="10328" priority="12412" stopIfTrue="1" operator="equal">
      <formula>"Napkin Hs"</formula>
    </cfRule>
  </conditionalFormatting>
  <conditionalFormatting sqref="B59:C59">
    <cfRule type="cellIs" dxfId="10327" priority="12407" stopIfTrue="1" operator="equal">
      <formula>"Towel"</formula>
    </cfRule>
    <cfRule type="cellIs" dxfId="10326" priority="12408" stopIfTrue="1" operator="equal">
      <formula>"Napkin Hs"</formula>
    </cfRule>
  </conditionalFormatting>
  <conditionalFormatting sqref="C59">
    <cfRule type="cellIs" dxfId="10325" priority="12405" stopIfTrue="1" operator="equal">
      <formula>"Towel"</formula>
    </cfRule>
    <cfRule type="cellIs" dxfId="10324" priority="12406" stopIfTrue="1" operator="equal">
      <formula>"Napkin Hs"</formula>
    </cfRule>
  </conditionalFormatting>
  <conditionalFormatting sqref="C59">
    <cfRule type="cellIs" dxfId="10323" priority="12403" stopIfTrue="1" operator="equal">
      <formula>"Towel"</formula>
    </cfRule>
    <cfRule type="cellIs" dxfId="10322" priority="12404" stopIfTrue="1" operator="equal">
      <formula>"Napkin Hs"</formula>
    </cfRule>
  </conditionalFormatting>
  <conditionalFormatting sqref="B59:C59">
    <cfRule type="cellIs" dxfId="10321" priority="12402" stopIfTrue="1" operator="equal">
      <formula>"Napkin Hs"</formula>
    </cfRule>
  </conditionalFormatting>
  <conditionalFormatting sqref="B59:C59">
    <cfRule type="cellIs" dxfId="10320" priority="12401" stopIfTrue="1" operator="equal">
      <formula>"Towel"</formula>
    </cfRule>
  </conditionalFormatting>
  <conditionalFormatting sqref="C59">
    <cfRule type="cellIs" dxfId="10319" priority="12400" stopIfTrue="1" operator="equal">
      <formula>"Napkin Hs"</formula>
    </cfRule>
  </conditionalFormatting>
  <conditionalFormatting sqref="C59">
    <cfRule type="cellIs" dxfId="10318" priority="12399" stopIfTrue="1" operator="equal">
      <formula>"Towel"</formula>
    </cfRule>
  </conditionalFormatting>
  <conditionalFormatting sqref="C59">
    <cfRule type="cellIs" dxfId="10317" priority="12397" stopIfTrue="1" operator="equal">
      <formula>"Towel"</formula>
    </cfRule>
    <cfRule type="cellIs" dxfId="10316" priority="12398" stopIfTrue="1" operator="equal">
      <formula>"Napkin Hs"</formula>
    </cfRule>
  </conditionalFormatting>
  <conditionalFormatting sqref="C59">
    <cfRule type="cellIs" dxfId="10315" priority="12395" stopIfTrue="1" operator="equal">
      <formula>"Towel"</formula>
    </cfRule>
    <cfRule type="cellIs" dxfId="10314" priority="12396" stopIfTrue="1" operator="equal">
      <formula>"Napkin Hs"</formula>
    </cfRule>
  </conditionalFormatting>
  <conditionalFormatting sqref="C59">
    <cfRule type="cellIs" dxfId="10313" priority="12311" stopIfTrue="1" operator="equal">
      <formula>"Towel"</formula>
    </cfRule>
    <cfRule type="cellIs" dxfId="10312" priority="12312" stopIfTrue="1" operator="equal">
      <formula>"Napkin Hs"</formula>
    </cfRule>
  </conditionalFormatting>
  <conditionalFormatting sqref="C59">
    <cfRule type="cellIs" dxfId="10311" priority="12305" stopIfTrue="1" operator="equal">
      <formula>"Towel"</formula>
    </cfRule>
    <cfRule type="cellIs" dxfId="10310" priority="12306" stopIfTrue="1" operator="equal">
      <formula>"Napkin Hs"</formula>
    </cfRule>
  </conditionalFormatting>
  <conditionalFormatting sqref="C59">
    <cfRule type="cellIs" dxfId="10309" priority="12286" stopIfTrue="1" operator="equal">
      <formula>"Napkin Hs"</formula>
    </cfRule>
  </conditionalFormatting>
  <conditionalFormatting sqref="C59">
    <cfRule type="cellIs" dxfId="10308" priority="12285" stopIfTrue="1" operator="equal">
      <formula>"Towel"</formula>
    </cfRule>
  </conditionalFormatting>
  <conditionalFormatting sqref="C59">
    <cfRule type="cellIs" dxfId="10307" priority="12284" stopIfTrue="1" operator="equal">
      <formula>"Napkin Hs"</formula>
    </cfRule>
  </conditionalFormatting>
  <conditionalFormatting sqref="C59">
    <cfRule type="cellIs" dxfId="10306" priority="12281" stopIfTrue="1" operator="equal">
      <formula>"Towel"</formula>
    </cfRule>
    <cfRule type="cellIs" dxfId="10305" priority="12282" stopIfTrue="1" operator="equal">
      <formula>"Napkin Hs"</formula>
    </cfRule>
  </conditionalFormatting>
  <conditionalFormatting sqref="C59">
    <cfRule type="cellIs" dxfId="10304" priority="12283" stopIfTrue="1" operator="equal">
      <formula>"Towel"</formula>
    </cfRule>
  </conditionalFormatting>
  <conditionalFormatting sqref="C59">
    <cfRule type="cellIs" dxfId="10303" priority="12280" stopIfTrue="1" operator="equal">
      <formula>"Napkin Hs"</formula>
    </cfRule>
  </conditionalFormatting>
  <conditionalFormatting sqref="C59">
    <cfRule type="cellIs" dxfId="10302" priority="12279" stopIfTrue="1" operator="equal">
      <formula>"Towel"</formula>
    </cfRule>
  </conditionalFormatting>
  <conditionalFormatting sqref="C59">
    <cfRule type="cellIs" dxfId="10301" priority="12278" stopIfTrue="1" operator="equal">
      <formula>"Napkin Hs"</formula>
    </cfRule>
  </conditionalFormatting>
  <conditionalFormatting sqref="C59">
    <cfRule type="cellIs" dxfId="10300" priority="12275" stopIfTrue="1" operator="equal">
      <formula>"Towel"</formula>
    </cfRule>
    <cfRule type="cellIs" dxfId="10299" priority="12276" stopIfTrue="1" operator="equal">
      <formula>"Napkin Hs"</formula>
    </cfRule>
  </conditionalFormatting>
  <conditionalFormatting sqref="C59">
    <cfRule type="cellIs" dxfId="10298" priority="12277" stopIfTrue="1" operator="equal">
      <formula>"Towel"</formula>
    </cfRule>
  </conditionalFormatting>
  <conditionalFormatting sqref="C59">
    <cfRule type="cellIs" dxfId="10297" priority="12381" stopIfTrue="1" operator="equal">
      <formula>"Towel"</formula>
    </cfRule>
    <cfRule type="cellIs" dxfId="10296" priority="12382" stopIfTrue="1" operator="equal">
      <formula>"Napkin Hs"</formula>
    </cfRule>
  </conditionalFormatting>
  <conditionalFormatting sqref="C59">
    <cfRule type="cellIs" dxfId="10295" priority="12379" stopIfTrue="1" operator="equal">
      <formula>"Towel"</formula>
    </cfRule>
    <cfRule type="cellIs" dxfId="10294" priority="12380" stopIfTrue="1" operator="equal">
      <formula>"Napkin Hs"</formula>
    </cfRule>
  </conditionalFormatting>
  <conditionalFormatting sqref="C59">
    <cfRule type="cellIs" dxfId="10293" priority="12377" stopIfTrue="1" operator="equal">
      <formula>"Towel"</formula>
    </cfRule>
    <cfRule type="cellIs" dxfId="10292" priority="12378" stopIfTrue="1" operator="equal">
      <formula>"Napkin Hs"</formula>
    </cfRule>
  </conditionalFormatting>
  <conditionalFormatting sqref="C59">
    <cfRule type="cellIs" dxfId="10291" priority="12376" stopIfTrue="1" operator="equal">
      <formula>"Napkin Hs"</formula>
    </cfRule>
  </conditionalFormatting>
  <conditionalFormatting sqref="C59">
    <cfRule type="cellIs" dxfId="10290" priority="12375" stopIfTrue="1" operator="equal">
      <formula>"Towel"</formula>
    </cfRule>
  </conditionalFormatting>
  <conditionalFormatting sqref="C59">
    <cfRule type="cellIs" dxfId="10289" priority="12374" stopIfTrue="1" operator="equal">
      <formula>"Napkin Hs"</formula>
    </cfRule>
  </conditionalFormatting>
  <conditionalFormatting sqref="C59">
    <cfRule type="cellIs" dxfId="10288" priority="12373" stopIfTrue="1" operator="equal">
      <formula>"Towel"</formula>
    </cfRule>
  </conditionalFormatting>
  <conditionalFormatting sqref="C59">
    <cfRule type="cellIs" dxfId="10287" priority="12371" stopIfTrue="1" operator="equal">
      <formula>"Towel"</formula>
    </cfRule>
    <cfRule type="cellIs" dxfId="10286" priority="12372" stopIfTrue="1" operator="equal">
      <formula>"Napkin Hs"</formula>
    </cfRule>
  </conditionalFormatting>
  <conditionalFormatting sqref="C59">
    <cfRule type="cellIs" dxfId="10285" priority="12369" stopIfTrue="1" operator="equal">
      <formula>"Towel"</formula>
    </cfRule>
    <cfRule type="cellIs" dxfId="10284" priority="12370" stopIfTrue="1" operator="equal">
      <formula>"Napkin Hs"</formula>
    </cfRule>
  </conditionalFormatting>
  <conditionalFormatting sqref="C59">
    <cfRule type="cellIs" dxfId="10283" priority="12365" stopIfTrue="1" operator="equal">
      <formula>"Towel"</formula>
    </cfRule>
    <cfRule type="cellIs" dxfId="10282" priority="12366" stopIfTrue="1" operator="equal">
      <formula>"Napkin Hs"</formula>
    </cfRule>
  </conditionalFormatting>
  <conditionalFormatting sqref="C59">
    <cfRule type="cellIs" dxfId="10281" priority="12367" stopIfTrue="1" operator="equal">
      <formula>"Towel"</formula>
    </cfRule>
    <cfRule type="cellIs" dxfId="10280" priority="12368" stopIfTrue="1" operator="equal">
      <formula>"Napkin Hs"</formula>
    </cfRule>
  </conditionalFormatting>
  <conditionalFormatting sqref="C59">
    <cfRule type="cellIs" dxfId="10279" priority="12359" stopIfTrue="1" operator="equal">
      <formula>"Towel"</formula>
    </cfRule>
    <cfRule type="cellIs" dxfId="10278" priority="12360" stopIfTrue="1" operator="equal">
      <formula>"Napkin Hs"</formula>
    </cfRule>
  </conditionalFormatting>
  <conditionalFormatting sqref="C59">
    <cfRule type="cellIs" dxfId="10277" priority="12357" stopIfTrue="1" operator="equal">
      <formula>"Towel"</formula>
    </cfRule>
    <cfRule type="cellIs" dxfId="10276" priority="12358" stopIfTrue="1" operator="equal">
      <formula>"Napkin Hs"</formula>
    </cfRule>
  </conditionalFormatting>
  <conditionalFormatting sqref="C59">
    <cfRule type="cellIs" dxfId="10275" priority="12355" stopIfTrue="1" operator="equal">
      <formula>"Towel"</formula>
    </cfRule>
    <cfRule type="cellIs" dxfId="10274" priority="12356" stopIfTrue="1" operator="equal">
      <formula>"Napkin Hs"</formula>
    </cfRule>
  </conditionalFormatting>
  <conditionalFormatting sqref="C59">
    <cfRule type="cellIs" dxfId="10273" priority="12353" stopIfTrue="1" operator="equal">
      <formula>"Towel"</formula>
    </cfRule>
    <cfRule type="cellIs" dxfId="10272" priority="12354" stopIfTrue="1" operator="equal">
      <formula>"Napkin Hs"</formula>
    </cfRule>
  </conditionalFormatting>
  <conditionalFormatting sqref="C59">
    <cfRule type="cellIs" dxfId="10271" priority="12351" stopIfTrue="1" operator="equal">
      <formula>"Towel"</formula>
    </cfRule>
    <cfRule type="cellIs" dxfId="10270" priority="12352" stopIfTrue="1" operator="equal">
      <formula>"Napkin Hs"</formula>
    </cfRule>
  </conditionalFormatting>
  <conditionalFormatting sqref="C59">
    <cfRule type="cellIs" dxfId="10269" priority="12349" stopIfTrue="1" operator="equal">
      <formula>"Towel"</formula>
    </cfRule>
    <cfRule type="cellIs" dxfId="10268" priority="12350" stopIfTrue="1" operator="equal">
      <formula>"Napkin Hs"</formula>
    </cfRule>
  </conditionalFormatting>
  <conditionalFormatting sqref="C59">
    <cfRule type="cellIs" dxfId="10267" priority="12347" stopIfTrue="1" operator="equal">
      <formula>"Towel"</formula>
    </cfRule>
    <cfRule type="cellIs" dxfId="10266" priority="12348" stopIfTrue="1" operator="equal">
      <formula>"Napkin Hs"</formula>
    </cfRule>
  </conditionalFormatting>
  <conditionalFormatting sqref="C59">
    <cfRule type="cellIs" dxfId="10265" priority="12345" stopIfTrue="1" operator="equal">
      <formula>"Towel"</formula>
    </cfRule>
    <cfRule type="cellIs" dxfId="10264" priority="12346" stopIfTrue="1" operator="equal">
      <formula>"Napkin Hs"</formula>
    </cfRule>
  </conditionalFormatting>
  <conditionalFormatting sqref="C59">
    <cfRule type="cellIs" dxfId="10263" priority="12343" stopIfTrue="1" operator="equal">
      <formula>"Towel"</formula>
    </cfRule>
    <cfRule type="cellIs" dxfId="10262" priority="12344" stopIfTrue="1" operator="equal">
      <formula>"Napkin Hs"</formula>
    </cfRule>
  </conditionalFormatting>
  <conditionalFormatting sqref="C59">
    <cfRule type="cellIs" dxfId="10261" priority="12341" stopIfTrue="1" operator="equal">
      <formula>"Towel"</formula>
    </cfRule>
    <cfRule type="cellIs" dxfId="10260" priority="12342" stopIfTrue="1" operator="equal">
      <formula>"Napkin Hs"</formula>
    </cfRule>
  </conditionalFormatting>
  <conditionalFormatting sqref="C59">
    <cfRule type="cellIs" dxfId="10259" priority="12335" stopIfTrue="1" operator="equal">
      <formula>"Towel"</formula>
    </cfRule>
    <cfRule type="cellIs" dxfId="10258" priority="12336" stopIfTrue="1" operator="equal">
      <formula>"Napkin Hs"</formula>
    </cfRule>
  </conditionalFormatting>
  <conditionalFormatting sqref="C59">
    <cfRule type="cellIs" dxfId="10257" priority="12329" stopIfTrue="1" operator="equal">
      <formula>"Towel"</formula>
    </cfRule>
    <cfRule type="cellIs" dxfId="10256" priority="12330" stopIfTrue="1" operator="equal">
      <formula>"Napkin Hs"</formula>
    </cfRule>
  </conditionalFormatting>
  <conditionalFormatting sqref="C59">
    <cfRule type="cellIs" dxfId="10255" priority="12323" stopIfTrue="1" operator="equal">
      <formula>"Towel"</formula>
    </cfRule>
    <cfRule type="cellIs" dxfId="10254" priority="12324" stopIfTrue="1" operator="equal">
      <formula>"Napkin Hs"</formula>
    </cfRule>
  </conditionalFormatting>
  <conditionalFormatting sqref="C59">
    <cfRule type="cellIs" dxfId="10253" priority="12322" stopIfTrue="1" operator="equal">
      <formula>"Napkin Hs"</formula>
    </cfRule>
  </conditionalFormatting>
  <conditionalFormatting sqref="C59">
    <cfRule type="cellIs" dxfId="10252" priority="12321" stopIfTrue="1" operator="equal">
      <formula>"Towel"</formula>
    </cfRule>
  </conditionalFormatting>
  <conditionalFormatting sqref="C59">
    <cfRule type="cellIs" dxfId="10251" priority="12320" stopIfTrue="1" operator="equal">
      <formula>"Napkin Hs"</formula>
    </cfRule>
  </conditionalFormatting>
  <conditionalFormatting sqref="C59">
    <cfRule type="cellIs" dxfId="10250" priority="12319" stopIfTrue="1" operator="equal">
      <formula>"Towel"</formula>
    </cfRule>
  </conditionalFormatting>
  <conditionalFormatting sqref="C59">
    <cfRule type="cellIs" dxfId="10249" priority="12317" stopIfTrue="1" operator="equal">
      <formula>"Towel"</formula>
    </cfRule>
    <cfRule type="cellIs" dxfId="10248" priority="12318" stopIfTrue="1" operator="equal">
      <formula>"Napkin Hs"</formula>
    </cfRule>
  </conditionalFormatting>
  <conditionalFormatting sqref="C59">
    <cfRule type="cellIs" dxfId="10247" priority="12315" stopIfTrue="1" operator="equal">
      <formula>"Towel"</formula>
    </cfRule>
    <cfRule type="cellIs" dxfId="10246" priority="12316" stopIfTrue="1" operator="equal">
      <formula>"Napkin Hs"</formula>
    </cfRule>
  </conditionalFormatting>
  <conditionalFormatting sqref="C59">
    <cfRule type="cellIs" dxfId="10245" priority="12313" stopIfTrue="1" operator="equal">
      <formula>"Towel"</formula>
    </cfRule>
    <cfRule type="cellIs" dxfId="10244" priority="12314" stopIfTrue="1" operator="equal">
      <formula>"Napkin Hs"</formula>
    </cfRule>
  </conditionalFormatting>
  <conditionalFormatting sqref="C59">
    <cfRule type="cellIs" dxfId="10243" priority="12303" stopIfTrue="1" operator="equal">
      <formula>"Towel"</formula>
    </cfRule>
    <cfRule type="cellIs" dxfId="10242" priority="12304" stopIfTrue="1" operator="equal">
      <formula>"Napkin Hs"</formula>
    </cfRule>
  </conditionalFormatting>
  <conditionalFormatting sqref="C59">
    <cfRule type="cellIs" dxfId="10241" priority="12301" stopIfTrue="1" operator="equal">
      <formula>"Towel"</formula>
    </cfRule>
    <cfRule type="cellIs" dxfId="10240" priority="12302" stopIfTrue="1" operator="equal">
      <formula>"Napkin Hs"</formula>
    </cfRule>
  </conditionalFormatting>
  <conditionalFormatting sqref="C59">
    <cfRule type="cellIs" dxfId="10239" priority="12299" stopIfTrue="1" operator="equal">
      <formula>"Towel"</formula>
    </cfRule>
    <cfRule type="cellIs" dxfId="10238" priority="12300" stopIfTrue="1" operator="equal">
      <formula>"Napkin Hs"</formula>
    </cfRule>
  </conditionalFormatting>
  <conditionalFormatting sqref="C59">
    <cfRule type="cellIs" dxfId="10237" priority="12297" stopIfTrue="1" operator="equal">
      <formula>"Towel"</formula>
    </cfRule>
    <cfRule type="cellIs" dxfId="10236" priority="12298" stopIfTrue="1" operator="equal">
      <formula>"Napkin Hs"</formula>
    </cfRule>
  </conditionalFormatting>
  <conditionalFormatting sqref="C59">
    <cfRule type="cellIs" dxfId="10235" priority="12295" stopIfTrue="1" operator="equal">
      <formula>"Towel"</formula>
    </cfRule>
    <cfRule type="cellIs" dxfId="10234" priority="12296" stopIfTrue="1" operator="equal">
      <formula>"Napkin Hs"</formula>
    </cfRule>
  </conditionalFormatting>
  <conditionalFormatting sqref="C59">
    <cfRule type="cellIs" dxfId="10233" priority="12293" stopIfTrue="1" operator="equal">
      <formula>"Towel"</formula>
    </cfRule>
    <cfRule type="cellIs" dxfId="10232" priority="12294" stopIfTrue="1" operator="equal">
      <formula>"Napkin Hs"</formula>
    </cfRule>
  </conditionalFormatting>
  <conditionalFormatting sqref="C59">
    <cfRule type="cellIs" dxfId="10231" priority="12291" stopIfTrue="1" operator="equal">
      <formula>"Towel"</formula>
    </cfRule>
    <cfRule type="cellIs" dxfId="10230" priority="12292" stopIfTrue="1" operator="equal">
      <formula>"Napkin Hs"</formula>
    </cfRule>
  </conditionalFormatting>
  <conditionalFormatting sqref="C59">
    <cfRule type="cellIs" dxfId="10229" priority="12289" stopIfTrue="1" operator="equal">
      <formula>"Towel"</formula>
    </cfRule>
    <cfRule type="cellIs" dxfId="10228" priority="12290" stopIfTrue="1" operator="equal">
      <formula>"Napkin Hs"</formula>
    </cfRule>
  </conditionalFormatting>
  <conditionalFormatting sqref="C59">
    <cfRule type="cellIs" dxfId="10227" priority="12287" stopIfTrue="1" operator="equal">
      <formula>"Towel"</formula>
    </cfRule>
    <cfRule type="cellIs" dxfId="10226" priority="12288" stopIfTrue="1" operator="equal">
      <formula>"Napkin Hs"</formula>
    </cfRule>
  </conditionalFormatting>
  <conditionalFormatting sqref="C59">
    <cfRule type="cellIs" dxfId="10225" priority="12274" stopIfTrue="1" operator="equal">
      <formula>"Napkin Hs"</formula>
    </cfRule>
  </conditionalFormatting>
  <conditionalFormatting sqref="C59">
    <cfRule type="cellIs" dxfId="10224" priority="12273" stopIfTrue="1" operator="equal">
      <formula>"Towel"</formula>
    </cfRule>
  </conditionalFormatting>
  <conditionalFormatting sqref="C59">
    <cfRule type="cellIs" dxfId="10223" priority="12272" stopIfTrue="1" operator="equal">
      <formula>"Napkin Hs"</formula>
    </cfRule>
  </conditionalFormatting>
  <conditionalFormatting sqref="C59">
    <cfRule type="cellIs" dxfId="10222" priority="12269" stopIfTrue="1" operator="equal">
      <formula>"Towel"</formula>
    </cfRule>
    <cfRule type="cellIs" dxfId="10221" priority="12270" stopIfTrue="1" operator="equal">
      <formula>"Napkin Hs"</formula>
    </cfRule>
  </conditionalFormatting>
  <conditionalFormatting sqref="C59">
    <cfRule type="cellIs" dxfId="10220" priority="12271" stopIfTrue="1" operator="equal">
      <formula>"Towel"</formula>
    </cfRule>
  </conditionalFormatting>
  <conditionalFormatting sqref="C59">
    <cfRule type="cellIs" dxfId="10219" priority="12389" stopIfTrue="1" operator="equal">
      <formula>"Towel"</formula>
    </cfRule>
    <cfRule type="cellIs" dxfId="10218" priority="12390" stopIfTrue="1" operator="equal">
      <formula>"Napkin Hs"</formula>
    </cfRule>
  </conditionalFormatting>
  <conditionalFormatting sqref="C59">
    <cfRule type="cellIs" dxfId="10217" priority="12388" stopIfTrue="1" operator="equal">
      <formula>"Napkin Hs"</formula>
    </cfRule>
  </conditionalFormatting>
  <conditionalFormatting sqref="C59">
    <cfRule type="cellIs" dxfId="10216" priority="12387" stopIfTrue="1" operator="equal">
      <formula>"Towel"</formula>
    </cfRule>
  </conditionalFormatting>
  <conditionalFormatting sqref="C59">
    <cfRule type="cellIs" dxfId="10215" priority="12386" stopIfTrue="1" operator="equal">
      <formula>"Napkin Hs"</formula>
    </cfRule>
  </conditionalFormatting>
  <conditionalFormatting sqref="C59">
    <cfRule type="cellIs" dxfId="10214" priority="12383" stopIfTrue="1" operator="equal">
      <formula>"Towel"</formula>
    </cfRule>
    <cfRule type="cellIs" dxfId="10213" priority="12384" stopIfTrue="1" operator="equal">
      <formula>"Napkin Hs"</formula>
    </cfRule>
  </conditionalFormatting>
  <conditionalFormatting sqref="C59">
    <cfRule type="cellIs" dxfId="10212" priority="12385" stopIfTrue="1" operator="equal">
      <formula>"Towel"</formula>
    </cfRule>
  </conditionalFormatting>
  <conditionalFormatting sqref="C59">
    <cfRule type="cellIs" dxfId="10211" priority="12393" stopIfTrue="1" operator="equal">
      <formula>"Towel"</formula>
    </cfRule>
    <cfRule type="cellIs" dxfId="10210" priority="12394" stopIfTrue="1" operator="equal">
      <formula>"Napkin Hs"</formula>
    </cfRule>
  </conditionalFormatting>
  <conditionalFormatting sqref="C59">
    <cfRule type="cellIs" dxfId="10209" priority="12391" stopIfTrue="1" operator="equal">
      <formula>"Towel"</formula>
    </cfRule>
    <cfRule type="cellIs" dxfId="10208" priority="12392" stopIfTrue="1" operator="equal">
      <formula>"Napkin Hs"</formula>
    </cfRule>
  </conditionalFormatting>
  <conditionalFormatting sqref="C59">
    <cfRule type="cellIs" dxfId="10207" priority="12363" stopIfTrue="1" operator="equal">
      <formula>"Towel"</formula>
    </cfRule>
    <cfRule type="cellIs" dxfId="10206" priority="12364" stopIfTrue="1" operator="equal">
      <formula>"Napkin Hs"</formula>
    </cfRule>
  </conditionalFormatting>
  <conditionalFormatting sqref="C59">
    <cfRule type="cellIs" dxfId="10205" priority="12361" stopIfTrue="1" operator="equal">
      <formula>"Towel"</formula>
    </cfRule>
    <cfRule type="cellIs" dxfId="10204" priority="12362" stopIfTrue="1" operator="equal">
      <formula>"Napkin Hs"</formula>
    </cfRule>
  </conditionalFormatting>
  <conditionalFormatting sqref="C59">
    <cfRule type="cellIs" dxfId="10203" priority="12340" stopIfTrue="1" operator="equal">
      <formula>"Napkin Hs"</formula>
    </cfRule>
  </conditionalFormatting>
  <conditionalFormatting sqref="C59">
    <cfRule type="cellIs" dxfId="10202" priority="12339" stopIfTrue="1" operator="equal">
      <formula>"Towel"</formula>
    </cfRule>
  </conditionalFormatting>
  <conditionalFormatting sqref="C59">
    <cfRule type="cellIs" dxfId="10201" priority="12338" stopIfTrue="1" operator="equal">
      <formula>"Napkin Hs"</formula>
    </cfRule>
  </conditionalFormatting>
  <conditionalFormatting sqref="C59">
    <cfRule type="cellIs" dxfId="10200" priority="12337" stopIfTrue="1" operator="equal">
      <formula>"Towel"</formula>
    </cfRule>
  </conditionalFormatting>
  <conditionalFormatting sqref="C59">
    <cfRule type="cellIs" dxfId="10199" priority="12334" stopIfTrue="1" operator="equal">
      <formula>"Napkin Hs"</formula>
    </cfRule>
  </conditionalFormatting>
  <conditionalFormatting sqref="C59">
    <cfRule type="cellIs" dxfId="10198" priority="12333" stopIfTrue="1" operator="equal">
      <formula>"Towel"</formula>
    </cfRule>
  </conditionalFormatting>
  <conditionalFormatting sqref="C59">
    <cfRule type="cellIs" dxfId="10197" priority="12332" stopIfTrue="1" operator="equal">
      <formula>"Napkin Hs"</formula>
    </cfRule>
  </conditionalFormatting>
  <conditionalFormatting sqref="C59">
    <cfRule type="cellIs" dxfId="10196" priority="12331" stopIfTrue="1" operator="equal">
      <formula>"Towel"</formula>
    </cfRule>
  </conditionalFormatting>
  <conditionalFormatting sqref="C59">
    <cfRule type="cellIs" dxfId="10195" priority="12327" stopIfTrue="1" operator="equal">
      <formula>"Towel"</formula>
    </cfRule>
    <cfRule type="cellIs" dxfId="10194" priority="12328" stopIfTrue="1" operator="equal">
      <formula>"Napkin Hs"</formula>
    </cfRule>
  </conditionalFormatting>
  <conditionalFormatting sqref="C59">
    <cfRule type="cellIs" dxfId="10193" priority="12325" stopIfTrue="1" operator="equal">
      <formula>"Towel"</formula>
    </cfRule>
    <cfRule type="cellIs" dxfId="10192" priority="12326" stopIfTrue="1" operator="equal">
      <formula>"Napkin Hs"</formula>
    </cfRule>
  </conditionalFormatting>
  <conditionalFormatting sqref="C59">
    <cfRule type="cellIs" dxfId="10191" priority="12309" stopIfTrue="1" operator="equal">
      <formula>"Towel"</formula>
    </cfRule>
    <cfRule type="cellIs" dxfId="10190" priority="12310" stopIfTrue="1" operator="equal">
      <formula>"Napkin Hs"</formula>
    </cfRule>
  </conditionalFormatting>
  <conditionalFormatting sqref="C59">
    <cfRule type="cellIs" dxfId="10189" priority="12307" stopIfTrue="1" operator="equal">
      <formula>"Towel"</formula>
    </cfRule>
    <cfRule type="cellIs" dxfId="10188" priority="12308" stopIfTrue="1" operator="equal">
      <formula>"Napkin Hs"</formula>
    </cfRule>
  </conditionalFormatting>
  <conditionalFormatting sqref="B59:C59">
    <cfRule type="cellIs" dxfId="10187" priority="12268" stopIfTrue="1" operator="equal">
      <formula>"Napkin Hs"</formula>
    </cfRule>
  </conditionalFormatting>
  <conditionalFormatting sqref="B59:C59">
    <cfRule type="cellIs" dxfId="10186" priority="12267" stopIfTrue="1" operator="equal">
      <formula>"Towel"</formula>
    </cfRule>
  </conditionalFormatting>
  <conditionalFormatting sqref="C59">
    <cfRule type="cellIs" dxfId="10185" priority="12266" stopIfTrue="1" operator="equal">
      <formula>"Napkin Hs"</formula>
    </cfRule>
  </conditionalFormatting>
  <conditionalFormatting sqref="C59">
    <cfRule type="cellIs" dxfId="10184" priority="12263" stopIfTrue="1" operator="equal">
      <formula>"Towel"</formula>
    </cfRule>
    <cfRule type="cellIs" dxfId="10183" priority="12264" stopIfTrue="1" operator="equal">
      <formula>"Napkin Hs"</formula>
    </cfRule>
  </conditionalFormatting>
  <conditionalFormatting sqref="C59">
    <cfRule type="cellIs" dxfId="10182" priority="12265" stopIfTrue="1" operator="equal">
      <formula>"Towel"</formula>
    </cfRule>
  </conditionalFormatting>
  <conditionalFormatting sqref="C57:C58">
    <cfRule type="cellIs" dxfId="10181" priority="12179" stopIfTrue="1" operator="equal">
      <formula>"Towel"</formula>
    </cfRule>
    <cfRule type="cellIs" dxfId="10180" priority="12180" stopIfTrue="1" operator="equal">
      <formula>"Napkin Hs"</formula>
    </cfRule>
  </conditionalFormatting>
  <conditionalFormatting sqref="C57:C58">
    <cfRule type="cellIs" dxfId="10179" priority="12173" stopIfTrue="1" operator="equal">
      <formula>"Towel"</formula>
    </cfRule>
    <cfRule type="cellIs" dxfId="10178" priority="12174" stopIfTrue="1" operator="equal">
      <formula>"Napkin Hs"</formula>
    </cfRule>
  </conditionalFormatting>
  <conditionalFormatting sqref="C57:C58">
    <cfRule type="cellIs" dxfId="10177" priority="12154" stopIfTrue="1" operator="equal">
      <formula>"Napkin Hs"</formula>
    </cfRule>
  </conditionalFormatting>
  <conditionalFormatting sqref="C57:C58">
    <cfRule type="cellIs" dxfId="10176" priority="12153" stopIfTrue="1" operator="equal">
      <formula>"Towel"</formula>
    </cfRule>
  </conditionalFormatting>
  <conditionalFormatting sqref="C57:C58">
    <cfRule type="cellIs" dxfId="10175" priority="12152" stopIfTrue="1" operator="equal">
      <formula>"Napkin Hs"</formula>
    </cfRule>
  </conditionalFormatting>
  <conditionalFormatting sqref="C57:C58">
    <cfRule type="cellIs" dxfId="10174" priority="12149" stopIfTrue="1" operator="equal">
      <formula>"Towel"</formula>
    </cfRule>
    <cfRule type="cellIs" dxfId="10173" priority="12150" stopIfTrue="1" operator="equal">
      <formula>"Napkin Hs"</formula>
    </cfRule>
  </conditionalFormatting>
  <conditionalFormatting sqref="C57:C58">
    <cfRule type="cellIs" dxfId="10172" priority="12151" stopIfTrue="1" operator="equal">
      <formula>"Towel"</formula>
    </cfRule>
  </conditionalFormatting>
  <conditionalFormatting sqref="C57:C58">
    <cfRule type="cellIs" dxfId="10171" priority="12148" stopIfTrue="1" operator="equal">
      <formula>"Napkin Hs"</formula>
    </cfRule>
  </conditionalFormatting>
  <conditionalFormatting sqref="C57:C58">
    <cfRule type="cellIs" dxfId="10170" priority="12147" stopIfTrue="1" operator="equal">
      <formula>"Towel"</formula>
    </cfRule>
  </conditionalFormatting>
  <conditionalFormatting sqref="C57:C58">
    <cfRule type="cellIs" dxfId="10169" priority="12146" stopIfTrue="1" operator="equal">
      <formula>"Napkin Hs"</formula>
    </cfRule>
  </conditionalFormatting>
  <conditionalFormatting sqref="C57:C58">
    <cfRule type="cellIs" dxfId="10168" priority="12143" stopIfTrue="1" operator="equal">
      <formula>"Towel"</formula>
    </cfRule>
    <cfRule type="cellIs" dxfId="10167" priority="12144" stopIfTrue="1" operator="equal">
      <formula>"Napkin Hs"</formula>
    </cfRule>
  </conditionalFormatting>
  <conditionalFormatting sqref="C57:C58">
    <cfRule type="cellIs" dxfId="10166" priority="12145" stopIfTrue="1" operator="equal">
      <formula>"Towel"</formula>
    </cfRule>
  </conditionalFormatting>
  <conditionalFormatting sqref="C57:C58">
    <cfRule type="cellIs" dxfId="10165" priority="12249" stopIfTrue="1" operator="equal">
      <formula>"Towel"</formula>
    </cfRule>
    <cfRule type="cellIs" dxfId="10164" priority="12250" stopIfTrue="1" operator="equal">
      <formula>"Napkin Hs"</formula>
    </cfRule>
  </conditionalFormatting>
  <conditionalFormatting sqref="C57:C58">
    <cfRule type="cellIs" dxfId="10163" priority="12247" stopIfTrue="1" operator="equal">
      <formula>"Towel"</formula>
    </cfRule>
    <cfRule type="cellIs" dxfId="10162" priority="12248" stopIfTrue="1" operator="equal">
      <formula>"Napkin Hs"</formula>
    </cfRule>
  </conditionalFormatting>
  <conditionalFormatting sqref="C57:C58">
    <cfRule type="cellIs" dxfId="10161" priority="12245" stopIfTrue="1" operator="equal">
      <formula>"Towel"</formula>
    </cfRule>
    <cfRule type="cellIs" dxfId="10160" priority="12246" stopIfTrue="1" operator="equal">
      <formula>"Napkin Hs"</formula>
    </cfRule>
  </conditionalFormatting>
  <conditionalFormatting sqref="C57:C58">
    <cfRule type="cellIs" dxfId="10159" priority="12244" stopIfTrue="1" operator="equal">
      <formula>"Napkin Hs"</formula>
    </cfRule>
  </conditionalFormatting>
  <conditionalFormatting sqref="C57:C58">
    <cfRule type="cellIs" dxfId="10158" priority="12243" stopIfTrue="1" operator="equal">
      <formula>"Towel"</formula>
    </cfRule>
  </conditionalFormatting>
  <conditionalFormatting sqref="C57:C58">
    <cfRule type="cellIs" dxfId="10157" priority="12242" stopIfTrue="1" operator="equal">
      <formula>"Napkin Hs"</formula>
    </cfRule>
  </conditionalFormatting>
  <conditionalFormatting sqref="C57:C58">
    <cfRule type="cellIs" dxfId="10156" priority="12241" stopIfTrue="1" operator="equal">
      <formula>"Towel"</formula>
    </cfRule>
  </conditionalFormatting>
  <conditionalFormatting sqref="C57:C58">
    <cfRule type="cellIs" dxfId="10155" priority="12239" stopIfTrue="1" operator="equal">
      <formula>"Towel"</formula>
    </cfRule>
    <cfRule type="cellIs" dxfId="10154" priority="12240" stopIfTrue="1" operator="equal">
      <formula>"Napkin Hs"</formula>
    </cfRule>
  </conditionalFormatting>
  <conditionalFormatting sqref="C57:C58">
    <cfRule type="cellIs" dxfId="10153" priority="12237" stopIfTrue="1" operator="equal">
      <formula>"Towel"</formula>
    </cfRule>
    <cfRule type="cellIs" dxfId="10152" priority="12238" stopIfTrue="1" operator="equal">
      <formula>"Napkin Hs"</formula>
    </cfRule>
  </conditionalFormatting>
  <conditionalFormatting sqref="C57:C58">
    <cfRule type="cellIs" dxfId="10151" priority="12233" stopIfTrue="1" operator="equal">
      <formula>"Towel"</formula>
    </cfRule>
    <cfRule type="cellIs" dxfId="10150" priority="12234" stopIfTrue="1" operator="equal">
      <formula>"Napkin Hs"</formula>
    </cfRule>
  </conditionalFormatting>
  <conditionalFormatting sqref="C57:C58">
    <cfRule type="cellIs" dxfId="10149" priority="12235" stopIfTrue="1" operator="equal">
      <formula>"Towel"</formula>
    </cfRule>
    <cfRule type="cellIs" dxfId="10148" priority="12236" stopIfTrue="1" operator="equal">
      <formula>"Napkin Hs"</formula>
    </cfRule>
  </conditionalFormatting>
  <conditionalFormatting sqref="C57:C58">
    <cfRule type="cellIs" dxfId="10147" priority="12227" stopIfTrue="1" operator="equal">
      <formula>"Towel"</formula>
    </cfRule>
    <cfRule type="cellIs" dxfId="10146" priority="12228" stopIfTrue="1" operator="equal">
      <formula>"Napkin Hs"</formula>
    </cfRule>
  </conditionalFormatting>
  <conditionalFormatting sqref="C57:C58">
    <cfRule type="cellIs" dxfId="10145" priority="12225" stopIfTrue="1" operator="equal">
      <formula>"Towel"</formula>
    </cfRule>
    <cfRule type="cellIs" dxfId="10144" priority="12226" stopIfTrue="1" operator="equal">
      <formula>"Napkin Hs"</formula>
    </cfRule>
  </conditionalFormatting>
  <conditionalFormatting sqref="C57:C58">
    <cfRule type="cellIs" dxfId="10143" priority="12223" stopIfTrue="1" operator="equal">
      <formula>"Towel"</formula>
    </cfRule>
    <cfRule type="cellIs" dxfId="10142" priority="12224" stopIfTrue="1" operator="equal">
      <formula>"Napkin Hs"</formula>
    </cfRule>
  </conditionalFormatting>
  <conditionalFormatting sqref="C57:C58">
    <cfRule type="cellIs" dxfId="10141" priority="12221" stopIfTrue="1" operator="equal">
      <formula>"Towel"</formula>
    </cfRule>
    <cfRule type="cellIs" dxfId="10140" priority="12222" stopIfTrue="1" operator="equal">
      <formula>"Napkin Hs"</formula>
    </cfRule>
  </conditionalFormatting>
  <conditionalFormatting sqref="C57:C58">
    <cfRule type="cellIs" dxfId="10139" priority="12219" stopIfTrue="1" operator="equal">
      <formula>"Towel"</formula>
    </cfRule>
    <cfRule type="cellIs" dxfId="10138" priority="12220" stopIfTrue="1" operator="equal">
      <formula>"Napkin Hs"</formula>
    </cfRule>
  </conditionalFormatting>
  <conditionalFormatting sqref="C57:C58">
    <cfRule type="cellIs" dxfId="10137" priority="12217" stopIfTrue="1" operator="equal">
      <formula>"Towel"</formula>
    </cfRule>
    <cfRule type="cellIs" dxfId="10136" priority="12218" stopIfTrue="1" operator="equal">
      <formula>"Napkin Hs"</formula>
    </cfRule>
  </conditionalFormatting>
  <conditionalFormatting sqref="C57:C58">
    <cfRule type="cellIs" dxfId="10135" priority="12215" stopIfTrue="1" operator="equal">
      <formula>"Towel"</formula>
    </cfRule>
    <cfRule type="cellIs" dxfId="10134" priority="12216" stopIfTrue="1" operator="equal">
      <formula>"Napkin Hs"</formula>
    </cfRule>
  </conditionalFormatting>
  <conditionalFormatting sqref="C57:C58">
    <cfRule type="cellIs" dxfId="10133" priority="12213" stopIfTrue="1" operator="equal">
      <formula>"Towel"</formula>
    </cfRule>
    <cfRule type="cellIs" dxfId="10132" priority="12214" stopIfTrue="1" operator="equal">
      <formula>"Napkin Hs"</formula>
    </cfRule>
  </conditionalFormatting>
  <conditionalFormatting sqref="C57:C58">
    <cfRule type="cellIs" dxfId="10131" priority="12211" stopIfTrue="1" operator="equal">
      <formula>"Towel"</formula>
    </cfRule>
    <cfRule type="cellIs" dxfId="10130" priority="12212" stopIfTrue="1" operator="equal">
      <formula>"Napkin Hs"</formula>
    </cfRule>
  </conditionalFormatting>
  <conditionalFormatting sqref="C57:C58">
    <cfRule type="cellIs" dxfId="10129" priority="12209" stopIfTrue="1" operator="equal">
      <formula>"Towel"</formula>
    </cfRule>
    <cfRule type="cellIs" dxfId="10128" priority="12210" stopIfTrue="1" operator="equal">
      <formula>"Napkin Hs"</formula>
    </cfRule>
  </conditionalFormatting>
  <conditionalFormatting sqref="C57:C58">
    <cfRule type="cellIs" dxfId="10127" priority="12203" stopIfTrue="1" operator="equal">
      <formula>"Towel"</formula>
    </cfRule>
    <cfRule type="cellIs" dxfId="10126" priority="12204" stopIfTrue="1" operator="equal">
      <formula>"Napkin Hs"</formula>
    </cfRule>
  </conditionalFormatting>
  <conditionalFormatting sqref="C57:C58">
    <cfRule type="cellIs" dxfId="10125" priority="12197" stopIfTrue="1" operator="equal">
      <formula>"Towel"</formula>
    </cfRule>
    <cfRule type="cellIs" dxfId="10124" priority="12198" stopIfTrue="1" operator="equal">
      <formula>"Napkin Hs"</formula>
    </cfRule>
  </conditionalFormatting>
  <conditionalFormatting sqref="C57:C58">
    <cfRule type="cellIs" dxfId="10123" priority="12191" stopIfTrue="1" operator="equal">
      <formula>"Towel"</formula>
    </cfRule>
    <cfRule type="cellIs" dxfId="10122" priority="12192" stopIfTrue="1" operator="equal">
      <formula>"Napkin Hs"</formula>
    </cfRule>
  </conditionalFormatting>
  <conditionalFormatting sqref="C57:C58">
    <cfRule type="cellIs" dxfId="10121" priority="12190" stopIfTrue="1" operator="equal">
      <formula>"Napkin Hs"</formula>
    </cfRule>
  </conditionalFormatting>
  <conditionalFormatting sqref="C57:C58">
    <cfRule type="cellIs" dxfId="10120" priority="12189" stopIfTrue="1" operator="equal">
      <formula>"Towel"</formula>
    </cfRule>
  </conditionalFormatting>
  <conditionalFormatting sqref="C57:C58">
    <cfRule type="cellIs" dxfId="10119" priority="12188" stopIfTrue="1" operator="equal">
      <formula>"Napkin Hs"</formula>
    </cfRule>
  </conditionalFormatting>
  <conditionalFormatting sqref="C57:C58">
    <cfRule type="cellIs" dxfId="10118" priority="12187" stopIfTrue="1" operator="equal">
      <formula>"Towel"</formula>
    </cfRule>
  </conditionalFormatting>
  <conditionalFormatting sqref="C57:C58">
    <cfRule type="cellIs" dxfId="10117" priority="12185" stopIfTrue="1" operator="equal">
      <formula>"Towel"</formula>
    </cfRule>
    <cfRule type="cellIs" dxfId="10116" priority="12186" stopIfTrue="1" operator="equal">
      <formula>"Napkin Hs"</formula>
    </cfRule>
  </conditionalFormatting>
  <conditionalFormatting sqref="C57:C58">
    <cfRule type="cellIs" dxfId="10115" priority="12183" stopIfTrue="1" operator="equal">
      <formula>"Towel"</formula>
    </cfRule>
    <cfRule type="cellIs" dxfId="10114" priority="12184" stopIfTrue="1" operator="equal">
      <formula>"Napkin Hs"</formula>
    </cfRule>
  </conditionalFormatting>
  <conditionalFormatting sqref="C57:C58">
    <cfRule type="cellIs" dxfId="10113" priority="12181" stopIfTrue="1" operator="equal">
      <formula>"Towel"</formula>
    </cfRule>
    <cfRule type="cellIs" dxfId="10112" priority="12182" stopIfTrue="1" operator="equal">
      <formula>"Napkin Hs"</formula>
    </cfRule>
  </conditionalFormatting>
  <conditionalFormatting sqref="C57:C58">
    <cfRule type="cellIs" dxfId="10111" priority="12171" stopIfTrue="1" operator="equal">
      <formula>"Towel"</formula>
    </cfRule>
    <cfRule type="cellIs" dxfId="10110" priority="12172" stopIfTrue="1" operator="equal">
      <formula>"Napkin Hs"</formula>
    </cfRule>
  </conditionalFormatting>
  <conditionalFormatting sqref="C57:C58">
    <cfRule type="cellIs" dxfId="10109" priority="12169" stopIfTrue="1" operator="equal">
      <formula>"Towel"</formula>
    </cfRule>
    <cfRule type="cellIs" dxfId="10108" priority="12170" stopIfTrue="1" operator="equal">
      <formula>"Napkin Hs"</formula>
    </cfRule>
  </conditionalFormatting>
  <conditionalFormatting sqref="C57:C58">
    <cfRule type="cellIs" dxfId="10107" priority="12167" stopIfTrue="1" operator="equal">
      <formula>"Towel"</formula>
    </cfRule>
    <cfRule type="cellIs" dxfId="10106" priority="12168" stopIfTrue="1" operator="equal">
      <formula>"Napkin Hs"</formula>
    </cfRule>
  </conditionalFormatting>
  <conditionalFormatting sqref="C57:C58">
    <cfRule type="cellIs" dxfId="10105" priority="12165" stopIfTrue="1" operator="equal">
      <formula>"Towel"</formula>
    </cfRule>
    <cfRule type="cellIs" dxfId="10104" priority="12166" stopIfTrue="1" operator="equal">
      <formula>"Napkin Hs"</formula>
    </cfRule>
  </conditionalFormatting>
  <conditionalFormatting sqref="C57:C58">
    <cfRule type="cellIs" dxfId="10103" priority="12163" stopIfTrue="1" operator="equal">
      <formula>"Towel"</formula>
    </cfRule>
    <cfRule type="cellIs" dxfId="10102" priority="12164" stopIfTrue="1" operator="equal">
      <formula>"Napkin Hs"</formula>
    </cfRule>
  </conditionalFormatting>
  <conditionalFormatting sqref="C57:C58">
    <cfRule type="cellIs" dxfId="10101" priority="12161" stopIfTrue="1" operator="equal">
      <formula>"Towel"</formula>
    </cfRule>
    <cfRule type="cellIs" dxfId="10100" priority="12162" stopIfTrue="1" operator="equal">
      <formula>"Napkin Hs"</formula>
    </cfRule>
  </conditionalFormatting>
  <conditionalFormatting sqref="C57:C58">
    <cfRule type="cellIs" dxfId="10099" priority="12159" stopIfTrue="1" operator="equal">
      <formula>"Towel"</formula>
    </cfRule>
    <cfRule type="cellIs" dxfId="10098" priority="12160" stopIfTrue="1" operator="equal">
      <formula>"Napkin Hs"</formula>
    </cfRule>
  </conditionalFormatting>
  <conditionalFormatting sqref="C57:C58">
    <cfRule type="cellIs" dxfId="10097" priority="12157" stopIfTrue="1" operator="equal">
      <formula>"Towel"</formula>
    </cfRule>
    <cfRule type="cellIs" dxfId="10096" priority="12158" stopIfTrue="1" operator="equal">
      <formula>"Napkin Hs"</formula>
    </cfRule>
  </conditionalFormatting>
  <conditionalFormatting sqref="C57:C58">
    <cfRule type="cellIs" dxfId="10095" priority="12155" stopIfTrue="1" operator="equal">
      <formula>"Towel"</formula>
    </cfRule>
    <cfRule type="cellIs" dxfId="10094" priority="12156" stopIfTrue="1" operator="equal">
      <formula>"Napkin Hs"</formula>
    </cfRule>
  </conditionalFormatting>
  <conditionalFormatting sqref="C57:C58">
    <cfRule type="cellIs" dxfId="10093" priority="12142" stopIfTrue="1" operator="equal">
      <formula>"Napkin Hs"</formula>
    </cfRule>
  </conditionalFormatting>
  <conditionalFormatting sqref="C57:C58">
    <cfRule type="cellIs" dxfId="10092" priority="12141" stopIfTrue="1" operator="equal">
      <formula>"Towel"</formula>
    </cfRule>
  </conditionalFormatting>
  <conditionalFormatting sqref="C57:C58">
    <cfRule type="cellIs" dxfId="10091" priority="12140" stopIfTrue="1" operator="equal">
      <formula>"Napkin Hs"</formula>
    </cfRule>
  </conditionalFormatting>
  <conditionalFormatting sqref="C57:C58">
    <cfRule type="cellIs" dxfId="10090" priority="12137" stopIfTrue="1" operator="equal">
      <formula>"Towel"</formula>
    </cfRule>
    <cfRule type="cellIs" dxfId="10089" priority="12138" stopIfTrue="1" operator="equal">
      <formula>"Napkin Hs"</formula>
    </cfRule>
  </conditionalFormatting>
  <conditionalFormatting sqref="C57:C58">
    <cfRule type="cellIs" dxfId="10088" priority="12139" stopIfTrue="1" operator="equal">
      <formula>"Towel"</formula>
    </cfRule>
  </conditionalFormatting>
  <conditionalFormatting sqref="C57:C58">
    <cfRule type="cellIs" dxfId="10087" priority="12257" stopIfTrue="1" operator="equal">
      <formula>"Towel"</formula>
    </cfRule>
    <cfRule type="cellIs" dxfId="10086" priority="12258" stopIfTrue="1" operator="equal">
      <formula>"Napkin Hs"</formula>
    </cfRule>
  </conditionalFormatting>
  <conditionalFormatting sqref="C57:C58">
    <cfRule type="cellIs" dxfId="10085" priority="12256" stopIfTrue="1" operator="equal">
      <formula>"Napkin Hs"</formula>
    </cfRule>
  </conditionalFormatting>
  <conditionalFormatting sqref="C57:C58">
    <cfRule type="cellIs" dxfId="10084" priority="12255" stopIfTrue="1" operator="equal">
      <formula>"Towel"</formula>
    </cfRule>
  </conditionalFormatting>
  <conditionalFormatting sqref="C57:C58">
    <cfRule type="cellIs" dxfId="10083" priority="12254" stopIfTrue="1" operator="equal">
      <formula>"Napkin Hs"</formula>
    </cfRule>
  </conditionalFormatting>
  <conditionalFormatting sqref="C57:C58">
    <cfRule type="cellIs" dxfId="10082" priority="12251" stopIfTrue="1" operator="equal">
      <formula>"Towel"</formula>
    </cfRule>
    <cfRule type="cellIs" dxfId="10081" priority="12252" stopIfTrue="1" operator="equal">
      <formula>"Napkin Hs"</formula>
    </cfRule>
  </conditionalFormatting>
  <conditionalFormatting sqref="C57:C58">
    <cfRule type="cellIs" dxfId="10080" priority="12253" stopIfTrue="1" operator="equal">
      <formula>"Towel"</formula>
    </cfRule>
  </conditionalFormatting>
  <conditionalFormatting sqref="C57:C58">
    <cfRule type="cellIs" dxfId="10079" priority="12261" stopIfTrue="1" operator="equal">
      <formula>"Towel"</formula>
    </cfRule>
    <cfRule type="cellIs" dxfId="10078" priority="12262" stopIfTrue="1" operator="equal">
      <formula>"Napkin Hs"</formula>
    </cfRule>
  </conditionalFormatting>
  <conditionalFormatting sqref="C57:C58">
    <cfRule type="cellIs" dxfId="10077" priority="12259" stopIfTrue="1" operator="equal">
      <formula>"Towel"</formula>
    </cfRule>
    <cfRule type="cellIs" dxfId="10076" priority="12260" stopIfTrue="1" operator="equal">
      <formula>"Napkin Hs"</formula>
    </cfRule>
  </conditionalFormatting>
  <conditionalFormatting sqref="C57:C58">
    <cfRule type="cellIs" dxfId="10075" priority="12231" stopIfTrue="1" operator="equal">
      <formula>"Towel"</formula>
    </cfRule>
    <cfRule type="cellIs" dxfId="10074" priority="12232" stopIfTrue="1" operator="equal">
      <formula>"Napkin Hs"</formula>
    </cfRule>
  </conditionalFormatting>
  <conditionalFormatting sqref="C57:C58">
    <cfRule type="cellIs" dxfId="10073" priority="12229" stopIfTrue="1" operator="equal">
      <formula>"Towel"</formula>
    </cfRule>
    <cfRule type="cellIs" dxfId="10072" priority="12230" stopIfTrue="1" operator="equal">
      <formula>"Napkin Hs"</formula>
    </cfRule>
  </conditionalFormatting>
  <conditionalFormatting sqref="C57:C58">
    <cfRule type="cellIs" dxfId="10071" priority="12208" stopIfTrue="1" operator="equal">
      <formula>"Napkin Hs"</formula>
    </cfRule>
  </conditionalFormatting>
  <conditionalFormatting sqref="C57:C58">
    <cfRule type="cellIs" dxfId="10070" priority="12207" stopIfTrue="1" operator="equal">
      <formula>"Towel"</formula>
    </cfRule>
  </conditionalFormatting>
  <conditionalFormatting sqref="C57:C58">
    <cfRule type="cellIs" dxfId="10069" priority="12206" stopIfTrue="1" operator="equal">
      <formula>"Napkin Hs"</formula>
    </cfRule>
  </conditionalFormatting>
  <conditionalFormatting sqref="C57:C58">
    <cfRule type="cellIs" dxfId="10068" priority="12205" stopIfTrue="1" operator="equal">
      <formula>"Towel"</formula>
    </cfRule>
  </conditionalFormatting>
  <conditionalFormatting sqref="C57:C58">
    <cfRule type="cellIs" dxfId="10067" priority="12202" stopIfTrue="1" operator="equal">
      <formula>"Napkin Hs"</formula>
    </cfRule>
  </conditionalFormatting>
  <conditionalFormatting sqref="C57:C58">
    <cfRule type="cellIs" dxfId="10066" priority="12201" stopIfTrue="1" operator="equal">
      <formula>"Towel"</formula>
    </cfRule>
  </conditionalFormatting>
  <conditionalFormatting sqref="C57:C58">
    <cfRule type="cellIs" dxfId="10065" priority="12200" stopIfTrue="1" operator="equal">
      <formula>"Napkin Hs"</formula>
    </cfRule>
  </conditionalFormatting>
  <conditionalFormatting sqref="C57:C58">
    <cfRule type="cellIs" dxfId="10064" priority="12199" stopIfTrue="1" operator="equal">
      <formula>"Towel"</formula>
    </cfRule>
  </conditionalFormatting>
  <conditionalFormatting sqref="C57:C58">
    <cfRule type="cellIs" dxfId="10063" priority="12195" stopIfTrue="1" operator="equal">
      <formula>"Towel"</formula>
    </cfRule>
    <cfRule type="cellIs" dxfId="10062" priority="12196" stopIfTrue="1" operator="equal">
      <formula>"Napkin Hs"</formula>
    </cfRule>
  </conditionalFormatting>
  <conditionalFormatting sqref="C57:C58">
    <cfRule type="cellIs" dxfId="10061" priority="12193" stopIfTrue="1" operator="equal">
      <formula>"Towel"</formula>
    </cfRule>
    <cfRule type="cellIs" dxfId="10060" priority="12194" stopIfTrue="1" operator="equal">
      <formula>"Napkin Hs"</formula>
    </cfRule>
  </conditionalFormatting>
  <conditionalFormatting sqref="C57:C58">
    <cfRule type="cellIs" dxfId="10059" priority="12177" stopIfTrue="1" operator="equal">
      <formula>"Towel"</formula>
    </cfRule>
    <cfRule type="cellIs" dxfId="10058" priority="12178" stopIfTrue="1" operator="equal">
      <formula>"Napkin Hs"</formula>
    </cfRule>
  </conditionalFormatting>
  <conditionalFormatting sqref="C57:C58">
    <cfRule type="cellIs" dxfId="10057" priority="12175" stopIfTrue="1" operator="equal">
      <formula>"Towel"</formula>
    </cfRule>
    <cfRule type="cellIs" dxfId="10056" priority="12176" stopIfTrue="1" operator="equal">
      <formula>"Napkin Hs"</formula>
    </cfRule>
  </conditionalFormatting>
  <conditionalFormatting sqref="B57:C58">
    <cfRule type="cellIs" dxfId="10055" priority="12136" stopIfTrue="1" operator="equal">
      <formula>"Napkin Hs"</formula>
    </cfRule>
  </conditionalFormatting>
  <conditionalFormatting sqref="B57:C58">
    <cfRule type="cellIs" dxfId="10054" priority="12135" stopIfTrue="1" operator="equal">
      <formula>"Towel"</formula>
    </cfRule>
  </conditionalFormatting>
  <conditionalFormatting sqref="C57:C58">
    <cfRule type="cellIs" dxfId="10053" priority="12134" stopIfTrue="1" operator="equal">
      <formula>"Napkin Hs"</formula>
    </cfRule>
  </conditionalFormatting>
  <conditionalFormatting sqref="C57:C58">
    <cfRule type="cellIs" dxfId="10052" priority="12131" stopIfTrue="1" operator="equal">
      <formula>"Towel"</formula>
    </cfRule>
    <cfRule type="cellIs" dxfId="10051" priority="12132" stopIfTrue="1" operator="equal">
      <formula>"Napkin Hs"</formula>
    </cfRule>
  </conditionalFormatting>
  <conditionalFormatting sqref="C57:C58">
    <cfRule type="cellIs" dxfId="10050" priority="12133" stopIfTrue="1" operator="equal">
      <formula>"Towel"</formula>
    </cfRule>
  </conditionalFormatting>
  <conditionalFormatting sqref="C56">
    <cfRule type="cellIs" dxfId="10049" priority="12047" stopIfTrue="1" operator="equal">
      <formula>"Towel"</formula>
    </cfRule>
    <cfRule type="cellIs" dxfId="10048" priority="12048" stopIfTrue="1" operator="equal">
      <formula>"Napkin Hs"</formula>
    </cfRule>
  </conditionalFormatting>
  <conditionalFormatting sqref="C56">
    <cfRule type="cellIs" dxfId="10047" priority="12041" stopIfTrue="1" operator="equal">
      <formula>"Towel"</formula>
    </cfRule>
    <cfRule type="cellIs" dxfId="10046" priority="12042" stopIfTrue="1" operator="equal">
      <formula>"Napkin Hs"</formula>
    </cfRule>
  </conditionalFormatting>
  <conditionalFormatting sqref="C56">
    <cfRule type="cellIs" dxfId="10045" priority="12022" stopIfTrue="1" operator="equal">
      <formula>"Napkin Hs"</formula>
    </cfRule>
  </conditionalFormatting>
  <conditionalFormatting sqref="C56">
    <cfRule type="cellIs" dxfId="10044" priority="12021" stopIfTrue="1" operator="equal">
      <formula>"Towel"</formula>
    </cfRule>
  </conditionalFormatting>
  <conditionalFormatting sqref="C56">
    <cfRule type="cellIs" dxfId="10043" priority="12020" stopIfTrue="1" operator="equal">
      <formula>"Napkin Hs"</formula>
    </cfRule>
  </conditionalFormatting>
  <conditionalFormatting sqref="C56">
    <cfRule type="cellIs" dxfId="10042" priority="12017" stopIfTrue="1" operator="equal">
      <formula>"Towel"</formula>
    </cfRule>
    <cfRule type="cellIs" dxfId="10041" priority="12018" stopIfTrue="1" operator="equal">
      <formula>"Napkin Hs"</formula>
    </cfRule>
  </conditionalFormatting>
  <conditionalFormatting sqref="C56">
    <cfRule type="cellIs" dxfId="10040" priority="12019" stopIfTrue="1" operator="equal">
      <formula>"Towel"</formula>
    </cfRule>
  </conditionalFormatting>
  <conditionalFormatting sqref="C56">
    <cfRule type="cellIs" dxfId="10039" priority="12016" stopIfTrue="1" operator="equal">
      <formula>"Napkin Hs"</formula>
    </cfRule>
  </conditionalFormatting>
  <conditionalFormatting sqref="C56">
    <cfRule type="cellIs" dxfId="10038" priority="12015" stopIfTrue="1" operator="equal">
      <formula>"Towel"</formula>
    </cfRule>
  </conditionalFormatting>
  <conditionalFormatting sqref="C56">
    <cfRule type="cellIs" dxfId="10037" priority="12014" stopIfTrue="1" operator="equal">
      <formula>"Napkin Hs"</formula>
    </cfRule>
  </conditionalFormatting>
  <conditionalFormatting sqref="C56">
    <cfRule type="cellIs" dxfId="10036" priority="12011" stopIfTrue="1" operator="equal">
      <formula>"Towel"</formula>
    </cfRule>
    <cfRule type="cellIs" dxfId="10035" priority="12012" stopIfTrue="1" operator="equal">
      <formula>"Napkin Hs"</formula>
    </cfRule>
  </conditionalFormatting>
  <conditionalFormatting sqref="C56">
    <cfRule type="cellIs" dxfId="10034" priority="12013" stopIfTrue="1" operator="equal">
      <formula>"Towel"</formula>
    </cfRule>
  </conditionalFormatting>
  <conditionalFormatting sqref="C56">
    <cfRule type="cellIs" dxfId="10033" priority="12117" stopIfTrue="1" operator="equal">
      <formula>"Towel"</formula>
    </cfRule>
    <cfRule type="cellIs" dxfId="10032" priority="12118" stopIfTrue="1" operator="equal">
      <formula>"Napkin Hs"</formula>
    </cfRule>
  </conditionalFormatting>
  <conditionalFormatting sqref="C56">
    <cfRule type="cellIs" dxfId="10031" priority="12115" stopIfTrue="1" operator="equal">
      <formula>"Towel"</formula>
    </cfRule>
    <cfRule type="cellIs" dxfId="10030" priority="12116" stopIfTrue="1" operator="equal">
      <formula>"Napkin Hs"</formula>
    </cfRule>
  </conditionalFormatting>
  <conditionalFormatting sqref="C56">
    <cfRule type="cellIs" dxfId="10029" priority="12113" stopIfTrue="1" operator="equal">
      <formula>"Towel"</formula>
    </cfRule>
    <cfRule type="cellIs" dxfId="10028" priority="12114" stopIfTrue="1" operator="equal">
      <formula>"Napkin Hs"</formula>
    </cfRule>
  </conditionalFormatting>
  <conditionalFormatting sqref="C56">
    <cfRule type="cellIs" dxfId="10027" priority="12112" stopIfTrue="1" operator="equal">
      <formula>"Napkin Hs"</formula>
    </cfRule>
  </conditionalFormatting>
  <conditionalFormatting sqref="C56">
    <cfRule type="cellIs" dxfId="10026" priority="12111" stopIfTrue="1" operator="equal">
      <formula>"Towel"</formula>
    </cfRule>
  </conditionalFormatting>
  <conditionalFormatting sqref="C56">
    <cfRule type="cellIs" dxfId="10025" priority="12110" stopIfTrue="1" operator="equal">
      <formula>"Napkin Hs"</formula>
    </cfRule>
  </conditionalFormatting>
  <conditionalFormatting sqref="C56">
    <cfRule type="cellIs" dxfId="10024" priority="12109" stopIfTrue="1" operator="equal">
      <formula>"Towel"</formula>
    </cfRule>
  </conditionalFormatting>
  <conditionalFormatting sqref="C56">
    <cfRule type="cellIs" dxfId="10023" priority="12107" stopIfTrue="1" operator="equal">
      <formula>"Towel"</formula>
    </cfRule>
    <cfRule type="cellIs" dxfId="10022" priority="12108" stopIfTrue="1" operator="equal">
      <formula>"Napkin Hs"</formula>
    </cfRule>
  </conditionalFormatting>
  <conditionalFormatting sqref="C56">
    <cfRule type="cellIs" dxfId="10021" priority="12105" stopIfTrue="1" operator="equal">
      <formula>"Towel"</formula>
    </cfRule>
    <cfRule type="cellIs" dxfId="10020" priority="12106" stopIfTrue="1" operator="equal">
      <formula>"Napkin Hs"</formula>
    </cfRule>
  </conditionalFormatting>
  <conditionalFormatting sqref="C56">
    <cfRule type="cellIs" dxfId="10019" priority="12101" stopIfTrue="1" operator="equal">
      <formula>"Towel"</formula>
    </cfRule>
    <cfRule type="cellIs" dxfId="10018" priority="12102" stopIfTrue="1" operator="equal">
      <formula>"Napkin Hs"</formula>
    </cfRule>
  </conditionalFormatting>
  <conditionalFormatting sqref="C56">
    <cfRule type="cellIs" dxfId="10017" priority="12103" stopIfTrue="1" operator="equal">
      <formula>"Towel"</formula>
    </cfRule>
    <cfRule type="cellIs" dxfId="10016" priority="12104" stopIfTrue="1" operator="equal">
      <formula>"Napkin Hs"</formula>
    </cfRule>
  </conditionalFormatting>
  <conditionalFormatting sqref="C56">
    <cfRule type="cellIs" dxfId="10015" priority="12095" stopIfTrue="1" operator="equal">
      <formula>"Towel"</formula>
    </cfRule>
    <cfRule type="cellIs" dxfId="10014" priority="12096" stopIfTrue="1" operator="equal">
      <formula>"Napkin Hs"</formula>
    </cfRule>
  </conditionalFormatting>
  <conditionalFormatting sqref="C56">
    <cfRule type="cellIs" dxfId="10013" priority="12093" stopIfTrue="1" operator="equal">
      <formula>"Towel"</formula>
    </cfRule>
    <cfRule type="cellIs" dxfId="10012" priority="12094" stopIfTrue="1" operator="equal">
      <formula>"Napkin Hs"</formula>
    </cfRule>
  </conditionalFormatting>
  <conditionalFormatting sqref="C56">
    <cfRule type="cellIs" dxfId="10011" priority="12091" stopIfTrue="1" operator="equal">
      <formula>"Towel"</formula>
    </cfRule>
    <cfRule type="cellIs" dxfId="10010" priority="12092" stopIfTrue="1" operator="equal">
      <formula>"Napkin Hs"</formula>
    </cfRule>
  </conditionalFormatting>
  <conditionalFormatting sqref="C56">
    <cfRule type="cellIs" dxfId="10009" priority="12089" stopIfTrue="1" operator="equal">
      <formula>"Towel"</formula>
    </cfRule>
    <cfRule type="cellIs" dxfId="10008" priority="12090" stopIfTrue="1" operator="equal">
      <formula>"Napkin Hs"</formula>
    </cfRule>
  </conditionalFormatting>
  <conditionalFormatting sqref="C56">
    <cfRule type="cellIs" dxfId="10007" priority="12087" stopIfTrue="1" operator="equal">
      <formula>"Towel"</formula>
    </cfRule>
    <cfRule type="cellIs" dxfId="10006" priority="12088" stopIfTrue="1" operator="equal">
      <formula>"Napkin Hs"</formula>
    </cfRule>
  </conditionalFormatting>
  <conditionalFormatting sqref="C56">
    <cfRule type="cellIs" dxfId="10005" priority="12085" stopIfTrue="1" operator="equal">
      <formula>"Towel"</formula>
    </cfRule>
    <cfRule type="cellIs" dxfId="10004" priority="12086" stopIfTrue="1" operator="equal">
      <formula>"Napkin Hs"</formula>
    </cfRule>
  </conditionalFormatting>
  <conditionalFormatting sqref="C56">
    <cfRule type="cellIs" dxfId="10003" priority="12083" stopIfTrue="1" operator="equal">
      <formula>"Towel"</formula>
    </cfRule>
    <cfRule type="cellIs" dxfId="10002" priority="12084" stopIfTrue="1" operator="equal">
      <formula>"Napkin Hs"</formula>
    </cfRule>
  </conditionalFormatting>
  <conditionalFormatting sqref="C56">
    <cfRule type="cellIs" dxfId="10001" priority="12081" stopIfTrue="1" operator="equal">
      <formula>"Towel"</formula>
    </cfRule>
    <cfRule type="cellIs" dxfId="10000" priority="12082" stopIfTrue="1" operator="equal">
      <formula>"Napkin Hs"</formula>
    </cfRule>
  </conditionalFormatting>
  <conditionalFormatting sqref="C56">
    <cfRule type="cellIs" dxfId="9999" priority="12079" stopIfTrue="1" operator="equal">
      <formula>"Towel"</formula>
    </cfRule>
    <cfRule type="cellIs" dxfId="9998" priority="12080" stopIfTrue="1" operator="equal">
      <formula>"Napkin Hs"</formula>
    </cfRule>
  </conditionalFormatting>
  <conditionalFormatting sqref="C56">
    <cfRule type="cellIs" dxfId="9997" priority="12077" stopIfTrue="1" operator="equal">
      <formula>"Towel"</formula>
    </cfRule>
    <cfRule type="cellIs" dxfId="9996" priority="12078" stopIfTrue="1" operator="equal">
      <formula>"Napkin Hs"</formula>
    </cfRule>
  </conditionalFormatting>
  <conditionalFormatting sqref="C56">
    <cfRule type="cellIs" dxfId="9995" priority="12071" stopIfTrue="1" operator="equal">
      <formula>"Towel"</formula>
    </cfRule>
    <cfRule type="cellIs" dxfId="9994" priority="12072" stopIfTrue="1" operator="equal">
      <formula>"Napkin Hs"</formula>
    </cfRule>
  </conditionalFormatting>
  <conditionalFormatting sqref="C56">
    <cfRule type="cellIs" dxfId="9993" priority="12065" stopIfTrue="1" operator="equal">
      <formula>"Towel"</formula>
    </cfRule>
    <cfRule type="cellIs" dxfId="9992" priority="12066" stopIfTrue="1" operator="equal">
      <formula>"Napkin Hs"</formula>
    </cfRule>
  </conditionalFormatting>
  <conditionalFormatting sqref="C56">
    <cfRule type="cellIs" dxfId="9991" priority="12059" stopIfTrue="1" operator="equal">
      <formula>"Towel"</formula>
    </cfRule>
    <cfRule type="cellIs" dxfId="9990" priority="12060" stopIfTrue="1" operator="equal">
      <formula>"Napkin Hs"</formula>
    </cfRule>
  </conditionalFormatting>
  <conditionalFormatting sqref="C56">
    <cfRule type="cellIs" dxfId="9989" priority="12058" stopIfTrue="1" operator="equal">
      <formula>"Napkin Hs"</formula>
    </cfRule>
  </conditionalFormatting>
  <conditionalFormatting sqref="C56">
    <cfRule type="cellIs" dxfId="9988" priority="12057" stopIfTrue="1" operator="equal">
      <formula>"Towel"</formula>
    </cfRule>
  </conditionalFormatting>
  <conditionalFormatting sqref="C56">
    <cfRule type="cellIs" dxfId="9987" priority="12056" stopIfTrue="1" operator="equal">
      <formula>"Napkin Hs"</formula>
    </cfRule>
  </conditionalFormatting>
  <conditionalFormatting sqref="C56">
    <cfRule type="cellIs" dxfId="9986" priority="12055" stopIfTrue="1" operator="equal">
      <formula>"Towel"</formula>
    </cfRule>
  </conditionalFormatting>
  <conditionalFormatting sqref="C56">
    <cfRule type="cellIs" dxfId="9985" priority="12053" stopIfTrue="1" operator="equal">
      <formula>"Towel"</formula>
    </cfRule>
    <cfRule type="cellIs" dxfId="9984" priority="12054" stopIfTrue="1" operator="equal">
      <formula>"Napkin Hs"</formula>
    </cfRule>
  </conditionalFormatting>
  <conditionalFormatting sqref="C56">
    <cfRule type="cellIs" dxfId="9983" priority="12051" stopIfTrue="1" operator="equal">
      <formula>"Towel"</formula>
    </cfRule>
    <cfRule type="cellIs" dxfId="9982" priority="12052" stopIfTrue="1" operator="equal">
      <formula>"Napkin Hs"</formula>
    </cfRule>
  </conditionalFormatting>
  <conditionalFormatting sqref="C56">
    <cfRule type="cellIs" dxfId="9981" priority="12049" stopIfTrue="1" operator="equal">
      <formula>"Towel"</formula>
    </cfRule>
    <cfRule type="cellIs" dxfId="9980" priority="12050" stopIfTrue="1" operator="equal">
      <formula>"Napkin Hs"</formula>
    </cfRule>
  </conditionalFormatting>
  <conditionalFormatting sqref="C56">
    <cfRule type="cellIs" dxfId="9979" priority="12039" stopIfTrue="1" operator="equal">
      <formula>"Towel"</formula>
    </cfRule>
    <cfRule type="cellIs" dxfId="9978" priority="12040" stopIfTrue="1" operator="equal">
      <formula>"Napkin Hs"</formula>
    </cfRule>
  </conditionalFormatting>
  <conditionalFormatting sqref="C56">
    <cfRule type="cellIs" dxfId="9977" priority="12037" stopIfTrue="1" operator="equal">
      <formula>"Towel"</formula>
    </cfRule>
    <cfRule type="cellIs" dxfId="9976" priority="12038" stopIfTrue="1" operator="equal">
      <formula>"Napkin Hs"</formula>
    </cfRule>
  </conditionalFormatting>
  <conditionalFormatting sqref="C56">
    <cfRule type="cellIs" dxfId="9975" priority="12035" stopIfTrue="1" operator="equal">
      <formula>"Towel"</formula>
    </cfRule>
    <cfRule type="cellIs" dxfId="9974" priority="12036" stopIfTrue="1" operator="equal">
      <formula>"Napkin Hs"</formula>
    </cfRule>
  </conditionalFormatting>
  <conditionalFormatting sqref="C56">
    <cfRule type="cellIs" dxfId="9973" priority="12033" stopIfTrue="1" operator="equal">
      <formula>"Towel"</formula>
    </cfRule>
    <cfRule type="cellIs" dxfId="9972" priority="12034" stopIfTrue="1" operator="equal">
      <formula>"Napkin Hs"</formula>
    </cfRule>
  </conditionalFormatting>
  <conditionalFormatting sqref="C56">
    <cfRule type="cellIs" dxfId="9971" priority="12031" stopIfTrue="1" operator="equal">
      <formula>"Towel"</formula>
    </cfRule>
    <cfRule type="cellIs" dxfId="9970" priority="12032" stopIfTrue="1" operator="equal">
      <formula>"Napkin Hs"</formula>
    </cfRule>
  </conditionalFormatting>
  <conditionalFormatting sqref="C56">
    <cfRule type="cellIs" dxfId="9969" priority="12029" stopIfTrue="1" operator="equal">
      <formula>"Towel"</formula>
    </cfRule>
    <cfRule type="cellIs" dxfId="9968" priority="12030" stopIfTrue="1" operator="equal">
      <formula>"Napkin Hs"</formula>
    </cfRule>
  </conditionalFormatting>
  <conditionalFormatting sqref="C56">
    <cfRule type="cellIs" dxfId="9967" priority="12027" stopIfTrue="1" operator="equal">
      <formula>"Towel"</formula>
    </cfRule>
    <cfRule type="cellIs" dxfId="9966" priority="12028" stopIfTrue="1" operator="equal">
      <formula>"Napkin Hs"</formula>
    </cfRule>
  </conditionalFormatting>
  <conditionalFormatting sqref="C56">
    <cfRule type="cellIs" dxfId="9965" priority="12025" stopIfTrue="1" operator="equal">
      <formula>"Towel"</formula>
    </cfRule>
    <cfRule type="cellIs" dxfId="9964" priority="12026" stopIfTrue="1" operator="equal">
      <formula>"Napkin Hs"</formula>
    </cfRule>
  </conditionalFormatting>
  <conditionalFormatting sqref="C56">
    <cfRule type="cellIs" dxfId="9963" priority="12023" stopIfTrue="1" operator="equal">
      <formula>"Towel"</formula>
    </cfRule>
    <cfRule type="cellIs" dxfId="9962" priority="12024" stopIfTrue="1" operator="equal">
      <formula>"Napkin Hs"</formula>
    </cfRule>
  </conditionalFormatting>
  <conditionalFormatting sqref="C56">
    <cfRule type="cellIs" dxfId="9961" priority="12010" stopIfTrue="1" operator="equal">
      <formula>"Napkin Hs"</formula>
    </cfRule>
  </conditionalFormatting>
  <conditionalFormatting sqref="C56">
    <cfRule type="cellIs" dxfId="9960" priority="12009" stopIfTrue="1" operator="equal">
      <formula>"Towel"</formula>
    </cfRule>
  </conditionalFormatting>
  <conditionalFormatting sqref="C56">
    <cfRule type="cellIs" dxfId="9959" priority="12008" stopIfTrue="1" operator="equal">
      <formula>"Napkin Hs"</formula>
    </cfRule>
  </conditionalFormatting>
  <conditionalFormatting sqref="C56">
    <cfRule type="cellIs" dxfId="9958" priority="12005" stopIfTrue="1" operator="equal">
      <formula>"Towel"</formula>
    </cfRule>
    <cfRule type="cellIs" dxfId="9957" priority="12006" stopIfTrue="1" operator="equal">
      <formula>"Napkin Hs"</formula>
    </cfRule>
  </conditionalFormatting>
  <conditionalFormatting sqref="C56">
    <cfRule type="cellIs" dxfId="9956" priority="12007" stopIfTrue="1" operator="equal">
      <formula>"Towel"</formula>
    </cfRule>
  </conditionalFormatting>
  <conditionalFormatting sqref="C56">
    <cfRule type="cellIs" dxfId="9955" priority="12125" stopIfTrue="1" operator="equal">
      <formula>"Towel"</formula>
    </cfRule>
    <cfRule type="cellIs" dxfId="9954" priority="12126" stopIfTrue="1" operator="equal">
      <formula>"Napkin Hs"</formula>
    </cfRule>
  </conditionalFormatting>
  <conditionalFormatting sqref="C56">
    <cfRule type="cellIs" dxfId="9953" priority="12124" stopIfTrue="1" operator="equal">
      <formula>"Napkin Hs"</formula>
    </cfRule>
  </conditionalFormatting>
  <conditionalFormatting sqref="C56">
    <cfRule type="cellIs" dxfId="9952" priority="12123" stopIfTrue="1" operator="equal">
      <formula>"Towel"</formula>
    </cfRule>
  </conditionalFormatting>
  <conditionalFormatting sqref="C56">
    <cfRule type="cellIs" dxfId="9951" priority="12122" stopIfTrue="1" operator="equal">
      <formula>"Napkin Hs"</formula>
    </cfRule>
  </conditionalFormatting>
  <conditionalFormatting sqref="C56">
    <cfRule type="cellIs" dxfId="9950" priority="12119" stopIfTrue="1" operator="equal">
      <formula>"Towel"</formula>
    </cfRule>
    <cfRule type="cellIs" dxfId="9949" priority="12120" stopIfTrue="1" operator="equal">
      <formula>"Napkin Hs"</formula>
    </cfRule>
  </conditionalFormatting>
  <conditionalFormatting sqref="C56">
    <cfRule type="cellIs" dxfId="9948" priority="12121" stopIfTrue="1" operator="equal">
      <formula>"Towel"</formula>
    </cfRule>
  </conditionalFormatting>
  <conditionalFormatting sqref="C56">
    <cfRule type="cellIs" dxfId="9947" priority="12129" stopIfTrue="1" operator="equal">
      <formula>"Towel"</formula>
    </cfRule>
    <cfRule type="cellIs" dxfId="9946" priority="12130" stopIfTrue="1" operator="equal">
      <formula>"Napkin Hs"</formula>
    </cfRule>
  </conditionalFormatting>
  <conditionalFormatting sqref="C56">
    <cfRule type="cellIs" dxfId="9945" priority="12127" stopIfTrue="1" operator="equal">
      <formula>"Towel"</formula>
    </cfRule>
    <cfRule type="cellIs" dxfId="9944" priority="12128" stopIfTrue="1" operator="equal">
      <formula>"Napkin Hs"</formula>
    </cfRule>
  </conditionalFormatting>
  <conditionalFormatting sqref="C56">
    <cfRule type="cellIs" dxfId="9943" priority="12099" stopIfTrue="1" operator="equal">
      <formula>"Towel"</formula>
    </cfRule>
    <cfRule type="cellIs" dxfId="9942" priority="12100" stopIfTrue="1" operator="equal">
      <formula>"Napkin Hs"</formula>
    </cfRule>
  </conditionalFormatting>
  <conditionalFormatting sqref="C56">
    <cfRule type="cellIs" dxfId="9941" priority="12097" stopIfTrue="1" operator="equal">
      <formula>"Towel"</formula>
    </cfRule>
    <cfRule type="cellIs" dxfId="9940" priority="12098" stopIfTrue="1" operator="equal">
      <formula>"Napkin Hs"</formula>
    </cfRule>
  </conditionalFormatting>
  <conditionalFormatting sqref="C56">
    <cfRule type="cellIs" dxfId="9939" priority="12076" stopIfTrue="1" operator="equal">
      <formula>"Napkin Hs"</formula>
    </cfRule>
  </conditionalFormatting>
  <conditionalFormatting sqref="C56">
    <cfRule type="cellIs" dxfId="9938" priority="12075" stopIfTrue="1" operator="equal">
      <formula>"Towel"</formula>
    </cfRule>
  </conditionalFormatting>
  <conditionalFormatting sqref="C56">
    <cfRule type="cellIs" dxfId="9937" priority="12074" stopIfTrue="1" operator="equal">
      <formula>"Napkin Hs"</formula>
    </cfRule>
  </conditionalFormatting>
  <conditionalFormatting sqref="C56">
    <cfRule type="cellIs" dxfId="9936" priority="12073" stopIfTrue="1" operator="equal">
      <formula>"Towel"</formula>
    </cfRule>
  </conditionalFormatting>
  <conditionalFormatting sqref="C56">
    <cfRule type="cellIs" dxfId="9935" priority="12070" stopIfTrue="1" operator="equal">
      <formula>"Napkin Hs"</formula>
    </cfRule>
  </conditionalFormatting>
  <conditionalFormatting sqref="C56">
    <cfRule type="cellIs" dxfId="9934" priority="12069" stopIfTrue="1" operator="equal">
      <formula>"Towel"</formula>
    </cfRule>
  </conditionalFormatting>
  <conditionalFormatting sqref="C56">
    <cfRule type="cellIs" dxfId="9933" priority="12068" stopIfTrue="1" operator="equal">
      <formula>"Napkin Hs"</formula>
    </cfRule>
  </conditionalFormatting>
  <conditionalFormatting sqref="C56">
    <cfRule type="cellIs" dxfId="9932" priority="12067" stopIfTrue="1" operator="equal">
      <formula>"Towel"</formula>
    </cfRule>
  </conditionalFormatting>
  <conditionalFormatting sqref="C56">
    <cfRule type="cellIs" dxfId="9931" priority="12063" stopIfTrue="1" operator="equal">
      <formula>"Towel"</formula>
    </cfRule>
    <cfRule type="cellIs" dxfId="9930" priority="12064" stopIfTrue="1" operator="equal">
      <formula>"Napkin Hs"</formula>
    </cfRule>
  </conditionalFormatting>
  <conditionalFormatting sqref="C56">
    <cfRule type="cellIs" dxfId="9929" priority="12061" stopIfTrue="1" operator="equal">
      <formula>"Towel"</formula>
    </cfRule>
    <cfRule type="cellIs" dxfId="9928" priority="12062" stopIfTrue="1" operator="equal">
      <formula>"Napkin Hs"</formula>
    </cfRule>
  </conditionalFormatting>
  <conditionalFormatting sqref="C56">
    <cfRule type="cellIs" dxfId="9927" priority="12045" stopIfTrue="1" operator="equal">
      <formula>"Towel"</formula>
    </cfRule>
    <cfRule type="cellIs" dxfId="9926" priority="12046" stopIfTrue="1" operator="equal">
      <formula>"Napkin Hs"</formula>
    </cfRule>
  </conditionalFormatting>
  <conditionalFormatting sqref="C56">
    <cfRule type="cellIs" dxfId="9925" priority="12043" stopIfTrue="1" operator="equal">
      <formula>"Towel"</formula>
    </cfRule>
    <cfRule type="cellIs" dxfId="9924" priority="12044" stopIfTrue="1" operator="equal">
      <formula>"Napkin Hs"</formula>
    </cfRule>
  </conditionalFormatting>
  <conditionalFormatting sqref="B56:C56">
    <cfRule type="cellIs" dxfId="9923" priority="12004" stopIfTrue="1" operator="equal">
      <formula>"Napkin Hs"</formula>
    </cfRule>
  </conditionalFormatting>
  <conditionalFormatting sqref="B56:C56">
    <cfRule type="cellIs" dxfId="9922" priority="12003" stopIfTrue="1" operator="equal">
      <formula>"Towel"</formula>
    </cfRule>
  </conditionalFormatting>
  <conditionalFormatting sqref="C56">
    <cfRule type="cellIs" dxfId="9921" priority="12002" stopIfTrue="1" operator="equal">
      <formula>"Napkin Hs"</formula>
    </cfRule>
  </conditionalFormatting>
  <conditionalFormatting sqref="C56">
    <cfRule type="cellIs" dxfId="9920" priority="11999" stopIfTrue="1" operator="equal">
      <formula>"Towel"</formula>
    </cfRule>
    <cfRule type="cellIs" dxfId="9919" priority="12000" stopIfTrue="1" operator="equal">
      <formula>"Napkin Hs"</formula>
    </cfRule>
  </conditionalFormatting>
  <conditionalFormatting sqref="C56">
    <cfRule type="cellIs" dxfId="9918" priority="12001" stopIfTrue="1" operator="equal">
      <formula>"Towel"</formula>
    </cfRule>
  </conditionalFormatting>
  <conditionalFormatting sqref="B64:C64">
    <cfRule type="cellIs" dxfId="9917" priority="11997" stopIfTrue="1" operator="equal">
      <formula>"Towel"</formula>
    </cfRule>
    <cfRule type="cellIs" dxfId="9916" priority="11998" stopIfTrue="1" operator="equal">
      <formula>"Napkin Hs"</formula>
    </cfRule>
  </conditionalFormatting>
  <conditionalFormatting sqref="C64">
    <cfRule type="cellIs" dxfId="9915" priority="11993" stopIfTrue="1" operator="equal">
      <formula>"Towel"</formula>
    </cfRule>
    <cfRule type="cellIs" dxfId="9914" priority="11994" stopIfTrue="1" operator="equal">
      <formula>"Napkin Hs"</formula>
    </cfRule>
  </conditionalFormatting>
  <conditionalFormatting sqref="C64">
    <cfRule type="cellIs" dxfId="9913" priority="11995" stopIfTrue="1" operator="equal">
      <formula>"Towel"</formula>
    </cfRule>
    <cfRule type="cellIs" dxfId="9912" priority="11996" stopIfTrue="1" operator="equal">
      <formula>"Napkin Hs"</formula>
    </cfRule>
  </conditionalFormatting>
  <conditionalFormatting sqref="B63:C63">
    <cfRule type="cellIs" dxfId="9911" priority="11991" stopIfTrue="1" operator="equal">
      <formula>"Towel"</formula>
    </cfRule>
    <cfRule type="cellIs" dxfId="9910" priority="11992" stopIfTrue="1" operator="equal">
      <formula>"Napkin Hs"</formula>
    </cfRule>
  </conditionalFormatting>
  <conditionalFormatting sqref="C63">
    <cfRule type="cellIs" dxfId="9909" priority="11987" stopIfTrue="1" operator="equal">
      <formula>"Towel"</formula>
    </cfRule>
    <cfRule type="cellIs" dxfId="9908" priority="11988" stopIfTrue="1" operator="equal">
      <formula>"Napkin Hs"</formula>
    </cfRule>
  </conditionalFormatting>
  <conditionalFormatting sqref="C63">
    <cfRule type="cellIs" dxfId="9907" priority="11989" stopIfTrue="1" operator="equal">
      <formula>"Towel"</formula>
    </cfRule>
    <cfRule type="cellIs" dxfId="9906" priority="11990" stopIfTrue="1" operator="equal">
      <formula>"Napkin Hs"</formula>
    </cfRule>
  </conditionalFormatting>
  <conditionalFormatting sqref="B63:C63">
    <cfRule type="cellIs" dxfId="9905" priority="11985" stopIfTrue="1" operator="equal">
      <formula>"Towel"</formula>
    </cfRule>
    <cfRule type="cellIs" dxfId="9904" priority="11986" stopIfTrue="1" operator="equal">
      <formula>"Napkin Hs"</formula>
    </cfRule>
  </conditionalFormatting>
  <conditionalFormatting sqref="C63">
    <cfRule type="cellIs" dxfId="9903" priority="11981" stopIfTrue="1" operator="equal">
      <formula>"Towel"</formula>
    </cfRule>
    <cfRule type="cellIs" dxfId="9902" priority="11982" stopIfTrue="1" operator="equal">
      <formula>"Napkin Hs"</formula>
    </cfRule>
  </conditionalFormatting>
  <conditionalFormatting sqref="C63">
    <cfRule type="cellIs" dxfId="9901" priority="11983" stopIfTrue="1" operator="equal">
      <formula>"Towel"</formula>
    </cfRule>
    <cfRule type="cellIs" dxfId="9900" priority="11984" stopIfTrue="1" operator="equal">
      <formula>"Napkin Hs"</formula>
    </cfRule>
  </conditionalFormatting>
  <conditionalFormatting sqref="B63:C63">
    <cfRule type="cellIs" dxfId="9899" priority="11979" stopIfTrue="1" operator="equal">
      <formula>"Towel"</formula>
    </cfRule>
    <cfRule type="cellIs" dxfId="9898" priority="11980" stopIfTrue="1" operator="equal">
      <formula>"Napkin Hs"</formula>
    </cfRule>
  </conditionalFormatting>
  <conditionalFormatting sqref="C63">
    <cfRule type="cellIs" dxfId="9897" priority="11977" stopIfTrue="1" operator="equal">
      <formula>"Towel"</formula>
    </cfRule>
    <cfRule type="cellIs" dxfId="9896" priority="11978" stopIfTrue="1" operator="equal">
      <formula>"Napkin Hs"</formula>
    </cfRule>
  </conditionalFormatting>
  <conditionalFormatting sqref="C63">
    <cfRule type="cellIs" dxfId="9895" priority="11975" stopIfTrue="1" operator="equal">
      <formula>"Towel"</formula>
    </cfRule>
    <cfRule type="cellIs" dxfId="9894" priority="11976" stopIfTrue="1" operator="equal">
      <formula>"Napkin Hs"</formula>
    </cfRule>
  </conditionalFormatting>
  <conditionalFormatting sqref="B63:C63">
    <cfRule type="cellIs" dxfId="9893" priority="11974" stopIfTrue="1" operator="equal">
      <formula>"Napkin Hs"</formula>
    </cfRule>
  </conditionalFormatting>
  <conditionalFormatting sqref="B63:C63">
    <cfRule type="cellIs" dxfId="9892" priority="11973" stopIfTrue="1" operator="equal">
      <formula>"Towel"</formula>
    </cfRule>
  </conditionalFormatting>
  <conditionalFormatting sqref="C63">
    <cfRule type="cellIs" dxfId="9891" priority="11972" stopIfTrue="1" operator="equal">
      <formula>"Napkin Hs"</formula>
    </cfRule>
  </conditionalFormatting>
  <conditionalFormatting sqref="C63">
    <cfRule type="cellIs" dxfId="9890" priority="11971" stopIfTrue="1" operator="equal">
      <formula>"Towel"</formula>
    </cfRule>
  </conditionalFormatting>
  <conditionalFormatting sqref="C63">
    <cfRule type="cellIs" dxfId="9889" priority="11969" stopIfTrue="1" operator="equal">
      <formula>"Towel"</formula>
    </cfRule>
    <cfRule type="cellIs" dxfId="9888" priority="11970" stopIfTrue="1" operator="equal">
      <formula>"Napkin Hs"</formula>
    </cfRule>
  </conditionalFormatting>
  <conditionalFormatting sqref="C63">
    <cfRule type="cellIs" dxfId="9887" priority="11967" stopIfTrue="1" operator="equal">
      <formula>"Towel"</formula>
    </cfRule>
    <cfRule type="cellIs" dxfId="9886" priority="11968" stopIfTrue="1" operator="equal">
      <formula>"Napkin Hs"</formula>
    </cfRule>
  </conditionalFormatting>
  <conditionalFormatting sqref="C63">
    <cfRule type="cellIs" dxfId="9885" priority="11883" stopIfTrue="1" operator="equal">
      <formula>"Towel"</formula>
    </cfRule>
    <cfRule type="cellIs" dxfId="9884" priority="11884" stopIfTrue="1" operator="equal">
      <formula>"Napkin Hs"</formula>
    </cfRule>
  </conditionalFormatting>
  <conditionalFormatting sqref="C63">
    <cfRule type="cellIs" dxfId="9883" priority="11877" stopIfTrue="1" operator="equal">
      <formula>"Towel"</formula>
    </cfRule>
    <cfRule type="cellIs" dxfId="9882" priority="11878" stopIfTrue="1" operator="equal">
      <formula>"Napkin Hs"</formula>
    </cfRule>
  </conditionalFormatting>
  <conditionalFormatting sqref="C63">
    <cfRule type="cellIs" dxfId="9881" priority="11858" stopIfTrue="1" operator="equal">
      <formula>"Napkin Hs"</formula>
    </cfRule>
  </conditionalFormatting>
  <conditionalFormatting sqref="C63">
    <cfRule type="cellIs" dxfId="9880" priority="11857" stopIfTrue="1" operator="equal">
      <formula>"Towel"</formula>
    </cfRule>
  </conditionalFormatting>
  <conditionalFormatting sqref="C63">
    <cfRule type="cellIs" dxfId="9879" priority="11856" stopIfTrue="1" operator="equal">
      <formula>"Napkin Hs"</formula>
    </cfRule>
  </conditionalFormatting>
  <conditionalFormatting sqref="C63">
    <cfRule type="cellIs" dxfId="9878" priority="11853" stopIfTrue="1" operator="equal">
      <formula>"Towel"</formula>
    </cfRule>
    <cfRule type="cellIs" dxfId="9877" priority="11854" stopIfTrue="1" operator="equal">
      <formula>"Napkin Hs"</formula>
    </cfRule>
  </conditionalFormatting>
  <conditionalFormatting sqref="C63">
    <cfRule type="cellIs" dxfId="9876" priority="11855" stopIfTrue="1" operator="equal">
      <formula>"Towel"</formula>
    </cfRule>
  </conditionalFormatting>
  <conditionalFormatting sqref="C63">
    <cfRule type="cellIs" dxfId="9875" priority="11852" stopIfTrue="1" operator="equal">
      <formula>"Napkin Hs"</formula>
    </cfRule>
  </conditionalFormatting>
  <conditionalFormatting sqref="C63">
    <cfRule type="cellIs" dxfId="9874" priority="11851" stopIfTrue="1" operator="equal">
      <formula>"Towel"</formula>
    </cfRule>
  </conditionalFormatting>
  <conditionalFormatting sqref="C63">
    <cfRule type="cellIs" dxfId="9873" priority="11850" stopIfTrue="1" operator="equal">
      <formula>"Napkin Hs"</formula>
    </cfRule>
  </conditionalFormatting>
  <conditionalFormatting sqref="C63">
    <cfRule type="cellIs" dxfId="9872" priority="11847" stopIfTrue="1" operator="equal">
      <formula>"Towel"</formula>
    </cfRule>
    <cfRule type="cellIs" dxfId="9871" priority="11848" stopIfTrue="1" operator="equal">
      <formula>"Napkin Hs"</formula>
    </cfRule>
  </conditionalFormatting>
  <conditionalFormatting sqref="C63">
    <cfRule type="cellIs" dxfId="9870" priority="11849" stopIfTrue="1" operator="equal">
      <formula>"Towel"</formula>
    </cfRule>
  </conditionalFormatting>
  <conditionalFormatting sqref="C63">
    <cfRule type="cellIs" dxfId="9869" priority="11953" stopIfTrue="1" operator="equal">
      <formula>"Towel"</formula>
    </cfRule>
    <cfRule type="cellIs" dxfId="9868" priority="11954" stopIfTrue="1" operator="equal">
      <formula>"Napkin Hs"</formula>
    </cfRule>
  </conditionalFormatting>
  <conditionalFormatting sqref="C63">
    <cfRule type="cellIs" dxfId="9867" priority="11951" stopIfTrue="1" operator="equal">
      <formula>"Towel"</formula>
    </cfRule>
    <cfRule type="cellIs" dxfId="9866" priority="11952" stopIfTrue="1" operator="equal">
      <formula>"Napkin Hs"</formula>
    </cfRule>
  </conditionalFormatting>
  <conditionalFormatting sqref="C63">
    <cfRule type="cellIs" dxfId="9865" priority="11949" stopIfTrue="1" operator="equal">
      <formula>"Towel"</formula>
    </cfRule>
    <cfRule type="cellIs" dxfId="9864" priority="11950" stopIfTrue="1" operator="equal">
      <formula>"Napkin Hs"</formula>
    </cfRule>
  </conditionalFormatting>
  <conditionalFormatting sqref="C63">
    <cfRule type="cellIs" dxfId="9863" priority="11948" stopIfTrue="1" operator="equal">
      <formula>"Napkin Hs"</formula>
    </cfRule>
  </conditionalFormatting>
  <conditionalFormatting sqref="C63">
    <cfRule type="cellIs" dxfId="9862" priority="11947" stopIfTrue="1" operator="equal">
      <formula>"Towel"</formula>
    </cfRule>
  </conditionalFormatting>
  <conditionalFormatting sqref="C63">
    <cfRule type="cellIs" dxfId="9861" priority="11946" stopIfTrue="1" operator="equal">
      <formula>"Napkin Hs"</formula>
    </cfRule>
  </conditionalFormatting>
  <conditionalFormatting sqref="C63">
    <cfRule type="cellIs" dxfId="9860" priority="11945" stopIfTrue="1" operator="equal">
      <formula>"Towel"</formula>
    </cfRule>
  </conditionalFormatting>
  <conditionalFormatting sqref="C63">
    <cfRule type="cellIs" dxfId="9859" priority="11943" stopIfTrue="1" operator="equal">
      <formula>"Towel"</formula>
    </cfRule>
    <cfRule type="cellIs" dxfId="9858" priority="11944" stopIfTrue="1" operator="equal">
      <formula>"Napkin Hs"</formula>
    </cfRule>
  </conditionalFormatting>
  <conditionalFormatting sqref="C63">
    <cfRule type="cellIs" dxfId="9857" priority="11941" stopIfTrue="1" operator="equal">
      <formula>"Towel"</formula>
    </cfRule>
    <cfRule type="cellIs" dxfId="9856" priority="11942" stopIfTrue="1" operator="equal">
      <formula>"Napkin Hs"</formula>
    </cfRule>
  </conditionalFormatting>
  <conditionalFormatting sqref="C63">
    <cfRule type="cellIs" dxfId="9855" priority="11937" stopIfTrue="1" operator="equal">
      <formula>"Towel"</formula>
    </cfRule>
    <cfRule type="cellIs" dxfId="9854" priority="11938" stopIfTrue="1" operator="equal">
      <formula>"Napkin Hs"</formula>
    </cfRule>
  </conditionalFormatting>
  <conditionalFormatting sqref="C63">
    <cfRule type="cellIs" dxfId="9853" priority="11939" stopIfTrue="1" operator="equal">
      <formula>"Towel"</formula>
    </cfRule>
    <cfRule type="cellIs" dxfId="9852" priority="11940" stopIfTrue="1" operator="equal">
      <formula>"Napkin Hs"</formula>
    </cfRule>
  </conditionalFormatting>
  <conditionalFormatting sqref="C63">
    <cfRule type="cellIs" dxfId="9851" priority="11931" stopIfTrue="1" operator="equal">
      <formula>"Towel"</formula>
    </cfRule>
    <cfRule type="cellIs" dxfId="9850" priority="11932" stopIfTrue="1" operator="equal">
      <formula>"Napkin Hs"</formula>
    </cfRule>
  </conditionalFormatting>
  <conditionalFormatting sqref="C63">
    <cfRule type="cellIs" dxfId="9849" priority="11929" stopIfTrue="1" operator="equal">
      <formula>"Towel"</formula>
    </cfRule>
    <cfRule type="cellIs" dxfId="9848" priority="11930" stopIfTrue="1" operator="equal">
      <formula>"Napkin Hs"</formula>
    </cfRule>
  </conditionalFormatting>
  <conditionalFormatting sqref="C63">
    <cfRule type="cellIs" dxfId="9847" priority="11927" stopIfTrue="1" operator="equal">
      <formula>"Towel"</formula>
    </cfRule>
    <cfRule type="cellIs" dxfId="9846" priority="11928" stopIfTrue="1" operator="equal">
      <formula>"Napkin Hs"</formula>
    </cfRule>
  </conditionalFormatting>
  <conditionalFormatting sqref="C63">
    <cfRule type="cellIs" dxfId="9845" priority="11925" stopIfTrue="1" operator="equal">
      <formula>"Towel"</formula>
    </cfRule>
    <cfRule type="cellIs" dxfId="9844" priority="11926" stopIfTrue="1" operator="equal">
      <formula>"Napkin Hs"</formula>
    </cfRule>
  </conditionalFormatting>
  <conditionalFormatting sqref="C63">
    <cfRule type="cellIs" dxfId="9843" priority="11923" stopIfTrue="1" operator="equal">
      <formula>"Towel"</formula>
    </cfRule>
    <cfRule type="cellIs" dxfId="9842" priority="11924" stopIfTrue="1" operator="equal">
      <formula>"Napkin Hs"</formula>
    </cfRule>
  </conditionalFormatting>
  <conditionalFormatting sqref="C63">
    <cfRule type="cellIs" dxfId="9841" priority="11921" stopIfTrue="1" operator="equal">
      <formula>"Towel"</formula>
    </cfRule>
    <cfRule type="cellIs" dxfId="9840" priority="11922" stopIfTrue="1" operator="equal">
      <formula>"Napkin Hs"</formula>
    </cfRule>
  </conditionalFormatting>
  <conditionalFormatting sqref="C63">
    <cfRule type="cellIs" dxfId="9839" priority="11919" stopIfTrue="1" operator="equal">
      <formula>"Towel"</formula>
    </cfRule>
    <cfRule type="cellIs" dxfId="9838" priority="11920" stopIfTrue="1" operator="equal">
      <formula>"Napkin Hs"</formula>
    </cfRule>
  </conditionalFormatting>
  <conditionalFormatting sqref="C63">
    <cfRule type="cellIs" dxfId="9837" priority="11917" stopIfTrue="1" operator="equal">
      <formula>"Towel"</formula>
    </cfRule>
    <cfRule type="cellIs" dxfId="9836" priority="11918" stopIfTrue="1" operator="equal">
      <formula>"Napkin Hs"</formula>
    </cfRule>
  </conditionalFormatting>
  <conditionalFormatting sqref="C63">
    <cfRule type="cellIs" dxfId="9835" priority="11915" stopIfTrue="1" operator="equal">
      <formula>"Towel"</formula>
    </cfRule>
    <cfRule type="cellIs" dxfId="9834" priority="11916" stopIfTrue="1" operator="equal">
      <formula>"Napkin Hs"</formula>
    </cfRule>
  </conditionalFormatting>
  <conditionalFormatting sqref="C63">
    <cfRule type="cellIs" dxfId="9833" priority="11913" stopIfTrue="1" operator="equal">
      <formula>"Towel"</formula>
    </cfRule>
    <cfRule type="cellIs" dxfId="9832" priority="11914" stopIfTrue="1" operator="equal">
      <formula>"Napkin Hs"</formula>
    </cfRule>
  </conditionalFormatting>
  <conditionalFormatting sqref="C63">
    <cfRule type="cellIs" dxfId="9831" priority="11907" stopIfTrue="1" operator="equal">
      <formula>"Towel"</formula>
    </cfRule>
    <cfRule type="cellIs" dxfId="9830" priority="11908" stopIfTrue="1" operator="equal">
      <formula>"Napkin Hs"</formula>
    </cfRule>
  </conditionalFormatting>
  <conditionalFormatting sqref="C63">
    <cfRule type="cellIs" dxfId="9829" priority="11901" stopIfTrue="1" operator="equal">
      <formula>"Towel"</formula>
    </cfRule>
    <cfRule type="cellIs" dxfId="9828" priority="11902" stopIfTrue="1" operator="equal">
      <formula>"Napkin Hs"</formula>
    </cfRule>
  </conditionalFormatting>
  <conditionalFormatting sqref="C63">
    <cfRule type="cellIs" dxfId="9827" priority="11895" stopIfTrue="1" operator="equal">
      <formula>"Towel"</formula>
    </cfRule>
    <cfRule type="cellIs" dxfId="9826" priority="11896" stopIfTrue="1" operator="equal">
      <formula>"Napkin Hs"</formula>
    </cfRule>
  </conditionalFormatting>
  <conditionalFormatting sqref="C63">
    <cfRule type="cellIs" dxfId="9825" priority="11894" stopIfTrue="1" operator="equal">
      <formula>"Napkin Hs"</formula>
    </cfRule>
  </conditionalFormatting>
  <conditionalFormatting sqref="C63">
    <cfRule type="cellIs" dxfId="9824" priority="11893" stopIfTrue="1" operator="equal">
      <formula>"Towel"</formula>
    </cfRule>
  </conditionalFormatting>
  <conditionalFormatting sqref="C63">
    <cfRule type="cellIs" dxfId="9823" priority="11892" stopIfTrue="1" operator="equal">
      <formula>"Napkin Hs"</formula>
    </cfRule>
  </conditionalFormatting>
  <conditionalFormatting sqref="C63">
    <cfRule type="cellIs" dxfId="9822" priority="11891" stopIfTrue="1" operator="equal">
      <formula>"Towel"</formula>
    </cfRule>
  </conditionalFormatting>
  <conditionalFormatting sqref="C63">
    <cfRule type="cellIs" dxfId="9821" priority="11889" stopIfTrue="1" operator="equal">
      <formula>"Towel"</formula>
    </cfRule>
    <cfRule type="cellIs" dxfId="9820" priority="11890" stopIfTrue="1" operator="equal">
      <formula>"Napkin Hs"</formula>
    </cfRule>
  </conditionalFormatting>
  <conditionalFormatting sqref="C63">
    <cfRule type="cellIs" dxfId="9819" priority="11887" stopIfTrue="1" operator="equal">
      <formula>"Towel"</formula>
    </cfRule>
    <cfRule type="cellIs" dxfId="9818" priority="11888" stopIfTrue="1" operator="equal">
      <formula>"Napkin Hs"</formula>
    </cfRule>
  </conditionalFormatting>
  <conditionalFormatting sqref="C63">
    <cfRule type="cellIs" dxfId="9817" priority="11885" stopIfTrue="1" operator="equal">
      <formula>"Towel"</formula>
    </cfRule>
    <cfRule type="cellIs" dxfId="9816" priority="11886" stopIfTrue="1" operator="equal">
      <formula>"Napkin Hs"</formula>
    </cfRule>
  </conditionalFormatting>
  <conditionalFormatting sqref="C63">
    <cfRule type="cellIs" dxfId="9815" priority="11875" stopIfTrue="1" operator="equal">
      <formula>"Towel"</formula>
    </cfRule>
    <cfRule type="cellIs" dxfId="9814" priority="11876" stopIfTrue="1" operator="equal">
      <formula>"Napkin Hs"</formula>
    </cfRule>
  </conditionalFormatting>
  <conditionalFormatting sqref="C63">
    <cfRule type="cellIs" dxfId="9813" priority="11873" stopIfTrue="1" operator="equal">
      <formula>"Towel"</formula>
    </cfRule>
    <cfRule type="cellIs" dxfId="9812" priority="11874" stopIfTrue="1" operator="equal">
      <formula>"Napkin Hs"</formula>
    </cfRule>
  </conditionalFormatting>
  <conditionalFormatting sqref="C63">
    <cfRule type="cellIs" dxfId="9811" priority="11871" stopIfTrue="1" operator="equal">
      <formula>"Towel"</formula>
    </cfRule>
    <cfRule type="cellIs" dxfId="9810" priority="11872" stopIfTrue="1" operator="equal">
      <formula>"Napkin Hs"</formula>
    </cfRule>
  </conditionalFormatting>
  <conditionalFormatting sqref="C63">
    <cfRule type="cellIs" dxfId="9809" priority="11869" stopIfTrue="1" operator="equal">
      <formula>"Towel"</formula>
    </cfRule>
    <cfRule type="cellIs" dxfId="9808" priority="11870" stopIfTrue="1" operator="equal">
      <formula>"Napkin Hs"</formula>
    </cfRule>
  </conditionalFormatting>
  <conditionalFormatting sqref="C63">
    <cfRule type="cellIs" dxfId="9807" priority="11867" stopIfTrue="1" operator="equal">
      <formula>"Towel"</formula>
    </cfRule>
    <cfRule type="cellIs" dxfId="9806" priority="11868" stopIfTrue="1" operator="equal">
      <formula>"Napkin Hs"</formula>
    </cfRule>
  </conditionalFormatting>
  <conditionalFormatting sqref="C63">
    <cfRule type="cellIs" dxfId="9805" priority="11865" stopIfTrue="1" operator="equal">
      <formula>"Towel"</formula>
    </cfRule>
    <cfRule type="cellIs" dxfId="9804" priority="11866" stopIfTrue="1" operator="equal">
      <formula>"Napkin Hs"</formula>
    </cfRule>
  </conditionalFormatting>
  <conditionalFormatting sqref="C63">
    <cfRule type="cellIs" dxfId="9803" priority="11863" stopIfTrue="1" operator="equal">
      <formula>"Towel"</formula>
    </cfRule>
    <cfRule type="cellIs" dxfId="9802" priority="11864" stopIfTrue="1" operator="equal">
      <formula>"Napkin Hs"</formula>
    </cfRule>
  </conditionalFormatting>
  <conditionalFormatting sqref="C63">
    <cfRule type="cellIs" dxfId="9801" priority="11861" stopIfTrue="1" operator="equal">
      <formula>"Towel"</formula>
    </cfRule>
    <cfRule type="cellIs" dxfId="9800" priority="11862" stopIfTrue="1" operator="equal">
      <formula>"Napkin Hs"</formula>
    </cfRule>
  </conditionalFormatting>
  <conditionalFormatting sqref="C63">
    <cfRule type="cellIs" dxfId="9799" priority="11859" stopIfTrue="1" operator="equal">
      <formula>"Towel"</formula>
    </cfRule>
    <cfRule type="cellIs" dxfId="9798" priority="11860" stopIfTrue="1" operator="equal">
      <formula>"Napkin Hs"</formula>
    </cfRule>
  </conditionalFormatting>
  <conditionalFormatting sqref="C63">
    <cfRule type="cellIs" dxfId="9797" priority="11846" stopIfTrue="1" operator="equal">
      <formula>"Napkin Hs"</formula>
    </cfRule>
  </conditionalFormatting>
  <conditionalFormatting sqref="C63">
    <cfRule type="cellIs" dxfId="9796" priority="11845" stopIfTrue="1" operator="equal">
      <formula>"Towel"</formula>
    </cfRule>
  </conditionalFormatting>
  <conditionalFormatting sqref="C63">
    <cfRule type="cellIs" dxfId="9795" priority="11844" stopIfTrue="1" operator="equal">
      <formula>"Napkin Hs"</formula>
    </cfRule>
  </conditionalFormatting>
  <conditionalFormatting sqref="C63">
    <cfRule type="cellIs" dxfId="9794" priority="11841" stopIfTrue="1" operator="equal">
      <formula>"Towel"</formula>
    </cfRule>
    <cfRule type="cellIs" dxfId="9793" priority="11842" stopIfTrue="1" operator="equal">
      <formula>"Napkin Hs"</formula>
    </cfRule>
  </conditionalFormatting>
  <conditionalFormatting sqref="C63">
    <cfRule type="cellIs" dxfId="9792" priority="11843" stopIfTrue="1" operator="equal">
      <formula>"Towel"</formula>
    </cfRule>
  </conditionalFormatting>
  <conditionalFormatting sqref="C63">
    <cfRule type="cellIs" dxfId="9791" priority="11961" stopIfTrue="1" operator="equal">
      <formula>"Towel"</formula>
    </cfRule>
    <cfRule type="cellIs" dxfId="9790" priority="11962" stopIfTrue="1" operator="equal">
      <formula>"Napkin Hs"</formula>
    </cfRule>
  </conditionalFormatting>
  <conditionalFormatting sqref="C63">
    <cfRule type="cellIs" dxfId="9789" priority="11960" stopIfTrue="1" operator="equal">
      <formula>"Napkin Hs"</formula>
    </cfRule>
  </conditionalFormatting>
  <conditionalFormatting sqref="C63">
    <cfRule type="cellIs" dxfId="9788" priority="11959" stopIfTrue="1" operator="equal">
      <formula>"Towel"</formula>
    </cfRule>
  </conditionalFormatting>
  <conditionalFormatting sqref="C63">
    <cfRule type="cellIs" dxfId="9787" priority="11958" stopIfTrue="1" operator="equal">
      <formula>"Napkin Hs"</formula>
    </cfRule>
  </conditionalFormatting>
  <conditionalFormatting sqref="C63">
    <cfRule type="cellIs" dxfId="9786" priority="11955" stopIfTrue="1" operator="equal">
      <formula>"Towel"</formula>
    </cfRule>
    <cfRule type="cellIs" dxfId="9785" priority="11956" stopIfTrue="1" operator="equal">
      <formula>"Napkin Hs"</formula>
    </cfRule>
  </conditionalFormatting>
  <conditionalFormatting sqref="C63">
    <cfRule type="cellIs" dxfId="9784" priority="11957" stopIfTrue="1" operator="equal">
      <formula>"Towel"</formula>
    </cfRule>
  </conditionalFormatting>
  <conditionalFormatting sqref="C63">
    <cfRule type="cellIs" dxfId="9783" priority="11965" stopIfTrue="1" operator="equal">
      <formula>"Towel"</formula>
    </cfRule>
    <cfRule type="cellIs" dxfId="9782" priority="11966" stopIfTrue="1" operator="equal">
      <formula>"Napkin Hs"</formula>
    </cfRule>
  </conditionalFormatting>
  <conditionalFormatting sqref="C63">
    <cfRule type="cellIs" dxfId="9781" priority="11963" stopIfTrue="1" operator="equal">
      <formula>"Towel"</formula>
    </cfRule>
    <cfRule type="cellIs" dxfId="9780" priority="11964" stopIfTrue="1" operator="equal">
      <formula>"Napkin Hs"</formula>
    </cfRule>
  </conditionalFormatting>
  <conditionalFormatting sqref="C63">
    <cfRule type="cellIs" dxfId="9779" priority="11935" stopIfTrue="1" operator="equal">
      <formula>"Towel"</formula>
    </cfRule>
    <cfRule type="cellIs" dxfId="9778" priority="11936" stopIfTrue="1" operator="equal">
      <formula>"Napkin Hs"</formula>
    </cfRule>
  </conditionalFormatting>
  <conditionalFormatting sqref="C63">
    <cfRule type="cellIs" dxfId="9777" priority="11933" stopIfTrue="1" operator="equal">
      <formula>"Towel"</formula>
    </cfRule>
    <cfRule type="cellIs" dxfId="9776" priority="11934" stopIfTrue="1" operator="equal">
      <formula>"Napkin Hs"</formula>
    </cfRule>
  </conditionalFormatting>
  <conditionalFormatting sqref="C63">
    <cfRule type="cellIs" dxfId="9775" priority="11912" stopIfTrue="1" operator="equal">
      <formula>"Napkin Hs"</formula>
    </cfRule>
  </conditionalFormatting>
  <conditionalFormatting sqref="C63">
    <cfRule type="cellIs" dxfId="9774" priority="11911" stopIfTrue="1" operator="equal">
      <formula>"Towel"</formula>
    </cfRule>
  </conditionalFormatting>
  <conditionalFormatting sqref="C63">
    <cfRule type="cellIs" dxfId="9773" priority="11910" stopIfTrue="1" operator="equal">
      <formula>"Napkin Hs"</formula>
    </cfRule>
  </conditionalFormatting>
  <conditionalFormatting sqref="C63">
    <cfRule type="cellIs" dxfId="9772" priority="11909" stopIfTrue="1" operator="equal">
      <formula>"Towel"</formula>
    </cfRule>
  </conditionalFormatting>
  <conditionalFormatting sqref="C63">
    <cfRule type="cellIs" dxfId="9771" priority="11906" stopIfTrue="1" operator="equal">
      <formula>"Napkin Hs"</formula>
    </cfRule>
  </conditionalFormatting>
  <conditionalFormatting sqref="C63">
    <cfRule type="cellIs" dxfId="9770" priority="11905" stopIfTrue="1" operator="equal">
      <formula>"Towel"</formula>
    </cfRule>
  </conditionalFormatting>
  <conditionalFormatting sqref="C63">
    <cfRule type="cellIs" dxfId="9769" priority="11904" stopIfTrue="1" operator="equal">
      <formula>"Napkin Hs"</formula>
    </cfRule>
  </conditionalFormatting>
  <conditionalFormatting sqref="C63">
    <cfRule type="cellIs" dxfId="9768" priority="11903" stopIfTrue="1" operator="equal">
      <formula>"Towel"</formula>
    </cfRule>
  </conditionalFormatting>
  <conditionalFormatting sqref="C63">
    <cfRule type="cellIs" dxfId="9767" priority="11899" stopIfTrue="1" operator="equal">
      <formula>"Towel"</formula>
    </cfRule>
    <cfRule type="cellIs" dxfId="9766" priority="11900" stopIfTrue="1" operator="equal">
      <formula>"Napkin Hs"</formula>
    </cfRule>
  </conditionalFormatting>
  <conditionalFormatting sqref="C63">
    <cfRule type="cellIs" dxfId="9765" priority="11897" stopIfTrue="1" operator="equal">
      <formula>"Towel"</formula>
    </cfRule>
    <cfRule type="cellIs" dxfId="9764" priority="11898" stopIfTrue="1" operator="equal">
      <formula>"Napkin Hs"</formula>
    </cfRule>
  </conditionalFormatting>
  <conditionalFormatting sqref="C63">
    <cfRule type="cellIs" dxfId="9763" priority="11881" stopIfTrue="1" operator="equal">
      <formula>"Towel"</formula>
    </cfRule>
    <cfRule type="cellIs" dxfId="9762" priority="11882" stopIfTrue="1" operator="equal">
      <formula>"Napkin Hs"</formula>
    </cfRule>
  </conditionalFormatting>
  <conditionalFormatting sqref="C63">
    <cfRule type="cellIs" dxfId="9761" priority="11879" stopIfTrue="1" operator="equal">
      <formula>"Towel"</formula>
    </cfRule>
    <cfRule type="cellIs" dxfId="9760" priority="11880" stopIfTrue="1" operator="equal">
      <formula>"Napkin Hs"</formula>
    </cfRule>
  </conditionalFormatting>
  <conditionalFormatting sqref="B63:C63">
    <cfRule type="cellIs" dxfId="9759" priority="11840" stopIfTrue="1" operator="equal">
      <formula>"Napkin Hs"</formula>
    </cfRule>
  </conditionalFormatting>
  <conditionalFormatting sqref="B63:C63">
    <cfRule type="cellIs" dxfId="9758" priority="11839" stopIfTrue="1" operator="equal">
      <formula>"Towel"</formula>
    </cfRule>
  </conditionalFormatting>
  <conditionalFormatting sqref="C63">
    <cfRule type="cellIs" dxfId="9757" priority="11838" stopIfTrue="1" operator="equal">
      <formula>"Napkin Hs"</formula>
    </cfRule>
  </conditionalFormatting>
  <conditionalFormatting sqref="C63">
    <cfRule type="cellIs" dxfId="9756" priority="11835" stopIfTrue="1" operator="equal">
      <formula>"Towel"</formula>
    </cfRule>
    <cfRule type="cellIs" dxfId="9755" priority="11836" stopIfTrue="1" operator="equal">
      <formula>"Napkin Hs"</formula>
    </cfRule>
  </conditionalFormatting>
  <conditionalFormatting sqref="C63">
    <cfRule type="cellIs" dxfId="9754" priority="11837" stopIfTrue="1" operator="equal">
      <formula>"Towel"</formula>
    </cfRule>
  </conditionalFormatting>
  <conditionalFormatting sqref="C61:C63">
    <cfRule type="cellIs" dxfId="9753" priority="11751" stopIfTrue="1" operator="equal">
      <formula>"Towel"</formula>
    </cfRule>
    <cfRule type="cellIs" dxfId="9752" priority="11752" stopIfTrue="1" operator="equal">
      <formula>"Napkin Hs"</formula>
    </cfRule>
  </conditionalFormatting>
  <conditionalFormatting sqref="C61:C63">
    <cfRule type="cellIs" dxfId="9751" priority="11745" stopIfTrue="1" operator="equal">
      <formula>"Towel"</formula>
    </cfRule>
    <cfRule type="cellIs" dxfId="9750" priority="11746" stopIfTrue="1" operator="equal">
      <formula>"Napkin Hs"</formula>
    </cfRule>
  </conditionalFormatting>
  <conditionalFormatting sqref="C61:C63">
    <cfRule type="cellIs" dxfId="9749" priority="11726" stopIfTrue="1" operator="equal">
      <formula>"Napkin Hs"</formula>
    </cfRule>
  </conditionalFormatting>
  <conditionalFormatting sqref="C61:C63">
    <cfRule type="cellIs" dxfId="9748" priority="11725" stopIfTrue="1" operator="equal">
      <formula>"Towel"</formula>
    </cfRule>
  </conditionalFormatting>
  <conditionalFormatting sqref="C61:C63">
    <cfRule type="cellIs" dxfId="9747" priority="11724" stopIfTrue="1" operator="equal">
      <formula>"Napkin Hs"</formula>
    </cfRule>
  </conditionalFormatting>
  <conditionalFormatting sqref="C61:C63">
    <cfRule type="cellIs" dxfId="9746" priority="11721" stopIfTrue="1" operator="equal">
      <formula>"Towel"</formula>
    </cfRule>
    <cfRule type="cellIs" dxfId="9745" priority="11722" stopIfTrue="1" operator="equal">
      <formula>"Napkin Hs"</formula>
    </cfRule>
  </conditionalFormatting>
  <conditionalFormatting sqref="C61:C63">
    <cfRule type="cellIs" dxfId="9744" priority="11723" stopIfTrue="1" operator="equal">
      <formula>"Towel"</formula>
    </cfRule>
  </conditionalFormatting>
  <conditionalFormatting sqref="C61:C63">
    <cfRule type="cellIs" dxfId="9743" priority="11720" stopIfTrue="1" operator="equal">
      <formula>"Napkin Hs"</formula>
    </cfRule>
  </conditionalFormatting>
  <conditionalFormatting sqref="C61:C63">
    <cfRule type="cellIs" dxfId="9742" priority="11719" stopIfTrue="1" operator="equal">
      <formula>"Towel"</formula>
    </cfRule>
  </conditionalFormatting>
  <conditionalFormatting sqref="C61:C63">
    <cfRule type="cellIs" dxfId="9741" priority="11718" stopIfTrue="1" operator="equal">
      <formula>"Napkin Hs"</formula>
    </cfRule>
  </conditionalFormatting>
  <conditionalFormatting sqref="C61:C63">
    <cfRule type="cellIs" dxfId="9740" priority="11715" stopIfTrue="1" operator="equal">
      <formula>"Towel"</formula>
    </cfRule>
    <cfRule type="cellIs" dxfId="9739" priority="11716" stopIfTrue="1" operator="equal">
      <formula>"Napkin Hs"</formula>
    </cfRule>
  </conditionalFormatting>
  <conditionalFormatting sqref="C61:C63">
    <cfRule type="cellIs" dxfId="9738" priority="11717" stopIfTrue="1" operator="equal">
      <formula>"Towel"</formula>
    </cfRule>
  </conditionalFormatting>
  <conditionalFormatting sqref="C61:C63">
    <cfRule type="cellIs" dxfId="9737" priority="11821" stopIfTrue="1" operator="equal">
      <formula>"Towel"</formula>
    </cfRule>
    <cfRule type="cellIs" dxfId="9736" priority="11822" stopIfTrue="1" operator="equal">
      <formula>"Napkin Hs"</formula>
    </cfRule>
  </conditionalFormatting>
  <conditionalFormatting sqref="C61:C63">
    <cfRule type="cellIs" dxfId="9735" priority="11819" stopIfTrue="1" operator="equal">
      <formula>"Towel"</formula>
    </cfRule>
    <cfRule type="cellIs" dxfId="9734" priority="11820" stopIfTrue="1" operator="equal">
      <formula>"Napkin Hs"</formula>
    </cfRule>
  </conditionalFormatting>
  <conditionalFormatting sqref="C61:C63">
    <cfRule type="cellIs" dxfId="9733" priority="11817" stopIfTrue="1" operator="equal">
      <formula>"Towel"</formula>
    </cfRule>
    <cfRule type="cellIs" dxfId="9732" priority="11818" stopIfTrue="1" operator="equal">
      <formula>"Napkin Hs"</formula>
    </cfRule>
  </conditionalFormatting>
  <conditionalFormatting sqref="C61:C63">
    <cfRule type="cellIs" dxfId="9731" priority="11816" stopIfTrue="1" operator="equal">
      <formula>"Napkin Hs"</formula>
    </cfRule>
  </conditionalFormatting>
  <conditionalFormatting sqref="C61:C63">
    <cfRule type="cellIs" dxfId="9730" priority="11815" stopIfTrue="1" operator="equal">
      <formula>"Towel"</formula>
    </cfRule>
  </conditionalFormatting>
  <conditionalFormatting sqref="C61:C63">
    <cfRule type="cellIs" dxfId="9729" priority="11814" stopIfTrue="1" operator="equal">
      <formula>"Napkin Hs"</formula>
    </cfRule>
  </conditionalFormatting>
  <conditionalFormatting sqref="C61:C63">
    <cfRule type="cellIs" dxfId="9728" priority="11813" stopIfTrue="1" operator="equal">
      <formula>"Towel"</formula>
    </cfRule>
  </conditionalFormatting>
  <conditionalFormatting sqref="C61:C63">
    <cfRule type="cellIs" dxfId="9727" priority="11811" stopIfTrue="1" operator="equal">
      <formula>"Towel"</formula>
    </cfRule>
    <cfRule type="cellIs" dxfId="9726" priority="11812" stopIfTrue="1" operator="equal">
      <formula>"Napkin Hs"</formula>
    </cfRule>
  </conditionalFormatting>
  <conditionalFormatting sqref="C61:C63">
    <cfRule type="cellIs" dxfId="9725" priority="11809" stopIfTrue="1" operator="equal">
      <formula>"Towel"</formula>
    </cfRule>
    <cfRule type="cellIs" dxfId="9724" priority="11810" stopIfTrue="1" operator="equal">
      <formula>"Napkin Hs"</formula>
    </cfRule>
  </conditionalFormatting>
  <conditionalFormatting sqref="C61:C63">
    <cfRule type="cellIs" dxfId="9723" priority="11805" stopIfTrue="1" operator="equal">
      <formula>"Towel"</formula>
    </cfRule>
    <cfRule type="cellIs" dxfId="9722" priority="11806" stopIfTrue="1" operator="equal">
      <formula>"Napkin Hs"</formula>
    </cfRule>
  </conditionalFormatting>
  <conditionalFormatting sqref="C61:C63">
    <cfRule type="cellIs" dxfId="9721" priority="11807" stopIfTrue="1" operator="equal">
      <formula>"Towel"</formula>
    </cfRule>
    <cfRule type="cellIs" dxfId="9720" priority="11808" stopIfTrue="1" operator="equal">
      <formula>"Napkin Hs"</formula>
    </cfRule>
  </conditionalFormatting>
  <conditionalFormatting sqref="C61:C63">
    <cfRule type="cellIs" dxfId="9719" priority="11799" stopIfTrue="1" operator="equal">
      <formula>"Towel"</formula>
    </cfRule>
    <cfRule type="cellIs" dxfId="9718" priority="11800" stopIfTrue="1" operator="equal">
      <formula>"Napkin Hs"</formula>
    </cfRule>
  </conditionalFormatting>
  <conditionalFormatting sqref="C61:C63">
    <cfRule type="cellIs" dxfId="9717" priority="11797" stopIfTrue="1" operator="equal">
      <formula>"Towel"</formula>
    </cfRule>
    <cfRule type="cellIs" dxfId="9716" priority="11798" stopIfTrue="1" operator="equal">
      <formula>"Napkin Hs"</formula>
    </cfRule>
  </conditionalFormatting>
  <conditionalFormatting sqref="C61:C63">
    <cfRule type="cellIs" dxfId="9715" priority="11795" stopIfTrue="1" operator="equal">
      <formula>"Towel"</formula>
    </cfRule>
    <cfRule type="cellIs" dxfId="9714" priority="11796" stopIfTrue="1" operator="equal">
      <formula>"Napkin Hs"</formula>
    </cfRule>
  </conditionalFormatting>
  <conditionalFormatting sqref="C61:C63">
    <cfRule type="cellIs" dxfId="9713" priority="11793" stopIfTrue="1" operator="equal">
      <formula>"Towel"</formula>
    </cfRule>
    <cfRule type="cellIs" dxfId="9712" priority="11794" stopIfTrue="1" operator="equal">
      <formula>"Napkin Hs"</formula>
    </cfRule>
  </conditionalFormatting>
  <conditionalFormatting sqref="C61:C63">
    <cfRule type="cellIs" dxfId="9711" priority="11791" stopIfTrue="1" operator="equal">
      <formula>"Towel"</formula>
    </cfRule>
    <cfRule type="cellIs" dxfId="9710" priority="11792" stopIfTrue="1" operator="equal">
      <formula>"Napkin Hs"</formula>
    </cfRule>
  </conditionalFormatting>
  <conditionalFormatting sqref="C61:C63">
    <cfRule type="cellIs" dxfId="9709" priority="11789" stopIfTrue="1" operator="equal">
      <formula>"Towel"</formula>
    </cfRule>
    <cfRule type="cellIs" dxfId="9708" priority="11790" stopIfTrue="1" operator="equal">
      <formula>"Napkin Hs"</formula>
    </cfRule>
  </conditionalFormatting>
  <conditionalFormatting sqref="C61:C63">
    <cfRule type="cellIs" dxfId="9707" priority="11787" stopIfTrue="1" operator="equal">
      <formula>"Towel"</formula>
    </cfRule>
    <cfRule type="cellIs" dxfId="9706" priority="11788" stopIfTrue="1" operator="equal">
      <formula>"Napkin Hs"</formula>
    </cfRule>
  </conditionalFormatting>
  <conditionalFormatting sqref="C61:C63">
    <cfRule type="cellIs" dxfId="9705" priority="11785" stopIfTrue="1" operator="equal">
      <formula>"Towel"</formula>
    </cfRule>
    <cfRule type="cellIs" dxfId="9704" priority="11786" stopIfTrue="1" operator="equal">
      <formula>"Napkin Hs"</formula>
    </cfRule>
  </conditionalFormatting>
  <conditionalFormatting sqref="C61:C63">
    <cfRule type="cellIs" dxfId="9703" priority="11783" stopIfTrue="1" operator="equal">
      <formula>"Towel"</formula>
    </cfRule>
    <cfRule type="cellIs" dxfId="9702" priority="11784" stopIfTrue="1" operator="equal">
      <formula>"Napkin Hs"</formula>
    </cfRule>
  </conditionalFormatting>
  <conditionalFormatting sqref="C61:C63">
    <cfRule type="cellIs" dxfId="9701" priority="11781" stopIfTrue="1" operator="equal">
      <formula>"Towel"</formula>
    </cfRule>
    <cfRule type="cellIs" dxfId="9700" priority="11782" stopIfTrue="1" operator="equal">
      <formula>"Napkin Hs"</formula>
    </cfRule>
  </conditionalFormatting>
  <conditionalFormatting sqref="C61:C63">
    <cfRule type="cellIs" dxfId="9699" priority="11775" stopIfTrue="1" operator="equal">
      <formula>"Towel"</formula>
    </cfRule>
    <cfRule type="cellIs" dxfId="9698" priority="11776" stopIfTrue="1" operator="equal">
      <formula>"Napkin Hs"</formula>
    </cfRule>
  </conditionalFormatting>
  <conditionalFormatting sqref="C61:C63">
    <cfRule type="cellIs" dxfId="9697" priority="11769" stopIfTrue="1" operator="equal">
      <formula>"Towel"</formula>
    </cfRule>
    <cfRule type="cellIs" dxfId="9696" priority="11770" stopIfTrue="1" operator="equal">
      <formula>"Napkin Hs"</formula>
    </cfRule>
  </conditionalFormatting>
  <conditionalFormatting sqref="C61:C63">
    <cfRule type="cellIs" dxfId="9695" priority="11763" stopIfTrue="1" operator="equal">
      <formula>"Towel"</formula>
    </cfRule>
    <cfRule type="cellIs" dxfId="9694" priority="11764" stopIfTrue="1" operator="equal">
      <formula>"Napkin Hs"</formula>
    </cfRule>
  </conditionalFormatting>
  <conditionalFormatting sqref="C61:C63">
    <cfRule type="cellIs" dxfId="9693" priority="11762" stopIfTrue="1" operator="equal">
      <formula>"Napkin Hs"</formula>
    </cfRule>
  </conditionalFormatting>
  <conditionalFormatting sqref="C61:C63">
    <cfRule type="cellIs" dxfId="9692" priority="11761" stopIfTrue="1" operator="equal">
      <formula>"Towel"</formula>
    </cfRule>
  </conditionalFormatting>
  <conditionalFormatting sqref="C61:C63">
    <cfRule type="cellIs" dxfId="9691" priority="11760" stopIfTrue="1" operator="equal">
      <formula>"Napkin Hs"</formula>
    </cfRule>
  </conditionalFormatting>
  <conditionalFormatting sqref="C61:C63">
    <cfRule type="cellIs" dxfId="9690" priority="11759" stopIfTrue="1" operator="equal">
      <formula>"Towel"</formula>
    </cfRule>
  </conditionalFormatting>
  <conditionalFormatting sqref="C61:C63">
    <cfRule type="cellIs" dxfId="9689" priority="11757" stopIfTrue="1" operator="equal">
      <formula>"Towel"</formula>
    </cfRule>
    <cfRule type="cellIs" dxfId="9688" priority="11758" stopIfTrue="1" operator="equal">
      <formula>"Napkin Hs"</formula>
    </cfRule>
  </conditionalFormatting>
  <conditionalFormatting sqref="C61:C63">
    <cfRule type="cellIs" dxfId="9687" priority="11755" stopIfTrue="1" operator="equal">
      <formula>"Towel"</formula>
    </cfRule>
    <cfRule type="cellIs" dxfId="9686" priority="11756" stopIfTrue="1" operator="equal">
      <formula>"Napkin Hs"</formula>
    </cfRule>
  </conditionalFormatting>
  <conditionalFormatting sqref="C61:C63">
    <cfRule type="cellIs" dxfId="9685" priority="11753" stopIfTrue="1" operator="equal">
      <formula>"Towel"</formula>
    </cfRule>
    <cfRule type="cellIs" dxfId="9684" priority="11754" stopIfTrue="1" operator="equal">
      <formula>"Napkin Hs"</formula>
    </cfRule>
  </conditionalFormatting>
  <conditionalFormatting sqref="C61:C63">
    <cfRule type="cellIs" dxfId="9683" priority="11743" stopIfTrue="1" operator="equal">
      <formula>"Towel"</formula>
    </cfRule>
    <cfRule type="cellIs" dxfId="9682" priority="11744" stopIfTrue="1" operator="equal">
      <formula>"Napkin Hs"</formula>
    </cfRule>
  </conditionalFormatting>
  <conditionalFormatting sqref="C61:C63">
    <cfRule type="cellIs" dxfId="9681" priority="11741" stopIfTrue="1" operator="equal">
      <formula>"Towel"</formula>
    </cfRule>
    <cfRule type="cellIs" dxfId="9680" priority="11742" stopIfTrue="1" operator="equal">
      <formula>"Napkin Hs"</formula>
    </cfRule>
  </conditionalFormatting>
  <conditionalFormatting sqref="C61:C63">
    <cfRule type="cellIs" dxfId="9679" priority="11739" stopIfTrue="1" operator="equal">
      <formula>"Towel"</formula>
    </cfRule>
    <cfRule type="cellIs" dxfId="9678" priority="11740" stopIfTrue="1" operator="equal">
      <formula>"Napkin Hs"</formula>
    </cfRule>
  </conditionalFormatting>
  <conditionalFormatting sqref="C61:C63">
    <cfRule type="cellIs" dxfId="9677" priority="11737" stopIfTrue="1" operator="equal">
      <formula>"Towel"</formula>
    </cfRule>
    <cfRule type="cellIs" dxfId="9676" priority="11738" stopIfTrue="1" operator="equal">
      <formula>"Napkin Hs"</formula>
    </cfRule>
  </conditionalFormatting>
  <conditionalFormatting sqref="C61:C63">
    <cfRule type="cellIs" dxfId="9675" priority="11735" stopIfTrue="1" operator="equal">
      <formula>"Towel"</formula>
    </cfRule>
    <cfRule type="cellIs" dxfId="9674" priority="11736" stopIfTrue="1" operator="equal">
      <formula>"Napkin Hs"</formula>
    </cfRule>
  </conditionalFormatting>
  <conditionalFormatting sqref="C61:C63">
    <cfRule type="cellIs" dxfId="9673" priority="11733" stopIfTrue="1" operator="equal">
      <formula>"Towel"</formula>
    </cfRule>
    <cfRule type="cellIs" dxfId="9672" priority="11734" stopIfTrue="1" operator="equal">
      <formula>"Napkin Hs"</formula>
    </cfRule>
  </conditionalFormatting>
  <conditionalFormatting sqref="C61:C63">
    <cfRule type="cellIs" dxfId="9671" priority="11731" stopIfTrue="1" operator="equal">
      <formula>"Towel"</formula>
    </cfRule>
    <cfRule type="cellIs" dxfId="9670" priority="11732" stopIfTrue="1" operator="equal">
      <formula>"Napkin Hs"</formula>
    </cfRule>
  </conditionalFormatting>
  <conditionalFormatting sqref="C61:C63">
    <cfRule type="cellIs" dxfId="9669" priority="11729" stopIfTrue="1" operator="equal">
      <formula>"Towel"</formula>
    </cfRule>
    <cfRule type="cellIs" dxfId="9668" priority="11730" stopIfTrue="1" operator="equal">
      <formula>"Napkin Hs"</formula>
    </cfRule>
  </conditionalFormatting>
  <conditionalFormatting sqref="C61:C63">
    <cfRule type="cellIs" dxfId="9667" priority="11727" stopIfTrue="1" operator="equal">
      <formula>"Towel"</formula>
    </cfRule>
    <cfRule type="cellIs" dxfId="9666" priority="11728" stopIfTrue="1" operator="equal">
      <formula>"Napkin Hs"</formula>
    </cfRule>
  </conditionalFormatting>
  <conditionalFormatting sqref="C61:C63">
    <cfRule type="cellIs" dxfId="9665" priority="11714" stopIfTrue="1" operator="equal">
      <formula>"Napkin Hs"</formula>
    </cfRule>
  </conditionalFormatting>
  <conditionalFormatting sqref="C61:C63">
    <cfRule type="cellIs" dxfId="9664" priority="11713" stopIfTrue="1" operator="equal">
      <formula>"Towel"</formula>
    </cfRule>
  </conditionalFormatting>
  <conditionalFormatting sqref="C61:C63">
    <cfRule type="cellIs" dxfId="9663" priority="11712" stopIfTrue="1" operator="equal">
      <formula>"Napkin Hs"</formula>
    </cfRule>
  </conditionalFormatting>
  <conditionalFormatting sqref="C61:C63">
    <cfRule type="cellIs" dxfId="9662" priority="11709" stopIfTrue="1" operator="equal">
      <formula>"Towel"</formula>
    </cfRule>
    <cfRule type="cellIs" dxfId="9661" priority="11710" stopIfTrue="1" operator="equal">
      <formula>"Napkin Hs"</formula>
    </cfRule>
  </conditionalFormatting>
  <conditionalFormatting sqref="C61:C63">
    <cfRule type="cellIs" dxfId="9660" priority="11711" stopIfTrue="1" operator="equal">
      <formula>"Towel"</formula>
    </cfRule>
  </conditionalFormatting>
  <conditionalFormatting sqref="C61:C63">
    <cfRule type="cellIs" dxfId="9659" priority="11829" stopIfTrue="1" operator="equal">
      <formula>"Towel"</formula>
    </cfRule>
    <cfRule type="cellIs" dxfId="9658" priority="11830" stopIfTrue="1" operator="equal">
      <formula>"Napkin Hs"</formula>
    </cfRule>
  </conditionalFormatting>
  <conditionalFormatting sqref="C61:C63">
    <cfRule type="cellIs" dxfId="9657" priority="11828" stopIfTrue="1" operator="equal">
      <formula>"Napkin Hs"</formula>
    </cfRule>
  </conditionalFormatting>
  <conditionalFormatting sqref="C61:C63">
    <cfRule type="cellIs" dxfId="9656" priority="11827" stopIfTrue="1" operator="equal">
      <formula>"Towel"</formula>
    </cfRule>
  </conditionalFormatting>
  <conditionalFormatting sqref="C61:C63">
    <cfRule type="cellIs" dxfId="9655" priority="11826" stopIfTrue="1" operator="equal">
      <formula>"Napkin Hs"</formula>
    </cfRule>
  </conditionalFormatting>
  <conditionalFormatting sqref="C61:C63">
    <cfRule type="cellIs" dxfId="9654" priority="11823" stopIfTrue="1" operator="equal">
      <formula>"Towel"</formula>
    </cfRule>
    <cfRule type="cellIs" dxfId="9653" priority="11824" stopIfTrue="1" operator="equal">
      <formula>"Napkin Hs"</formula>
    </cfRule>
  </conditionalFormatting>
  <conditionalFormatting sqref="C61:C63">
    <cfRule type="cellIs" dxfId="9652" priority="11825" stopIfTrue="1" operator="equal">
      <formula>"Towel"</formula>
    </cfRule>
  </conditionalFormatting>
  <conditionalFormatting sqref="C61:C63">
    <cfRule type="cellIs" dxfId="9651" priority="11833" stopIfTrue="1" operator="equal">
      <formula>"Towel"</formula>
    </cfRule>
    <cfRule type="cellIs" dxfId="9650" priority="11834" stopIfTrue="1" operator="equal">
      <formula>"Napkin Hs"</formula>
    </cfRule>
  </conditionalFormatting>
  <conditionalFormatting sqref="C61:C63">
    <cfRule type="cellIs" dxfId="9649" priority="11831" stopIfTrue="1" operator="equal">
      <formula>"Towel"</formula>
    </cfRule>
    <cfRule type="cellIs" dxfId="9648" priority="11832" stopIfTrue="1" operator="equal">
      <formula>"Napkin Hs"</formula>
    </cfRule>
  </conditionalFormatting>
  <conditionalFormatting sqref="C61:C63">
    <cfRule type="cellIs" dxfId="9647" priority="11803" stopIfTrue="1" operator="equal">
      <formula>"Towel"</formula>
    </cfRule>
    <cfRule type="cellIs" dxfId="9646" priority="11804" stopIfTrue="1" operator="equal">
      <formula>"Napkin Hs"</formula>
    </cfRule>
  </conditionalFormatting>
  <conditionalFormatting sqref="C61:C63">
    <cfRule type="cellIs" dxfId="9645" priority="11801" stopIfTrue="1" operator="equal">
      <formula>"Towel"</formula>
    </cfRule>
    <cfRule type="cellIs" dxfId="9644" priority="11802" stopIfTrue="1" operator="equal">
      <formula>"Napkin Hs"</formula>
    </cfRule>
  </conditionalFormatting>
  <conditionalFormatting sqref="C61:C63">
    <cfRule type="cellIs" dxfId="9643" priority="11780" stopIfTrue="1" operator="equal">
      <formula>"Napkin Hs"</formula>
    </cfRule>
  </conditionalFormatting>
  <conditionalFormatting sqref="C61:C63">
    <cfRule type="cellIs" dxfId="9642" priority="11779" stopIfTrue="1" operator="equal">
      <formula>"Towel"</formula>
    </cfRule>
  </conditionalFormatting>
  <conditionalFormatting sqref="C61:C63">
    <cfRule type="cellIs" dxfId="9641" priority="11778" stopIfTrue="1" operator="equal">
      <formula>"Napkin Hs"</formula>
    </cfRule>
  </conditionalFormatting>
  <conditionalFormatting sqref="C61:C63">
    <cfRule type="cellIs" dxfId="9640" priority="11777" stopIfTrue="1" operator="equal">
      <formula>"Towel"</formula>
    </cfRule>
  </conditionalFormatting>
  <conditionalFormatting sqref="C61:C63">
    <cfRule type="cellIs" dxfId="9639" priority="11774" stopIfTrue="1" operator="equal">
      <formula>"Napkin Hs"</formula>
    </cfRule>
  </conditionalFormatting>
  <conditionalFormatting sqref="C61:C63">
    <cfRule type="cellIs" dxfId="9638" priority="11773" stopIfTrue="1" operator="equal">
      <formula>"Towel"</formula>
    </cfRule>
  </conditionalFormatting>
  <conditionalFormatting sqref="C61:C63">
    <cfRule type="cellIs" dxfId="9637" priority="11772" stopIfTrue="1" operator="equal">
      <formula>"Napkin Hs"</formula>
    </cfRule>
  </conditionalFormatting>
  <conditionalFormatting sqref="C61:C63">
    <cfRule type="cellIs" dxfId="9636" priority="11771" stopIfTrue="1" operator="equal">
      <formula>"Towel"</formula>
    </cfRule>
  </conditionalFormatting>
  <conditionalFormatting sqref="C61:C63">
    <cfRule type="cellIs" dxfId="9635" priority="11767" stopIfTrue="1" operator="equal">
      <formula>"Towel"</formula>
    </cfRule>
    <cfRule type="cellIs" dxfId="9634" priority="11768" stopIfTrue="1" operator="equal">
      <formula>"Napkin Hs"</formula>
    </cfRule>
  </conditionalFormatting>
  <conditionalFormatting sqref="C61:C63">
    <cfRule type="cellIs" dxfId="9633" priority="11765" stopIfTrue="1" operator="equal">
      <formula>"Towel"</formula>
    </cfRule>
    <cfRule type="cellIs" dxfId="9632" priority="11766" stopIfTrue="1" operator="equal">
      <formula>"Napkin Hs"</formula>
    </cfRule>
  </conditionalFormatting>
  <conditionalFormatting sqref="C61:C63">
    <cfRule type="cellIs" dxfId="9631" priority="11749" stopIfTrue="1" operator="equal">
      <formula>"Towel"</formula>
    </cfRule>
    <cfRule type="cellIs" dxfId="9630" priority="11750" stopIfTrue="1" operator="equal">
      <formula>"Napkin Hs"</formula>
    </cfRule>
  </conditionalFormatting>
  <conditionalFormatting sqref="C61:C63">
    <cfRule type="cellIs" dxfId="9629" priority="11747" stopIfTrue="1" operator="equal">
      <formula>"Towel"</formula>
    </cfRule>
    <cfRule type="cellIs" dxfId="9628" priority="11748" stopIfTrue="1" operator="equal">
      <formula>"Napkin Hs"</formula>
    </cfRule>
  </conditionalFormatting>
  <conditionalFormatting sqref="B61:C63">
    <cfRule type="cellIs" dxfId="9627" priority="11708" stopIfTrue="1" operator="equal">
      <formula>"Napkin Hs"</formula>
    </cfRule>
  </conditionalFormatting>
  <conditionalFormatting sqref="B61:C63">
    <cfRule type="cellIs" dxfId="9626" priority="11707" stopIfTrue="1" operator="equal">
      <formula>"Towel"</formula>
    </cfRule>
  </conditionalFormatting>
  <conditionalFormatting sqref="C61:C63">
    <cfRule type="cellIs" dxfId="9625" priority="11706" stopIfTrue="1" operator="equal">
      <formula>"Napkin Hs"</formula>
    </cfRule>
  </conditionalFormatting>
  <conditionalFormatting sqref="C61:C63">
    <cfRule type="cellIs" dxfId="9624" priority="11703" stopIfTrue="1" operator="equal">
      <formula>"Towel"</formula>
    </cfRule>
    <cfRule type="cellIs" dxfId="9623" priority="11704" stopIfTrue="1" operator="equal">
      <formula>"Napkin Hs"</formula>
    </cfRule>
  </conditionalFormatting>
  <conditionalFormatting sqref="C61:C63">
    <cfRule type="cellIs" dxfId="9622" priority="11705" stopIfTrue="1" operator="equal">
      <formula>"Towel"</formula>
    </cfRule>
  </conditionalFormatting>
  <conditionalFormatting sqref="B60:C60">
    <cfRule type="cellIs" dxfId="9621" priority="11702" stopIfTrue="1" operator="equal">
      <formula>"Napkin Hs"</formula>
    </cfRule>
  </conditionalFormatting>
  <conditionalFormatting sqref="B60:C60">
    <cfRule type="cellIs" dxfId="9620" priority="11701" stopIfTrue="1" operator="equal">
      <formula>"Towel"</formula>
    </cfRule>
  </conditionalFormatting>
  <conditionalFormatting sqref="C60">
    <cfRule type="cellIs" dxfId="9619" priority="11700" stopIfTrue="1" operator="equal">
      <formula>"Napkin Hs"</formula>
    </cfRule>
  </conditionalFormatting>
  <conditionalFormatting sqref="C60">
    <cfRule type="cellIs" dxfId="9618" priority="11699" stopIfTrue="1" operator="equal">
      <formula>"Towel"</formula>
    </cfRule>
  </conditionalFormatting>
  <conditionalFormatting sqref="C60">
    <cfRule type="cellIs" dxfId="9617" priority="11697" stopIfTrue="1" operator="equal">
      <formula>"Towel"</formula>
    </cfRule>
    <cfRule type="cellIs" dxfId="9616" priority="11698" stopIfTrue="1" operator="equal">
      <formula>"Napkin Hs"</formula>
    </cfRule>
  </conditionalFormatting>
  <conditionalFormatting sqref="C60">
    <cfRule type="cellIs" dxfId="9615" priority="11613" stopIfTrue="1" operator="equal">
      <formula>"Towel"</formula>
    </cfRule>
    <cfRule type="cellIs" dxfId="9614" priority="11614" stopIfTrue="1" operator="equal">
      <formula>"Napkin Hs"</formula>
    </cfRule>
  </conditionalFormatting>
  <conditionalFormatting sqref="C60">
    <cfRule type="cellIs" dxfId="9613" priority="11607" stopIfTrue="1" operator="equal">
      <formula>"Towel"</formula>
    </cfRule>
    <cfRule type="cellIs" dxfId="9612" priority="11608" stopIfTrue="1" operator="equal">
      <formula>"Napkin Hs"</formula>
    </cfRule>
  </conditionalFormatting>
  <conditionalFormatting sqref="C60">
    <cfRule type="cellIs" dxfId="9611" priority="11588" stopIfTrue="1" operator="equal">
      <formula>"Napkin Hs"</formula>
    </cfRule>
  </conditionalFormatting>
  <conditionalFormatting sqref="C60">
    <cfRule type="cellIs" dxfId="9610" priority="11587" stopIfTrue="1" operator="equal">
      <formula>"Towel"</formula>
    </cfRule>
  </conditionalFormatting>
  <conditionalFormatting sqref="C60">
    <cfRule type="cellIs" dxfId="9609" priority="11586" stopIfTrue="1" operator="equal">
      <formula>"Napkin Hs"</formula>
    </cfRule>
  </conditionalFormatting>
  <conditionalFormatting sqref="C60">
    <cfRule type="cellIs" dxfId="9608" priority="11583" stopIfTrue="1" operator="equal">
      <formula>"Towel"</formula>
    </cfRule>
    <cfRule type="cellIs" dxfId="9607" priority="11584" stopIfTrue="1" operator="equal">
      <formula>"Napkin Hs"</formula>
    </cfRule>
  </conditionalFormatting>
  <conditionalFormatting sqref="C60">
    <cfRule type="cellIs" dxfId="9606" priority="11585" stopIfTrue="1" operator="equal">
      <formula>"Towel"</formula>
    </cfRule>
  </conditionalFormatting>
  <conditionalFormatting sqref="C60">
    <cfRule type="cellIs" dxfId="9605" priority="11582" stopIfTrue="1" operator="equal">
      <formula>"Napkin Hs"</formula>
    </cfRule>
  </conditionalFormatting>
  <conditionalFormatting sqref="C60">
    <cfRule type="cellIs" dxfId="9604" priority="11581" stopIfTrue="1" operator="equal">
      <formula>"Towel"</formula>
    </cfRule>
  </conditionalFormatting>
  <conditionalFormatting sqref="C60">
    <cfRule type="cellIs" dxfId="9603" priority="11580" stopIfTrue="1" operator="equal">
      <formula>"Napkin Hs"</formula>
    </cfRule>
  </conditionalFormatting>
  <conditionalFormatting sqref="C60">
    <cfRule type="cellIs" dxfId="9602" priority="11577" stopIfTrue="1" operator="equal">
      <formula>"Towel"</formula>
    </cfRule>
    <cfRule type="cellIs" dxfId="9601" priority="11578" stopIfTrue="1" operator="equal">
      <formula>"Napkin Hs"</formula>
    </cfRule>
  </conditionalFormatting>
  <conditionalFormatting sqref="C60">
    <cfRule type="cellIs" dxfId="9600" priority="11579" stopIfTrue="1" operator="equal">
      <formula>"Towel"</formula>
    </cfRule>
  </conditionalFormatting>
  <conditionalFormatting sqref="C60">
    <cfRule type="cellIs" dxfId="9599" priority="11683" stopIfTrue="1" operator="equal">
      <formula>"Towel"</formula>
    </cfRule>
    <cfRule type="cellIs" dxfId="9598" priority="11684" stopIfTrue="1" operator="equal">
      <formula>"Napkin Hs"</formula>
    </cfRule>
  </conditionalFormatting>
  <conditionalFormatting sqref="C60">
    <cfRule type="cellIs" dxfId="9597" priority="11681" stopIfTrue="1" operator="equal">
      <formula>"Towel"</formula>
    </cfRule>
    <cfRule type="cellIs" dxfId="9596" priority="11682" stopIfTrue="1" operator="equal">
      <formula>"Napkin Hs"</formula>
    </cfRule>
  </conditionalFormatting>
  <conditionalFormatting sqref="C60">
    <cfRule type="cellIs" dxfId="9595" priority="11679" stopIfTrue="1" operator="equal">
      <formula>"Towel"</formula>
    </cfRule>
    <cfRule type="cellIs" dxfId="9594" priority="11680" stopIfTrue="1" operator="equal">
      <formula>"Napkin Hs"</formula>
    </cfRule>
  </conditionalFormatting>
  <conditionalFormatting sqref="C60">
    <cfRule type="cellIs" dxfId="9593" priority="11678" stopIfTrue="1" operator="equal">
      <formula>"Napkin Hs"</formula>
    </cfRule>
  </conditionalFormatting>
  <conditionalFormatting sqref="C60">
    <cfRule type="cellIs" dxfId="9592" priority="11677" stopIfTrue="1" operator="equal">
      <formula>"Towel"</formula>
    </cfRule>
  </conditionalFormatting>
  <conditionalFormatting sqref="C60">
    <cfRule type="cellIs" dxfId="9591" priority="11676" stopIfTrue="1" operator="equal">
      <formula>"Napkin Hs"</formula>
    </cfRule>
  </conditionalFormatting>
  <conditionalFormatting sqref="C60">
    <cfRule type="cellIs" dxfId="9590" priority="11675" stopIfTrue="1" operator="equal">
      <formula>"Towel"</formula>
    </cfRule>
  </conditionalFormatting>
  <conditionalFormatting sqref="C60">
    <cfRule type="cellIs" dxfId="9589" priority="11673" stopIfTrue="1" operator="equal">
      <formula>"Towel"</formula>
    </cfRule>
    <cfRule type="cellIs" dxfId="9588" priority="11674" stopIfTrue="1" operator="equal">
      <formula>"Napkin Hs"</formula>
    </cfRule>
  </conditionalFormatting>
  <conditionalFormatting sqref="C60">
    <cfRule type="cellIs" dxfId="9587" priority="11671" stopIfTrue="1" operator="equal">
      <formula>"Towel"</formula>
    </cfRule>
    <cfRule type="cellIs" dxfId="9586" priority="11672" stopIfTrue="1" operator="equal">
      <formula>"Napkin Hs"</formula>
    </cfRule>
  </conditionalFormatting>
  <conditionalFormatting sqref="C60">
    <cfRule type="cellIs" dxfId="9585" priority="11667" stopIfTrue="1" operator="equal">
      <formula>"Towel"</formula>
    </cfRule>
    <cfRule type="cellIs" dxfId="9584" priority="11668" stopIfTrue="1" operator="equal">
      <formula>"Napkin Hs"</formula>
    </cfRule>
  </conditionalFormatting>
  <conditionalFormatting sqref="C60">
    <cfRule type="cellIs" dxfId="9583" priority="11669" stopIfTrue="1" operator="equal">
      <formula>"Towel"</formula>
    </cfRule>
    <cfRule type="cellIs" dxfId="9582" priority="11670" stopIfTrue="1" operator="equal">
      <formula>"Napkin Hs"</formula>
    </cfRule>
  </conditionalFormatting>
  <conditionalFormatting sqref="C60">
    <cfRule type="cellIs" dxfId="9581" priority="11661" stopIfTrue="1" operator="equal">
      <formula>"Towel"</formula>
    </cfRule>
    <cfRule type="cellIs" dxfId="9580" priority="11662" stopIfTrue="1" operator="equal">
      <formula>"Napkin Hs"</formula>
    </cfRule>
  </conditionalFormatting>
  <conditionalFormatting sqref="C60">
    <cfRule type="cellIs" dxfId="9579" priority="11659" stopIfTrue="1" operator="equal">
      <formula>"Towel"</formula>
    </cfRule>
    <cfRule type="cellIs" dxfId="9578" priority="11660" stopIfTrue="1" operator="equal">
      <formula>"Napkin Hs"</formula>
    </cfRule>
  </conditionalFormatting>
  <conditionalFormatting sqref="C60">
    <cfRule type="cellIs" dxfId="9577" priority="11657" stopIfTrue="1" operator="equal">
      <formula>"Towel"</formula>
    </cfRule>
    <cfRule type="cellIs" dxfId="9576" priority="11658" stopIfTrue="1" operator="equal">
      <formula>"Napkin Hs"</formula>
    </cfRule>
  </conditionalFormatting>
  <conditionalFormatting sqref="C60">
    <cfRule type="cellIs" dxfId="9575" priority="11655" stopIfTrue="1" operator="equal">
      <formula>"Towel"</formula>
    </cfRule>
    <cfRule type="cellIs" dxfId="9574" priority="11656" stopIfTrue="1" operator="equal">
      <formula>"Napkin Hs"</formula>
    </cfRule>
  </conditionalFormatting>
  <conditionalFormatting sqref="C60">
    <cfRule type="cellIs" dxfId="9573" priority="11653" stopIfTrue="1" operator="equal">
      <formula>"Towel"</formula>
    </cfRule>
    <cfRule type="cellIs" dxfId="9572" priority="11654" stopIfTrue="1" operator="equal">
      <formula>"Napkin Hs"</formula>
    </cfRule>
  </conditionalFormatting>
  <conditionalFormatting sqref="C60">
    <cfRule type="cellIs" dxfId="9571" priority="11651" stopIfTrue="1" operator="equal">
      <formula>"Towel"</formula>
    </cfRule>
    <cfRule type="cellIs" dxfId="9570" priority="11652" stopIfTrue="1" operator="equal">
      <formula>"Napkin Hs"</formula>
    </cfRule>
  </conditionalFormatting>
  <conditionalFormatting sqref="C60">
    <cfRule type="cellIs" dxfId="9569" priority="11649" stopIfTrue="1" operator="equal">
      <formula>"Towel"</formula>
    </cfRule>
    <cfRule type="cellIs" dxfId="9568" priority="11650" stopIfTrue="1" operator="equal">
      <formula>"Napkin Hs"</formula>
    </cfRule>
  </conditionalFormatting>
  <conditionalFormatting sqref="C60">
    <cfRule type="cellIs" dxfId="9567" priority="11647" stopIfTrue="1" operator="equal">
      <formula>"Towel"</formula>
    </cfRule>
    <cfRule type="cellIs" dxfId="9566" priority="11648" stopIfTrue="1" operator="equal">
      <formula>"Napkin Hs"</formula>
    </cfRule>
  </conditionalFormatting>
  <conditionalFormatting sqref="C60">
    <cfRule type="cellIs" dxfId="9565" priority="11645" stopIfTrue="1" operator="equal">
      <formula>"Towel"</formula>
    </cfRule>
    <cfRule type="cellIs" dxfId="9564" priority="11646" stopIfTrue="1" operator="equal">
      <formula>"Napkin Hs"</formula>
    </cfRule>
  </conditionalFormatting>
  <conditionalFormatting sqref="C60">
    <cfRule type="cellIs" dxfId="9563" priority="11643" stopIfTrue="1" operator="equal">
      <formula>"Towel"</formula>
    </cfRule>
    <cfRule type="cellIs" dxfId="9562" priority="11644" stopIfTrue="1" operator="equal">
      <formula>"Napkin Hs"</formula>
    </cfRule>
  </conditionalFormatting>
  <conditionalFormatting sqref="C60">
    <cfRule type="cellIs" dxfId="9561" priority="11637" stopIfTrue="1" operator="equal">
      <formula>"Towel"</formula>
    </cfRule>
    <cfRule type="cellIs" dxfId="9560" priority="11638" stopIfTrue="1" operator="equal">
      <formula>"Napkin Hs"</formula>
    </cfRule>
  </conditionalFormatting>
  <conditionalFormatting sqref="C60">
    <cfRule type="cellIs" dxfId="9559" priority="11631" stopIfTrue="1" operator="equal">
      <formula>"Towel"</formula>
    </cfRule>
    <cfRule type="cellIs" dxfId="9558" priority="11632" stopIfTrue="1" operator="equal">
      <formula>"Napkin Hs"</formula>
    </cfRule>
  </conditionalFormatting>
  <conditionalFormatting sqref="C60">
    <cfRule type="cellIs" dxfId="9557" priority="11625" stopIfTrue="1" operator="equal">
      <formula>"Towel"</formula>
    </cfRule>
    <cfRule type="cellIs" dxfId="9556" priority="11626" stopIfTrue="1" operator="equal">
      <formula>"Napkin Hs"</formula>
    </cfRule>
  </conditionalFormatting>
  <conditionalFormatting sqref="C60">
    <cfRule type="cellIs" dxfId="9555" priority="11624" stopIfTrue="1" operator="equal">
      <formula>"Napkin Hs"</formula>
    </cfRule>
  </conditionalFormatting>
  <conditionalFormatting sqref="C60">
    <cfRule type="cellIs" dxfId="9554" priority="11623" stopIfTrue="1" operator="equal">
      <formula>"Towel"</formula>
    </cfRule>
  </conditionalFormatting>
  <conditionalFormatting sqref="C60">
    <cfRule type="cellIs" dxfId="9553" priority="11622" stopIfTrue="1" operator="equal">
      <formula>"Napkin Hs"</formula>
    </cfRule>
  </conditionalFormatting>
  <conditionalFormatting sqref="C60">
    <cfRule type="cellIs" dxfId="9552" priority="11621" stopIfTrue="1" operator="equal">
      <formula>"Towel"</formula>
    </cfRule>
  </conditionalFormatting>
  <conditionalFormatting sqref="C60">
    <cfRule type="cellIs" dxfId="9551" priority="11619" stopIfTrue="1" operator="equal">
      <formula>"Towel"</formula>
    </cfRule>
    <cfRule type="cellIs" dxfId="9550" priority="11620" stopIfTrue="1" operator="equal">
      <formula>"Napkin Hs"</formula>
    </cfRule>
  </conditionalFormatting>
  <conditionalFormatting sqref="C60">
    <cfRule type="cellIs" dxfId="9549" priority="11617" stopIfTrue="1" operator="equal">
      <formula>"Towel"</formula>
    </cfRule>
    <cfRule type="cellIs" dxfId="9548" priority="11618" stopIfTrue="1" operator="equal">
      <formula>"Napkin Hs"</formula>
    </cfRule>
  </conditionalFormatting>
  <conditionalFormatting sqref="C60">
    <cfRule type="cellIs" dxfId="9547" priority="11615" stopIfTrue="1" operator="equal">
      <formula>"Towel"</formula>
    </cfRule>
    <cfRule type="cellIs" dxfId="9546" priority="11616" stopIfTrue="1" operator="equal">
      <formula>"Napkin Hs"</formula>
    </cfRule>
  </conditionalFormatting>
  <conditionalFormatting sqref="C60">
    <cfRule type="cellIs" dxfId="9545" priority="11605" stopIfTrue="1" operator="equal">
      <formula>"Towel"</formula>
    </cfRule>
    <cfRule type="cellIs" dxfId="9544" priority="11606" stopIfTrue="1" operator="equal">
      <formula>"Napkin Hs"</formula>
    </cfRule>
  </conditionalFormatting>
  <conditionalFormatting sqref="C60">
    <cfRule type="cellIs" dxfId="9543" priority="11603" stopIfTrue="1" operator="equal">
      <formula>"Towel"</formula>
    </cfRule>
    <cfRule type="cellIs" dxfId="9542" priority="11604" stopIfTrue="1" operator="equal">
      <formula>"Napkin Hs"</formula>
    </cfRule>
  </conditionalFormatting>
  <conditionalFormatting sqref="C60">
    <cfRule type="cellIs" dxfId="9541" priority="11601" stopIfTrue="1" operator="equal">
      <formula>"Towel"</formula>
    </cfRule>
    <cfRule type="cellIs" dxfId="9540" priority="11602" stopIfTrue="1" operator="equal">
      <formula>"Napkin Hs"</formula>
    </cfRule>
  </conditionalFormatting>
  <conditionalFormatting sqref="C60">
    <cfRule type="cellIs" dxfId="9539" priority="11599" stopIfTrue="1" operator="equal">
      <formula>"Towel"</formula>
    </cfRule>
    <cfRule type="cellIs" dxfId="9538" priority="11600" stopIfTrue="1" operator="equal">
      <formula>"Napkin Hs"</formula>
    </cfRule>
  </conditionalFormatting>
  <conditionalFormatting sqref="C60">
    <cfRule type="cellIs" dxfId="9537" priority="11597" stopIfTrue="1" operator="equal">
      <formula>"Towel"</formula>
    </cfRule>
    <cfRule type="cellIs" dxfId="9536" priority="11598" stopIfTrue="1" operator="equal">
      <formula>"Napkin Hs"</formula>
    </cfRule>
  </conditionalFormatting>
  <conditionalFormatting sqref="C60">
    <cfRule type="cellIs" dxfId="9535" priority="11595" stopIfTrue="1" operator="equal">
      <formula>"Towel"</formula>
    </cfRule>
    <cfRule type="cellIs" dxfId="9534" priority="11596" stopIfTrue="1" operator="equal">
      <formula>"Napkin Hs"</formula>
    </cfRule>
  </conditionalFormatting>
  <conditionalFormatting sqref="C60">
    <cfRule type="cellIs" dxfId="9533" priority="11593" stopIfTrue="1" operator="equal">
      <formula>"Towel"</formula>
    </cfRule>
    <cfRule type="cellIs" dxfId="9532" priority="11594" stopIfTrue="1" operator="equal">
      <formula>"Napkin Hs"</formula>
    </cfRule>
  </conditionalFormatting>
  <conditionalFormatting sqref="C60">
    <cfRule type="cellIs" dxfId="9531" priority="11591" stopIfTrue="1" operator="equal">
      <formula>"Towel"</formula>
    </cfRule>
    <cfRule type="cellIs" dxfId="9530" priority="11592" stopIfTrue="1" operator="equal">
      <formula>"Napkin Hs"</formula>
    </cfRule>
  </conditionalFormatting>
  <conditionalFormatting sqref="C60">
    <cfRule type="cellIs" dxfId="9529" priority="11589" stopIfTrue="1" operator="equal">
      <formula>"Towel"</formula>
    </cfRule>
    <cfRule type="cellIs" dxfId="9528" priority="11590" stopIfTrue="1" operator="equal">
      <formula>"Napkin Hs"</formula>
    </cfRule>
  </conditionalFormatting>
  <conditionalFormatting sqref="C60">
    <cfRule type="cellIs" dxfId="9527" priority="11576" stopIfTrue="1" operator="equal">
      <formula>"Napkin Hs"</formula>
    </cfRule>
  </conditionalFormatting>
  <conditionalFormatting sqref="C60">
    <cfRule type="cellIs" dxfId="9526" priority="11575" stopIfTrue="1" operator="equal">
      <formula>"Towel"</formula>
    </cfRule>
  </conditionalFormatting>
  <conditionalFormatting sqref="C60">
    <cfRule type="cellIs" dxfId="9525" priority="11574" stopIfTrue="1" operator="equal">
      <formula>"Napkin Hs"</formula>
    </cfRule>
  </conditionalFormatting>
  <conditionalFormatting sqref="C60">
    <cfRule type="cellIs" dxfId="9524" priority="11571" stopIfTrue="1" operator="equal">
      <formula>"Towel"</formula>
    </cfRule>
    <cfRule type="cellIs" dxfId="9523" priority="11572" stopIfTrue="1" operator="equal">
      <formula>"Napkin Hs"</formula>
    </cfRule>
  </conditionalFormatting>
  <conditionalFormatting sqref="C60">
    <cfRule type="cellIs" dxfId="9522" priority="11573" stopIfTrue="1" operator="equal">
      <formula>"Towel"</formula>
    </cfRule>
  </conditionalFormatting>
  <conditionalFormatting sqref="C60">
    <cfRule type="cellIs" dxfId="9521" priority="11691" stopIfTrue="1" operator="equal">
      <formula>"Towel"</formula>
    </cfRule>
    <cfRule type="cellIs" dxfId="9520" priority="11692" stopIfTrue="1" operator="equal">
      <formula>"Napkin Hs"</formula>
    </cfRule>
  </conditionalFormatting>
  <conditionalFormatting sqref="C60">
    <cfRule type="cellIs" dxfId="9519" priority="11690" stopIfTrue="1" operator="equal">
      <formula>"Napkin Hs"</formula>
    </cfRule>
  </conditionalFormatting>
  <conditionalFormatting sqref="C60">
    <cfRule type="cellIs" dxfId="9518" priority="11689" stopIfTrue="1" operator="equal">
      <formula>"Towel"</formula>
    </cfRule>
  </conditionalFormatting>
  <conditionalFormatting sqref="C60">
    <cfRule type="cellIs" dxfId="9517" priority="11688" stopIfTrue="1" operator="equal">
      <formula>"Napkin Hs"</formula>
    </cfRule>
  </conditionalFormatting>
  <conditionalFormatting sqref="C60">
    <cfRule type="cellIs" dxfId="9516" priority="11685" stopIfTrue="1" operator="equal">
      <formula>"Towel"</formula>
    </cfRule>
    <cfRule type="cellIs" dxfId="9515" priority="11686" stopIfTrue="1" operator="equal">
      <formula>"Napkin Hs"</formula>
    </cfRule>
  </conditionalFormatting>
  <conditionalFormatting sqref="C60">
    <cfRule type="cellIs" dxfId="9514" priority="11687" stopIfTrue="1" operator="equal">
      <formula>"Towel"</formula>
    </cfRule>
  </conditionalFormatting>
  <conditionalFormatting sqref="C60">
    <cfRule type="cellIs" dxfId="9513" priority="11695" stopIfTrue="1" operator="equal">
      <formula>"Towel"</formula>
    </cfRule>
    <cfRule type="cellIs" dxfId="9512" priority="11696" stopIfTrue="1" operator="equal">
      <formula>"Napkin Hs"</formula>
    </cfRule>
  </conditionalFormatting>
  <conditionalFormatting sqref="C60">
    <cfRule type="cellIs" dxfId="9511" priority="11693" stopIfTrue="1" operator="equal">
      <formula>"Towel"</formula>
    </cfRule>
    <cfRule type="cellIs" dxfId="9510" priority="11694" stopIfTrue="1" operator="equal">
      <formula>"Napkin Hs"</formula>
    </cfRule>
  </conditionalFormatting>
  <conditionalFormatting sqref="C60">
    <cfRule type="cellIs" dxfId="9509" priority="11665" stopIfTrue="1" operator="equal">
      <formula>"Towel"</formula>
    </cfRule>
    <cfRule type="cellIs" dxfId="9508" priority="11666" stopIfTrue="1" operator="equal">
      <formula>"Napkin Hs"</formula>
    </cfRule>
  </conditionalFormatting>
  <conditionalFormatting sqref="C60">
    <cfRule type="cellIs" dxfId="9507" priority="11663" stopIfTrue="1" operator="equal">
      <formula>"Towel"</formula>
    </cfRule>
    <cfRule type="cellIs" dxfId="9506" priority="11664" stopIfTrue="1" operator="equal">
      <formula>"Napkin Hs"</formula>
    </cfRule>
  </conditionalFormatting>
  <conditionalFormatting sqref="C60">
    <cfRule type="cellIs" dxfId="9505" priority="11642" stopIfTrue="1" operator="equal">
      <formula>"Napkin Hs"</formula>
    </cfRule>
  </conditionalFormatting>
  <conditionalFormatting sqref="C60">
    <cfRule type="cellIs" dxfId="9504" priority="11641" stopIfTrue="1" operator="equal">
      <formula>"Towel"</formula>
    </cfRule>
  </conditionalFormatting>
  <conditionalFormatting sqref="C60">
    <cfRule type="cellIs" dxfId="9503" priority="11640" stopIfTrue="1" operator="equal">
      <formula>"Napkin Hs"</formula>
    </cfRule>
  </conditionalFormatting>
  <conditionalFormatting sqref="C60">
    <cfRule type="cellIs" dxfId="9502" priority="11639" stopIfTrue="1" operator="equal">
      <formula>"Towel"</formula>
    </cfRule>
  </conditionalFormatting>
  <conditionalFormatting sqref="C60">
    <cfRule type="cellIs" dxfId="9501" priority="11636" stopIfTrue="1" operator="equal">
      <formula>"Napkin Hs"</formula>
    </cfRule>
  </conditionalFormatting>
  <conditionalFormatting sqref="C60">
    <cfRule type="cellIs" dxfId="9500" priority="11635" stopIfTrue="1" operator="equal">
      <formula>"Towel"</formula>
    </cfRule>
  </conditionalFormatting>
  <conditionalFormatting sqref="C60">
    <cfRule type="cellIs" dxfId="9499" priority="11634" stopIfTrue="1" operator="equal">
      <formula>"Napkin Hs"</formula>
    </cfRule>
  </conditionalFormatting>
  <conditionalFormatting sqref="C60">
    <cfRule type="cellIs" dxfId="9498" priority="11633" stopIfTrue="1" operator="equal">
      <formula>"Towel"</formula>
    </cfRule>
  </conditionalFormatting>
  <conditionalFormatting sqref="C60">
    <cfRule type="cellIs" dxfId="9497" priority="11629" stopIfTrue="1" operator="equal">
      <formula>"Towel"</formula>
    </cfRule>
    <cfRule type="cellIs" dxfId="9496" priority="11630" stopIfTrue="1" operator="equal">
      <formula>"Napkin Hs"</formula>
    </cfRule>
  </conditionalFormatting>
  <conditionalFormatting sqref="C60">
    <cfRule type="cellIs" dxfId="9495" priority="11627" stopIfTrue="1" operator="equal">
      <formula>"Towel"</formula>
    </cfRule>
    <cfRule type="cellIs" dxfId="9494" priority="11628" stopIfTrue="1" operator="equal">
      <formula>"Napkin Hs"</formula>
    </cfRule>
  </conditionalFormatting>
  <conditionalFormatting sqref="C60">
    <cfRule type="cellIs" dxfId="9493" priority="11611" stopIfTrue="1" operator="equal">
      <formula>"Towel"</formula>
    </cfRule>
    <cfRule type="cellIs" dxfId="9492" priority="11612" stopIfTrue="1" operator="equal">
      <formula>"Napkin Hs"</formula>
    </cfRule>
  </conditionalFormatting>
  <conditionalFormatting sqref="C60">
    <cfRule type="cellIs" dxfId="9491" priority="11609" stopIfTrue="1" operator="equal">
      <formula>"Towel"</formula>
    </cfRule>
    <cfRule type="cellIs" dxfId="9490" priority="11610" stopIfTrue="1" operator="equal">
      <formula>"Napkin Hs"</formula>
    </cfRule>
  </conditionalFormatting>
  <conditionalFormatting sqref="B60:C60">
    <cfRule type="cellIs" dxfId="9489" priority="11570" stopIfTrue="1" operator="equal">
      <formula>"Napkin Hs"</formula>
    </cfRule>
  </conditionalFormatting>
  <conditionalFormatting sqref="B60:C60">
    <cfRule type="cellIs" dxfId="9488" priority="11569" stopIfTrue="1" operator="equal">
      <formula>"Towel"</formula>
    </cfRule>
  </conditionalFormatting>
  <conditionalFormatting sqref="C60">
    <cfRule type="cellIs" dxfId="9487" priority="11568" stopIfTrue="1" operator="equal">
      <formula>"Napkin Hs"</formula>
    </cfRule>
  </conditionalFormatting>
  <conditionalFormatting sqref="C60">
    <cfRule type="cellIs" dxfId="9486" priority="11565" stopIfTrue="1" operator="equal">
      <formula>"Towel"</formula>
    </cfRule>
    <cfRule type="cellIs" dxfId="9485" priority="11566" stopIfTrue="1" operator="equal">
      <formula>"Napkin Hs"</formula>
    </cfRule>
  </conditionalFormatting>
  <conditionalFormatting sqref="C60">
    <cfRule type="cellIs" dxfId="9484" priority="11567" stopIfTrue="1" operator="equal">
      <formula>"Towel"</formula>
    </cfRule>
  </conditionalFormatting>
  <conditionalFormatting sqref="B63:C63">
    <cfRule type="cellIs" dxfId="9483" priority="11564" stopIfTrue="1" operator="equal">
      <formula>"Napkin Hs"</formula>
    </cfRule>
  </conditionalFormatting>
  <conditionalFormatting sqref="B63:C63">
    <cfRule type="cellIs" dxfId="9482" priority="11563" stopIfTrue="1" operator="equal">
      <formula>"Towel"</formula>
    </cfRule>
  </conditionalFormatting>
  <conditionalFormatting sqref="B62:C62">
    <cfRule type="cellIs" dxfId="9481" priority="11559" stopIfTrue="1" operator="equal">
      <formula>"Towel"</formula>
    </cfRule>
    <cfRule type="cellIs" dxfId="9480" priority="11560" stopIfTrue="1" operator="equal">
      <formula>"Napkin Hs"</formula>
    </cfRule>
  </conditionalFormatting>
  <conditionalFormatting sqref="C63">
    <cfRule type="cellIs" dxfId="9479" priority="11562" stopIfTrue="1" operator="equal">
      <formula>"Napkin Hs"</formula>
    </cfRule>
  </conditionalFormatting>
  <conditionalFormatting sqref="C63">
    <cfRule type="cellIs" dxfId="9478" priority="11561" stopIfTrue="1" operator="equal">
      <formula>"Towel"</formula>
    </cfRule>
  </conditionalFormatting>
  <conditionalFormatting sqref="C62">
    <cfRule type="cellIs" dxfId="9477" priority="11557" stopIfTrue="1" operator="equal">
      <formula>"Towel"</formula>
    </cfRule>
    <cfRule type="cellIs" dxfId="9476" priority="11558" stopIfTrue="1" operator="equal">
      <formula>"Napkin Hs"</formula>
    </cfRule>
  </conditionalFormatting>
  <conditionalFormatting sqref="B64:C64">
    <cfRule type="cellIs" dxfId="9475" priority="11555" stopIfTrue="1" operator="equal">
      <formula>"Towel"</formula>
    </cfRule>
    <cfRule type="cellIs" dxfId="9474" priority="11556" stopIfTrue="1" operator="equal">
      <formula>"Napkin Hs"</formula>
    </cfRule>
  </conditionalFormatting>
  <conditionalFormatting sqref="C64">
    <cfRule type="cellIs" dxfId="9473" priority="11551" stopIfTrue="1" operator="equal">
      <formula>"Towel"</formula>
    </cfRule>
    <cfRule type="cellIs" dxfId="9472" priority="11552" stopIfTrue="1" operator="equal">
      <formula>"Napkin Hs"</formula>
    </cfRule>
  </conditionalFormatting>
  <conditionalFormatting sqref="C64">
    <cfRule type="cellIs" dxfId="9471" priority="11553" stopIfTrue="1" operator="equal">
      <formula>"Towel"</formula>
    </cfRule>
    <cfRule type="cellIs" dxfId="9470" priority="11554" stopIfTrue="1" operator="equal">
      <formula>"Napkin Hs"</formula>
    </cfRule>
  </conditionalFormatting>
  <conditionalFormatting sqref="B64:C64">
    <cfRule type="cellIs" dxfId="9469" priority="11550" stopIfTrue="1" operator="equal">
      <formula>"Napkin Hs"</formula>
    </cfRule>
  </conditionalFormatting>
  <conditionalFormatting sqref="B64:C64">
    <cfRule type="cellIs" dxfId="9468" priority="11549" stopIfTrue="1" operator="equal">
      <formula>"Towel"</formula>
    </cfRule>
  </conditionalFormatting>
  <conditionalFormatting sqref="C64">
    <cfRule type="cellIs" dxfId="9467" priority="11548" stopIfTrue="1" operator="equal">
      <formula>"Napkin Hs"</formula>
    </cfRule>
  </conditionalFormatting>
  <conditionalFormatting sqref="C64">
    <cfRule type="cellIs" dxfId="9466" priority="11547" stopIfTrue="1" operator="equal">
      <formula>"Towel"</formula>
    </cfRule>
  </conditionalFormatting>
  <conditionalFormatting sqref="C64">
    <cfRule type="cellIs" dxfId="9465" priority="11545" stopIfTrue="1" operator="equal">
      <formula>"Towel"</formula>
    </cfRule>
    <cfRule type="cellIs" dxfId="9464" priority="11546" stopIfTrue="1" operator="equal">
      <formula>"Napkin Hs"</formula>
    </cfRule>
  </conditionalFormatting>
  <conditionalFormatting sqref="B64:C64">
    <cfRule type="cellIs" dxfId="9463" priority="11543" stopIfTrue="1" operator="equal">
      <formula>"Towel"</formula>
    </cfRule>
    <cfRule type="cellIs" dxfId="9462" priority="11544" stopIfTrue="1" operator="equal">
      <formula>"Napkin Hs"</formula>
    </cfRule>
  </conditionalFormatting>
  <conditionalFormatting sqref="C64">
    <cfRule type="cellIs" dxfId="9461" priority="11541" stopIfTrue="1" operator="equal">
      <formula>"Towel"</formula>
    </cfRule>
    <cfRule type="cellIs" dxfId="9460" priority="11542" stopIfTrue="1" operator="equal">
      <formula>"Napkin Hs"</formula>
    </cfRule>
  </conditionalFormatting>
  <conditionalFormatting sqref="C64">
    <cfRule type="cellIs" dxfId="9459" priority="11539" stopIfTrue="1" operator="equal">
      <formula>"Towel"</formula>
    </cfRule>
    <cfRule type="cellIs" dxfId="9458" priority="11540" stopIfTrue="1" operator="equal">
      <formula>"Napkin Hs"</formula>
    </cfRule>
  </conditionalFormatting>
  <conditionalFormatting sqref="B64:C64">
    <cfRule type="cellIs" dxfId="9457" priority="11537" stopIfTrue="1" operator="equal">
      <formula>"Towel"</formula>
    </cfRule>
    <cfRule type="cellIs" dxfId="9456" priority="11538" stopIfTrue="1" operator="equal">
      <formula>"Napkin Hs"</formula>
    </cfRule>
  </conditionalFormatting>
  <conditionalFormatting sqref="C64">
    <cfRule type="cellIs" dxfId="9455" priority="11535" stopIfTrue="1" operator="equal">
      <formula>"Towel"</formula>
    </cfRule>
    <cfRule type="cellIs" dxfId="9454" priority="11536" stopIfTrue="1" operator="equal">
      <formula>"Napkin Hs"</formula>
    </cfRule>
  </conditionalFormatting>
  <conditionalFormatting sqref="C64">
    <cfRule type="cellIs" dxfId="9453" priority="11533" stopIfTrue="1" operator="equal">
      <formula>"Towel"</formula>
    </cfRule>
    <cfRule type="cellIs" dxfId="9452" priority="11534" stopIfTrue="1" operator="equal">
      <formula>"Napkin Hs"</formula>
    </cfRule>
  </conditionalFormatting>
  <conditionalFormatting sqref="B64:C64">
    <cfRule type="cellIs" dxfId="9451" priority="11531" stopIfTrue="1" operator="equal">
      <formula>"Towel"</formula>
    </cfRule>
    <cfRule type="cellIs" dxfId="9450" priority="11532" stopIfTrue="1" operator="equal">
      <formula>"Napkin Hs"</formula>
    </cfRule>
  </conditionalFormatting>
  <conditionalFormatting sqref="C64">
    <cfRule type="cellIs" dxfId="9449" priority="11529" stopIfTrue="1" operator="equal">
      <formula>"Towel"</formula>
    </cfRule>
    <cfRule type="cellIs" dxfId="9448" priority="11530" stopIfTrue="1" operator="equal">
      <formula>"Napkin Hs"</formula>
    </cfRule>
  </conditionalFormatting>
  <conditionalFormatting sqref="C64">
    <cfRule type="cellIs" dxfId="9447" priority="11527" stopIfTrue="1" operator="equal">
      <formula>"Towel"</formula>
    </cfRule>
    <cfRule type="cellIs" dxfId="9446" priority="11528" stopIfTrue="1" operator="equal">
      <formula>"Napkin Hs"</formula>
    </cfRule>
  </conditionalFormatting>
  <conditionalFormatting sqref="B64:C64">
    <cfRule type="cellIs" dxfId="9445" priority="11525" stopIfTrue="1" operator="equal">
      <formula>"Towel"</formula>
    </cfRule>
    <cfRule type="cellIs" dxfId="9444" priority="11526" stopIfTrue="1" operator="equal">
      <formula>"Napkin Hs"</formula>
    </cfRule>
  </conditionalFormatting>
  <conditionalFormatting sqref="C64">
    <cfRule type="cellIs" dxfId="9443" priority="11523" stopIfTrue="1" operator="equal">
      <formula>"Towel"</formula>
    </cfRule>
    <cfRule type="cellIs" dxfId="9442" priority="11524" stopIfTrue="1" operator="equal">
      <formula>"Napkin Hs"</formula>
    </cfRule>
  </conditionalFormatting>
  <conditionalFormatting sqref="C64">
    <cfRule type="cellIs" dxfId="9441" priority="11521" stopIfTrue="1" operator="equal">
      <formula>"Towel"</formula>
    </cfRule>
    <cfRule type="cellIs" dxfId="9440" priority="11522" stopIfTrue="1" operator="equal">
      <formula>"Napkin Hs"</formula>
    </cfRule>
  </conditionalFormatting>
  <conditionalFormatting sqref="B64:C64">
    <cfRule type="cellIs" dxfId="9439" priority="11519" stopIfTrue="1" operator="equal">
      <formula>"Towel"</formula>
    </cfRule>
    <cfRule type="cellIs" dxfId="9438" priority="11520" stopIfTrue="1" operator="equal">
      <formula>"Napkin Hs"</formula>
    </cfRule>
  </conditionalFormatting>
  <conditionalFormatting sqref="C64">
    <cfRule type="cellIs" dxfId="9437" priority="11517" stopIfTrue="1" operator="equal">
      <formula>"Towel"</formula>
    </cfRule>
    <cfRule type="cellIs" dxfId="9436" priority="11518" stopIfTrue="1" operator="equal">
      <formula>"Napkin Hs"</formula>
    </cfRule>
  </conditionalFormatting>
  <conditionalFormatting sqref="C64">
    <cfRule type="cellIs" dxfId="9435" priority="11515" stopIfTrue="1" operator="equal">
      <formula>"Towel"</formula>
    </cfRule>
    <cfRule type="cellIs" dxfId="9434" priority="11516" stopIfTrue="1" operator="equal">
      <formula>"Napkin Hs"</formula>
    </cfRule>
  </conditionalFormatting>
  <conditionalFormatting sqref="B64:C64">
    <cfRule type="cellIs" dxfId="9433" priority="11514" stopIfTrue="1" operator="equal">
      <formula>"Napkin Hs"</formula>
    </cfRule>
  </conditionalFormatting>
  <conditionalFormatting sqref="B64:C64">
    <cfRule type="cellIs" dxfId="9432" priority="11513" stopIfTrue="1" operator="equal">
      <formula>"Towel"</formula>
    </cfRule>
  </conditionalFormatting>
  <conditionalFormatting sqref="C64">
    <cfRule type="cellIs" dxfId="9431" priority="11512" stopIfTrue="1" operator="equal">
      <formula>"Napkin Hs"</formula>
    </cfRule>
  </conditionalFormatting>
  <conditionalFormatting sqref="C64">
    <cfRule type="cellIs" dxfId="9430" priority="11509" stopIfTrue="1" operator="equal">
      <formula>"Towel"</formula>
    </cfRule>
    <cfRule type="cellIs" dxfId="9429" priority="11510" stopIfTrue="1" operator="equal">
      <formula>"Napkin Hs"</formula>
    </cfRule>
  </conditionalFormatting>
  <conditionalFormatting sqref="C64">
    <cfRule type="cellIs" dxfId="9428" priority="11511" stopIfTrue="1" operator="equal">
      <formula>"Towel"</formula>
    </cfRule>
  </conditionalFormatting>
  <conditionalFormatting sqref="B64:C64">
    <cfRule type="cellIs" dxfId="9427" priority="11507" stopIfTrue="1" operator="equal">
      <formula>"Towel"</formula>
    </cfRule>
    <cfRule type="cellIs" dxfId="9426" priority="11508" stopIfTrue="1" operator="equal">
      <formula>"Napkin Hs"</formula>
    </cfRule>
  </conditionalFormatting>
  <conditionalFormatting sqref="C64">
    <cfRule type="cellIs" dxfId="9425" priority="11503" stopIfTrue="1" operator="equal">
      <formula>"Towel"</formula>
    </cfRule>
    <cfRule type="cellIs" dxfId="9424" priority="11504" stopIfTrue="1" operator="equal">
      <formula>"Napkin Hs"</formula>
    </cfRule>
  </conditionalFormatting>
  <conditionalFormatting sqref="C64">
    <cfRule type="cellIs" dxfId="9423" priority="11505" stopIfTrue="1" operator="equal">
      <formula>"Towel"</formula>
    </cfRule>
    <cfRule type="cellIs" dxfId="9422" priority="11506" stopIfTrue="1" operator="equal">
      <formula>"Napkin Hs"</formula>
    </cfRule>
  </conditionalFormatting>
  <conditionalFormatting sqref="B64:C64">
    <cfRule type="cellIs" dxfId="9421" priority="11501" stopIfTrue="1" operator="equal">
      <formula>"Towel"</formula>
    </cfRule>
    <cfRule type="cellIs" dxfId="9420" priority="11502" stopIfTrue="1" operator="equal">
      <formula>"Napkin Hs"</formula>
    </cfRule>
  </conditionalFormatting>
  <conditionalFormatting sqref="C64">
    <cfRule type="cellIs" dxfId="9419" priority="11497" stopIfTrue="1" operator="equal">
      <formula>"Towel"</formula>
    </cfRule>
    <cfRule type="cellIs" dxfId="9418" priority="11498" stopIfTrue="1" operator="equal">
      <formula>"Napkin Hs"</formula>
    </cfRule>
  </conditionalFormatting>
  <conditionalFormatting sqref="C64">
    <cfRule type="cellIs" dxfId="9417" priority="11499" stopIfTrue="1" operator="equal">
      <formula>"Towel"</formula>
    </cfRule>
    <cfRule type="cellIs" dxfId="9416" priority="11500" stopIfTrue="1" operator="equal">
      <formula>"Napkin Hs"</formula>
    </cfRule>
  </conditionalFormatting>
  <conditionalFormatting sqref="B64:C64">
    <cfRule type="cellIs" dxfId="9415" priority="11495" stopIfTrue="1" operator="equal">
      <formula>"Towel"</formula>
    </cfRule>
    <cfRule type="cellIs" dxfId="9414" priority="11496" stopIfTrue="1" operator="equal">
      <formula>"Napkin Hs"</formula>
    </cfRule>
  </conditionalFormatting>
  <conditionalFormatting sqref="C64">
    <cfRule type="cellIs" dxfId="9413" priority="11493" stopIfTrue="1" operator="equal">
      <formula>"Towel"</formula>
    </cfRule>
    <cfRule type="cellIs" dxfId="9412" priority="11494" stopIfTrue="1" operator="equal">
      <formula>"Napkin Hs"</formula>
    </cfRule>
  </conditionalFormatting>
  <conditionalFormatting sqref="C64">
    <cfRule type="cellIs" dxfId="9411" priority="11491" stopIfTrue="1" operator="equal">
      <formula>"Towel"</formula>
    </cfRule>
    <cfRule type="cellIs" dxfId="9410" priority="11492" stopIfTrue="1" operator="equal">
      <formula>"Napkin Hs"</formula>
    </cfRule>
  </conditionalFormatting>
  <conditionalFormatting sqref="B64:C64">
    <cfRule type="cellIs" dxfId="9409" priority="11490" stopIfTrue="1" operator="equal">
      <formula>"Napkin Hs"</formula>
    </cfRule>
  </conditionalFormatting>
  <conditionalFormatting sqref="B64:C64">
    <cfRule type="cellIs" dxfId="9408" priority="11489" stopIfTrue="1" operator="equal">
      <formula>"Towel"</formula>
    </cfRule>
  </conditionalFormatting>
  <conditionalFormatting sqref="C64">
    <cfRule type="cellIs" dxfId="9407" priority="11488" stopIfTrue="1" operator="equal">
      <formula>"Napkin Hs"</formula>
    </cfRule>
  </conditionalFormatting>
  <conditionalFormatting sqref="C64">
    <cfRule type="cellIs" dxfId="9406" priority="11487" stopIfTrue="1" operator="equal">
      <formula>"Towel"</formula>
    </cfRule>
  </conditionalFormatting>
  <conditionalFormatting sqref="C64">
    <cfRule type="cellIs" dxfId="9405" priority="11485" stopIfTrue="1" operator="equal">
      <formula>"Towel"</formula>
    </cfRule>
    <cfRule type="cellIs" dxfId="9404" priority="11486" stopIfTrue="1" operator="equal">
      <formula>"Napkin Hs"</formula>
    </cfRule>
  </conditionalFormatting>
  <conditionalFormatting sqref="C64">
    <cfRule type="cellIs" dxfId="9403" priority="11483" stopIfTrue="1" operator="equal">
      <formula>"Towel"</formula>
    </cfRule>
    <cfRule type="cellIs" dxfId="9402" priority="11484" stopIfTrue="1" operator="equal">
      <formula>"Napkin Hs"</formula>
    </cfRule>
  </conditionalFormatting>
  <conditionalFormatting sqref="C64">
    <cfRule type="cellIs" dxfId="9401" priority="11399" stopIfTrue="1" operator="equal">
      <formula>"Towel"</formula>
    </cfRule>
    <cfRule type="cellIs" dxfId="9400" priority="11400" stopIfTrue="1" operator="equal">
      <formula>"Napkin Hs"</formula>
    </cfRule>
  </conditionalFormatting>
  <conditionalFormatting sqref="C64">
    <cfRule type="cellIs" dxfId="9399" priority="11393" stopIfTrue="1" operator="equal">
      <formula>"Towel"</formula>
    </cfRule>
    <cfRule type="cellIs" dxfId="9398" priority="11394" stopIfTrue="1" operator="equal">
      <formula>"Napkin Hs"</formula>
    </cfRule>
  </conditionalFormatting>
  <conditionalFormatting sqref="C64">
    <cfRule type="cellIs" dxfId="9397" priority="11374" stopIfTrue="1" operator="equal">
      <formula>"Napkin Hs"</formula>
    </cfRule>
  </conditionalFormatting>
  <conditionalFormatting sqref="C64">
    <cfRule type="cellIs" dxfId="9396" priority="11373" stopIfTrue="1" operator="equal">
      <formula>"Towel"</formula>
    </cfRule>
  </conditionalFormatting>
  <conditionalFormatting sqref="C64">
    <cfRule type="cellIs" dxfId="9395" priority="11372" stopIfTrue="1" operator="equal">
      <formula>"Napkin Hs"</formula>
    </cfRule>
  </conditionalFormatting>
  <conditionalFormatting sqref="C64">
    <cfRule type="cellIs" dxfId="9394" priority="11369" stopIfTrue="1" operator="equal">
      <formula>"Towel"</formula>
    </cfRule>
    <cfRule type="cellIs" dxfId="9393" priority="11370" stopIfTrue="1" operator="equal">
      <formula>"Napkin Hs"</formula>
    </cfRule>
  </conditionalFormatting>
  <conditionalFormatting sqref="C64">
    <cfRule type="cellIs" dxfId="9392" priority="11371" stopIfTrue="1" operator="equal">
      <formula>"Towel"</formula>
    </cfRule>
  </conditionalFormatting>
  <conditionalFormatting sqref="C64">
    <cfRule type="cellIs" dxfId="9391" priority="11368" stopIfTrue="1" operator="equal">
      <formula>"Napkin Hs"</formula>
    </cfRule>
  </conditionalFormatting>
  <conditionalFormatting sqref="C64">
    <cfRule type="cellIs" dxfId="9390" priority="11367" stopIfTrue="1" operator="equal">
      <formula>"Towel"</formula>
    </cfRule>
  </conditionalFormatting>
  <conditionalFormatting sqref="C64">
    <cfRule type="cellIs" dxfId="9389" priority="11366" stopIfTrue="1" operator="equal">
      <formula>"Napkin Hs"</formula>
    </cfRule>
  </conditionalFormatting>
  <conditionalFormatting sqref="C64">
    <cfRule type="cellIs" dxfId="9388" priority="11363" stopIfTrue="1" operator="equal">
      <formula>"Towel"</formula>
    </cfRule>
    <cfRule type="cellIs" dxfId="9387" priority="11364" stopIfTrue="1" operator="equal">
      <formula>"Napkin Hs"</formula>
    </cfRule>
  </conditionalFormatting>
  <conditionalFormatting sqref="C64">
    <cfRule type="cellIs" dxfId="9386" priority="11365" stopIfTrue="1" operator="equal">
      <formula>"Towel"</formula>
    </cfRule>
  </conditionalFormatting>
  <conditionalFormatting sqref="C64">
    <cfRule type="cellIs" dxfId="9385" priority="11469" stopIfTrue="1" operator="equal">
      <formula>"Towel"</formula>
    </cfRule>
    <cfRule type="cellIs" dxfId="9384" priority="11470" stopIfTrue="1" operator="equal">
      <formula>"Napkin Hs"</formula>
    </cfRule>
  </conditionalFormatting>
  <conditionalFormatting sqref="C64">
    <cfRule type="cellIs" dxfId="9383" priority="11467" stopIfTrue="1" operator="equal">
      <formula>"Towel"</formula>
    </cfRule>
    <cfRule type="cellIs" dxfId="9382" priority="11468" stopIfTrue="1" operator="equal">
      <formula>"Napkin Hs"</formula>
    </cfRule>
  </conditionalFormatting>
  <conditionalFormatting sqref="C64">
    <cfRule type="cellIs" dxfId="9381" priority="11465" stopIfTrue="1" operator="equal">
      <formula>"Towel"</formula>
    </cfRule>
    <cfRule type="cellIs" dxfId="9380" priority="11466" stopIfTrue="1" operator="equal">
      <formula>"Napkin Hs"</formula>
    </cfRule>
  </conditionalFormatting>
  <conditionalFormatting sqref="C64">
    <cfRule type="cellIs" dxfId="9379" priority="11464" stopIfTrue="1" operator="equal">
      <formula>"Napkin Hs"</formula>
    </cfRule>
  </conditionalFormatting>
  <conditionalFormatting sqref="C64">
    <cfRule type="cellIs" dxfId="9378" priority="11463" stopIfTrue="1" operator="equal">
      <formula>"Towel"</formula>
    </cfRule>
  </conditionalFormatting>
  <conditionalFormatting sqref="C64">
    <cfRule type="cellIs" dxfId="9377" priority="11462" stopIfTrue="1" operator="equal">
      <formula>"Napkin Hs"</formula>
    </cfRule>
  </conditionalFormatting>
  <conditionalFormatting sqref="C64">
    <cfRule type="cellIs" dxfId="9376" priority="11461" stopIfTrue="1" operator="equal">
      <formula>"Towel"</formula>
    </cfRule>
  </conditionalFormatting>
  <conditionalFormatting sqref="C64">
    <cfRule type="cellIs" dxfId="9375" priority="11459" stopIfTrue="1" operator="equal">
      <formula>"Towel"</formula>
    </cfRule>
    <cfRule type="cellIs" dxfId="9374" priority="11460" stopIfTrue="1" operator="equal">
      <formula>"Napkin Hs"</formula>
    </cfRule>
  </conditionalFormatting>
  <conditionalFormatting sqref="C64">
    <cfRule type="cellIs" dxfId="9373" priority="11457" stopIfTrue="1" operator="equal">
      <formula>"Towel"</formula>
    </cfRule>
    <cfRule type="cellIs" dxfId="9372" priority="11458" stopIfTrue="1" operator="equal">
      <formula>"Napkin Hs"</formula>
    </cfRule>
  </conditionalFormatting>
  <conditionalFormatting sqref="C64">
    <cfRule type="cellIs" dxfId="9371" priority="11453" stopIfTrue="1" operator="equal">
      <formula>"Towel"</formula>
    </cfRule>
    <cfRule type="cellIs" dxfId="9370" priority="11454" stopIfTrue="1" operator="equal">
      <formula>"Napkin Hs"</formula>
    </cfRule>
  </conditionalFormatting>
  <conditionalFormatting sqref="C64">
    <cfRule type="cellIs" dxfId="9369" priority="11455" stopIfTrue="1" operator="equal">
      <formula>"Towel"</formula>
    </cfRule>
    <cfRule type="cellIs" dxfId="9368" priority="11456" stopIfTrue="1" operator="equal">
      <formula>"Napkin Hs"</formula>
    </cfRule>
  </conditionalFormatting>
  <conditionalFormatting sqref="C64">
    <cfRule type="cellIs" dxfId="9367" priority="11447" stopIfTrue="1" operator="equal">
      <formula>"Towel"</formula>
    </cfRule>
    <cfRule type="cellIs" dxfId="9366" priority="11448" stopIfTrue="1" operator="equal">
      <formula>"Napkin Hs"</formula>
    </cfRule>
  </conditionalFormatting>
  <conditionalFormatting sqref="C64">
    <cfRule type="cellIs" dxfId="9365" priority="11445" stopIfTrue="1" operator="equal">
      <formula>"Towel"</formula>
    </cfRule>
    <cfRule type="cellIs" dxfId="9364" priority="11446" stopIfTrue="1" operator="equal">
      <formula>"Napkin Hs"</formula>
    </cfRule>
  </conditionalFormatting>
  <conditionalFormatting sqref="C64">
    <cfRule type="cellIs" dxfId="9363" priority="11443" stopIfTrue="1" operator="equal">
      <formula>"Towel"</formula>
    </cfRule>
    <cfRule type="cellIs" dxfId="9362" priority="11444" stopIfTrue="1" operator="equal">
      <formula>"Napkin Hs"</formula>
    </cfRule>
  </conditionalFormatting>
  <conditionalFormatting sqref="C64">
    <cfRule type="cellIs" dxfId="9361" priority="11441" stopIfTrue="1" operator="equal">
      <formula>"Towel"</formula>
    </cfRule>
    <cfRule type="cellIs" dxfId="9360" priority="11442" stopIfTrue="1" operator="equal">
      <formula>"Napkin Hs"</formula>
    </cfRule>
  </conditionalFormatting>
  <conditionalFormatting sqref="C64">
    <cfRule type="cellIs" dxfId="9359" priority="11439" stopIfTrue="1" operator="equal">
      <formula>"Towel"</formula>
    </cfRule>
    <cfRule type="cellIs" dxfId="9358" priority="11440" stopIfTrue="1" operator="equal">
      <formula>"Napkin Hs"</formula>
    </cfRule>
  </conditionalFormatting>
  <conditionalFormatting sqref="C64">
    <cfRule type="cellIs" dxfId="9357" priority="11437" stopIfTrue="1" operator="equal">
      <formula>"Towel"</formula>
    </cfRule>
    <cfRule type="cellIs" dxfId="9356" priority="11438" stopIfTrue="1" operator="equal">
      <formula>"Napkin Hs"</formula>
    </cfRule>
  </conditionalFormatting>
  <conditionalFormatting sqref="C64">
    <cfRule type="cellIs" dxfId="9355" priority="11435" stopIfTrue="1" operator="equal">
      <formula>"Towel"</formula>
    </cfRule>
    <cfRule type="cellIs" dxfId="9354" priority="11436" stopIfTrue="1" operator="equal">
      <formula>"Napkin Hs"</formula>
    </cfRule>
  </conditionalFormatting>
  <conditionalFormatting sqref="C64">
    <cfRule type="cellIs" dxfId="9353" priority="11433" stopIfTrue="1" operator="equal">
      <formula>"Towel"</formula>
    </cfRule>
    <cfRule type="cellIs" dxfId="9352" priority="11434" stopIfTrue="1" operator="equal">
      <formula>"Napkin Hs"</formula>
    </cfRule>
  </conditionalFormatting>
  <conditionalFormatting sqref="C64">
    <cfRule type="cellIs" dxfId="9351" priority="11431" stopIfTrue="1" operator="equal">
      <formula>"Towel"</formula>
    </cfRule>
    <cfRule type="cellIs" dxfId="9350" priority="11432" stopIfTrue="1" operator="equal">
      <formula>"Napkin Hs"</formula>
    </cfRule>
  </conditionalFormatting>
  <conditionalFormatting sqref="C64">
    <cfRule type="cellIs" dxfId="9349" priority="11429" stopIfTrue="1" operator="equal">
      <formula>"Towel"</formula>
    </cfRule>
    <cfRule type="cellIs" dxfId="9348" priority="11430" stopIfTrue="1" operator="equal">
      <formula>"Napkin Hs"</formula>
    </cfRule>
  </conditionalFormatting>
  <conditionalFormatting sqref="C64">
    <cfRule type="cellIs" dxfId="9347" priority="11423" stopIfTrue="1" operator="equal">
      <formula>"Towel"</formula>
    </cfRule>
    <cfRule type="cellIs" dxfId="9346" priority="11424" stopIfTrue="1" operator="equal">
      <formula>"Napkin Hs"</formula>
    </cfRule>
  </conditionalFormatting>
  <conditionalFormatting sqref="C64">
    <cfRule type="cellIs" dxfId="9345" priority="11417" stopIfTrue="1" operator="equal">
      <formula>"Towel"</formula>
    </cfRule>
    <cfRule type="cellIs" dxfId="9344" priority="11418" stopIfTrue="1" operator="equal">
      <formula>"Napkin Hs"</formula>
    </cfRule>
  </conditionalFormatting>
  <conditionalFormatting sqref="C64">
    <cfRule type="cellIs" dxfId="9343" priority="11411" stopIfTrue="1" operator="equal">
      <formula>"Towel"</formula>
    </cfRule>
    <cfRule type="cellIs" dxfId="9342" priority="11412" stopIfTrue="1" operator="equal">
      <formula>"Napkin Hs"</formula>
    </cfRule>
  </conditionalFormatting>
  <conditionalFormatting sqref="C64">
    <cfRule type="cellIs" dxfId="9341" priority="11410" stopIfTrue="1" operator="equal">
      <formula>"Napkin Hs"</formula>
    </cfRule>
  </conditionalFormatting>
  <conditionalFormatting sqref="C64">
    <cfRule type="cellIs" dxfId="9340" priority="11409" stopIfTrue="1" operator="equal">
      <formula>"Towel"</formula>
    </cfRule>
  </conditionalFormatting>
  <conditionalFormatting sqref="C64">
    <cfRule type="cellIs" dxfId="9339" priority="11408" stopIfTrue="1" operator="equal">
      <formula>"Napkin Hs"</formula>
    </cfRule>
  </conditionalFormatting>
  <conditionalFormatting sqref="C64">
    <cfRule type="cellIs" dxfId="9338" priority="11407" stopIfTrue="1" operator="equal">
      <formula>"Towel"</formula>
    </cfRule>
  </conditionalFormatting>
  <conditionalFormatting sqref="C64">
    <cfRule type="cellIs" dxfId="9337" priority="11405" stopIfTrue="1" operator="equal">
      <formula>"Towel"</formula>
    </cfRule>
    <cfRule type="cellIs" dxfId="9336" priority="11406" stopIfTrue="1" operator="equal">
      <formula>"Napkin Hs"</formula>
    </cfRule>
  </conditionalFormatting>
  <conditionalFormatting sqref="C64">
    <cfRule type="cellIs" dxfId="9335" priority="11403" stopIfTrue="1" operator="equal">
      <formula>"Towel"</formula>
    </cfRule>
    <cfRule type="cellIs" dxfId="9334" priority="11404" stopIfTrue="1" operator="equal">
      <formula>"Napkin Hs"</formula>
    </cfRule>
  </conditionalFormatting>
  <conditionalFormatting sqref="C64">
    <cfRule type="cellIs" dxfId="9333" priority="11401" stopIfTrue="1" operator="equal">
      <formula>"Towel"</formula>
    </cfRule>
    <cfRule type="cellIs" dxfId="9332" priority="11402" stopIfTrue="1" operator="equal">
      <formula>"Napkin Hs"</formula>
    </cfRule>
  </conditionalFormatting>
  <conditionalFormatting sqref="C64">
    <cfRule type="cellIs" dxfId="9331" priority="11391" stopIfTrue="1" operator="equal">
      <formula>"Towel"</formula>
    </cfRule>
    <cfRule type="cellIs" dxfId="9330" priority="11392" stopIfTrue="1" operator="equal">
      <formula>"Napkin Hs"</formula>
    </cfRule>
  </conditionalFormatting>
  <conditionalFormatting sqref="C64">
    <cfRule type="cellIs" dxfId="9329" priority="11389" stopIfTrue="1" operator="equal">
      <formula>"Towel"</formula>
    </cfRule>
    <cfRule type="cellIs" dxfId="9328" priority="11390" stopIfTrue="1" operator="equal">
      <formula>"Napkin Hs"</formula>
    </cfRule>
  </conditionalFormatting>
  <conditionalFormatting sqref="C64">
    <cfRule type="cellIs" dxfId="9327" priority="11387" stopIfTrue="1" operator="equal">
      <formula>"Towel"</formula>
    </cfRule>
    <cfRule type="cellIs" dxfId="9326" priority="11388" stopIfTrue="1" operator="equal">
      <formula>"Napkin Hs"</formula>
    </cfRule>
  </conditionalFormatting>
  <conditionalFormatting sqref="C64">
    <cfRule type="cellIs" dxfId="9325" priority="11385" stopIfTrue="1" operator="equal">
      <formula>"Towel"</formula>
    </cfRule>
    <cfRule type="cellIs" dxfId="9324" priority="11386" stopIfTrue="1" operator="equal">
      <formula>"Napkin Hs"</formula>
    </cfRule>
  </conditionalFormatting>
  <conditionalFormatting sqref="C64">
    <cfRule type="cellIs" dxfId="9323" priority="11383" stopIfTrue="1" operator="equal">
      <formula>"Towel"</formula>
    </cfRule>
    <cfRule type="cellIs" dxfId="9322" priority="11384" stopIfTrue="1" operator="equal">
      <formula>"Napkin Hs"</formula>
    </cfRule>
  </conditionalFormatting>
  <conditionalFormatting sqref="C64">
    <cfRule type="cellIs" dxfId="9321" priority="11381" stopIfTrue="1" operator="equal">
      <formula>"Towel"</formula>
    </cfRule>
    <cfRule type="cellIs" dxfId="9320" priority="11382" stopIfTrue="1" operator="equal">
      <formula>"Napkin Hs"</formula>
    </cfRule>
  </conditionalFormatting>
  <conditionalFormatting sqref="C64">
    <cfRule type="cellIs" dxfId="9319" priority="11379" stopIfTrue="1" operator="equal">
      <formula>"Towel"</formula>
    </cfRule>
    <cfRule type="cellIs" dxfId="9318" priority="11380" stopIfTrue="1" operator="equal">
      <formula>"Napkin Hs"</formula>
    </cfRule>
  </conditionalFormatting>
  <conditionalFormatting sqref="C64">
    <cfRule type="cellIs" dxfId="9317" priority="11377" stopIfTrue="1" operator="equal">
      <formula>"Towel"</formula>
    </cfRule>
    <cfRule type="cellIs" dxfId="9316" priority="11378" stopIfTrue="1" operator="equal">
      <formula>"Napkin Hs"</formula>
    </cfRule>
  </conditionalFormatting>
  <conditionalFormatting sqref="C64">
    <cfRule type="cellIs" dxfId="9315" priority="11375" stopIfTrue="1" operator="equal">
      <formula>"Towel"</formula>
    </cfRule>
    <cfRule type="cellIs" dxfId="9314" priority="11376" stopIfTrue="1" operator="equal">
      <formula>"Napkin Hs"</formula>
    </cfRule>
  </conditionalFormatting>
  <conditionalFormatting sqref="C64">
    <cfRule type="cellIs" dxfId="9313" priority="11362" stopIfTrue="1" operator="equal">
      <formula>"Napkin Hs"</formula>
    </cfRule>
  </conditionalFormatting>
  <conditionalFormatting sqref="C64">
    <cfRule type="cellIs" dxfId="9312" priority="11361" stopIfTrue="1" operator="equal">
      <formula>"Towel"</formula>
    </cfRule>
  </conditionalFormatting>
  <conditionalFormatting sqref="C64">
    <cfRule type="cellIs" dxfId="9311" priority="11360" stopIfTrue="1" operator="equal">
      <formula>"Napkin Hs"</formula>
    </cfRule>
  </conditionalFormatting>
  <conditionalFormatting sqref="C64">
    <cfRule type="cellIs" dxfId="9310" priority="11357" stopIfTrue="1" operator="equal">
      <formula>"Towel"</formula>
    </cfRule>
    <cfRule type="cellIs" dxfId="9309" priority="11358" stopIfTrue="1" operator="equal">
      <formula>"Napkin Hs"</formula>
    </cfRule>
  </conditionalFormatting>
  <conditionalFormatting sqref="C64">
    <cfRule type="cellIs" dxfId="9308" priority="11359" stopIfTrue="1" operator="equal">
      <formula>"Towel"</formula>
    </cfRule>
  </conditionalFormatting>
  <conditionalFormatting sqref="C64">
    <cfRule type="cellIs" dxfId="9307" priority="11477" stopIfTrue="1" operator="equal">
      <formula>"Towel"</formula>
    </cfRule>
    <cfRule type="cellIs" dxfId="9306" priority="11478" stopIfTrue="1" operator="equal">
      <formula>"Napkin Hs"</formula>
    </cfRule>
  </conditionalFormatting>
  <conditionalFormatting sqref="C64">
    <cfRule type="cellIs" dxfId="9305" priority="11476" stopIfTrue="1" operator="equal">
      <formula>"Napkin Hs"</formula>
    </cfRule>
  </conditionalFormatting>
  <conditionalFormatting sqref="C64">
    <cfRule type="cellIs" dxfId="9304" priority="11475" stopIfTrue="1" operator="equal">
      <formula>"Towel"</formula>
    </cfRule>
  </conditionalFormatting>
  <conditionalFormatting sqref="C64">
    <cfRule type="cellIs" dxfId="9303" priority="11474" stopIfTrue="1" operator="equal">
      <formula>"Napkin Hs"</formula>
    </cfRule>
  </conditionalFormatting>
  <conditionalFormatting sqref="C64">
    <cfRule type="cellIs" dxfId="9302" priority="11471" stopIfTrue="1" operator="equal">
      <formula>"Towel"</formula>
    </cfRule>
    <cfRule type="cellIs" dxfId="9301" priority="11472" stopIfTrue="1" operator="equal">
      <formula>"Napkin Hs"</formula>
    </cfRule>
  </conditionalFormatting>
  <conditionalFormatting sqref="C64">
    <cfRule type="cellIs" dxfId="9300" priority="11473" stopIfTrue="1" operator="equal">
      <formula>"Towel"</formula>
    </cfRule>
  </conditionalFormatting>
  <conditionalFormatting sqref="C64">
    <cfRule type="cellIs" dxfId="9299" priority="11481" stopIfTrue="1" operator="equal">
      <formula>"Towel"</formula>
    </cfRule>
    <cfRule type="cellIs" dxfId="9298" priority="11482" stopIfTrue="1" operator="equal">
      <formula>"Napkin Hs"</formula>
    </cfRule>
  </conditionalFormatting>
  <conditionalFormatting sqref="C64">
    <cfRule type="cellIs" dxfId="9297" priority="11479" stopIfTrue="1" operator="equal">
      <formula>"Towel"</formula>
    </cfRule>
    <cfRule type="cellIs" dxfId="9296" priority="11480" stopIfTrue="1" operator="equal">
      <formula>"Napkin Hs"</formula>
    </cfRule>
  </conditionalFormatting>
  <conditionalFormatting sqref="C64">
    <cfRule type="cellIs" dxfId="9295" priority="11451" stopIfTrue="1" operator="equal">
      <formula>"Towel"</formula>
    </cfRule>
    <cfRule type="cellIs" dxfId="9294" priority="11452" stopIfTrue="1" operator="equal">
      <formula>"Napkin Hs"</formula>
    </cfRule>
  </conditionalFormatting>
  <conditionalFormatting sqref="C64">
    <cfRule type="cellIs" dxfId="9293" priority="11449" stopIfTrue="1" operator="equal">
      <formula>"Towel"</formula>
    </cfRule>
    <cfRule type="cellIs" dxfId="9292" priority="11450" stopIfTrue="1" operator="equal">
      <formula>"Napkin Hs"</formula>
    </cfRule>
  </conditionalFormatting>
  <conditionalFormatting sqref="C64">
    <cfRule type="cellIs" dxfId="9291" priority="11428" stopIfTrue="1" operator="equal">
      <formula>"Napkin Hs"</formula>
    </cfRule>
  </conditionalFormatting>
  <conditionalFormatting sqref="C64">
    <cfRule type="cellIs" dxfId="9290" priority="11427" stopIfTrue="1" operator="equal">
      <formula>"Towel"</formula>
    </cfRule>
  </conditionalFormatting>
  <conditionalFormatting sqref="C64">
    <cfRule type="cellIs" dxfId="9289" priority="11426" stopIfTrue="1" operator="equal">
      <formula>"Napkin Hs"</formula>
    </cfRule>
  </conditionalFormatting>
  <conditionalFormatting sqref="C64">
    <cfRule type="cellIs" dxfId="9288" priority="11425" stopIfTrue="1" operator="equal">
      <formula>"Towel"</formula>
    </cfRule>
  </conditionalFormatting>
  <conditionalFormatting sqref="C64">
    <cfRule type="cellIs" dxfId="9287" priority="11422" stopIfTrue="1" operator="equal">
      <formula>"Napkin Hs"</formula>
    </cfRule>
  </conditionalFormatting>
  <conditionalFormatting sqref="C64">
    <cfRule type="cellIs" dxfId="9286" priority="11421" stopIfTrue="1" operator="equal">
      <formula>"Towel"</formula>
    </cfRule>
  </conditionalFormatting>
  <conditionalFormatting sqref="C64">
    <cfRule type="cellIs" dxfId="9285" priority="11420" stopIfTrue="1" operator="equal">
      <formula>"Napkin Hs"</formula>
    </cfRule>
  </conditionalFormatting>
  <conditionalFormatting sqref="C64">
    <cfRule type="cellIs" dxfId="9284" priority="11419" stopIfTrue="1" operator="equal">
      <formula>"Towel"</formula>
    </cfRule>
  </conditionalFormatting>
  <conditionalFormatting sqref="C64">
    <cfRule type="cellIs" dxfId="9283" priority="11415" stopIfTrue="1" operator="equal">
      <formula>"Towel"</formula>
    </cfRule>
    <cfRule type="cellIs" dxfId="9282" priority="11416" stopIfTrue="1" operator="equal">
      <formula>"Napkin Hs"</formula>
    </cfRule>
  </conditionalFormatting>
  <conditionalFormatting sqref="C64">
    <cfRule type="cellIs" dxfId="9281" priority="11413" stopIfTrue="1" operator="equal">
      <formula>"Towel"</formula>
    </cfRule>
    <cfRule type="cellIs" dxfId="9280" priority="11414" stopIfTrue="1" operator="equal">
      <formula>"Napkin Hs"</formula>
    </cfRule>
  </conditionalFormatting>
  <conditionalFormatting sqref="C64">
    <cfRule type="cellIs" dxfId="9279" priority="11397" stopIfTrue="1" operator="equal">
      <formula>"Towel"</formula>
    </cfRule>
    <cfRule type="cellIs" dxfId="9278" priority="11398" stopIfTrue="1" operator="equal">
      <formula>"Napkin Hs"</formula>
    </cfRule>
  </conditionalFormatting>
  <conditionalFormatting sqref="C64">
    <cfRule type="cellIs" dxfId="9277" priority="11395" stopIfTrue="1" operator="equal">
      <formula>"Towel"</formula>
    </cfRule>
    <cfRule type="cellIs" dxfId="9276" priority="11396" stopIfTrue="1" operator="equal">
      <formula>"Napkin Hs"</formula>
    </cfRule>
  </conditionalFormatting>
  <conditionalFormatting sqref="B64:C64">
    <cfRule type="cellIs" dxfId="9275" priority="11356" stopIfTrue="1" operator="equal">
      <formula>"Napkin Hs"</formula>
    </cfRule>
  </conditionalFormatting>
  <conditionalFormatting sqref="B64:C64">
    <cfRule type="cellIs" dxfId="9274" priority="11355" stopIfTrue="1" operator="equal">
      <formula>"Towel"</formula>
    </cfRule>
  </conditionalFormatting>
  <conditionalFormatting sqref="C64">
    <cfRule type="cellIs" dxfId="9273" priority="11354" stopIfTrue="1" operator="equal">
      <formula>"Napkin Hs"</formula>
    </cfRule>
  </conditionalFormatting>
  <conditionalFormatting sqref="C64">
    <cfRule type="cellIs" dxfId="9272" priority="11351" stopIfTrue="1" operator="equal">
      <formula>"Towel"</formula>
    </cfRule>
    <cfRule type="cellIs" dxfId="9271" priority="11352" stopIfTrue="1" operator="equal">
      <formula>"Napkin Hs"</formula>
    </cfRule>
  </conditionalFormatting>
  <conditionalFormatting sqref="C64">
    <cfRule type="cellIs" dxfId="9270" priority="11353" stopIfTrue="1" operator="equal">
      <formula>"Towel"</formula>
    </cfRule>
  </conditionalFormatting>
  <conditionalFormatting sqref="B61:C61">
    <cfRule type="cellIs" dxfId="9269" priority="11350" stopIfTrue="1" operator="equal">
      <formula>"Napkin Hs"</formula>
    </cfRule>
  </conditionalFormatting>
  <conditionalFormatting sqref="B61:C61">
    <cfRule type="cellIs" dxfId="9268" priority="11349" stopIfTrue="1" operator="equal">
      <formula>"Towel"</formula>
    </cfRule>
  </conditionalFormatting>
  <conditionalFormatting sqref="C61">
    <cfRule type="cellIs" dxfId="9267" priority="11348" stopIfTrue="1" operator="equal">
      <formula>"Napkin Hs"</formula>
    </cfRule>
  </conditionalFormatting>
  <conditionalFormatting sqref="C61">
    <cfRule type="cellIs" dxfId="9266" priority="11347" stopIfTrue="1" operator="equal">
      <formula>"Towel"</formula>
    </cfRule>
  </conditionalFormatting>
  <conditionalFormatting sqref="C61">
    <cfRule type="cellIs" dxfId="9265" priority="11345" stopIfTrue="1" operator="equal">
      <formula>"Towel"</formula>
    </cfRule>
    <cfRule type="cellIs" dxfId="9264" priority="11346" stopIfTrue="1" operator="equal">
      <formula>"Napkin Hs"</formula>
    </cfRule>
  </conditionalFormatting>
  <conditionalFormatting sqref="C61">
    <cfRule type="cellIs" dxfId="9263" priority="11261" stopIfTrue="1" operator="equal">
      <formula>"Towel"</formula>
    </cfRule>
    <cfRule type="cellIs" dxfId="9262" priority="11262" stopIfTrue="1" operator="equal">
      <formula>"Napkin Hs"</formula>
    </cfRule>
  </conditionalFormatting>
  <conditionalFormatting sqref="C61">
    <cfRule type="cellIs" dxfId="9261" priority="11255" stopIfTrue="1" operator="equal">
      <formula>"Towel"</formula>
    </cfRule>
    <cfRule type="cellIs" dxfId="9260" priority="11256" stopIfTrue="1" operator="equal">
      <formula>"Napkin Hs"</formula>
    </cfRule>
  </conditionalFormatting>
  <conditionalFormatting sqref="C61">
    <cfRule type="cellIs" dxfId="9259" priority="11236" stopIfTrue="1" operator="equal">
      <formula>"Napkin Hs"</formula>
    </cfRule>
  </conditionalFormatting>
  <conditionalFormatting sqref="C61">
    <cfRule type="cellIs" dxfId="9258" priority="11235" stopIfTrue="1" operator="equal">
      <formula>"Towel"</formula>
    </cfRule>
  </conditionalFormatting>
  <conditionalFormatting sqref="C61">
    <cfRule type="cellIs" dxfId="9257" priority="11234" stopIfTrue="1" operator="equal">
      <formula>"Napkin Hs"</formula>
    </cfRule>
  </conditionalFormatting>
  <conditionalFormatting sqref="C61">
    <cfRule type="cellIs" dxfId="9256" priority="11231" stopIfTrue="1" operator="equal">
      <formula>"Towel"</formula>
    </cfRule>
    <cfRule type="cellIs" dxfId="9255" priority="11232" stopIfTrue="1" operator="equal">
      <formula>"Napkin Hs"</formula>
    </cfRule>
  </conditionalFormatting>
  <conditionalFormatting sqref="C61">
    <cfRule type="cellIs" dxfId="9254" priority="11233" stopIfTrue="1" operator="equal">
      <formula>"Towel"</formula>
    </cfRule>
  </conditionalFormatting>
  <conditionalFormatting sqref="C61">
    <cfRule type="cellIs" dxfId="9253" priority="11230" stopIfTrue="1" operator="equal">
      <formula>"Napkin Hs"</formula>
    </cfRule>
  </conditionalFormatting>
  <conditionalFormatting sqref="C61">
    <cfRule type="cellIs" dxfId="9252" priority="11229" stopIfTrue="1" operator="equal">
      <formula>"Towel"</formula>
    </cfRule>
  </conditionalFormatting>
  <conditionalFormatting sqref="C61">
    <cfRule type="cellIs" dxfId="9251" priority="11228" stopIfTrue="1" operator="equal">
      <formula>"Napkin Hs"</formula>
    </cfRule>
  </conditionalFormatting>
  <conditionalFormatting sqref="C61">
    <cfRule type="cellIs" dxfId="9250" priority="11225" stopIfTrue="1" operator="equal">
      <formula>"Towel"</formula>
    </cfRule>
    <cfRule type="cellIs" dxfId="9249" priority="11226" stopIfTrue="1" operator="equal">
      <formula>"Napkin Hs"</formula>
    </cfRule>
  </conditionalFormatting>
  <conditionalFormatting sqref="C61">
    <cfRule type="cellIs" dxfId="9248" priority="11227" stopIfTrue="1" operator="equal">
      <formula>"Towel"</formula>
    </cfRule>
  </conditionalFormatting>
  <conditionalFormatting sqref="C61">
    <cfRule type="cellIs" dxfId="9247" priority="11331" stopIfTrue="1" operator="equal">
      <formula>"Towel"</formula>
    </cfRule>
    <cfRule type="cellIs" dxfId="9246" priority="11332" stopIfTrue="1" operator="equal">
      <formula>"Napkin Hs"</formula>
    </cfRule>
  </conditionalFormatting>
  <conditionalFormatting sqref="C61">
    <cfRule type="cellIs" dxfId="9245" priority="11329" stopIfTrue="1" operator="equal">
      <formula>"Towel"</formula>
    </cfRule>
    <cfRule type="cellIs" dxfId="9244" priority="11330" stopIfTrue="1" operator="equal">
      <formula>"Napkin Hs"</formula>
    </cfRule>
  </conditionalFormatting>
  <conditionalFormatting sqref="C61">
    <cfRule type="cellIs" dxfId="9243" priority="11327" stopIfTrue="1" operator="equal">
      <formula>"Towel"</formula>
    </cfRule>
    <cfRule type="cellIs" dxfId="9242" priority="11328" stopIfTrue="1" operator="equal">
      <formula>"Napkin Hs"</formula>
    </cfRule>
  </conditionalFormatting>
  <conditionalFormatting sqref="C61">
    <cfRule type="cellIs" dxfId="9241" priority="11326" stopIfTrue="1" operator="equal">
      <formula>"Napkin Hs"</formula>
    </cfRule>
  </conditionalFormatting>
  <conditionalFormatting sqref="C61">
    <cfRule type="cellIs" dxfId="9240" priority="11325" stopIfTrue="1" operator="equal">
      <formula>"Towel"</formula>
    </cfRule>
  </conditionalFormatting>
  <conditionalFormatting sqref="C61">
    <cfRule type="cellIs" dxfId="9239" priority="11324" stopIfTrue="1" operator="equal">
      <formula>"Napkin Hs"</formula>
    </cfRule>
  </conditionalFormatting>
  <conditionalFormatting sqref="C61">
    <cfRule type="cellIs" dxfId="9238" priority="11323" stopIfTrue="1" operator="equal">
      <formula>"Towel"</formula>
    </cfRule>
  </conditionalFormatting>
  <conditionalFormatting sqref="C61">
    <cfRule type="cellIs" dxfId="9237" priority="11321" stopIfTrue="1" operator="equal">
      <formula>"Towel"</formula>
    </cfRule>
    <cfRule type="cellIs" dxfId="9236" priority="11322" stopIfTrue="1" operator="equal">
      <formula>"Napkin Hs"</formula>
    </cfRule>
  </conditionalFormatting>
  <conditionalFormatting sqref="C61">
    <cfRule type="cellIs" dxfId="9235" priority="11319" stopIfTrue="1" operator="equal">
      <formula>"Towel"</formula>
    </cfRule>
    <cfRule type="cellIs" dxfId="9234" priority="11320" stopIfTrue="1" operator="equal">
      <formula>"Napkin Hs"</formula>
    </cfRule>
  </conditionalFormatting>
  <conditionalFormatting sqref="C61">
    <cfRule type="cellIs" dxfId="9233" priority="11315" stopIfTrue="1" operator="equal">
      <formula>"Towel"</formula>
    </cfRule>
    <cfRule type="cellIs" dxfId="9232" priority="11316" stopIfTrue="1" operator="equal">
      <formula>"Napkin Hs"</formula>
    </cfRule>
  </conditionalFormatting>
  <conditionalFormatting sqref="C61">
    <cfRule type="cellIs" dxfId="9231" priority="11317" stopIfTrue="1" operator="equal">
      <formula>"Towel"</formula>
    </cfRule>
    <cfRule type="cellIs" dxfId="9230" priority="11318" stopIfTrue="1" operator="equal">
      <formula>"Napkin Hs"</formula>
    </cfRule>
  </conditionalFormatting>
  <conditionalFormatting sqref="C61">
    <cfRule type="cellIs" dxfId="9229" priority="11309" stopIfTrue="1" operator="equal">
      <formula>"Towel"</formula>
    </cfRule>
    <cfRule type="cellIs" dxfId="9228" priority="11310" stopIfTrue="1" operator="equal">
      <formula>"Napkin Hs"</formula>
    </cfRule>
  </conditionalFormatting>
  <conditionalFormatting sqref="C61">
    <cfRule type="cellIs" dxfId="9227" priority="11307" stopIfTrue="1" operator="equal">
      <formula>"Towel"</formula>
    </cfRule>
    <cfRule type="cellIs" dxfId="9226" priority="11308" stopIfTrue="1" operator="equal">
      <formula>"Napkin Hs"</formula>
    </cfRule>
  </conditionalFormatting>
  <conditionalFormatting sqref="C61">
    <cfRule type="cellIs" dxfId="9225" priority="11305" stopIfTrue="1" operator="equal">
      <formula>"Towel"</formula>
    </cfRule>
    <cfRule type="cellIs" dxfId="9224" priority="11306" stopIfTrue="1" operator="equal">
      <formula>"Napkin Hs"</formula>
    </cfRule>
  </conditionalFormatting>
  <conditionalFormatting sqref="C61">
    <cfRule type="cellIs" dxfId="9223" priority="11303" stopIfTrue="1" operator="equal">
      <formula>"Towel"</formula>
    </cfRule>
    <cfRule type="cellIs" dxfId="9222" priority="11304" stopIfTrue="1" operator="equal">
      <formula>"Napkin Hs"</formula>
    </cfRule>
  </conditionalFormatting>
  <conditionalFormatting sqref="C61">
    <cfRule type="cellIs" dxfId="9221" priority="11301" stopIfTrue="1" operator="equal">
      <formula>"Towel"</formula>
    </cfRule>
    <cfRule type="cellIs" dxfId="9220" priority="11302" stopIfTrue="1" operator="equal">
      <formula>"Napkin Hs"</formula>
    </cfRule>
  </conditionalFormatting>
  <conditionalFormatting sqref="C61">
    <cfRule type="cellIs" dxfId="9219" priority="11299" stopIfTrue="1" operator="equal">
      <formula>"Towel"</formula>
    </cfRule>
    <cfRule type="cellIs" dxfId="9218" priority="11300" stopIfTrue="1" operator="equal">
      <formula>"Napkin Hs"</formula>
    </cfRule>
  </conditionalFormatting>
  <conditionalFormatting sqref="C61">
    <cfRule type="cellIs" dxfId="9217" priority="11297" stopIfTrue="1" operator="equal">
      <formula>"Towel"</formula>
    </cfRule>
    <cfRule type="cellIs" dxfId="9216" priority="11298" stopIfTrue="1" operator="equal">
      <formula>"Napkin Hs"</formula>
    </cfRule>
  </conditionalFormatting>
  <conditionalFormatting sqref="C61">
    <cfRule type="cellIs" dxfId="9215" priority="11295" stopIfTrue="1" operator="equal">
      <formula>"Towel"</formula>
    </cfRule>
    <cfRule type="cellIs" dxfId="9214" priority="11296" stopIfTrue="1" operator="equal">
      <formula>"Napkin Hs"</formula>
    </cfRule>
  </conditionalFormatting>
  <conditionalFormatting sqref="C61">
    <cfRule type="cellIs" dxfId="9213" priority="11293" stopIfTrue="1" operator="equal">
      <formula>"Towel"</formula>
    </cfRule>
    <cfRule type="cellIs" dxfId="9212" priority="11294" stopIfTrue="1" operator="equal">
      <formula>"Napkin Hs"</formula>
    </cfRule>
  </conditionalFormatting>
  <conditionalFormatting sqref="C61">
    <cfRule type="cellIs" dxfId="9211" priority="11291" stopIfTrue="1" operator="equal">
      <formula>"Towel"</formula>
    </cfRule>
    <cfRule type="cellIs" dxfId="9210" priority="11292" stopIfTrue="1" operator="equal">
      <formula>"Napkin Hs"</formula>
    </cfRule>
  </conditionalFormatting>
  <conditionalFormatting sqref="C61">
    <cfRule type="cellIs" dxfId="9209" priority="11285" stopIfTrue="1" operator="equal">
      <formula>"Towel"</formula>
    </cfRule>
    <cfRule type="cellIs" dxfId="9208" priority="11286" stopIfTrue="1" operator="equal">
      <formula>"Napkin Hs"</formula>
    </cfRule>
  </conditionalFormatting>
  <conditionalFormatting sqref="C61">
    <cfRule type="cellIs" dxfId="9207" priority="11279" stopIfTrue="1" operator="equal">
      <formula>"Towel"</formula>
    </cfRule>
    <cfRule type="cellIs" dxfId="9206" priority="11280" stopIfTrue="1" operator="equal">
      <formula>"Napkin Hs"</formula>
    </cfRule>
  </conditionalFormatting>
  <conditionalFormatting sqref="C61">
    <cfRule type="cellIs" dxfId="9205" priority="11273" stopIfTrue="1" operator="equal">
      <formula>"Towel"</formula>
    </cfRule>
    <cfRule type="cellIs" dxfId="9204" priority="11274" stopIfTrue="1" operator="equal">
      <formula>"Napkin Hs"</formula>
    </cfRule>
  </conditionalFormatting>
  <conditionalFormatting sqref="C61">
    <cfRule type="cellIs" dxfId="9203" priority="11272" stopIfTrue="1" operator="equal">
      <formula>"Napkin Hs"</formula>
    </cfRule>
  </conditionalFormatting>
  <conditionalFormatting sqref="C61">
    <cfRule type="cellIs" dxfId="9202" priority="11271" stopIfTrue="1" operator="equal">
      <formula>"Towel"</formula>
    </cfRule>
  </conditionalFormatting>
  <conditionalFormatting sqref="C61">
    <cfRule type="cellIs" dxfId="9201" priority="11270" stopIfTrue="1" operator="equal">
      <formula>"Napkin Hs"</formula>
    </cfRule>
  </conditionalFormatting>
  <conditionalFormatting sqref="C61">
    <cfRule type="cellIs" dxfId="9200" priority="11269" stopIfTrue="1" operator="equal">
      <formula>"Towel"</formula>
    </cfRule>
  </conditionalFormatting>
  <conditionalFormatting sqref="C61">
    <cfRule type="cellIs" dxfId="9199" priority="11267" stopIfTrue="1" operator="equal">
      <formula>"Towel"</formula>
    </cfRule>
    <cfRule type="cellIs" dxfId="9198" priority="11268" stopIfTrue="1" operator="equal">
      <formula>"Napkin Hs"</formula>
    </cfRule>
  </conditionalFormatting>
  <conditionalFormatting sqref="C61">
    <cfRule type="cellIs" dxfId="9197" priority="11265" stopIfTrue="1" operator="equal">
      <formula>"Towel"</formula>
    </cfRule>
    <cfRule type="cellIs" dxfId="9196" priority="11266" stopIfTrue="1" operator="equal">
      <formula>"Napkin Hs"</formula>
    </cfRule>
  </conditionalFormatting>
  <conditionalFormatting sqref="C61">
    <cfRule type="cellIs" dxfId="9195" priority="11263" stopIfTrue="1" operator="equal">
      <formula>"Towel"</formula>
    </cfRule>
    <cfRule type="cellIs" dxfId="9194" priority="11264" stopIfTrue="1" operator="equal">
      <formula>"Napkin Hs"</formula>
    </cfRule>
  </conditionalFormatting>
  <conditionalFormatting sqref="C61">
    <cfRule type="cellIs" dxfId="9193" priority="11253" stopIfTrue="1" operator="equal">
      <formula>"Towel"</formula>
    </cfRule>
    <cfRule type="cellIs" dxfId="9192" priority="11254" stopIfTrue="1" operator="equal">
      <formula>"Napkin Hs"</formula>
    </cfRule>
  </conditionalFormatting>
  <conditionalFormatting sqref="C61">
    <cfRule type="cellIs" dxfId="9191" priority="11251" stopIfTrue="1" operator="equal">
      <formula>"Towel"</formula>
    </cfRule>
    <cfRule type="cellIs" dxfId="9190" priority="11252" stopIfTrue="1" operator="equal">
      <formula>"Napkin Hs"</formula>
    </cfRule>
  </conditionalFormatting>
  <conditionalFormatting sqref="C61">
    <cfRule type="cellIs" dxfId="9189" priority="11249" stopIfTrue="1" operator="equal">
      <formula>"Towel"</formula>
    </cfRule>
    <cfRule type="cellIs" dxfId="9188" priority="11250" stopIfTrue="1" operator="equal">
      <formula>"Napkin Hs"</formula>
    </cfRule>
  </conditionalFormatting>
  <conditionalFormatting sqref="C61">
    <cfRule type="cellIs" dxfId="9187" priority="11247" stopIfTrue="1" operator="equal">
      <formula>"Towel"</formula>
    </cfRule>
    <cfRule type="cellIs" dxfId="9186" priority="11248" stopIfTrue="1" operator="equal">
      <formula>"Napkin Hs"</formula>
    </cfRule>
  </conditionalFormatting>
  <conditionalFormatting sqref="C61">
    <cfRule type="cellIs" dxfId="9185" priority="11245" stopIfTrue="1" operator="equal">
      <formula>"Towel"</formula>
    </cfRule>
    <cfRule type="cellIs" dxfId="9184" priority="11246" stopIfTrue="1" operator="equal">
      <formula>"Napkin Hs"</formula>
    </cfRule>
  </conditionalFormatting>
  <conditionalFormatting sqref="C61">
    <cfRule type="cellIs" dxfId="9183" priority="11243" stopIfTrue="1" operator="equal">
      <formula>"Towel"</formula>
    </cfRule>
    <cfRule type="cellIs" dxfId="9182" priority="11244" stopIfTrue="1" operator="equal">
      <formula>"Napkin Hs"</formula>
    </cfRule>
  </conditionalFormatting>
  <conditionalFormatting sqref="C61">
    <cfRule type="cellIs" dxfId="9181" priority="11241" stopIfTrue="1" operator="equal">
      <formula>"Towel"</formula>
    </cfRule>
    <cfRule type="cellIs" dxfId="9180" priority="11242" stopIfTrue="1" operator="equal">
      <formula>"Napkin Hs"</formula>
    </cfRule>
  </conditionalFormatting>
  <conditionalFormatting sqref="C61">
    <cfRule type="cellIs" dxfId="9179" priority="11239" stopIfTrue="1" operator="equal">
      <formula>"Towel"</formula>
    </cfRule>
    <cfRule type="cellIs" dxfId="9178" priority="11240" stopIfTrue="1" operator="equal">
      <formula>"Napkin Hs"</formula>
    </cfRule>
  </conditionalFormatting>
  <conditionalFormatting sqref="C61">
    <cfRule type="cellIs" dxfId="9177" priority="11237" stopIfTrue="1" operator="equal">
      <formula>"Towel"</formula>
    </cfRule>
    <cfRule type="cellIs" dxfId="9176" priority="11238" stopIfTrue="1" operator="equal">
      <formula>"Napkin Hs"</formula>
    </cfRule>
  </conditionalFormatting>
  <conditionalFormatting sqref="C61">
    <cfRule type="cellIs" dxfId="9175" priority="11224" stopIfTrue="1" operator="equal">
      <formula>"Napkin Hs"</formula>
    </cfRule>
  </conditionalFormatting>
  <conditionalFormatting sqref="C61">
    <cfRule type="cellIs" dxfId="9174" priority="11223" stopIfTrue="1" operator="equal">
      <formula>"Towel"</formula>
    </cfRule>
  </conditionalFormatting>
  <conditionalFormatting sqref="C61">
    <cfRule type="cellIs" dxfId="9173" priority="11222" stopIfTrue="1" operator="equal">
      <formula>"Napkin Hs"</formula>
    </cfRule>
  </conditionalFormatting>
  <conditionalFormatting sqref="C61">
    <cfRule type="cellIs" dxfId="9172" priority="11219" stopIfTrue="1" operator="equal">
      <formula>"Towel"</formula>
    </cfRule>
    <cfRule type="cellIs" dxfId="9171" priority="11220" stopIfTrue="1" operator="equal">
      <formula>"Napkin Hs"</formula>
    </cfRule>
  </conditionalFormatting>
  <conditionalFormatting sqref="C61">
    <cfRule type="cellIs" dxfId="9170" priority="11221" stopIfTrue="1" operator="equal">
      <formula>"Towel"</formula>
    </cfRule>
  </conditionalFormatting>
  <conditionalFormatting sqref="C61">
    <cfRule type="cellIs" dxfId="9169" priority="11339" stopIfTrue="1" operator="equal">
      <formula>"Towel"</formula>
    </cfRule>
    <cfRule type="cellIs" dxfId="9168" priority="11340" stopIfTrue="1" operator="equal">
      <formula>"Napkin Hs"</formula>
    </cfRule>
  </conditionalFormatting>
  <conditionalFormatting sqref="C61">
    <cfRule type="cellIs" dxfId="9167" priority="11338" stopIfTrue="1" operator="equal">
      <formula>"Napkin Hs"</formula>
    </cfRule>
  </conditionalFormatting>
  <conditionalFormatting sqref="C61">
    <cfRule type="cellIs" dxfId="9166" priority="11337" stopIfTrue="1" operator="equal">
      <formula>"Towel"</formula>
    </cfRule>
  </conditionalFormatting>
  <conditionalFormatting sqref="C61">
    <cfRule type="cellIs" dxfId="9165" priority="11336" stopIfTrue="1" operator="equal">
      <formula>"Napkin Hs"</formula>
    </cfRule>
  </conditionalFormatting>
  <conditionalFormatting sqref="C61">
    <cfRule type="cellIs" dxfId="9164" priority="11333" stopIfTrue="1" operator="equal">
      <formula>"Towel"</formula>
    </cfRule>
    <cfRule type="cellIs" dxfId="9163" priority="11334" stopIfTrue="1" operator="equal">
      <formula>"Napkin Hs"</formula>
    </cfRule>
  </conditionalFormatting>
  <conditionalFormatting sqref="C61">
    <cfRule type="cellIs" dxfId="9162" priority="11335" stopIfTrue="1" operator="equal">
      <formula>"Towel"</formula>
    </cfRule>
  </conditionalFormatting>
  <conditionalFormatting sqref="C61">
    <cfRule type="cellIs" dxfId="9161" priority="11343" stopIfTrue="1" operator="equal">
      <formula>"Towel"</formula>
    </cfRule>
    <cfRule type="cellIs" dxfId="9160" priority="11344" stopIfTrue="1" operator="equal">
      <formula>"Napkin Hs"</formula>
    </cfRule>
  </conditionalFormatting>
  <conditionalFormatting sqref="C61">
    <cfRule type="cellIs" dxfId="9159" priority="11341" stopIfTrue="1" operator="equal">
      <formula>"Towel"</formula>
    </cfRule>
    <cfRule type="cellIs" dxfId="9158" priority="11342" stopIfTrue="1" operator="equal">
      <formula>"Napkin Hs"</formula>
    </cfRule>
  </conditionalFormatting>
  <conditionalFormatting sqref="C61">
    <cfRule type="cellIs" dxfId="9157" priority="11313" stopIfTrue="1" operator="equal">
      <formula>"Towel"</formula>
    </cfRule>
    <cfRule type="cellIs" dxfId="9156" priority="11314" stopIfTrue="1" operator="equal">
      <formula>"Napkin Hs"</formula>
    </cfRule>
  </conditionalFormatting>
  <conditionalFormatting sqref="C61">
    <cfRule type="cellIs" dxfId="9155" priority="11311" stopIfTrue="1" operator="equal">
      <formula>"Towel"</formula>
    </cfRule>
    <cfRule type="cellIs" dxfId="9154" priority="11312" stopIfTrue="1" operator="equal">
      <formula>"Napkin Hs"</formula>
    </cfRule>
  </conditionalFormatting>
  <conditionalFormatting sqref="C61">
    <cfRule type="cellIs" dxfId="9153" priority="11290" stopIfTrue="1" operator="equal">
      <formula>"Napkin Hs"</formula>
    </cfRule>
  </conditionalFormatting>
  <conditionalFormatting sqref="C61">
    <cfRule type="cellIs" dxfId="9152" priority="11289" stopIfTrue="1" operator="equal">
      <formula>"Towel"</formula>
    </cfRule>
  </conditionalFormatting>
  <conditionalFormatting sqref="C61">
    <cfRule type="cellIs" dxfId="9151" priority="11288" stopIfTrue="1" operator="equal">
      <formula>"Napkin Hs"</formula>
    </cfRule>
  </conditionalFormatting>
  <conditionalFormatting sqref="C61">
    <cfRule type="cellIs" dxfId="9150" priority="11287" stopIfTrue="1" operator="equal">
      <formula>"Towel"</formula>
    </cfRule>
  </conditionalFormatting>
  <conditionalFormatting sqref="C61">
    <cfRule type="cellIs" dxfId="9149" priority="11284" stopIfTrue="1" operator="equal">
      <formula>"Napkin Hs"</formula>
    </cfRule>
  </conditionalFormatting>
  <conditionalFormatting sqref="C61">
    <cfRule type="cellIs" dxfId="9148" priority="11283" stopIfTrue="1" operator="equal">
      <formula>"Towel"</formula>
    </cfRule>
  </conditionalFormatting>
  <conditionalFormatting sqref="C61">
    <cfRule type="cellIs" dxfId="9147" priority="11282" stopIfTrue="1" operator="equal">
      <formula>"Napkin Hs"</formula>
    </cfRule>
  </conditionalFormatting>
  <conditionalFormatting sqref="C61">
    <cfRule type="cellIs" dxfId="9146" priority="11281" stopIfTrue="1" operator="equal">
      <formula>"Towel"</formula>
    </cfRule>
  </conditionalFormatting>
  <conditionalFormatting sqref="C61">
    <cfRule type="cellIs" dxfId="9145" priority="11277" stopIfTrue="1" operator="equal">
      <formula>"Towel"</formula>
    </cfRule>
    <cfRule type="cellIs" dxfId="9144" priority="11278" stopIfTrue="1" operator="equal">
      <formula>"Napkin Hs"</formula>
    </cfRule>
  </conditionalFormatting>
  <conditionalFormatting sqref="C61">
    <cfRule type="cellIs" dxfId="9143" priority="11275" stopIfTrue="1" operator="equal">
      <formula>"Towel"</formula>
    </cfRule>
    <cfRule type="cellIs" dxfId="9142" priority="11276" stopIfTrue="1" operator="equal">
      <formula>"Napkin Hs"</formula>
    </cfRule>
  </conditionalFormatting>
  <conditionalFormatting sqref="C61">
    <cfRule type="cellIs" dxfId="9141" priority="11259" stopIfTrue="1" operator="equal">
      <formula>"Towel"</formula>
    </cfRule>
    <cfRule type="cellIs" dxfId="9140" priority="11260" stopIfTrue="1" operator="equal">
      <formula>"Napkin Hs"</formula>
    </cfRule>
  </conditionalFormatting>
  <conditionalFormatting sqref="C61">
    <cfRule type="cellIs" dxfId="9139" priority="11257" stopIfTrue="1" operator="equal">
      <formula>"Towel"</formula>
    </cfRule>
    <cfRule type="cellIs" dxfId="9138" priority="11258" stopIfTrue="1" operator="equal">
      <formula>"Napkin Hs"</formula>
    </cfRule>
  </conditionalFormatting>
  <conditionalFormatting sqref="B61:C61">
    <cfRule type="cellIs" dxfId="9137" priority="11218" stopIfTrue="1" operator="equal">
      <formula>"Napkin Hs"</formula>
    </cfRule>
  </conditionalFormatting>
  <conditionalFormatting sqref="B61:C61">
    <cfRule type="cellIs" dxfId="9136" priority="11217" stopIfTrue="1" operator="equal">
      <formula>"Towel"</formula>
    </cfRule>
  </conditionalFormatting>
  <conditionalFormatting sqref="C61">
    <cfRule type="cellIs" dxfId="9135" priority="11216" stopIfTrue="1" operator="equal">
      <formula>"Napkin Hs"</formula>
    </cfRule>
  </conditionalFormatting>
  <conditionalFormatting sqref="C61">
    <cfRule type="cellIs" dxfId="9134" priority="11213" stopIfTrue="1" operator="equal">
      <formula>"Towel"</formula>
    </cfRule>
    <cfRule type="cellIs" dxfId="9133" priority="11214" stopIfTrue="1" operator="equal">
      <formula>"Napkin Hs"</formula>
    </cfRule>
  </conditionalFormatting>
  <conditionalFormatting sqref="C61">
    <cfRule type="cellIs" dxfId="9132" priority="11215" stopIfTrue="1" operator="equal">
      <formula>"Towel"</formula>
    </cfRule>
  </conditionalFormatting>
  <conditionalFormatting sqref="B66:C66">
    <cfRule type="cellIs" dxfId="9131" priority="11209" stopIfTrue="1" operator="equal">
      <formula>"Towel"</formula>
    </cfRule>
    <cfRule type="cellIs" dxfId="9130" priority="11210" stopIfTrue="1" operator="equal">
      <formula>"Napkin Hs"</formula>
    </cfRule>
  </conditionalFormatting>
  <conditionalFormatting sqref="C66">
    <cfRule type="cellIs" dxfId="9129" priority="11211" stopIfTrue="1" operator="equal">
      <formula>"Towel"</formula>
    </cfRule>
    <cfRule type="cellIs" dxfId="9128" priority="11212" stopIfTrue="1" operator="equal">
      <formula>"Napkin Hs"</formula>
    </cfRule>
  </conditionalFormatting>
  <conditionalFormatting sqref="C66">
    <cfRule type="cellIs" dxfId="9127" priority="11207" stopIfTrue="1" operator="equal">
      <formula>"Towel"</formula>
    </cfRule>
    <cfRule type="cellIs" dxfId="9126" priority="11208" stopIfTrue="1" operator="equal">
      <formula>"Napkin Hs"</formula>
    </cfRule>
  </conditionalFormatting>
  <conditionalFormatting sqref="B65:C65">
    <cfRule type="cellIs" dxfId="9125" priority="11199" stopIfTrue="1" operator="equal">
      <formula>"Towel"</formula>
    </cfRule>
    <cfRule type="cellIs" dxfId="9124" priority="11200" stopIfTrue="1" operator="equal">
      <formula>"Napkin Hs"</formula>
    </cfRule>
  </conditionalFormatting>
  <conditionalFormatting sqref="C65">
    <cfRule type="cellIs" dxfId="9123" priority="11195" stopIfTrue="1" operator="equal">
      <formula>"Towel"</formula>
    </cfRule>
    <cfRule type="cellIs" dxfId="9122" priority="11196" stopIfTrue="1" operator="equal">
      <formula>"Napkin Hs"</formula>
    </cfRule>
  </conditionalFormatting>
  <conditionalFormatting sqref="C65">
    <cfRule type="cellIs" dxfId="9121" priority="11197" stopIfTrue="1" operator="equal">
      <formula>"Towel"</formula>
    </cfRule>
    <cfRule type="cellIs" dxfId="9120" priority="11198" stopIfTrue="1" operator="equal">
      <formula>"Napkin Hs"</formula>
    </cfRule>
  </conditionalFormatting>
  <conditionalFormatting sqref="B65:C65">
    <cfRule type="cellIs" dxfId="9119" priority="11193" stopIfTrue="1" operator="equal">
      <formula>"Towel"</formula>
    </cfRule>
    <cfRule type="cellIs" dxfId="9118" priority="11194" stopIfTrue="1" operator="equal">
      <formula>"Napkin Hs"</formula>
    </cfRule>
  </conditionalFormatting>
  <conditionalFormatting sqref="C65">
    <cfRule type="cellIs" dxfId="9117" priority="11189" stopIfTrue="1" operator="equal">
      <formula>"Towel"</formula>
    </cfRule>
    <cfRule type="cellIs" dxfId="9116" priority="11190" stopIfTrue="1" operator="equal">
      <formula>"Napkin Hs"</formula>
    </cfRule>
  </conditionalFormatting>
  <conditionalFormatting sqref="C65">
    <cfRule type="cellIs" dxfId="9115" priority="11191" stopIfTrue="1" operator="equal">
      <formula>"Towel"</formula>
    </cfRule>
    <cfRule type="cellIs" dxfId="9114" priority="11192" stopIfTrue="1" operator="equal">
      <formula>"Napkin Hs"</formula>
    </cfRule>
  </conditionalFormatting>
  <conditionalFormatting sqref="B65:C65">
    <cfRule type="cellIs" dxfId="9113" priority="11187" stopIfTrue="1" operator="equal">
      <formula>"Towel"</formula>
    </cfRule>
    <cfRule type="cellIs" dxfId="9112" priority="11188" stopIfTrue="1" operator="equal">
      <formula>"Napkin Hs"</formula>
    </cfRule>
  </conditionalFormatting>
  <conditionalFormatting sqref="C65">
    <cfRule type="cellIs" dxfId="9111" priority="11185" stopIfTrue="1" operator="equal">
      <formula>"Towel"</formula>
    </cfRule>
    <cfRule type="cellIs" dxfId="9110" priority="11186" stopIfTrue="1" operator="equal">
      <formula>"Napkin Hs"</formula>
    </cfRule>
  </conditionalFormatting>
  <conditionalFormatting sqref="C65">
    <cfRule type="cellIs" dxfId="9109" priority="11183" stopIfTrue="1" operator="equal">
      <formula>"Towel"</formula>
    </cfRule>
    <cfRule type="cellIs" dxfId="9108" priority="11184" stopIfTrue="1" operator="equal">
      <formula>"Napkin Hs"</formula>
    </cfRule>
  </conditionalFormatting>
  <conditionalFormatting sqref="B65:C65">
    <cfRule type="cellIs" dxfId="9107" priority="11181" stopIfTrue="1" operator="equal">
      <formula>"Towel"</formula>
    </cfRule>
    <cfRule type="cellIs" dxfId="9106" priority="11182" stopIfTrue="1" operator="equal">
      <formula>"Napkin Hs"</formula>
    </cfRule>
  </conditionalFormatting>
  <conditionalFormatting sqref="C65">
    <cfRule type="cellIs" dxfId="9105" priority="11179" stopIfTrue="1" operator="equal">
      <formula>"Towel"</formula>
    </cfRule>
    <cfRule type="cellIs" dxfId="9104" priority="11180" stopIfTrue="1" operator="equal">
      <formula>"Napkin Hs"</formula>
    </cfRule>
  </conditionalFormatting>
  <conditionalFormatting sqref="C65">
    <cfRule type="cellIs" dxfId="9103" priority="11177" stopIfTrue="1" operator="equal">
      <formula>"Towel"</formula>
    </cfRule>
    <cfRule type="cellIs" dxfId="9102" priority="11178" stopIfTrue="1" operator="equal">
      <formula>"Napkin Hs"</formula>
    </cfRule>
  </conditionalFormatting>
  <conditionalFormatting sqref="B65:C65">
    <cfRule type="cellIs" dxfId="9101" priority="11175" stopIfTrue="1" operator="equal">
      <formula>"Towel"</formula>
    </cfRule>
    <cfRule type="cellIs" dxfId="9100" priority="11176" stopIfTrue="1" operator="equal">
      <formula>"Napkin Hs"</formula>
    </cfRule>
  </conditionalFormatting>
  <conditionalFormatting sqref="C65">
    <cfRule type="cellIs" dxfId="9099" priority="11173" stopIfTrue="1" operator="equal">
      <formula>"Towel"</formula>
    </cfRule>
    <cfRule type="cellIs" dxfId="9098" priority="11174" stopIfTrue="1" operator="equal">
      <formula>"Napkin Hs"</formula>
    </cfRule>
  </conditionalFormatting>
  <conditionalFormatting sqref="C65">
    <cfRule type="cellIs" dxfId="9097" priority="11171" stopIfTrue="1" operator="equal">
      <formula>"Towel"</formula>
    </cfRule>
    <cfRule type="cellIs" dxfId="9096" priority="11172" stopIfTrue="1" operator="equal">
      <formula>"Napkin Hs"</formula>
    </cfRule>
  </conditionalFormatting>
  <conditionalFormatting sqref="B65:C65">
    <cfRule type="cellIs" dxfId="9095" priority="11170" stopIfTrue="1" operator="equal">
      <formula>"Napkin Hs"</formula>
    </cfRule>
  </conditionalFormatting>
  <conditionalFormatting sqref="B65:C65">
    <cfRule type="cellIs" dxfId="9094" priority="11169" stopIfTrue="1" operator="equal">
      <formula>"Towel"</formula>
    </cfRule>
  </conditionalFormatting>
  <conditionalFormatting sqref="C65">
    <cfRule type="cellIs" dxfId="9093" priority="11168" stopIfTrue="1" operator="equal">
      <formula>"Napkin Hs"</formula>
    </cfRule>
  </conditionalFormatting>
  <conditionalFormatting sqref="C65">
    <cfRule type="cellIs" dxfId="9092" priority="11165" stopIfTrue="1" operator="equal">
      <formula>"Towel"</formula>
    </cfRule>
    <cfRule type="cellIs" dxfId="9091" priority="11166" stopIfTrue="1" operator="equal">
      <formula>"Napkin Hs"</formula>
    </cfRule>
  </conditionalFormatting>
  <conditionalFormatting sqref="C65">
    <cfRule type="cellIs" dxfId="9090" priority="11167" stopIfTrue="1" operator="equal">
      <formula>"Towel"</formula>
    </cfRule>
  </conditionalFormatting>
  <conditionalFormatting sqref="C68">
    <cfRule type="cellIs" dxfId="9089" priority="11095" stopIfTrue="1" operator="equal">
      <formula>"Towel"</formula>
    </cfRule>
    <cfRule type="cellIs" dxfId="9088" priority="11096" stopIfTrue="1" operator="equal">
      <formula>"Napkin Hs"</formula>
    </cfRule>
  </conditionalFormatting>
  <conditionalFormatting sqref="B68:C68">
    <cfRule type="cellIs" dxfId="9087" priority="11093" stopIfTrue="1" operator="equal">
      <formula>"Towel"</formula>
    </cfRule>
    <cfRule type="cellIs" dxfId="9086" priority="11094" stopIfTrue="1" operator="equal">
      <formula>"Napkin Hs"</formula>
    </cfRule>
  </conditionalFormatting>
  <conditionalFormatting sqref="C68">
    <cfRule type="cellIs" dxfId="9085" priority="11091" stopIfTrue="1" operator="equal">
      <formula>"Towel"</formula>
    </cfRule>
    <cfRule type="cellIs" dxfId="9084" priority="11092" stopIfTrue="1" operator="equal">
      <formula>"Napkin Hs"</formula>
    </cfRule>
  </conditionalFormatting>
  <conditionalFormatting sqref="C68">
    <cfRule type="cellIs" dxfId="9083" priority="11083" stopIfTrue="1" operator="equal">
      <formula>"Towel"</formula>
    </cfRule>
    <cfRule type="cellIs" dxfId="9082" priority="11084" stopIfTrue="1" operator="equal">
      <formula>"Napkin Hs"</formula>
    </cfRule>
  </conditionalFormatting>
  <conditionalFormatting sqref="B68:C68">
    <cfRule type="cellIs" dxfId="9081" priority="11159" stopIfTrue="1" operator="equal">
      <formula>"Towel"</formula>
    </cfRule>
    <cfRule type="cellIs" dxfId="9080" priority="11160" stopIfTrue="1" operator="equal">
      <formula>"Napkin Hs"</formula>
    </cfRule>
  </conditionalFormatting>
  <conditionalFormatting sqref="C68">
    <cfRule type="cellIs" dxfId="9079" priority="11155" stopIfTrue="1" operator="equal">
      <formula>"Towel"</formula>
    </cfRule>
    <cfRule type="cellIs" dxfId="9078" priority="11156" stopIfTrue="1" operator="equal">
      <formula>"Napkin Hs"</formula>
    </cfRule>
  </conditionalFormatting>
  <conditionalFormatting sqref="C68">
    <cfRule type="cellIs" dxfId="9077" priority="11157" stopIfTrue="1" operator="equal">
      <formula>"Towel"</formula>
    </cfRule>
    <cfRule type="cellIs" dxfId="9076" priority="11158" stopIfTrue="1" operator="equal">
      <formula>"Napkin Hs"</formula>
    </cfRule>
  </conditionalFormatting>
  <conditionalFormatting sqref="B68:C68">
    <cfRule type="cellIs" dxfId="9075" priority="11124" stopIfTrue="1" operator="equal">
      <formula>"Napkin Hs"</formula>
    </cfRule>
  </conditionalFormatting>
  <conditionalFormatting sqref="B68:C68">
    <cfRule type="cellIs" dxfId="9074" priority="11123" stopIfTrue="1" operator="equal">
      <formula>"Towel"</formula>
    </cfRule>
  </conditionalFormatting>
  <conditionalFormatting sqref="C68">
    <cfRule type="cellIs" dxfId="9073" priority="11122" stopIfTrue="1" operator="equal">
      <formula>"Napkin Hs"</formula>
    </cfRule>
  </conditionalFormatting>
  <conditionalFormatting sqref="C68">
    <cfRule type="cellIs" dxfId="9072" priority="11121" stopIfTrue="1" operator="equal">
      <formula>"Towel"</formula>
    </cfRule>
  </conditionalFormatting>
  <conditionalFormatting sqref="C68">
    <cfRule type="cellIs" dxfId="9071" priority="11119" stopIfTrue="1" operator="equal">
      <formula>"Towel"</formula>
    </cfRule>
    <cfRule type="cellIs" dxfId="9070" priority="11120" stopIfTrue="1" operator="equal">
      <formula>"Napkin Hs"</formula>
    </cfRule>
  </conditionalFormatting>
  <conditionalFormatting sqref="B68:C68">
    <cfRule type="cellIs" dxfId="9069" priority="11117" stopIfTrue="1" operator="equal">
      <formula>"Towel"</formula>
    </cfRule>
    <cfRule type="cellIs" dxfId="9068" priority="11118" stopIfTrue="1" operator="equal">
      <formula>"Napkin Hs"</formula>
    </cfRule>
  </conditionalFormatting>
  <conditionalFormatting sqref="C68">
    <cfRule type="cellIs" dxfId="9067" priority="11115" stopIfTrue="1" operator="equal">
      <formula>"Towel"</formula>
    </cfRule>
    <cfRule type="cellIs" dxfId="9066" priority="11116" stopIfTrue="1" operator="equal">
      <formula>"Napkin Hs"</formula>
    </cfRule>
  </conditionalFormatting>
  <conditionalFormatting sqref="C68">
    <cfRule type="cellIs" dxfId="9065" priority="11113" stopIfTrue="1" operator="equal">
      <formula>"Towel"</formula>
    </cfRule>
    <cfRule type="cellIs" dxfId="9064" priority="11114" stopIfTrue="1" operator="equal">
      <formula>"Napkin Hs"</formula>
    </cfRule>
  </conditionalFormatting>
  <conditionalFormatting sqref="B68:C68">
    <cfRule type="cellIs" dxfId="9063" priority="11111" stopIfTrue="1" operator="equal">
      <formula>"Towel"</formula>
    </cfRule>
    <cfRule type="cellIs" dxfId="9062" priority="11112" stopIfTrue="1" operator="equal">
      <formula>"Napkin Hs"</formula>
    </cfRule>
  </conditionalFormatting>
  <conditionalFormatting sqref="C68">
    <cfRule type="cellIs" dxfId="9061" priority="11109" stopIfTrue="1" operator="equal">
      <formula>"Towel"</formula>
    </cfRule>
    <cfRule type="cellIs" dxfId="9060" priority="11110" stopIfTrue="1" operator="equal">
      <formula>"Napkin Hs"</formula>
    </cfRule>
  </conditionalFormatting>
  <conditionalFormatting sqref="C68">
    <cfRule type="cellIs" dxfId="9059" priority="11107" stopIfTrue="1" operator="equal">
      <formula>"Towel"</formula>
    </cfRule>
    <cfRule type="cellIs" dxfId="9058" priority="11108" stopIfTrue="1" operator="equal">
      <formula>"Napkin Hs"</formula>
    </cfRule>
  </conditionalFormatting>
  <conditionalFormatting sqref="B68:C68">
    <cfRule type="cellIs" dxfId="9057" priority="11105" stopIfTrue="1" operator="equal">
      <formula>"Towel"</formula>
    </cfRule>
    <cfRule type="cellIs" dxfId="9056" priority="11106" stopIfTrue="1" operator="equal">
      <formula>"Napkin Hs"</formula>
    </cfRule>
  </conditionalFormatting>
  <conditionalFormatting sqref="C68">
    <cfRule type="cellIs" dxfId="9055" priority="11103" stopIfTrue="1" operator="equal">
      <formula>"Towel"</formula>
    </cfRule>
    <cfRule type="cellIs" dxfId="9054" priority="11104" stopIfTrue="1" operator="equal">
      <formula>"Napkin Hs"</formula>
    </cfRule>
  </conditionalFormatting>
  <conditionalFormatting sqref="C68">
    <cfRule type="cellIs" dxfId="9053" priority="11101" stopIfTrue="1" operator="equal">
      <formula>"Towel"</formula>
    </cfRule>
    <cfRule type="cellIs" dxfId="9052" priority="11102" stopIfTrue="1" operator="equal">
      <formula>"Napkin Hs"</formula>
    </cfRule>
  </conditionalFormatting>
  <conditionalFormatting sqref="B68:C68">
    <cfRule type="cellIs" dxfId="9051" priority="11099" stopIfTrue="1" operator="equal">
      <formula>"Towel"</formula>
    </cfRule>
    <cfRule type="cellIs" dxfId="9050" priority="11100" stopIfTrue="1" operator="equal">
      <formula>"Napkin Hs"</formula>
    </cfRule>
  </conditionalFormatting>
  <conditionalFormatting sqref="C68">
    <cfRule type="cellIs" dxfId="9049" priority="11097" stopIfTrue="1" operator="equal">
      <formula>"Towel"</formula>
    </cfRule>
    <cfRule type="cellIs" dxfId="9048" priority="11098" stopIfTrue="1" operator="equal">
      <formula>"Napkin Hs"</formula>
    </cfRule>
  </conditionalFormatting>
  <conditionalFormatting sqref="C68">
    <cfRule type="cellIs" dxfId="9047" priority="11089" stopIfTrue="1" operator="equal">
      <formula>"Towel"</formula>
    </cfRule>
    <cfRule type="cellIs" dxfId="9046" priority="11090" stopIfTrue="1" operator="equal">
      <formula>"Napkin Hs"</formula>
    </cfRule>
  </conditionalFormatting>
  <conditionalFormatting sqref="B68:C68">
    <cfRule type="cellIs" dxfId="9045" priority="11088" stopIfTrue="1" operator="equal">
      <formula>"Napkin Hs"</formula>
    </cfRule>
  </conditionalFormatting>
  <conditionalFormatting sqref="B68:C68">
    <cfRule type="cellIs" dxfId="9044" priority="11087" stopIfTrue="1" operator="equal">
      <formula>"Towel"</formula>
    </cfRule>
  </conditionalFormatting>
  <conditionalFormatting sqref="C68">
    <cfRule type="cellIs" dxfId="9043" priority="11086" stopIfTrue="1" operator="equal">
      <formula>"Napkin Hs"</formula>
    </cfRule>
  </conditionalFormatting>
  <conditionalFormatting sqref="C68">
    <cfRule type="cellIs" dxfId="9042" priority="11085" stopIfTrue="1" operator="equal">
      <formula>"Towel"</formula>
    </cfRule>
  </conditionalFormatting>
  <conditionalFormatting sqref="B67:C67">
    <cfRule type="cellIs" dxfId="9041" priority="11081" stopIfTrue="1" operator="equal">
      <formula>"Towel"</formula>
    </cfRule>
    <cfRule type="cellIs" dxfId="9040" priority="11082" stopIfTrue="1" operator="equal">
      <formula>"Napkin Hs"</formula>
    </cfRule>
  </conditionalFormatting>
  <conditionalFormatting sqref="C67">
    <cfRule type="cellIs" dxfId="9039" priority="11077" stopIfTrue="1" operator="equal">
      <formula>"Towel"</formula>
    </cfRule>
    <cfRule type="cellIs" dxfId="9038" priority="11078" stopIfTrue="1" operator="equal">
      <formula>"Napkin Hs"</formula>
    </cfRule>
  </conditionalFormatting>
  <conditionalFormatting sqref="C67">
    <cfRule type="cellIs" dxfId="9037" priority="11079" stopIfTrue="1" operator="equal">
      <formula>"Towel"</formula>
    </cfRule>
    <cfRule type="cellIs" dxfId="9036" priority="11080" stopIfTrue="1" operator="equal">
      <formula>"Napkin Hs"</formula>
    </cfRule>
  </conditionalFormatting>
  <conditionalFormatting sqref="B67:C67">
    <cfRule type="cellIs" dxfId="9035" priority="11076" stopIfTrue="1" operator="equal">
      <formula>"Napkin Hs"</formula>
    </cfRule>
  </conditionalFormatting>
  <conditionalFormatting sqref="B67:C67">
    <cfRule type="cellIs" dxfId="9034" priority="11075" stopIfTrue="1" operator="equal">
      <formula>"Towel"</formula>
    </cfRule>
  </conditionalFormatting>
  <conditionalFormatting sqref="C67">
    <cfRule type="cellIs" dxfId="9033" priority="11074" stopIfTrue="1" operator="equal">
      <formula>"Napkin Hs"</formula>
    </cfRule>
  </conditionalFormatting>
  <conditionalFormatting sqref="C67">
    <cfRule type="cellIs" dxfId="9032" priority="11073" stopIfTrue="1" operator="equal">
      <formula>"Towel"</formula>
    </cfRule>
  </conditionalFormatting>
  <conditionalFormatting sqref="C67">
    <cfRule type="cellIs" dxfId="9031" priority="11071" stopIfTrue="1" operator="equal">
      <formula>"Towel"</formula>
    </cfRule>
    <cfRule type="cellIs" dxfId="9030" priority="11072" stopIfTrue="1" operator="equal">
      <formula>"Napkin Hs"</formula>
    </cfRule>
  </conditionalFormatting>
  <conditionalFormatting sqref="B67:C67">
    <cfRule type="cellIs" dxfId="9029" priority="11069" stopIfTrue="1" operator="equal">
      <formula>"Towel"</formula>
    </cfRule>
    <cfRule type="cellIs" dxfId="9028" priority="11070" stopIfTrue="1" operator="equal">
      <formula>"Napkin Hs"</formula>
    </cfRule>
  </conditionalFormatting>
  <conditionalFormatting sqref="C67">
    <cfRule type="cellIs" dxfId="9027" priority="11067" stopIfTrue="1" operator="equal">
      <formula>"Towel"</formula>
    </cfRule>
    <cfRule type="cellIs" dxfId="9026" priority="11068" stopIfTrue="1" operator="equal">
      <formula>"Napkin Hs"</formula>
    </cfRule>
  </conditionalFormatting>
  <conditionalFormatting sqref="C67">
    <cfRule type="cellIs" dxfId="9025" priority="11065" stopIfTrue="1" operator="equal">
      <formula>"Towel"</formula>
    </cfRule>
    <cfRule type="cellIs" dxfId="9024" priority="11066" stopIfTrue="1" operator="equal">
      <formula>"Napkin Hs"</formula>
    </cfRule>
  </conditionalFormatting>
  <conditionalFormatting sqref="B67:C67">
    <cfRule type="cellIs" dxfId="9023" priority="11063" stopIfTrue="1" operator="equal">
      <formula>"Towel"</formula>
    </cfRule>
    <cfRule type="cellIs" dxfId="9022" priority="11064" stopIfTrue="1" operator="equal">
      <formula>"Napkin Hs"</formula>
    </cfRule>
  </conditionalFormatting>
  <conditionalFormatting sqref="C67">
    <cfRule type="cellIs" dxfId="9021" priority="11061" stopIfTrue="1" operator="equal">
      <formula>"Towel"</formula>
    </cfRule>
    <cfRule type="cellIs" dxfId="9020" priority="11062" stopIfTrue="1" operator="equal">
      <formula>"Napkin Hs"</formula>
    </cfRule>
  </conditionalFormatting>
  <conditionalFormatting sqref="C67">
    <cfRule type="cellIs" dxfId="9019" priority="11059" stopIfTrue="1" operator="equal">
      <formula>"Towel"</formula>
    </cfRule>
    <cfRule type="cellIs" dxfId="9018" priority="11060" stopIfTrue="1" operator="equal">
      <formula>"Napkin Hs"</formula>
    </cfRule>
  </conditionalFormatting>
  <conditionalFormatting sqref="B67:C67">
    <cfRule type="cellIs" dxfId="9017" priority="11057" stopIfTrue="1" operator="equal">
      <formula>"Towel"</formula>
    </cfRule>
    <cfRule type="cellIs" dxfId="9016" priority="11058" stopIfTrue="1" operator="equal">
      <formula>"Napkin Hs"</formula>
    </cfRule>
  </conditionalFormatting>
  <conditionalFormatting sqref="C67">
    <cfRule type="cellIs" dxfId="9015" priority="11055" stopIfTrue="1" operator="equal">
      <formula>"Towel"</formula>
    </cfRule>
    <cfRule type="cellIs" dxfId="9014" priority="11056" stopIfTrue="1" operator="equal">
      <formula>"Napkin Hs"</formula>
    </cfRule>
  </conditionalFormatting>
  <conditionalFormatting sqref="C67">
    <cfRule type="cellIs" dxfId="9013" priority="11053" stopIfTrue="1" operator="equal">
      <formula>"Towel"</formula>
    </cfRule>
    <cfRule type="cellIs" dxfId="9012" priority="11054" stopIfTrue="1" operator="equal">
      <formula>"Napkin Hs"</formula>
    </cfRule>
  </conditionalFormatting>
  <conditionalFormatting sqref="B67:C67">
    <cfRule type="cellIs" dxfId="9011" priority="11051" stopIfTrue="1" operator="equal">
      <formula>"Towel"</formula>
    </cfRule>
    <cfRule type="cellIs" dxfId="9010" priority="11052" stopIfTrue="1" operator="equal">
      <formula>"Napkin Hs"</formula>
    </cfRule>
  </conditionalFormatting>
  <conditionalFormatting sqref="C67">
    <cfRule type="cellIs" dxfId="9009" priority="11049" stopIfTrue="1" operator="equal">
      <formula>"Towel"</formula>
    </cfRule>
    <cfRule type="cellIs" dxfId="9008" priority="11050" stopIfTrue="1" operator="equal">
      <formula>"Napkin Hs"</formula>
    </cfRule>
  </conditionalFormatting>
  <conditionalFormatting sqref="C67">
    <cfRule type="cellIs" dxfId="9007" priority="11047" stopIfTrue="1" operator="equal">
      <formula>"Towel"</formula>
    </cfRule>
    <cfRule type="cellIs" dxfId="9006" priority="11048" stopIfTrue="1" operator="equal">
      <formula>"Napkin Hs"</formula>
    </cfRule>
  </conditionalFormatting>
  <conditionalFormatting sqref="B67:C67">
    <cfRule type="cellIs" dxfId="9005" priority="11045" stopIfTrue="1" operator="equal">
      <formula>"Towel"</formula>
    </cfRule>
    <cfRule type="cellIs" dxfId="9004" priority="11046" stopIfTrue="1" operator="equal">
      <formula>"Napkin Hs"</formula>
    </cfRule>
  </conditionalFormatting>
  <conditionalFormatting sqref="C67">
    <cfRule type="cellIs" dxfId="9003" priority="11043" stopIfTrue="1" operator="equal">
      <formula>"Towel"</formula>
    </cfRule>
    <cfRule type="cellIs" dxfId="9002" priority="11044" stopIfTrue="1" operator="equal">
      <formula>"Napkin Hs"</formula>
    </cfRule>
  </conditionalFormatting>
  <conditionalFormatting sqref="C67">
    <cfRule type="cellIs" dxfId="9001" priority="11041" stopIfTrue="1" operator="equal">
      <formula>"Towel"</formula>
    </cfRule>
    <cfRule type="cellIs" dxfId="9000" priority="11042" stopIfTrue="1" operator="equal">
      <formula>"Napkin Hs"</formula>
    </cfRule>
  </conditionalFormatting>
  <conditionalFormatting sqref="B67:C67">
    <cfRule type="cellIs" dxfId="8999" priority="11040" stopIfTrue="1" operator="equal">
      <formula>"Napkin Hs"</formula>
    </cfRule>
  </conditionalFormatting>
  <conditionalFormatting sqref="B67:C67">
    <cfRule type="cellIs" dxfId="8998" priority="11039" stopIfTrue="1" operator="equal">
      <formula>"Towel"</formula>
    </cfRule>
  </conditionalFormatting>
  <conditionalFormatting sqref="C67">
    <cfRule type="cellIs" dxfId="8997" priority="11038" stopIfTrue="1" operator="equal">
      <formula>"Napkin Hs"</formula>
    </cfRule>
  </conditionalFormatting>
  <conditionalFormatting sqref="C67">
    <cfRule type="cellIs" dxfId="8996" priority="11035" stopIfTrue="1" operator="equal">
      <formula>"Towel"</formula>
    </cfRule>
    <cfRule type="cellIs" dxfId="8995" priority="11036" stopIfTrue="1" operator="equal">
      <formula>"Napkin Hs"</formula>
    </cfRule>
  </conditionalFormatting>
  <conditionalFormatting sqref="C67">
    <cfRule type="cellIs" dxfId="8994" priority="11037" stopIfTrue="1" operator="equal">
      <formula>"Towel"</formula>
    </cfRule>
  </conditionalFormatting>
  <conditionalFormatting sqref="B66:C66">
    <cfRule type="cellIs" dxfId="8993" priority="11034" stopIfTrue="1" operator="equal">
      <formula>"Napkin Hs"</formula>
    </cfRule>
  </conditionalFormatting>
  <conditionalFormatting sqref="B66:C66">
    <cfRule type="cellIs" dxfId="8992" priority="11033" stopIfTrue="1" operator="equal">
      <formula>"Towel"</formula>
    </cfRule>
  </conditionalFormatting>
  <conditionalFormatting sqref="B65:C65">
    <cfRule type="cellIs" dxfId="8991" priority="11029" stopIfTrue="1" operator="equal">
      <formula>"Towel"</formula>
    </cfRule>
    <cfRule type="cellIs" dxfId="8990" priority="11030" stopIfTrue="1" operator="equal">
      <formula>"Napkin Hs"</formula>
    </cfRule>
  </conditionalFormatting>
  <conditionalFormatting sqref="C66">
    <cfRule type="cellIs" dxfId="8989" priority="11032" stopIfTrue="1" operator="equal">
      <formula>"Napkin Hs"</formula>
    </cfRule>
  </conditionalFormatting>
  <conditionalFormatting sqref="C66">
    <cfRule type="cellIs" dxfId="8988" priority="11031" stopIfTrue="1" operator="equal">
      <formula>"Towel"</formula>
    </cfRule>
  </conditionalFormatting>
  <conditionalFormatting sqref="C65">
    <cfRule type="cellIs" dxfId="8987" priority="11025" stopIfTrue="1" operator="equal">
      <formula>"Towel"</formula>
    </cfRule>
    <cfRule type="cellIs" dxfId="8986" priority="11026" stopIfTrue="1" operator="equal">
      <formula>"Napkin Hs"</formula>
    </cfRule>
  </conditionalFormatting>
  <conditionalFormatting sqref="C65:C67">
    <cfRule type="cellIs" dxfId="8985" priority="11027" stopIfTrue="1" operator="equal">
      <formula>"Towel"</formula>
    </cfRule>
    <cfRule type="cellIs" dxfId="8984" priority="11028" stopIfTrue="1" operator="equal">
      <formula>"Napkin Hs"</formula>
    </cfRule>
  </conditionalFormatting>
  <conditionalFormatting sqref="C68">
    <cfRule type="cellIs" dxfId="8983" priority="10949" stopIfTrue="1" operator="equal">
      <formula>"Towel"</formula>
    </cfRule>
    <cfRule type="cellIs" dxfId="8982" priority="10950" stopIfTrue="1" operator="equal">
      <formula>"Napkin Hs"</formula>
    </cfRule>
  </conditionalFormatting>
  <conditionalFormatting sqref="B68:C68">
    <cfRule type="cellIs" dxfId="8981" priority="10947" stopIfTrue="1" operator="equal">
      <formula>"Towel"</formula>
    </cfRule>
    <cfRule type="cellIs" dxfId="8980" priority="10948" stopIfTrue="1" operator="equal">
      <formula>"Napkin Hs"</formula>
    </cfRule>
  </conditionalFormatting>
  <conditionalFormatting sqref="C68">
    <cfRule type="cellIs" dxfId="8979" priority="10945" stopIfTrue="1" operator="equal">
      <formula>"Towel"</formula>
    </cfRule>
    <cfRule type="cellIs" dxfId="8978" priority="10946" stopIfTrue="1" operator="equal">
      <formula>"Napkin Hs"</formula>
    </cfRule>
  </conditionalFormatting>
  <conditionalFormatting sqref="C68">
    <cfRule type="cellIs" dxfId="8977" priority="10937" stopIfTrue="1" operator="equal">
      <formula>"Towel"</formula>
    </cfRule>
    <cfRule type="cellIs" dxfId="8976" priority="10938" stopIfTrue="1" operator="equal">
      <formula>"Napkin Hs"</formula>
    </cfRule>
  </conditionalFormatting>
  <conditionalFormatting sqref="B68:C68">
    <cfRule type="cellIs" dxfId="8975" priority="11013" stopIfTrue="1" operator="equal">
      <formula>"Towel"</formula>
    </cfRule>
    <cfRule type="cellIs" dxfId="8974" priority="11014" stopIfTrue="1" operator="equal">
      <formula>"Napkin Hs"</formula>
    </cfRule>
  </conditionalFormatting>
  <conditionalFormatting sqref="C68">
    <cfRule type="cellIs" dxfId="8973" priority="11009" stopIfTrue="1" operator="equal">
      <formula>"Towel"</formula>
    </cfRule>
    <cfRule type="cellIs" dxfId="8972" priority="11010" stopIfTrue="1" operator="equal">
      <formula>"Napkin Hs"</formula>
    </cfRule>
  </conditionalFormatting>
  <conditionalFormatting sqref="C68">
    <cfRule type="cellIs" dxfId="8971" priority="11011" stopIfTrue="1" operator="equal">
      <formula>"Towel"</formula>
    </cfRule>
    <cfRule type="cellIs" dxfId="8970" priority="11012" stopIfTrue="1" operator="equal">
      <formula>"Napkin Hs"</formula>
    </cfRule>
  </conditionalFormatting>
  <conditionalFormatting sqref="B68:C68">
    <cfRule type="cellIs" dxfId="8969" priority="10978" stopIfTrue="1" operator="equal">
      <formula>"Napkin Hs"</formula>
    </cfRule>
  </conditionalFormatting>
  <conditionalFormatting sqref="B68:C68">
    <cfRule type="cellIs" dxfId="8968" priority="10977" stopIfTrue="1" operator="equal">
      <formula>"Towel"</formula>
    </cfRule>
  </conditionalFormatting>
  <conditionalFormatting sqref="C68">
    <cfRule type="cellIs" dxfId="8967" priority="10976" stopIfTrue="1" operator="equal">
      <formula>"Napkin Hs"</formula>
    </cfRule>
  </conditionalFormatting>
  <conditionalFormatting sqref="C68">
    <cfRule type="cellIs" dxfId="8966" priority="10975" stopIfTrue="1" operator="equal">
      <formula>"Towel"</formula>
    </cfRule>
  </conditionalFormatting>
  <conditionalFormatting sqref="C68">
    <cfRule type="cellIs" dxfId="8965" priority="10973" stopIfTrue="1" operator="equal">
      <formula>"Towel"</formula>
    </cfRule>
    <cfRule type="cellIs" dxfId="8964" priority="10974" stopIfTrue="1" operator="equal">
      <formula>"Napkin Hs"</formula>
    </cfRule>
  </conditionalFormatting>
  <conditionalFormatting sqref="B68:C68">
    <cfRule type="cellIs" dxfId="8963" priority="10971" stopIfTrue="1" operator="equal">
      <formula>"Towel"</formula>
    </cfRule>
    <cfRule type="cellIs" dxfId="8962" priority="10972" stopIfTrue="1" operator="equal">
      <formula>"Napkin Hs"</formula>
    </cfRule>
  </conditionalFormatting>
  <conditionalFormatting sqref="C68">
    <cfRule type="cellIs" dxfId="8961" priority="10969" stopIfTrue="1" operator="equal">
      <formula>"Towel"</formula>
    </cfRule>
    <cfRule type="cellIs" dxfId="8960" priority="10970" stopIfTrue="1" operator="equal">
      <formula>"Napkin Hs"</formula>
    </cfRule>
  </conditionalFormatting>
  <conditionalFormatting sqref="C68">
    <cfRule type="cellIs" dxfId="8959" priority="10967" stopIfTrue="1" operator="equal">
      <formula>"Towel"</formula>
    </cfRule>
    <cfRule type="cellIs" dxfId="8958" priority="10968" stopIfTrue="1" operator="equal">
      <formula>"Napkin Hs"</formula>
    </cfRule>
  </conditionalFormatting>
  <conditionalFormatting sqref="B68:C68">
    <cfRule type="cellIs" dxfId="8957" priority="10965" stopIfTrue="1" operator="equal">
      <formula>"Towel"</formula>
    </cfRule>
    <cfRule type="cellIs" dxfId="8956" priority="10966" stopIfTrue="1" operator="equal">
      <formula>"Napkin Hs"</formula>
    </cfRule>
  </conditionalFormatting>
  <conditionalFormatting sqref="C68">
    <cfRule type="cellIs" dxfId="8955" priority="10963" stopIfTrue="1" operator="equal">
      <formula>"Towel"</formula>
    </cfRule>
    <cfRule type="cellIs" dxfId="8954" priority="10964" stopIfTrue="1" operator="equal">
      <formula>"Napkin Hs"</formula>
    </cfRule>
  </conditionalFormatting>
  <conditionalFormatting sqref="C68">
    <cfRule type="cellIs" dxfId="8953" priority="10961" stopIfTrue="1" operator="equal">
      <formula>"Towel"</formula>
    </cfRule>
    <cfRule type="cellIs" dxfId="8952" priority="10962" stopIfTrue="1" operator="equal">
      <formula>"Napkin Hs"</formula>
    </cfRule>
  </conditionalFormatting>
  <conditionalFormatting sqref="B68:C68">
    <cfRule type="cellIs" dxfId="8951" priority="10959" stopIfTrue="1" operator="equal">
      <formula>"Towel"</formula>
    </cfRule>
    <cfRule type="cellIs" dxfId="8950" priority="10960" stopIfTrue="1" operator="equal">
      <formula>"Napkin Hs"</formula>
    </cfRule>
  </conditionalFormatting>
  <conditionalFormatting sqref="C68">
    <cfRule type="cellIs" dxfId="8949" priority="10957" stopIfTrue="1" operator="equal">
      <formula>"Towel"</formula>
    </cfRule>
    <cfRule type="cellIs" dxfId="8948" priority="10958" stopIfTrue="1" operator="equal">
      <formula>"Napkin Hs"</formula>
    </cfRule>
  </conditionalFormatting>
  <conditionalFormatting sqref="C68">
    <cfRule type="cellIs" dxfId="8947" priority="10955" stopIfTrue="1" operator="equal">
      <formula>"Towel"</formula>
    </cfRule>
    <cfRule type="cellIs" dxfId="8946" priority="10956" stopIfTrue="1" operator="equal">
      <formula>"Napkin Hs"</formula>
    </cfRule>
  </conditionalFormatting>
  <conditionalFormatting sqref="B68:C68">
    <cfRule type="cellIs" dxfId="8945" priority="10953" stopIfTrue="1" operator="equal">
      <formula>"Towel"</formula>
    </cfRule>
    <cfRule type="cellIs" dxfId="8944" priority="10954" stopIfTrue="1" operator="equal">
      <formula>"Napkin Hs"</formula>
    </cfRule>
  </conditionalFormatting>
  <conditionalFormatting sqref="C68">
    <cfRule type="cellIs" dxfId="8943" priority="10951" stopIfTrue="1" operator="equal">
      <formula>"Towel"</formula>
    </cfRule>
    <cfRule type="cellIs" dxfId="8942" priority="10952" stopIfTrue="1" operator="equal">
      <formula>"Napkin Hs"</formula>
    </cfRule>
  </conditionalFormatting>
  <conditionalFormatting sqref="C68">
    <cfRule type="cellIs" dxfId="8941" priority="10943" stopIfTrue="1" operator="equal">
      <formula>"Towel"</formula>
    </cfRule>
    <cfRule type="cellIs" dxfId="8940" priority="10944" stopIfTrue="1" operator="equal">
      <formula>"Napkin Hs"</formula>
    </cfRule>
  </conditionalFormatting>
  <conditionalFormatting sqref="B68:C68">
    <cfRule type="cellIs" dxfId="8939" priority="10942" stopIfTrue="1" operator="equal">
      <formula>"Napkin Hs"</formula>
    </cfRule>
  </conditionalFormatting>
  <conditionalFormatting sqref="B68:C68">
    <cfRule type="cellIs" dxfId="8938" priority="10941" stopIfTrue="1" operator="equal">
      <formula>"Towel"</formula>
    </cfRule>
  </conditionalFormatting>
  <conditionalFormatting sqref="C68">
    <cfRule type="cellIs" dxfId="8937" priority="10940" stopIfTrue="1" operator="equal">
      <formula>"Napkin Hs"</formula>
    </cfRule>
  </conditionalFormatting>
  <conditionalFormatting sqref="C68">
    <cfRule type="cellIs" dxfId="8936" priority="10939" stopIfTrue="1" operator="equal">
      <formula>"Towel"</formula>
    </cfRule>
  </conditionalFormatting>
  <conditionalFormatting sqref="B67:C67">
    <cfRule type="cellIs" dxfId="8935" priority="10935" stopIfTrue="1" operator="equal">
      <formula>"Towel"</formula>
    </cfRule>
    <cfRule type="cellIs" dxfId="8934" priority="10936" stopIfTrue="1" operator="equal">
      <formula>"Napkin Hs"</formula>
    </cfRule>
  </conditionalFormatting>
  <conditionalFormatting sqref="C67">
    <cfRule type="cellIs" dxfId="8933" priority="10931" stopIfTrue="1" operator="equal">
      <formula>"Towel"</formula>
    </cfRule>
    <cfRule type="cellIs" dxfId="8932" priority="10932" stopIfTrue="1" operator="equal">
      <formula>"Napkin Hs"</formula>
    </cfRule>
  </conditionalFormatting>
  <conditionalFormatting sqref="C67">
    <cfRule type="cellIs" dxfId="8931" priority="10933" stopIfTrue="1" operator="equal">
      <formula>"Towel"</formula>
    </cfRule>
    <cfRule type="cellIs" dxfId="8930" priority="10934" stopIfTrue="1" operator="equal">
      <formula>"Napkin Hs"</formula>
    </cfRule>
  </conditionalFormatting>
  <conditionalFormatting sqref="B67:C67">
    <cfRule type="cellIs" dxfId="8929" priority="10930" stopIfTrue="1" operator="equal">
      <formula>"Napkin Hs"</formula>
    </cfRule>
  </conditionalFormatting>
  <conditionalFormatting sqref="B67:C67">
    <cfRule type="cellIs" dxfId="8928" priority="10929" stopIfTrue="1" operator="equal">
      <formula>"Towel"</formula>
    </cfRule>
  </conditionalFormatting>
  <conditionalFormatting sqref="C67">
    <cfRule type="cellIs" dxfId="8927" priority="10928" stopIfTrue="1" operator="equal">
      <formula>"Napkin Hs"</formula>
    </cfRule>
  </conditionalFormatting>
  <conditionalFormatting sqref="C67">
    <cfRule type="cellIs" dxfId="8926" priority="10927" stopIfTrue="1" operator="equal">
      <formula>"Towel"</formula>
    </cfRule>
  </conditionalFormatting>
  <conditionalFormatting sqref="C67">
    <cfRule type="cellIs" dxfId="8925" priority="10925" stopIfTrue="1" operator="equal">
      <formula>"Towel"</formula>
    </cfRule>
    <cfRule type="cellIs" dxfId="8924" priority="10926" stopIfTrue="1" operator="equal">
      <formula>"Napkin Hs"</formula>
    </cfRule>
  </conditionalFormatting>
  <conditionalFormatting sqref="B67:C67">
    <cfRule type="cellIs" dxfId="8923" priority="10923" stopIfTrue="1" operator="equal">
      <formula>"Towel"</formula>
    </cfRule>
    <cfRule type="cellIs" dxfId="8922" priority="10924" stopIfTrue="1" operator="equal">
      <formula>"Napkin Hs"</formula>
    </cfRule>
  </conditionalFormatting>
  <conditionalFormatting sqref="C67">
    <cfRule type="cellIs" dxfId="8921" priority="10921" stopIfTrue="1" operator="equal">
      <formula>"Towel"</formula>
    </cfRule>
    <cfRule type="cellIs" dxfId="8920" priority="10922" stopIfTrue="1" operator="equal">
      <formula>"Napkin Hs"</formula>
    </cfRule>
  </conditionalFormatting>
  <conditionalFormatting sqref="C67">
    <cfRule type="cellIs" dxfId="8919" priority="10919" stopIfTrue="1" operator="equal">
      <formula>"Towel"</formula>
    </cfRule>
    <cfRule type="cellIs" dxfId="8918" priority="10920" stopIfTrue="1" operator="equal">
      <formula>"Napkin Hs"</formula>
    </cfRule>
  </conditionalFormatting>
  <conditionalFormatting sqref="B67:C67">
    <cfRule type="cellIs" dxfId="8917" priority="10917" stopIfTrue="1" operator="equal">
      <formula>"Towel"</formula>
    </cfRule>
    <cfRule type="cellIs" dxfId="8916" priority="10918" stopIfTrue="1" operator="equal">
      <formula>"Napkin Hs"</formula>
    </cfRule>
  </conditionalFormatting>
  <conditionalFormatting sqref="C67">
    <cfRule type="cellIs" dxfId="8915" priority="10915" stopIfTrue="1" operator="equal">
      <formula>"Towel"</formula>
    </cfRule>
    <cfRule type="cellIs" dxfId="8914" priority="10916" stopIfTrue="1" operator="equal">
      <formula>"Napkin Hs"</formula>
    </cfRule>
  </conditionalFormatting>
  <conditionalFormatting sqref="C67">
    <cfRule type="cellIs" dxfId="8913" priority="10913" stopIfTrue="1" operator="equal">
      <formula>"Towel"</formula>
    </cfRule>
    <cfRule type="cellIs" dxfId="8912" priority="10914" stopIfTrue="1" operator="equal">
      <formula>"Napkin Hs"</formula>
    </cfRule>
  </conditionalFormatting>
  <conditionalFormatting sqref="B67:C67">
    <cfRule type="cellIs" dxfId="8911" priority="10911" stopIfTrue="1" operator="equal">
      <formula>"Towel"</formula>
    </cfRule>
    <cfRule type="cellIs" dxfId="8910" priority="10912" stopIfTrue="1" operator="equal">
      <formula>"Napkin Hs"</formula>
    </cfRule>
  </conditionalFormatting>
  <conditionalFormatting sqref="C67">
    <cfRule type="cellIs" dxfId="8909" priority="10909" stopIfTrue="1" operator="equal">
      <formula>"Towel"</formula>
    </cfRule>
    <cfRule type="cellIs" dxfId="8908" priority="10910" stopIfTrue="1" operator="equal">
      <formula>"Napkin Hs"</formula>
    </cfRule>
  </conditionalFormatting>
  <conditionalFormatting sqref="C67">
    <cfRule type="cellIs" dxfId="8907" priority="10907" stopIfTrue="1" operator="equal">
      <formula>"Towel"</formula>
    </cfRule>
    <cfRule type="cellIs" dxfId="8906" priority="10908" stopIfTrue="1" operator="equal">
      <formula>"Napkin Hs"</formula>
    </cfRule>
  </conditionalFormatting>
  <conditionalFormatting sqref="B67:C67">
    <cfRule type="cellIs" dxfId="8905" priority="10905" stopIfTrue="1" operator="equal">
      <formula>"Towel"</formula>
    </cfRule>
    <cfRule type="cellIs" dxfId="8904" priority="10906" stopIfTrue="1" operator="equal">
      <formula>"Napkin Hs"</formula>
    </cfRule>
  </conditionalFormatting>
  <conditionalFormatting sqref="C67">
    <cfRule type="cellIs" dxfId="8903" priority="10903" stopIfTrue="1" operator="equal">
      <formula>"Towel"</formula>
    </cfRule>
    <cfRule type="cellIs" dxfId="8902" priority="10904" stopIfTrue="1" operator="equal">
      <formula>"Napkin Hs"</formula>
    </cfRule>
  </conditionalFormatting>
  <conditionalFormatting sqref="C67">
    <cfRule type="cellIs" dxfId="8901" priority="10901" stopIfTrue="1" operator="equal">
      <formula>"Towel"</formula>
    </cfRule>
    <cfRule type="cellIs" dxfId="8900" priority="10902" stopIfTrue="1" operator="equal">
      <formula>"Napkin Hs"</formula>
    </cfRule>
  </conditionalFormatting>
  <conditionalFormatting sqref="B67:C67">
    <cfRule type="cellIs" dxfId="8899" priority="10899" stopIfTrue="1" operator="equal">
      <formula>"Towel"</formula>
    </cfRule>
    <cfRule type="cellIs" dxfId="8898" priority="10900" stopIfTrue="1" operator="equal">
      <formula>"Napkin Hs"</formula>
    </cfRule>
  </conditionalFormatting>
  <conditionalFormatting sqref="C67">
    <cfRule type="cellIs" dxfId="8897" priority="10897" stopIfTrue="1" operator="equal">
      <formula>"Towel"</formula>
    </cfRule>
    <cfRule type="cellIs" dxfId="8896" priority="10898" stopIfTrue="1" operator="equal">
      <formula>"Napkin Hs"</formula>
    </cfRule>
  </conditionalFormatting>
  <conditionalFormatting sqref="C67">
    <cfRule type="cellIs" dxfId="8895" priority="10895" stopIfTrue="1" operator="equal">
      <formula>"Towel"</formula>
    </cfRule>
    <cfRule type="cellIs" dxfId="8894" priority="10896" stopIfTrue="1" operator="equal">
      <formula>"Napkin Hs"</formula>
    </cfRule>
  </conditionalFormatting>
  <conditionalFormatting sqref="B67:C67">
    <cfRule type="cellIs" dxfId="8893" priority="10894" stopIfTrue="1" operator="equal">
      <formula>"Napkin Hs"</formula>
    </cfRule>
  </conditionalFormatting>
  <conditionalFormatting sqref="B67:C67">
    <cfRule type="cellIs" dxfId="8892" priority="10893" stopIfTrue="1" operator="equal">
      <formula>"Towel"</formula>
    </cfRule>
  </conditionalFormatting>
  <conditionalFormatting sqref="C67">
    <cfRule type="cellIs" dxfId="8891" priority="10892" stopIfTrue="1" operator="equal">
      <formula>"Napkin Hs"</formula>
    </cfRule>
  </conditionalFormatting>
  <conditionalFormatting sqref="C67">
    <cfRule type="cellIs" dxfId="8890" priority="10889" stopIfTrue="1" operator="equal">
      <formula>"Towel"</formula>
    </cfRule>
    <cfRule type="cellIs" dxfId="8889" priority="10890" stopIfTrue="1" operator="equal">
      <formula>"Napkin Hs"</formula>
    </cfRule>
  </conditionalFormatting>
  <conditionalFormatting sqref="C67">
    <cfRule type="cellIs" dxfId="8888" priority="10891" stopIfTrue="1" operator="equal">
      <formula>"Towel"</formula>
    </cfRule>
  </conditionalFormatting>
  <conditionalFormatting sqref="B68:C68">
    <cfRule type="cellIs" dxfId="8887" priority="10839" stopIfTrue="1" operator="equal">
      <formula>"Towel"</formula>
    </cfRule>
    <cfRule type="cellIs" dxfId="8886" priority="10840" stopIfTrue="1" operator="equal">
      <formula>"Napkin Hs"</formula>
    </cfRule>
  </conditionalFormatting>
  <conditionalFormatting sqref="C68">
    <cfRule type="cellIs" dxfId="8885" priority="10835" stopIfTrue="1" operator="equal">
      <formula>"Towel"</formula>
    </cfRule>
    <cfRule type="cellIs" dxfId="8884" priority="10836" stopIfTrue="1" operator="equal">
      <formula>"Napkin Hs"</formula>
    </cfRule>
  </conditionalFormatting>
  <conditionalFormatting sqref="C68">
    <cfRule type="cellIs" dxfId="8883" priority="10837" stopIfTrue="1" operator="equal">
      <formula>"Towel"</formula>
    </cfRule>
    <cfRule type="cellIs" dxfId="8882" priority="10838" stopIfTrue="1" operator="equal">
      <formula>"Napkin Hs"</formula>
    </cfRule>
  </conditionalFormatting>
  <conditionalFormatting sqref="B67:C67">
    <cfRule type="cellIs" dxfId="8881" priority="10833" stopIfTrue="1" operator="equal">
      <formula>"Towel"</formula>
    </cfRule>
    <cfRule type="cellIs" dxfId="8880" priority="10834" stopIfTrue="1" operator="equal">
      <formula>"Napkin Hs"</formula>
    </cfRule>
  </conditionalFormatting>
  <conditionalFormatting sqref="C67">
    <cfRule type="cellIs" dxfId="8879" priority="10829" stopIfTrue="1" operator="equal">
      <formula>"Towel"</formula>
    </cfRule>
    <cfRule type="cellIs" dxfId="8878" priority="10830" stopIfTrue="1" operator="equal">
      <formula>"Napkin Hs"</formula>
    </cfRule>
  </conditionalFormatting>
  <conditionalFormatting sqref="C67">
    <cfRule type="cellIs" dxfId="8877" priority="10831" stopIfTrue="1" operator="equal">
      <formula>"Towel"</formula>
    </cfRule>
    <cfRule type="cellIs" dxfId="8876" priority="10832" stopIfTrue="1" operator="equal">
      <formula>"Napkin Hs"</formula>
    </cfRule>
  </conditionalFormatting>
  <conditionalFormatting sqref="B67:C67">
    <cfRule type="cellIs" dxfId="8875" priority="10827" stopIfTrue="1" operator="equal">
      <formula>"Towel"</formula>
    </cfRule>
    <cfRule type="cellIs" dxfId="8874" priority="10828" stopIfTrue="1" operator="equal">
      <formula>"Napkin Hs"</formula>
    </cfRule>
  </conditionalFormatting>
  <conditionalFormatting sqref="C67">
    <cfRule type="cellIs" dxfId="8873" priority="10823" stopIfTrue="1" operator="equal">
      <formula>"Towel"</formula>
    </cfRule>
    <cfRule type="cellIs" dxfId="8872" priority="10824" stopIfTrue="1" operator="equal">
      <formula>"Napkin Hs"</formula>
    </cfRule>
  </conditionalFormatting>
  <conditionalFormatting sqref="C67">
    <cfRule type="cellIs" dxfId="8871" priority="10825" stopIfTrue="1" operator="equal">
      <formula>"Towel"</formula>
    </cfRule>
    <cfRule type="cellIs" dxfId="8870" priority="10826" stopIfTrue="1" operator="equal">
      <formula>"Napkin Hs"</formula>
    </cfRule>
  </conditionalFormatting>
  <conditionalFormatting sqref="B67:C67">
    <cfRule type="cellIs" dxfId="8869" priority="10821" stopIfTrue="1" operator="equal">
      <formula>"Towel"</formula>
    </cfRule>
    <cfRule type="cellIs" dxfId="8868" priority="10822" stopIfTrue="1" operator="equal">
      <formula>"Napkin Hs"</formula>
    </cfRule>
  </conditionalFormatting>
  <conditionalFormatting sqref="C67">
    <cfRule type="cellIs" dxfId="8867" priority="10819" stopIfTrue="1" operator="equal">
      <formula>"Towel"</formula>
    </cfRule>
    <cfRule type="cellIs" dxfId="8866" priority="10820" stopIfTrue="1" operator="equal">
      <formula>"Napkin Hs"</formula>
    </cfRule>
  </conditionalFormatting>
  <conditionalFormatting sqref="C67">
    <cfRule type="cellIs" dxfId="8865" priority="10817" stopIfTrue="1" operator="equal">
      <formula>"Towel"</formula>
    </cfRule>
    <cfRule type="cellIs" dxfId="8864" priority="10818" stopIfTrue="1" operator="equal">
      <formula>"Napkin Hs"</formula>
    </cfRule>
  </conditionalFormatting>
  <conditionalFormatting sqref="B67:C67">
    <cfRule type="cellIs" dxfId="8863" priority="10816" stopIfTrue="1" operator="equal">
      <formula>"Napkin Hs"</formula>
    </cfRule>
  </conditionalFormatting>
  <conditionalFormatting sqref="B67:C67">
    <cfRule type="cellIs" dxfId="8862" priority="10815" stopIfTrue="1" operator="equal">
      <formula>"Towel"</formula>
    </cfRule>
  </conditionalFormatting>
  <conditionalFormatting sqref="C67">
    <cfRule type="cellIs" dxfId="8861" priority="10814" stopIfTrue="1" operator="equal">
      <formula>"Napkin Hs"</formula>
    </cfRule>
  </conditionalFormatting>
  <conditionalFormatting sqref="C67">
    <cfRule type="cellIs" dxfId="8860" priority="10813" stopIfTrue="1" operator="equal">
      <formula>"Towel"</formula>
    </cfRule>
  </conditionalFormatting>
  <conditionalFormatting sqref="C67">
    <cfRule type="cellIs" dxfId="8859" priority="10811" stopIfTrue="1" operator="equal">
      <formula>"Towel"</formula>
    </cfRule>
    <cfRule type="cellIs" dxfId="8858" priority="10812" stopIfTrue="1" operator="equal">
      <formula>"Napkin Hs"</formula>
    </cfRule>
  </conditionalFormatting>
  <conditionalFormatting sqref="C67">
    <cfRule type="cellIs" dxfId="8857" priority="10809" stopIfTrue="1" operator="equal">
      <formula>"Towel"</formula>
    </cfRule>
    <cfRule type="cellIs" dxfId="8856" priority="10810" stopIfTrue="1" operator="equal">
      <formula>"Napkin Hs"</formula>
    </cfRule>
  </conditionalFormatting>
  <conditionalFormatting sqref="C67">
    <cfRule type="cellIs" dxfId="8855" priority="10725" stopIfTrue="1" operator="equal">
      <formula>"Towel"</formula>
    </cfRule>
    <cfRule type="cellIs" dxfId="8854" priority="10726" stopIfTrue="1" operator="equal">
      <formula>"Napkin Hs"</formula>
    </cfRule>
  </conditionalFormatting>
  <conditionalFormatting sqref="C67">
    <cfRule type="cellIs" dxfId="8853" priority="10719" stopIfTrue="1" operator="equal">
      <formula>"Towel"</formula>
    </cfRule>
    <cfRule type="cellIs" dxfId="8852" priority="10720" stopIfTrue="1" operator="equal">
      <formula>"Napkin Hs"</formula>
    </cfRule>
  </conditionalFormatting>
  <conditionalFormatting sqref="C67">
    <cfRule type="cellIs" dxfId="8851" priority="10700" stopIfTrue="1" operator="equal">
      <formula>"Napkin Hs"</formula>
    </cfRule>
  </conditionalFormatting>
  <conditionalFormatting sqref="C67">
    <cfRule type="cellIs" dxfId="8850" priority="10699" stopIfTrue="1" operator="equal">
      <formula>"Towel"</formula>
    </cfRule>
  </conditionalFormatting>
  <conditionalFormatting sqref="C67">
    <cfRule type="cellIs" dxfId="8849" priority="10698" stopIfTrue="1" operator="equal">
      <formula>"Napkin Hs"</formula>
    </cfRule>
  </conditionalFormatting>
  <conditionalFormatting sqref="C67">
    <cfRule type="cellIs" dxfId="8848" priority="10695" stopIfTrue="1" operator="equal">
      <formula>"Towel"</formula>
    </cfRule>
    <cfRule type="cellIs" dxfId="8847" priority="10696" stopIfTrue="1" operator="equal">
      <formula>"Napkin Hs"</formula>
    </cfRule>
  </conditionalFormatting>
  <conditionalFormatting sqref="C67">
    <cfRule type="cellIs" dxfId="8846" priority="10697" stopIfTrue="1" operator="equal">
      <formula>"Towel"</formula>
    </cfRule>
  </conditionalFormatting>
  <conditionalFormatting sqref="C67">
    <cfRule type="cellIs" dxfId="8845" priority="10694" stopIfTrue="1" operator="equal">
      <formula>"Napkin Hs"</formula>
    </cfRule>
  </conditionalFormatting>
  <conditionalFormatting sqref="C67">
    <cfRule type="cellIs" dxfId="8844" priority="10693" stopIfTrue="1" operator="equal">
      <formula>"Towel"</formula>
    </cfRule>
  </conditionalFormatting>
  <conditionalFormatting sqref="C67">
    <cfRule type="cellIs" dxfId="8843" priority="10692" stopIfTrue="1" operator="equal">
      <formula>"Napkin Hs"</formula>
    </cfRule>
  </conditionalFormatting>
  <conditionalFormatting sqref="C67">
    <cfRule type="cellIs" dxfId="8842" priority="10689" stopIfTrue="1" operator="equal">
      <formula>"Towel"</formula>
    </cfRule>
    <cfRule type="cellIs" dxfId="8841" priority="10690" stopIfTrue="1" operator="equal">
      <formula>"Napkin Hs"</formula>
    </cfRule>
  </conditionalFormatting>
  <conditionalFormatting sqref="C67">
    <cfRule type="cellIs" dxfId="8840" priority="10691" stopIfTrue="1" operator="equal">
      <formula>"Towel"</formula>
    </cfRule>
  </conditionalFormatting>
  <conditionalFormatting sqref="C67">
    <cfRule type="cellIs" dxfId="8839" priority="10795" stopIfTrue="1" operator="equal">
      <formula>"Towel"</formula>
    </cfRule>
    <cfRule type="cellIs" dxfId="8838" priority="10796" stopIfTrue="1" operator="equal">
      <formula>"Napkin Hs"</formula>
    </cfRule>
  </conditionalFormatting>
  <conditionalFormatting sqref="C67">
    <cfRule type="cellIs" dxfId="8837" priority="10793" stopIfTrue="1" operator="equal">
      <formula>"Towel"</formula>
    </cfRule>
    <cfRule type="cellIs" dxfId="8836" priority="10794" stopIfTrue="1" operator="equal">
      <formula>"Napkin Hs"</formula>
    </cfRule>
  </conditionalFormatting>
  <conditionalFormatting sqref="C67">
    <cfRule type="cellIs" dxfId="8835" priority="10791" stopIfTrue="1" operator="equal">
      <formula>"Towel"</formula>
    </cfRule>
    <cfRule type="cellIs" dxfId="8834" priority="10792" stopIfTrue="1" operator="equal">
      <formula>"Napkin Hs"</formula>
    </cfRule>
  </conditionalFormatting>
  <conditionalFormatting sqref="C67">
    <cfRule type="cellIs" dxfId="8833" priority="10790" stopIfTrue="1" operator="equal">
      <formula>"Napkin Hs"</formula>
    </cfRule>
  </conditionalFormatting>
  <conditionalFormatting sqref="C67">
    <cfRule type="cellIs" dxfId="8832" priority="10789" stopIfTrue="1" operator="equal">
      <formula>"Towel"</formula>
    </cfRule>
  </conditionalFormatting>
  <conditionalFormatting sqref="C67">
    <cfRule type="cellIs" dxfId="8831" priority="10788" stopIfTrue="1" operator="equal">
      <formula>"Napkin Hs"</formula>
    </cfRule>
  </conditionalFormatting>
  <conditionalFormatting sqref="C67">
    <cfRule type="cellIs" dxfId="8830" priority="10787" stopIfTrue="1" operator="equal">
      <formula>"Towel"</formula>
    </cfRule>
  </conditionalFormatting>
  <conditionalFormatting sqref="C67">
    <cfRule type="cellIs" dxfId="8829" priority="10785" stopIfTrue="1" operator="equal">
      <formula>"Towel"</formula>
    </cfRule>
    <cfRule type="cellIs" dxfId="8828" priority="10786" stopIfTrue="1" operator="equal">
      <formula>"Napkin Hs"</formula>
    </cfRule>
  </conditionalFormatting>
  <conditionalFormatting sqref="C67">
    <cfRule type="cellIs" dxfId="8827" priority="10783" stopIfTrue="1" operator="equal">
      <formula>"Towel"</formula>
    </cfRule>
    <cfRule type="cellIs" dxfId="8826" priority="10784" stopIfTrue="1" operator="equal">
      <formula>"Napkin Hs"</formula>
    </cfRule>
  </conditionalFormatting>
  <conditionalFormatting sqref="C67">
    <cfRule type="cellIs" dxfId="8825" priority="10779" stopIfTrue="1" operator="equal">
      <formula>"Towel"</formula>
    </cfRule>
    <cfRule type="cellIs" dxfId="8824" priority="10780" stopIfTrue="1" operator="equal">
      <formula>"Napkin Hs"</formula>
    </cfRule>
  </conditionalFormatting>
  <conditionalFormatting sqref="C67">
    <cfRule type="cellIs" dxfId="8823" priority="10781" stopIfTrue="1" operator="equal">
      <formula>"Towel"</formula>
    </cfRule>
    <cfRule type="cellIs" dxfId="8822" priority="10782" stopIfTrue="1" operator="equal">
      <formula>"Napkin Hs"</formula>
    </cfRule>
  </conditionalFormatting>
  <conditionalFormatting sqref="C67">
    <cfRule type="cellIs" dxfId="8821" priority="10773" stopIfTrue="1" operator="equal">
      <formula>"Towel"</formula>
    </cfRule>
    <cfRule type="cellIs" dxfId="8820" priority="10774" stopIfTrue="1" operator="equal">
      <formula>"Napkin Hs"</formula>
    </cfRule>
  </conditionalFormatting>
  <conditionalFormatting sqref="C67">
    <cfRule type="cellIs" dxfId="8819" priority="10771" stopIfTrue="1" operator="equal">
      <formula>"Towel"</formula>
    </cfRule>
    <cfRule type="cellIs" dxfId="8818" priority="10772" stopIfTrue="1" operator="equal">
      <formula>"Napkin Hs"</formula>
    </cfRule>
  </conditionalFormatting>
  <conditionalFormatting sqref="C67">
    <cfRule type="cellIs" dxfId="8817" priority="10769" stopIfTrue="1" operator="equal">
      <formula>"Towel"</formula>
    </cfRule>
    <cfRule type="cellIs" dxfId="8816" priority="10770" stopIfTrue="1" operator="equal">
      <formula>"Napkin Hs"</formula>
    </cfRule>
  </conditionalFormatting>
  <conditionalFormatting sqref="C67">
    <cfRule type="cellIs" dxfId="8815" priority="10767" stopIfTrue="1" operator="equal">
      <formula>"Towel"</formula>
    </cfRule>
    <cfRule type="cellIs" dxfId="8814" priority="10768" stopIfTrue="1" operator="equal">
      <formula>"Napkin Hs"</formula>
    </cfRule>
  </conditionalFormatting>
  <conditionalFormatting sqref="C67">
    <cfRule type="cellIs" dxfId="8813" priority="10765" stopIfTrue="1" operator="equal">
      <formula>"Towel"</formula>
    </cfRule>
    <cfRule type="cellIs" dxfId="8812" priority="10766" stopIfTrue="1" operator="equal">
      <formula>"Napkin Hs"</formula>
    </cfRule>
  </conditionalFormatting>
  <conditionalFormatting sqref="C67">
    <cfRule type="cellIs" dxfId="8811" priority="10763" stopIfTrue="1" operator="equal">
      <formula>"Towel"</formula>
    </cfRule>
    <cfRule type="cellIs" dxfId="8810" priority="10764" stopIfTrue="1" operator="equal">
      <formula>"Napkin Hs"</formula>
    </cfRule>
  </conditionalFormatting>
  <conditionalFormatting sqref="C67">
    <cfRule type="cellIs" dxfId="8809" priority="10761" stopIfTrue="1" operator="equal">
      <formula>"Towel"</formula>
    </cfRule>
    <cfRule type="cellIs" dxfId="8808" priority="10762" stopIfTrue="1" operator="equal">
      <formula>"Napkin Hs"</formula>
    </cfRule>
  </conditionalFormatting>
  <conditionalFormatting sqref="C67">
    <cfRule type="cellIs" dxfId="8807" priority="10759" stopIfTrue="1" operator="equal">
      <formula>"Towel"</formula>
    </cfRule>
    <cfRule type="cellIs" dxfId="8806" priority="10760" stopIfTrue="1" operator="equal">
      <formula>"Napkin Hs"</formula>
    </cfRule>
  </conditionalFormatting>
  <conditionalFormatting sqref="C67">
    <cfRule type="cellIs" dxfId="8805" priority="10757" stopIfTrue="1" operator="equal">
      <formula>"Towel"</formula>
    </cfRule>
    <cfRule type="cellIs" dxfId="8804" priority="10758" stopIfTrue="1" operator="equal">
      <formula>"Napkin Hs"</formula>
    </cfRule>
  </conditionalFormatting>
  <conditionalFormatting sqref="C67">
    <cfRule type="cellIs" dxfId="8803" priority="10755" stopIfTrue="1" operator="equal">
      <formula>"Towel"</formula>
    </cfRule>
    <cfRule type="cellIs" dxfId="8802" priority="10756" stopIfTrue="1" operator="equal">
      <formula>"Napkin Hs"</formula>
    </cfRule>
  </conditionalFormatting>
  <conditionalFormatting sqref="C67">
    <cfRule type="cellIs" dxfId="8801" priority="10749" stopIfTrue="1" operator="equal">
      <formula>"Towel"</formula>
    </cfRule>
    <cfRule type="cellIs" dxfId="8800" priority="10750" stopIfTrue="1" operator="equal">
      <formula>"Napkin Hs"</formula>
    </cfRule>
  </conditionalFormatting>
  <conditionalFormatting sqref="C67">
    <cfRule type="cellIs" dxfId="8799" priority="10743" stopIfTrue="1" operator="equal">
      <formula>"Towel"</formula>
    </cfRule>
    <cfRule type="cellIs" dxfId="8798" priority="10744" stopIfTrue="1" operator="equal">
      <formula>"Napkin Hs"</formula>
    </cfRule>
  </conditionalFormatting>
  <conditionalFormatting sqref="C67">
    <cfRule type="cellIs" dxfId="8797" priority="10737" stopIfTrue="1" operator="equal">
      <formula>"Towel"</formula>
    </cfRule>
    <cfRule type="cellIs" dxfId="8796" priority="10738" stopIfTrue="1" operator="equal">
      <formula>"Napkin Hs"</formula>
    </cfRule>
  </conditionalFormatting>
  <conditionalFormatting sqref="C67">
    <cfRule type="cellIs" dxfId="8795" priority="10736" stopIfTrue="1" operator="equal">
      <formula>"Napkin Hs"</formula>
    </cfRule>
  </conditionalFormatting>
  <conditionalFormatting sqref="C67">
    <cfRule type="cellIs" dxfId="8794" priority="10735" stopIfTrue="1" operator="equal">
      <formula>"Towel"</formula>
    </cfRule>
  </conditionalFormatting>
  <conditionalFormatting sqref="C67">
    <cfRule type="cellIs" dxfId="8793" priority="10734" stopIfTrue="1" operator="equal">
      <formula>"Napkin Hs"</formula>
    </cfRule>
  </conditionalFormatting>
  <conditionalFormatting sqref="C67">
    <cfRule type="cellIs" dxfId="8792" priority="10733" stopIfTrue="1" operator="equal">
      <formula>"Towel"</formula>
    </cfRule>
  </conditionalFormatting>
  <conditionalFormatting sqref="C67">
    <cfRule type="cellIs" dxfId="8791" priority="10731" stopIfTrue="1" operator="equal">
      <formula>"Towel"</formula>
    </cfRule>
    <cfRule type="cellIs" dxfId="8790" priority="10732" stopIfTrue="1" operator="equal">
      <formula>"Napkin Hs"</formula>
    </cfRule>
  </conditionalFormatting>
  <conditionalFormatting sqref="C67">
    <cfRule type="cellIs" dxfId="8789" priority="10729" stopIfTrue="1" operator="equal">
      <formula>"Towel"</formula>
    </cfRule>
    <cfRule type="cellIs" dxfId="8788" priority="10730" stopIfTrue="1" operator="equal">
      <formula>"Napkin Hs"</formula>
    </cfRule>
  </conditionalFormatting>
  <conditionalFormatting sqref="C67">
    <cfRule type="cellIs" dxfId="8787" priority="10727" stopIfTrue="1" operator="equal">
      <formula>"Towel"</formula>
    </cfRule>
    <cfRule type="cellIs" dxfId="8786" priority="10728" stopIfTrue="1" operator="equal">
      <formula>"Napkin Hs"</formula>
    </cfRule>
  </conditionalFormatting>
  <conditionalFormatting sqref="C67">
    <cfRule type="cellIs" dxfId="8785" priority="10717" stopIfTrue="1" operator="equal">
      <formula>"Towel"</formula>
    </cfRule>
    <cfRule type="cellIs" dxfId="8784" priority="10718" stopIfTrue="1" operator="equal">
      <formula>"Napkin Hs"</formula>
    </cfRule>
  </conditionalFormatting>
  <conditionalFormatting sqref="C67">
    <cfRule type="cellIs" dxfId="8783" priority="10715" stopIfTrue="1" operator="equal">
      <formula>"Towel"</formula>
    </cfRule>
    <cfRule type="cellIs" dxfId="8782" priority="10716" stopIfTrue="1" operator="equal">
      <formula>"Napkin Hs"</formula>
    </cfRule>
  </conditionalFormatting>
  <conditionalFormatting sqref="C67">
    <cfRule type="cellIs" dxfId="8781" priority="10713" stopIfTrue="1" operator="equal">
      <formula>"Towel"</formula>
    </cfRule>
    <cfRule type="cellIs" dxfId="8780" priority="10714" stopIfTrue="1" operator="equal">
      <formula>"Napkin Hs"</formula>
    </cfRule>
  </conditionalFormatting>
  <conditionalFormatting sqref="C67">
    <cfRule type="cellIs" dxfId="8779" priority="10711" stopIfTrue="1" operator="equal">
      <formula>"Towel"</formula>
    </cfRule>
    <cfRule type="cellIs" dxfId="8778" priority="10712" stopIfTrue="1" operator="equal">
      <formula>"Napkin Hs"</formula>
    </cfRule>
  </conditionalFormatting>
  <conditionalFormatting sqref="C67">
    <cfRule type="cellIs" dxfId="8777" priority="10709" stopIfTrue="1" operator="equal">
      <formula>"Towel"</formula>
    </cfRule>
    <cfRule type="cellIs" dxfId="8776" priority="10710" stopIfTrue="1" operator="equal">
      <formula>"Napkin Hs"</formula>
    </cfRule>
  </conditionalFormatting>
  <conditionalFormatting sqref="C67">
    <cfRule type="cellIs" dxfId="8775" priority="10707" stopIfTrue="1" operator="equal">
      <formula>"Towel"</formula>
    </cfRule>
    <cfRule type="cellIs" dxfId="8774" priority="10708" stopIfTrue="1" operator="equal">
      <formula>"Napkin Hs"</formula>
    </cfRule>
  </conditionalFormatting>
  <conditionalFormatting sqref="C67">
    <cfRule type="cellIs" dxfId="8773" priority="10705" stopIfTrue="1" operator="equal">
      <formula>"Towel"</formula>
    </cfRule>
    <cfRule type="cellIs" dxfId="8772" priority="10706" stopIfTrue="1" operator="equal">
      <formula>"Napkin Hs"</formula>
    </cfRule>
  </conditionalFormatting>
  <conditionalFormatting sqref="C67">
    <cfRule type="cellIs" dxfId="8771" priority="10703" stopIfTrue="1" operator="equal">
      <formula>"Towel"</formula>
    </cfRule>
    <cfRule type="cellIs" dxfId="8770" priority="10704" stopIfTrue="1" operator="equal">
      <formula>"Napkin Hs"</formula>
    </cfRule>
  </conditionalFormatting>
  <conditionalFormatting sqref="C67">
    <cfRule type="cellIs" dxfId="8769" priority="10701" stopIfTrue="1" operator="equal">
      <formula>"Towel"</formula>
    </cfRule>
    <cfRule type="cellIs" dxfId="8768" priority="10702" stopIfTrue="1" operator="equal">
      <formula>"Napkin Hs"</formula>
    </cfRule>
  </conditionalFormatting>
  <conditionalFormatting sqref="C67">
    <cfRule type="cellIs" dxfId="8767" priority="10688" stopIfTrue="1" operator="equal">
      <formula>"Napkin Hs"</formula>
    </cfRule>
  </conditionalFormatting>
  <conditionalFormatting sqref="C67">
    <cfRule type="cellIs" dxfId="8766" priority="10687" stopIfTrue="1" operator="equal">
      <formula>"Towel"</formula>
    </cfRule>
  </conditionalFormatting>
  <conditionalFormatting sqref="C67">
    <cfRule type="cellIs" dxfId="8765" priority="10686" stopIfTrue="1" operator="equal">
      <formula>"Napkin Hs"</formula>
    </cfRule>
  </conditionalFormatting>
  <conditionalFormatting sqref="C67">
    <cfRule type="cellIs" dxfId="8764" priority="10683" stopIfTrue="1" operator="equal">
      <formula>"Towel"</formula>
    </cfRule>
    <cfRule type="cellIs" dxfId="8763" priority="10684" stopIfTrue="1" operator="equal">
      <formula>"Napkin Hs"</formula>
    </cfRule>
  </conditionalFormatting>
  <conditionalFormatting sqref="C67">
    <cfRule type="cellIs" dxfId="8762" priority="10685" stopIfTrue="1" operator="equal">
      <formula>"Towel"</formula>
    </cfRule>
  </conditionalFormatting>
  <conditionalFormatting sqref="C67">
    <cfRule type="cellIs" dxfId="8761" priority="10803" stopIfTrue="1" operator="equal">
      <formula>"Towel"</formula>
    </cfRule>
    <cfRule type="cellIs" dxfId="8760" priority="10804" stopIfTrue="1" operator="equal">
      <formula>"Napkin Hs"</formula>
    </cfRule>
  </conditionalFormatting>
  <conditionalFormatting sqref="C67">
    <cfRule type="cellIs" dxfId="8759" priority="10802" stopIfTrue="1" operator="equal">
      <formula>"Napkin Hs"</formula>
    </cfRule>
  </conditionalFormatting>
  <conditionalFormatting sqref="C67">
    <cfRule type="cellIs" dxfId="8758" priority="10801" stopIfTrue="1" operator="equal">
      <formula>"Towel"</formula>
    </cfRule>
  </conditionalFormatting>
  <conditionalFormatting sqref="C67">
    <cfRule type="cellIs" dxfId="8757" priority="10800" stopIfTrue="1" operator="equal">
      <formula>"Napkin Hs"</formula>
    </cfRule>
  </conditionalFormatting>
  <conditionalFormatting sqref="C67">
    <cfRule type="cellIs" dxfId="8756" priority="10797" stopIfTrue="1" operator="equal">
      <formula>"Towel"</formula>
    </cfRule>
    <cfRule type="cellIs" dxfId="8755" priority="10798" stopIfTrue="1" operator="equal">
      <formula>"Napkin Hs"</formula>
    </cfRule>
  </conditionalFormatting>
  <conditionalFormatting sqref="C67">
    <cfRule type="cellIs" dxfId="8754" priority="10799" stopIfTrue="1" operator="equal">
      <formula>"Towel"</formula>
    </cfRule>
  </conditionalFormatting>
  <conditionalFormatting sqref="C67">
    <cfRule type="cellIs" dxfId="8753" priority="10807" stopIfTrue="1" operator="equal">
      <formula>"Towel"</formula>
    </cfRule>
    <cfRule type="cellIs" dxfId="8752" priority="10808" stopIfTrue="1" operator="equal">
      <formula>"Napkin Hs"</formula>
    </cfRule>
  </conditionalFormatting>
  <conditionalFormatting sqref="C67">
    <cfRule type="cellIs" dxfId="8751" priority="10805" stopIfTrue="1" operator="equal">
      <formula>"Towel"</formula>
    </cfRule>
    <cfRule type="cellIs" dxfId="8750" priority="10806" stopIfTrue="1" operator="equal">
      <formula>"Napkin Hs"</formula>
    </cfRule>
  </conditionalFormatting>
  <conditionalFormatting sqref="C67">
    <cfRule type="cellIs" dxfId="8749" priority="10777" stopIfTrue="1" operator="equal">
      <formula>"Towel"</formula>
    </cfRule>
    <cfRule type="cellIs" dxfId="8748" priority="10778" stopIfTrue="1" operator="equal">
      <formula>"Napkin Hs"</formula>
    </cfRule>
  </conditionalFormatting>
  <conditionalFormatting sqref="C67">
    <cfRule type="cellIs" dxfId="8747" priority="10775" stopIfTrue="1" operator="equal">
      <formula>"Towel"</formula>
    </cfRule>
    <cfRule type="cellIs" dxfId="8746" priority="10776" stopIfTrue="1" operator="equal">
      <formula>"Napkin Hs"</formula>
    </cfRule>
  </conditionalFormatting>
  <conditionalFormatting sqref="C67">
    <cfRule type="cellIs" dxfId="8745" priority="10754" stopIfTrue="1" operator="equal">
      <formula>"Napkin Hs"</formula>
    </cfRule>
  </conditionalFormatting>
  <conditionalFormatting sqref="C67">
    <cfRule type="cellIs" dxfId="8744" priority="10753" stopIfTrue="1" operator="equal">
      <formula>"Towel"</formula>
    </cfRule>
  </conditionalFormatting>
  <conditionalFormatting sqref="C67">
    <cfRule type="cellIs" dxfId="8743" priority="10752" stopIfTrue="1" operator="equal">
      <formula>"Napkin Hs"</formula>
    </cfRule>
  </conditionalFormatting>
  <conditionalFormatting sqref="C67">
    <cfRule type="cellIs" dxfId="8742" priority="10751" stopIfTrue="1" operator="equal">
      <formula>"Towel"</formula>
    </cfRule>
  </conditionalFormatting>
  <conditionalFormatting sqref="C67">
    <cfRule type="cellIs" dxfId="8741" priority="10748" stopIfTrue="1" operator="equal">
      <formula>"Napkin Hs"</formula>
    </cfRule>
  </conditionalFormatting>
  <conditionalFormatting sqref="C67">
    <cfRule type="cellIs" dxfId="8740" priority="10747" stopIfTrue="1" operator="equal">
      <formula>"Towel"</formula>
    </cfRule>
  </conditionalFormatting>
  <conditionalFormatting sqref="C67">
    <cfRule type="cellIs" dxfId="8739" priority="10746" stopIfTrue="1" operator="equal">
      <formula>"Napkin Hs"</formula>
    </cfRule>
  </conditionalFormatting>
  <conditionalFormatting sqref="C67">
    <cfRule type="cellIs" dxfId="8738" priority="10745" stopIfTrue="1" operator="equal">
      <formula>"Towel"</formula>
    </cfRule>
  </conditionalFormatting>
  <conditionalFormatting sqref="C67">
    <cfRule type="cellIs" dxfId="8737" priority="10741" stopIfTrue="1" operator="equal">
      <formula>"Towel"</formula>
    </cfRule>
    <cfRule type="cellIs" dxfId="8736" priority="10742" stopIfTrue="1" operator="equal">
      <formula>"Napkin Hs"</formula>
    </cfRule>
  </conditionalFormatting>
  <conditionalFormatting sqref="C67">
    <cfRule type="cellIs" dxfId="8735" priority="10739" stopIfTrue="1" operator="equal">
      <formula>"Towel"</formula>
    </cfRule>
    <cfRule type="cellIs" dxfId="8734" priority="10740" stopIfTrue="1" operator="equal">
      <formula>"Napkin Hs"</formula>
    </cfRule>
  </conditionalFormatting>
  <conditionalFormatting sqref="C67">
    <cfRule type="cellIs" dxfId="8733" priority="10723" stopIfTrue="1" operator="equal">
      <formula>"Towel"</formula>
    </cfRule>
    <cfRule type="cellIs" dxfId="8732" priority="10724" stopIfTrue="1" operator="equal">
      <formula>"Napkin Hs"</formula>
    </cfRule>
  </conditionalFormatting>
  <conditionalFormatting sqref="C67">
    <cfRule type="cellIs" dxfId="8731" priority="10721" stopIfTrue="1" operator="equal">
      <formula>"Towel"</formula>
    </cfRule>
    <cfRule type="cellIs" dxfId="8730" priority="10722" stopIfTrue="1" operator="equal">
      <formula>"Napkin Hs"</formula>
    </cfRule>
  </conditionalFormatting>
  <conditionalFormatting sqref="B67:C67">
    <cfRule type="cellIs" dxfId="8729" priority="10682" stopIfTrue="1" operator="equal">
      <formula>"Napkin Hs"</formula>
    </cfRule>
  </conditionalFormatting>
  <conditionalFormatting sqref="B67:C67">
    <cfRule type="cellIs" dxfId="8728" priority="10681" stopIfTrue="1" operator="equal">
      <formula>"Towel"</formula>
    </cfRule>
  </conditionalFormatting>
  <conditionalFormatting sqref="C67">
    <cfRule type="cellIs" dxfId="8727" priority="10680" stopIfTrue="1" operator="equal">
      <formula>"Napkin Hs"</formula>
    </cfRule>
  </conditionalFormatting>
  <conditionalFormatting sqref="C67">
    <cfRule type="cellIs" dxfId="8726" priority="10677" stopIfTrue="1" operator="equal">
      <formula>"Towel"</formula>
    </cfRule>
    <cfRule type="cellIs" dxfId="8725" priority="10678" stopIfTrue="1" operator="equal">
      <formula>"Napkin Hs"</formula>
    </cfRule>
  </conditionalFormatting>
  <conditionalFormatting sqref="C67">
    <cfRule type="cellIs" dxfId="8724" priority="10679" stopIfTrue="1" operator="equal">
      <formula>"Towel"</formula>
    </cfRule>
  </conditionalFormatting>
  <conditionalFormatting sqref="C65:C67">
    <cfRule type="cellIs" dxfId="8723" priority="10593" stopIfTrue="1" operator="equal">
      <formula>"Towel"</formula>
    </cfRule>
    <cfRule type="cellIs" dxfId="8722" priority="10594" stopIfTrue="1" operator="equal">
      <formula>"Napkin Hs"</formula>
    </cfRule>
  </conditionalFormatting>
  <conditionalFormatting sqref="C65:C67">
    <cfRule type="cellIs" dxfId="8721" priority="10587" stopIfTrue="1" operator="equal">
      <formula>"Towel"</formula>
    </cfRule>
    <cfRule type="cellIs" dxfId="8720" priority="10588" stopIfTrue="1" operator="equal">
      <formula>"Napkin Hs"</formula>
    </cfRule>
  </conditionalFormatting>
  <conditionalFormatting sqref="C65:C67">
    <cfRule type="cellIs" dxfId="8719" priority="10568" stopIfTrue="1" operator="equal">
      <formula>"Napkin Hs"</formula>
    </cfRule>
  </conditionalFormatting>
  <conditionalFormatting sqref="C65:C67">
    <cfRule type="cellIs" dxfId="8718" priority="10567" stopIfTrue="1" operator="equal">
      <formula>"Towel"</formula>
    </cfRule>
  </conditionalFormatting>
  <conditionalFormatting sqref="C65:C67">
    <cfRule type="cellIs" dxfId="8717" priority="10566" stopIfTrue="1" operator="equal">
      <formula>"Napkin Hs"</formula>
    </cfRule>
  </conditionalFormatting>
  <conditionalFormatting sqref="C65:C67">
    <cfRule type="cellIs" dxfId="8716" priority="10563" stopIfTrue="1" operator="equal">
      <formula>"Towel"</formula>
    </cfRule>
    <cfRule type="cellIs" dxfId="8715" priority="10564" stopIfTrue="1" operator="equal">
      <formula>"Napkin Hs"</formula>
    </cfRule>
  </conditionalFormatting>
  <conditionalFormatting sqref="C65:C67">
    <cfRule type="cellIs" dxfId="8714" priority="10565" stopIfTrue="1" operator="equal">
      <formula>"Towel"</formula>
    </cfRule>
  </conditionalFormatting>
  <conditionalFormatting sqref="C65:C67">
    <cfRule type="cellIs" dxfId="8713" priority="10562" stopIfTrue="1" operator="equal">
      <formula>"Napkin Hs"</formula>
    </cfRule>
  </conditionalFormatting>
  <conditionalFormatting sqref="C65:C67">
    <cfRule type="cellIs" dxfId="8712" priority="10561" stopIfTrue="1" operator="equal">
      <formula>"Towel"</formula>
    </cfRule>
  </conditionalFormatting>
  <conditionalFormatting sqref="C65:C67">
    <cfRule type="cellIs" dxfId="8711" priority="10560" stopIfTrue="1" operator="equal">
      <formula>"Napkin Hs"</formula>
    </cfRule>
  </conditionalFormatting>
  <conditionalFormatting sqref="C65:C67">
    <cfRule type="cellIs" dxfId="8710" priority="10557" stopIfTrue="1" operator="equal">
      <formula>"Towel"</formula>
    </cfRule>
    <cfRule type="cellIs" dxfId="8709" priority="10558" stopIfTrue="1" operator="equal">
      <formula>"Napkin Hs"</formula>
    </cfRule>
  </conditionalFormatting>
  <conditionalFormatting sqref="C65:C67">
    <cfRule type="cellIs" dxfId="8708" priority="10559" stopIfTrue="1" operator="equal">
      <formula>"Towel"</formula>
    </cfRule>
  </conditionalFormatting>
  <conditionalFormatting sqref="C65:C67">
    <cfRule type="cellIs" dxfId="8707" priority="10663" stopIfTrue="1" operator="equal">
      <formula>"Towel"</formula>
    </cfRule>
    <cfRule type="cellIs" dxfId="8706" priority="10664" stopIfTrue="1" operator="equal">
      <formula>"Napkin Hs"</formula>
    </cfRule>
  </conditionalFormatting>
  <conditionalFormatting sqref="C65:C67">
    <cfRule type="cellIs" dxfId="8705" priority="10661" stopIfTrue="1" operator="equal">
      <formula>"Towel"</formula>
    </cfRule>
    <cfRule type="cellIs" dxfId="8704" priority="10662" stopIfTrue="1" operator="equal">
      <formula>"Napkin Hs"</formula>
    </cfRule>
  </conditionalFormatting>
  <conditionalFormatting sqref="C65:C67">
    <cfRule type="cellIs" dxfId="8703" priority="10659" stopIfTrue="1" operator="equal">
      <formula>"Towel"</formula>
    </cfRule>
    <cfRule type="cellIs" dxfId="8702" priority="10660" stopIfTrue="1" operator="equal">
      <formula>"Napkin Hs"</formula>
    </cfRule>
  </conditionalFormatting>
  <conditionalFormatting sqref="C65:C67">
    <cfRule type="cellIs" dxfId="8701" priority="10658" stopIfTrue="1" operator="equal">
      <formula>"Napkin Hs"</formula>
    </cfRule>
  </conditionalFormatting>
  <conditionalFormatting sqref="C65:C67">
    <cfRule type="cellIs" dxfId="8700" priority="10657" stopIfTrue="1" operator="equal">
      <formula>"Towel"</formula>
    </cfRule>
  </conditionalFormatting>
  <conditionalFormatting sqref="C65:C67">
    <cfRule type="cellIs" dxfId="8699" priority="10656" stopIfTrue="1" operator="equal">
      <formula>"Napkin Hs"</formula>
    </cfRule>
  </conditionalFormatting>
  <conditionalFormatting sqref="C65:C67">
    <cfRule type="cellIs" dxfId="8698" priority="10655" stopIfTrue="1" operator="equal">
      <formula>"Towel"</formula>
    </cfRule>
  </conditionalFormatting>
  <conditionalFormatting sqref="C65:C67">
    <cfRule type="cellIs" dxfId="8697" priority="10653" stopIfTrue="1" operator="equal">
      <formula>"Towel"</formula>
    </cfRule>
    <cfRule type="cellIs" dxfId="8696" priority="10654" stopIfTrue="1" operator="equal">
      <formula>"Napkin Hs"</formula>
    </cfRule>
  </conditionalFormatting>
  <conditionalFormatting sqref="C65:C67">
    <cfRule type="cellIs" dxfId="8695" priority="10651" stopIfTrue="1" operator="equal">
      <formula>"Towel"</formula>
    </cfRule>
    <cfRule type="cellIs" dxfId="8694" priority="10652" stopIfTrue="1" operator="equal">
      <formula>"Napkin Hs"</formula>
    </cfRule>
  </conditionalFormatting>
  <conditionalFormatting sqref="C65:C67">
    <cfRule type="cellIs" dxfId="8693" priority="10647" stopIfTrue="1" operator="equal">
      <formula>"Towel"</formula>
    </cfRule>
    <cfRule type="cellIs" dxfId="8692" priority="10648" stopIfTrue="1" operator="equal">
      <formula>"Napkin Hs"</formula>
    </cfRule>
  </conditionalFormatting>
  <conditionalFormatting sqref="C65:C67">
    <cfRule type="cellIs" dxfId="8691" priority="10649" stopIfTrue="1" operator="equal">
      <formula>"Towel"</formula>
    </cfRule>
    <cfRule type="cellIs" dxfId="8690" priority="10650" stopIfTrue="1" operator="equal">
      <formula>"Napkin Hs"</formula>
    </cfRule>
  </conditionalFormatting>
  <conditionalFormatting sqref="C65:C67">
    <cfRule type="cellIs" dxfId="8689" priority="10641" stopIfTrue="1" operator="equal">
      <formula>"Towel"</formula>
    </cfRule>
    <cfRule type="cellIs" dxfId="8688" priority="10642" stopIfTrue="1" operator="equal">
      <formula>"Napkin Hs"</formula>
    </cfRule>
  </conditionalFormatting>
  <conditionalFormatting sqref="C65:C67">
    <cfRule type="cellIs" dxfId="8687" priority="10639" stopIfTrue="1" operator="equal">
      <formula>"Towel"</formula>
    </cfRule>
    <cfRule type="cellIs" dxfId="8686" priority="10640" stopIfTrue="1" operator="equal">
      <formula>"Napkin Hs"</formula>
    </cfRule>
  </conditionalFormatting>
  <conditionalFormatting sqref="C65:C67">
    <cfRule type="cellIs" dxfId="8685" priority="10637" stopIfTrue="1" operator="equal">
      <formula>"Towel"</formula>
    </cfRule>
    <cfRule type="cellIs" dxfId="8684" priority="10638" stopIfTrue="1" operator="equal">
      <formula>"Napkin Hs"</formula>
    </cfRule>
  </conditionalFormatting>
  <conditionalFormatting sqref="C65:C67">
    <cfRule type="cellIs" dxfId="8683" priority="10635" stopIfTrue="1" operator="equal">
      <formula>"Towel"</formula>
    </cfRule>
    <cfRule type="cellIs" dxfId="8682" priority="10636" stopIfTrue="1" operator="equal">
      <formula>"Napkin Hs"</formula>
    </cfRule>
  </conditionalFormatting>
  <conditionalFormatting sqref="C65:C67">
    <cfRule type="cellIs" dxfId="8681" priority="10633" stopIfTrue="1" operator="equal">
      <formula>"Towel"</formula>
    </cfRule>
    <cfRule type="cellIs" dxfId="8680" priority="10634" stopIfTrue="1" operator="equal">
      <formula>"Napkin Hs"</formula>
    </cfRule>
  </conditionalFormatting>
  <conditionalFormatting sqref="C65:C67">
    <cfRule type="cellIs" dxfId="8679" priority="10631" stopIfTrue="1" operator="equal">
      <formula>"Towel"</formula>
    </cfRule>
    <cfRule type="cellIs" dxfId="8678" priority="10632" stopIfTrue="1" operator="equal">
      <formula>"Napkin Hs"</formula>
    </cfRule>
  </conditionalFormatting>
  <conditionalFormatting sqref="C65:C67">
    <cfRule type="cellIs" dxfId="8677" priority="10629" stopIfTrue="1" operator="equal">
      <formula>"Towel"</formula>
    </cfRule>
    <cfRule type="cellIs" dxfId="8676" priority="10630" stopIfTrue="1" operator="equal">
      <formula>"Napkin Hs"</formula>
    </cfRule>
  </conditionalFormatting>
  <conditionalFormatting sqref="C65:C67">
    <cfRule type="cellIs" dxfId="8675" priority="10627" stopIfTrue="1" operator="equal">
      <formula>"Towel"</formula>
    </cfRule>
    <cfRule type="cellIs" dxfId="8674" priority="10628" stopIfTrue="1" operator="equal">
      <formula>"Napkin Hs"</formula>
    </cfRule>
  </conditionalFormatting>
  <conditionalFormatting sqref="C65:C67">
    <cfRule type="cellIs" dxfId="8673" priority="10625" stopIfTrue="1" operator="equal">
      <formula>"Towel"</formula>
    </cfRule>
    <cfRule type="cellIs" dxfId="8672" priority="10626" stopIfTrue="1" operator="equal">
      <formula>"Napkin Hs"</formula>
    </cfRule>
  </conditionalFormatting>
  <conditionalFormatting sqref="C65:C67">
    <cfRule type="cellIs" dxfId="8671" priority="10623" stopIfTrue="1" operator="equal">
      <formula>"Towel"</formula>
    </cfRule>
    <cfRule type="cellIs" dxfId="8670" priority="10624" stopIfTrue="1" operator="equal">
      <formula>"Napkin Hs"</formula>
    </cfRule>
  </conditionalFormatting>
  <conditionalFormatting sqref="C65:C67">
    <cfRule type="cellIs" dxfId="8669" priority="10617" stopIfTrue="1" operator="equal">
      <formula>"Towel"</formula>
    </cfRule>
    <cfRule type="cellIs" dxfId="8668" priority="10618" stopIfTrue="1" operator="equal">
      <formula>"Napkin Hs"</formula>
    </cfRule>
  </conditionalFormatting>
  <conditionalFormatting sqref="C65:C67">
    <cfRule type="cellIs" dxfId="8667" priority="10611" stopIfTrue="1" operator="equal">
      <formula>"Towel"</formula>
    </cfRule>
    <cfRule type="cellIs" dxfId="8666" priority="10612" stopIfTrue="1" operator="equal">
      <formula>"Napkin Hs"</formula>
    </cfRule>
  </conditionalFormatting>
  <conditionalFormatting sqref="C65:C67">
    <cfRule type="cellIs" dxfId="8665" priority="10605" stopIfTrue="1" operator="equal">
      <formula>"Towel"</formula>
    </cfRule>
    <cfRule type="cellIs" dxfId="8664" priority="10606" stopIfTrue="1" operator="equal">
      <formula>"Napkin Hs"</formula>
    </cfRule>
  </conditionalFormatting>
  <conditionalFormatting sqref="C65:C67">
    <cfRule type="cellIs" dxfId="8663" priority="10604" stopIfTrue="1" operator="equal">
      <formula>"Napkin Hs"</formula>
    </cfRule>
  </conditionalFormatting>
  <conditionalFormatting sqref="C65:C67">
    <cfRule type="cellIs" dxfId="8662" priority="10603" stopIfTrue="1" operator="equal">
      <formula>"Towel"</formula>
    </cfRule>
  </conditionalFormatting>
  <conditionalFormatting sqref="C65:C67">
    <cfRule type="cellIs" dxfId="8661" priority="10602" stopIfTrue="1" operator="equal">
      <formula>"Napkin Hs"</formula>
    </cfRule>
  </conditionalFormatting>
  <conditionalFormatting sqref="C65:C67">
    <cfRule type="cellIs" dxfId="8660" priority="10601" stopIfTrue="1" operator="equal">
      <formula>"Towel"</formula>
    </cfRule>
  </conditionalFormatting>
  <conditionalFormatting sqref="C65:C67">
    <cfRule type="cellIs" dxfId="8659" priority="10599" stopIfTrue="1" operator="equal">
      <formula>"Towel"</formula>
    </cfRule>
    <cfRule type="cellIs" dxfId="8658" priority="10600" stopIfTrue="1" operator="equal">
      <formula>"Napkin Hs"</formula>
    </cfRule>
  </conditionalFormatting>
  <conditionalFormatting sqref="C65:C67">
    <cfRule type="cellIs" dxfId="8657" priority="10597" stopIfTrue="1" operator="equal">
      <formula>"Towel"</formula>
    </cfRule>
    <cfRule type="cellIs" dxfId="8656" priority="10598" stopIfTrue="1" operator="equal">
      <formula>"Napkin Hs"</formula>
    </cfRule>
  </conditionalFormatting>
  <conditionalFormatting sqref="C65:C67">
    <cfRule type="cellIs" dxfId="8655" priority="10595" stopIfTrue="1" operator="equal">
      <formula>"Towel"</formula>
    </cfRule>
    <cfRule type="cellIs" dxfId="8654" priority="10596" stopIfTrue="1" operator="equal">
      <formula>"Napkin Hs"</formula>
    </cfRule>
  </conditionalFormatting>
  <conditionalFormatting sqref="C65:C67">
    <cfRule type="cellIs" dxfId="8653" priority="10585" stopIfTrue="1" operator="equal">
      <formula>"Towel"</formula>
    </cfRule>
    <cfRule type="cellIs" dxfId="8652" priority="10586" stopIfTrue="1" operator="equal">
      <formula>"Napkin Hs"</formula>
    </cfRule>
  </conditionalFormatting>
  <conditionalFormatting sqref="C65:C67">
    <cfRule type="cellIs" dxfId="8651" priority="10583" stopIfTrue="1" operator="equal">
      <formula>"Towel"</formula>
    </cfRule>
    <cfRule type="cellIs" dxfId="8650" priority="10584" stopIfTrue="1" operator="equal">
      <formula>"Napkin Hs"</formula>
    </cfRule>
  </conditionalFormatting>
  <conditionalFormatting sqref="C65:C67">
    <cfRule type="cellIs" dxfId="8649" priority="10581" stopIfTrue="1" operator="equal">
      <formula>"Towel"</formula>
    </cfRule>
    <cfRule type="cellIs" dxfId="8648" priority="10582" stopIfTrue="1" operator="equal">
      <formula>"Napkin Hs"</formula>
    </cfRule>
  </conditionalFormatting>
  <conditionalFormatting sqref="C65:C67">
    <cfRule type="cellIs" dxfId="8647" priority="10579" stopIfTrue="1" operator="equal">
      <formula>"Towel"</formula>
    </cfRule>
    <cfRule type="cellIs" dxfId="8646" priority="10580" stopIfTrue="1" operator="equal">
      <formula>"Napkin Hs"</formula>
    </cfRule>
  </conditionalFormatting>
  <conditionalFormatting sqref="C65:C67">
    <cfRule type="cellIs" dxfId="8645" priority="10577" stopIfTrue="1" operator="equal">
      <formula>"Towel"</formula>
    </cfRule>
    <cfRule type="cellIs" dxfId="8644" priority="10578" stopIfTrue="1" operator="equal">
      <formula>"Napkin Hs"</formula>
    </cfRule>
  </conditionalFormatting>
  <conditionalFormatting sqref="C65:C67">
    <cfRule type="cellIs" dxfId="8643" priority="10575" stopIfTrue="1" operator="equal">
      <formula>"Towel"</formula>
    </cfRule>
    <cfRule type="cellIs" dxfId="8642" priority="10576" stopIfTrue="1" operator="equal">
      <formula>"Napkin Hs"</formula>
    </cfRule>
  </conditionalFormatting>
  <conditionalFormatting sqref="C65:C67">
    <cfRule type="cellIs" dxfId="8641" priority="10573" stopIfTrue="1" operator="equal">
      <formula>"Towel"</formula>
    </cfRule>
    <cfRule type="cellIs" dxfId="8640" priority="10574" stopIfTrue="1" operator="equal">
      <formula>"Napkin Hs"</formula>
    </cfRule>
  </conditionalFormatting>
  <conditionalFormatting sqref="C65:C67">
    <cfRule type="cellIs" dxfId="8639" priority="10571" stopIfTrue="1" operator="equal">
      <formula>"Towel"</formula>
    </cfRule>
    <cfRule type="cellIs" dxfId="8638" priority="10572" stopIfTrue="1" operator="equal">
      <formula>"Napkin Hs"</formula>
    </cfRule>
  </conditionalFormatting>
  <conditionalFormatting sqref="C65:C67">
    <cfRule type="cellIs" dxfId="8637" priority="10569" stopIfTrue="1" operator="equal">
      <formula>"Towel"</formula>
    </cfRule>
    <cfRule type="cellIs" dxfId="8636" priority="10570" stopIfTrue="1" operator="equal">
      <formula>"Napkin Hs"</formula>
    </cfRule>
  </conditionalFormatting>
  <conditionalFormatting sqref="C65:C67">
    <cfRule type="cellIs" dxfId="8635" priority="10556" stopIfTrue="1" operator="equal">
      <formula>"Napkin Hs"</formula>
    </cfRule>
  </conditionalFormatting>
  <conditionalFormatting sqref="C65:C67">
    <cfRule type="cellIs" dxfId="8634" priority="10555" stopIfTrue="1" operator="equal">
      <formula>"Towel"</formula>
    </cfRule>
  </conditionalFormatting>
  <conditionalFormatting sqref="C65:C67">
    <cfRule type="cellIs" dxfId="8633" priority="10554" stopIfTrue="1" operator="equal">
      <formula>"Napkin Hs"</formula>
    </cfRule>
  </conditionalFormatting>
  <conditionalFormatting sqref="C65:C67">
    <cfRule type="cellIs" dxfId="8632" priority="10551" stopIfTrue="1" operator="equal">
      <formula>"Towel"</formula>
    </cfRule>
    <cfRule type="cellIs" dxfId="8631" priority="10552" stopIfTrue="1" operator="equal">
      <formula>"Napkin Hs"</formula>
    </cfRule>
  </conditionalFormatting>
  <conditionalFormatting sqref="C65:C67">
    <cfRule type="cellIs" dxfId="8630" priority="10553" stopIfTrue="1" operator="equal">
      <formula>"Towel"</formula>
    </cfRule>
  </conditionalFormatting>
  <conditionalFormatting sqref="C65:C67">
    <cfRule type="cellIs" dxfId="8629" priority="10671" stopIfTrue="1" operator="equal">
      <formula>"Towel"</formula>
    </cfRule>
    <cfRule type="cellIs" dxfId="8628" priority="10672" stopIfTrue="1" operator="equal">
      <formula>"Napkin Hs"</formula>
    </cfRule>
  </conditionalFormatting>
  <conditionalFormatting sqref="C65:C67">
    <cfRule type="cellIs" dxfId="8627" priority="10670" stopIfTrue="1" operator="equal">
      <formula>"Napkin Hs"</formula>
    </cfRule>
  </conditionalFormatting>
  <conditionalFormatting sqref="C65:C67">
    <cfRule type="cellIs" dxfId="8626" priority="10669" stopIfTrue="1" operator="equal">
      <formula>"Towel"</formula>
    </cfRule>
  </conditionalFormatting>
  <conditionalFormatting sqref="C65:C67">
    <cfRule type="cellIs" dxfId="8625" priority="10668" stopIfTrue="1" operator="equal">
      <formula>"Napkin Hs"</formula>
    </cfRule>
  </conditionalFormatting>
  <conditionalFormatting sqref="C65:C67">
    <cfRule type="cellIs" dxfId="8624" priority="10665" stopIfTrue="1" operator="equal">
      <formula>"Towel"</formula>
    </cfRule>
    <cfRule type="cellIs" dxfId="8623" priority="10666" stopIfTrue="1" operator="equal">
      <formula>"Napkin Hs"</formula>
    </cfRule>
  </conditionalFormatting>
  <conditionalFormatting sqref="C65:C67">
    <cfRule type="cellIs" dxfId="8622" priority="10667" stopIfTrue="1" operator="equal">
      <formula>"Towel"</formula>
    </cfRule>
  </conditionalFormatting>
  <conditionalFormatting sqref="C65:C67">
    <cfRule type="cellIs" dxfId="8621" priority="10675" stopIfTrue="1" operator="equal">
      <formula>"Towel"</formula>
    </cfRule>
    <cfRule type="cellIs" dxfId="8620" priority="10676" stopIfTrue="1" operator="equal">
      <formula>"Napkin Hs"</formula>
    </cfRule>
  </conditionalFormatting>
  <conditionalFormatting sqref="C65:C67">
    <cfRule type="cellIs" dxfId="8619" priority="10673" stopIfTrue="1" operator="equal">
      <formula>"Towel"</formula>
    </cfRule>
    <cfRule type="cellIs" dxfId="8618" priority="10674" stopIfTrue="1" operator="equal">
      <formula>"Napkin Hs"</formula>
    </cfRule>
  </conditionalFormatting>
  <conditionalFormatting sqref="C65:C67">
    <cfRule type="cellIs" dxfId="8617" priority="10645" stopIfTrue="1" operator="equal">
      <formula>"Towel"</formula>
    </cfRule>
    <cfRule type="cellIs" dxfId="8616" priority="10646" stopIfTrue="1" operator="equal">
      <formula>"Napkin Hs"</formula>
    </cfRule>
  </conditionalFormatting>
  <conditionalFormatting sqref="C65:C67">
    <cfRule type="cellIs" dxfId="8615" priority="10643" stopIfTrue="1" operator="equal">
      <formula>"Towel"</formula>
    </cfRule>
    <cfRule type="cellIs" dxfId="8614" priority="10644" stopIfTrue="1" operator="equal">
      <formula>"Napkin Hs"</formula>
    </cfRule>
  </conditionalFormatting>
  <conditionalFormatting sqref="C65:C67">
    <cfRule type="cellIs" dxfId="8613" priority="10622" stopIfTrue="1" operator="equal">
      <formula>"Napkin Hs"</formula>
    </cfRule>
  </conditionalFormatting>
  <conditionalFormatting sqref="C65:C67">
    <cfRule type="cellIs" dxfId="8612" priority="10621" stopIfTrue="1" operator="equal">
      <formula>"Towel"</formula>
    </cfRule>
  </conditionalFormatting>
  <conditionalFormatting sqref="C65:C67">
    <cfRule type="cellIs" dxfId="8611" priority="10620" stopIfTrue="1" operator="equal">
      <formula>"Napkin Hs"</formula>
    </cfRule>
  </conditionalFormatting>
  <conditionalFormatting sqref="C65:C67">
    <cfRule type="cellIs" dxfId="8610" priority="10619" stopIfTrue="1" operator="equal">
      <formula>"Towel"</formula>
    </cfRule>
  </conditionalFormatting>
  <conditionalFormatting sqref="C65:C67">
    <cfRule type="cellIs" dxfId="8609" priority="10616" stopIfTrue="1" operator="equal">
      <formula>"Napkin Hs"</formula>
    </cfRule>
  </conditionalFormatting>
  <conditionalFormatting sqref="C65:C67">
    <cfRule type="cellIs" dxfId="8608" priority="10615" stopIfTrue="1" operator="equal">
      <formula>"Towel"</formula>
    </cfRule>
  </conditionalFormatting>
  <conditionalFormatting sqref="C65:C67">
    <cfRule type="cellIs" dxfId="8607" priority="10614" stopIfTrue="1" operator="equal">
      <formula>"Napkin Hs"</formula>
    </cfRule>
  </conditionalFormatting>
  <conditionalFormatting sqref="C65:C67">
    <cfRule type="cellIs" dxfId="8606" priority="10613" stopIfTrue="1" operator="equal">
      <formula>"Towel"</formula>
    </cfRule>
  </conditionalFormatting>
  <conditionalFormatting sqref="C65:C67">
    <cfRule type="cellIs" dxfId="8605" priority="10609" stopIfTrue="1" operator="equal">
      <formula>"Towel"</formula>
    </cfRule>
    <cfRule type="cellIs" dxfId="8604" priority="10610" stopIfTrue="1" operator="equal">
      <formula>"Napkin Hs"</formula>
    </cfRule>
  </conditionalFormatting>
  <conditionalFormatting sqref="C65:C67">
    <cfRule type="cellIs" dxfId="8603" priority="10607" stopIfTrue="1" operator="equal">
      <formula>"Towel"</formula>
    </cfRule>
    <cfRule type="cellIs" dxfId="8602" priority="10608" stopIfTrue="1" operator="equal">
      <formula>"Napkin Hs"</formula>
    </cfRule>
  </conditionalFormatting>
  <conditionalFormatting sqref="C65:C67">
    <cfRule type="cellIs" dxfId="8601" priority="10591" stopIfTrue="1" operator="equal">
      <formula>"Towel"</formula>
    </cfRule>
    <cfRule type="cellIs" dxfId="8600" priority="10592" stopIfTrue="1" operator="equal">
      <formula>"Napkin Hs"</formula>
    </cfRule>
  </conditionalFormatting>
  <conditionalFormatting sqref="C65:C67">
    <cfRule type="cellIs" dxfId="8599" priority="10589" stopIfTrue="1" operator="equal">
      <formula>"Towel"</formula>
    </cfRule>
    <cfRule type="cellIs" dxfId="8598" priority="10590" stopIfTrue="1" operator="equal">
      <formula>"Napkin Hs"</formula>
    </cfRule>
  </conditionalFormatting>
  <conditionalFormatting sqref="B65:C67">
    <cfRule type="cellIs" dxfId="8597" priority="10550" stopIfTrue="1" operator="equal">
      <formula>"Napkin Hs"</formula>
    </cfRule>
  </conditionalFormatting>
  <conditionalFormatting sqref="B65:C67">
    <cfRule type="cellIs" dxfId="8596" priority="10549" stopIfTrue="1" operator="equal">
      <formula>"Towel"</formula>
    </cfRule>
  </conditionalFormatting>
  <conditionalFormatting sqref="C65:C67">
    <cfRule type="cellIs" dxfId="8595" priority="10548" stopIfTrue="1" operator="equal">
      <formula>"Napkin Hs"</formula>
    </cfRule>
  </conditionalFormatting>
  <conditionalFormatting sqref="C65:C67">
    <cfRule type="cellIs" dxfId="8594" priority="10545" stopIfTrue="1" operator="equal">
      <formula>"Towel"</formula>
    </cfRule>
    <cfRule type="cellIs" dxfId="8593" priority="10546" stopIfTrue="1" operator="equal">
      <formula>"Napkin Hs"</formula>
    </cfRule>
  </conditionalFormatting>
  <conditionalFormatting sqref="C65:C67">
    <cfRule type="cellIs" dxfId="8592" priority="10547" stopIfTrue="1" operator="equal">
      <formula>"Towel"</formula>
    </cfRule>
  </conditionalFormatting>
  <conditionalFormatting sqref="B67:C67">
    <cfRule type="cellIs" dxfId="8591" priority="10544" stopIfTrue="1" operator="equal">
      <formula>"Napkin Hs"</formula>
    </cfRule>
  </conditionalFormatting>
  <conditionalFormatting sqref="B67:C67">
    <cfRule type="cellIs" dxfId="8590" priority="10543" stopIfTrue="1" operator="equal">
      <formula>"Towel"</formula>
    </cfRule>
  </conditionalFormatting>
  <conditionalFormatting sqref="B66:C66">
    <cfRule type="cellIs" dxfId="8589" priority="10539" stopIfTrue="1" operator="equal">
      <formula>"Towel"</formula>
    </cfRule>
    <cfRule type="cellIs" dxfId="8588" priority="10540" stopIfTrue="1" operator="equal">
      <formula>"Napkin Hs"</formula>
    </cfRule>
  </conditionalFormatting>
  <conditionalFormatting sqref="C67">
    <cfRule type="cellIs" dxfId="8587" priority="10542" stopIfTrue="1" operator="equal">
      <formula>"Napkin Hs"</formula>
    </cfRule>
  </conditionalFormatting>
  <conditionalFormatting sqref="C67">
    <cfRule type="cellIs" dxfId="8586" priority="10541" stopIfTrue="1" operator="equal">
      <formula>"Towel"</formula>
    </cfRule>
  </conditionalFormatting>
  <conditionalFormatting sqref="C66">
    <cfRule type="cellIs" dxfId="8585" priority="10537" stopIfTrue="1" operator="equal">
      <formula>"Towel"</formula>
    </cfRule>
    <cfRule type="cellIs" dxfId="8584" priority="10538" stopIfTrue="1" operator="equal">
      <formula>"Napkin Hs"</formula>
    </cfRule>
  </conditionalFormatting>
  <conditionalFormatting sqref="B68:C68">
    <cfRule type="cellIs" dxfId="8583" priority="10535" stopIfTrue="1" operator="equal">
      <formula>"Towel"</formula>
    </cfRule>
    <cfRule type="cellIs" dxfId="8582" priority="10536" stopIfTrue="1" operator="equal">
      <formula>"Napkin Hs"</formula>
    </cfRule>
  </conditionalFormatting>
  <conditionalFormatting sqref="C68">
    <cfRule type="cellIs" dxfId="8581" priority="10531" stopIfTrue="1" operator="equal">
      <formula>"Towel"</formula>
    </cfRule>
    <cfRule type="cellIs" dxfId="8580" priority="10532" stopIfTrue="1" operator="equal">
      <formula>"Napkin Hs"</formula>
    </cfRule>
  </conditionalFormatting>
  <conditionalFormatting sqref="C68">
    <cfRule type="cellIs" dxfId="8579" priority="10533" stopIfTrue="1" operator="equal">
      <formula>"Towel"</formula>
    </cfRule>
    <cfRule type="cellIs" dxfId="8578" priority="10534" stopIfTrue="1" operator="equal">
      <formula>"Napkin Hs"</formula>
    </cfRule>
  </conditionalFormatting>
  <conditionalFormatting sqref="B68:C68">
    <cfRule type="cellIs" dxfId="8577" priority="10530" stopIfTrue="1" operator="equal">
      <formula>"Napkin Hs"</formula>
    </cfRule>
  </conditionalFormatting>
  <conditionalFormatting sqref="B68:C68">
    <cfRule type="cellIs" dxfId="8576" priority="10529" stopIfTrue="1" operator="equal">
      <formula>"Towel"</formula>
    </cfRule>
  </conditionalFormatting>
  <conditionalFormatting sqref="C68">
    <cfRule type="cellIs" dxfId="8575" priority="10528" stopIfTrue="1" operator="equal">
      <formula>"Napkin Hs"</formula>
    </cfRule>
  </conditionalFormatting>
  <conditionalFormatting sqref="C68">
    <cfRule type="cellIs" dxfId="8574" priority="10527" stopIfTrue="1" operator="equal">
      <formula>"Towel"</formula>
    </cfRule>
  </conditionalFormatting>
  <conditionalFormatting sqref="C68">
    <cfRule type="cellIs" dxfId="8573" priority="10525" stopIfTrue="1" operator="equal">
      <formula>"Towel"</formula>
    </cfRule>
    <cfRule type="cellIs" dxfId="8572" priority="10526" stopIfTrue="1" operator="equal">
      <formula>"Napkin Hs"</formula>
    </cfRule>
  </conditionalFormatting>
  <conditionalFormatting sqref="B68:C68">
    <cfRule type="cellIs" dxfId="8571" priority="10523" stopIfTrue="1" operator="equal">
      <formula>"Towel"</formula>
    </cfRule>
    <cfRule type="cellIs" dxfId="8570" priority="10524" stopIfTrue="1" operator="equal">
      <formula>"Napkin Hs"</formula>
    </cfRule>
  </conditionalFormatting>
  <conditionalFormatting sqref="C68">
    <cfRule type="cellIs" dxfId="8569" priority="10521" stopIfTrue="1" operator="equal">
      <formula>"Towel"</formula>
    </cfRule>
    <cfRule type="cellIs" dxfId="8568" priority="10522" stopIfTrue="1" operator="equal">
      <formula>"Napkin Hs"</formula>
    </cfRule>
  </conditionalFormatting>
  <conditionalFormatting sqref="C68">
    <cfRule type="cellIs" dxfId="8567" priority="10519" stopIfTrue="1" operator="equal">
      <formula>"Towel"</formula>
    </cfRule>
    <cfRule type="cellIs" dxfId="8566" priority="10520" stopIfTrue="1" operator="equal">
      <formula>"Napkin Hs"</formula>
    </cfRule>
  </conditionalFormatting>
  <conditionalFormatting sqref="B68:C68">
    <cfRule type="cellIs" dxfId="8565" priority="10517" stopIfTrue="1" operator="equal">
      <formula>"Towel"</formula>
    </cfRule>
    <cfRule type="cellIs" dxfId="8564" priority="10518" stopIfTrue="1" operator="equal">
      <formula>"Napkin Hs"</formula>
    </cfRule>
  </conditionalFormatting>
  <conditionalFormatting sqref="C68">
    <cfRule type="cellIs" dxfId="8563" priority="10515" stopIfTrue="1" operator="equal">
      <formula>"Towel"</formula>
    </cfRule>
    <cfRule type="cellIs" dxfId="8562" priority="10516" stopIfTrue="1" operator="equal">
      <formula>"Napkin Hs"</formula>
    </cfRule>
  </conditionalFormatting>
  <conditionalFormatting sqref="C68">
    <cfRule type="cellIs" dxfId="8561" priority="10513" stopIfTrue="1" operator="equal">
      <formula>"Towel"</formula>
    </cfRule>
    <cfRule type="cellIs" dxfId="8560" priority="10514" stopIfTrue="1" operator="equal">
      <formula>"Napkin Hs"</formula>
    </cfRule>
  </conditionalFormatting>
  <conditionalFormatting sqref="B68:C68">
    <cfRule type="cellIs" dxfId="8559" priority="10511" stopIfTrue="1" operator="equal">
      <formula>"Towel"</formula>
    </cfRule>
    <cfRule type="cellIs" dxfId="8558" priority="10512" stopIfTrue="1" operator="equal">
      <formula>"Napkin Hs"</formula>
    </cfRule>
  </conditionalFormatting>
  <conditionalFormatting sqref="C68">
    <cfRule type="cellIs" dxfId="8557" priority="10509" stopIfTrue="1" operator="equal">
      <formula>"Towel"</formula>
    </cfRule>
    <cfRule type="cellIs" dxfId="8556" priority="10510" stopIfTrue="1" operator="equal">
      <formula>"Napkin Hs"</formula>
    </cfRule>
  </conditionalFormatting>
  <conditionalFormatting sqref="C68">
    <cfRule type="cellIs" dxfId="8555" priority="10507" stopIfTrue="1" operator="equal">
      <formula>"Towel"</formula>
    </cfRule>
    <cfRule type="cellIs" dxfId="8554" priority="10508" stopIfTrue="1" operator="equal">
      <formula>"Napkin Hs"</formula>
    </cfRule>
  </conditionalFormatting>
  <conditionalFormatting sqref="B68:C68">
    <cfRule type="cellIs" dxfId="8553" priority="10505" stopIfTrue="1" operator="equal">
      <formula>"Towel"</formula>
    </cfRule>
    <cfRule type="cellIs" dxfId="8552" priority="10506" stopIfTrue="1" operator="equal">
      <formula>"Napkin Hs"</formula>
    </cfRule>
  </conditionalFormatting>
  <conditionalFormatting sqref="C68">
    <cfRule type="cellIs" dxfId="8551" priority="10503" stopIfTrue="1" operator="equal">
      <formula>"Towel"</formula>
    </cfRule>
    <cfRule type="cellIs" dxfId="8550" priority="10504" stopIfTrue="1" operator="equal">
      <formula>"Napkin Hs"</formula>
    </cfRule>
  </conditionalFormatting>
  <conditionalFormatting sqref="C68">
    <cfRule type="cellIs" dxfId="8549" priority="10501" stopIfTrue="1" operator="equal">
      <formula>"Towel"</formula>
    </cfRule>
    <cfRule type="cellIs" dxfId="8548" priority="10502" stopIfTrue="1" operator="equal">
      <formula>"Napkin Hs"</formula>
    </cfRule>
  </conditionalFormatting>
  <conditionalFormatting sqref="B68:C68">
    <cfRule type="cellIs" dxfId="8547" priority="10499" stopIfTrue="1" operator="equal">
      <formula>"Towel"</formula>
    </cfRule>
    <cfRule type="cellIs" dxfId="8546" priority="10500" stopIfTrue="1" operator="equal">
      <formula>"Napkin Hs"</formula>
    </cfRule>
  </conditionalFormatting>
  <conditionalFormatting sqref="C68">
    <cfRule type="cellIs" dxfId="8545" priority="10497" stopIfTrue="1" operator="equal">
      <formula>"Towel"</formula>
    </cfRule>
    <cfRule type="cellIs" dxfId="8544" priority="10498" stopIfTrue="1" operator="equal">
      <formula>"Napkin Hs"</formula>
    </cfRule>
  </conditionalFormatting>
  <conditionalFormatting sqref="C68">
    <cfRule type="cellIs" dxfId="8543" priority="10495" stopIfTrue="1" operator="equal">
      <formula>"Towel"</formula>
    </cfRule>
    <cfRule type="cellIs" dxfId="8542" priority="10496" stopIfTrue="1" operator="equal">
      <formula>"Napkin Hs"</formula>
    </cfRule>
  </conditionalFormatting>
  <conditionalFormatting sqref="B68:C68">
    <cfRule type="cellIs" dxfId="8541" priority="10494" stopIfTrue="1" operator="equal">
      <formula>"Napkin Hs"</formula>
    </cfRule>
  </conditionalFormatting>
  <conditionalFormatting sqref="B68:C68">
    <cfRule type="cellIs" dxfId="8540" priority="10493" stopIfTrue="1" operator="equal">
      <formula>"Towel"</formula>
    </cfRule>
  </conditionalFormatting>
  <conditionalFormatting sqref="C68">
    <cfRule type="cellIs" dxfId="8539" priority="10492" stopIfTrue="1" operator="equal">
      <formula>"Napkin Hs"</formula>
    </cfRule>
  </conditionalFormatting>
  <conditionalFormatting sqref="C68">
    <cfRule type="cellIs" dxfId="8538" priority="10489" stopIfTrue="1" operator="equal">
      <formula>"Towel"</formula>
    </cfRule>
    <cfRule type="cellIs" dxfId="8537" priority="10490" stopIfTrue="1" operator="equal">
      <formula>"Napkin Hs"</formula>
    </cfRule>
  </conditionalFormatting>
  <conditionalFormatting sqref="C68">
    <cfRule type="cellIs" dxfId="8536" priority="10491" stopIfTrue="1" operator="equal">
      <formula>"Towel"</formula>
    </cfRule>
  </conditionalFormatting>
  <conditionalFormatting sqref="B68:C68">
    <cfRule type="cellIs" dxfId="8535" priority="10487" stopIfTrue="1" operator="equal">
      <formula>"Towel"</formula>
    </cfRule>
    <cfRule type="cellIs" dxfId="8534" priority="10488" stopIfTrue="1" operator="equal">
      <formula>"Napkin Hs"</formula>
    </cfRule>
  </conditionalFormatting>
  <conditionalFormatting sqref="C68">
    <cfRule type="cellIs" dxfId="8533" priority="10483" stopIfTrue="1" operator="equal">
      <formula>"Towel"</formula>
    </cfRule>
    <cfRule type="cellIs" dxfId="8532" priority="10484" stopIfTrue="1" operator="equal">
      <formula>"Napkin Hs"</formula>
    </cfRule>
  </conditionalFormatting>
  <conditionalFormatting sqref="C68">
    <cfRule type="cellIs" dxfId="8531" priority="10485" stopIfTrue="1" operator="equal">
      <formula>"Towel"</formula>
    </cfRule>
    <cfRule type="cellIs" dxfId="8530" priority="10486" stopIfTrue="1" operator="equal">
      <formula>"Napkin Hs"</formula>
    </cfRule>
  </conditionalFormatting>
  <conditionalFormatting sqref="B68:C68">
    <cfRule type="cellIs" dxfId="8529" priority="10481" stopIfTrue="1" operator="equal">
      <formula>"Towel"</formula>
    </cfRule>
    <cfRule type="cellIs" dxfId="8528" priority="10482" stopIfTrue="1" operator="equal">
      <formula>"Napkin Hs"</formula>
    </cfRule>
  </conditionalFormatting>
  <conditionalFormatting sqref="C68">
    <cfRule type="cellIs" dxfId="8527" priority="10477" stopIfTrue="1" operator="equal">
      <formula>"Towel"</formula>
    </cfRule>
    <cfRule type="cellIs" dxfId="8526" priority="10478" stopIfTrue="1" operator="equal">
      <formula>"Napkin Hs"</formula>
    </cfRule>
  </conditionalFormatting>
  <conditionalFormatting sqref="C68">
    <cfRule type="cellIs" dxfId="8525" priority="10479" stopIfTrue="1" operator="equal">
      <formula>"Towel"</formula>
    </cfRule>
    <cfRule type="cellIs" dxfId="8524" priority="10480" stopIfTrue="1" operator="equal">
      <formula>"Napkin Hs"</formula>
    </cfRule>
  </conditionalFormatting>
  <conditionalFormatting sqref="B68:C68">
    <cfRule type="cellIs" dxfId="8523" priority="10475" stopIfTrue="1" operator="equal">
      <formula>"Towel"</formula>
    </cfRule>
    <cfRule type="cellIs" dxfId="8522" priority="10476" stopIfTrue="1" operator="equal">
      <formula>"Napkin Hs"</formula>
    </cfRule>
  </conditionalFormatting>
  <conditionalFormatting sqref="C68">
    <cfRule type="cellIs" dxfId="8521" priority="10473" stopIfTrue="1" operator="equal">
      <formula>"Towel"</formula>
    </cfRule>
    <cfRule type="cellIs" dxfId="8520" priority="10474" stopIfTrue="1" operator="equal">
      <formula>"Napkin Hs"</formula>
    </cfRule>
  </conditionalFormatting>
  <conditionalFormatting sqref="C68">
    <cfRule type="cellIs" dxfId="8519" priority="10471" stopIfTrue="1" operator="equal">
      <formula>"Towel"</formula>
    </cfRule>
    <cfRule type="cellIs" dxfId="8518" priority="10472" stopIfTrue="1" operator="equal">
      <formula>"Napkin Hs"</formula>
    </cfRule>
  </conditionalFormatting>
  <conditionalFormatting sqref="B68:C68">
    <cfRule type="cellIs" dxfId="8517" priority="10470" stopIfTrue="1" operator="equal">
      <formula>"Napkin Hs"</formula>
    </cfRule>
  </conditionalFormatting>
  <conditionalFormatting sqref="B68:C68">
    <cfRule type="cellIs" dxfId="8516" priority="10469" stopIfTrue="1" operator="equal">
      <formula>"Towel"</formula>
    </cfRule>
  </conditionalFormatting>
  <conditionalFormatting sqref="C68">
    <cfRule type="cellIs" dxfId="8515" priority="10468" stopIfTrue="1" operator="equal">
      <formula>"Napkin Hs"</formula>
    </cfRule>
  </conditionalFormatting>
  <conditionalFormatting sqref="C68">
    <cfRule type="cellIs" dxfId="8514" priority="10467" stopIfTrue="1" operator="equal">
      <formula>"Towel"</formula>
    </cfRule>
  </conditionalFormatting>
  <conditionalFormatting sqref="C68">
    <cfRule type="cellIs" dxfId="8513" priority="10465" stopIfTrue="1" operator="equal">
      <formula>"Towel"</formula>
    </cfRule>
    <cfRule type="cellIs" dxfId="8512" priority="10466" stopIfTrue="1" operator="equal">
      <formula>"Napkin Hs"</formula>
    </cfRule>
  </conditionalFormatting>
  <conditionalFormatting sqref="C68">
    <cfRule type="cellIs" dxfId="8511" priority="10463" stopIfTrue="1" operator="equal">
      <formula>"Towel"</formula>
    </cfRule>
    <cfRule type="cellIs" dxfId="8510" priority="10464" stopIfTrue="1" operator="equal">
      <formula>"Napkin Hs"</formula>
    </cfRule>
  </conditionalFormatting>
  <conditionalFormatting sqref="C68">
    <cfRule type="cellIs" dxfId="8509" priority="10379" stopIfTrue="1" operator="equal">
      <formula>"Towel"</formula>
    </cfRule>
    <cfRule type="cellIs" dxfId="8508" priority="10380" stopIfTrue="1" operator="equal">
      <formula>"Napkin Hs"</formula>
    </cfRule>
  </conditionalFormatting>
  <conditionalFormatting sqref="C68">
    <cfRule type="cellIs" dxfId="8507" priority="10373" stopIfTrue="1" operator="equal">
      <formula>"Towel"</formula>
    </cfRule>
    <cfRule type="cellIs" dxfId="8506" priority="10374" stopIfTrue="1" operator="equal">
      <formula>"Napkin Hs"</formula>
    </cfRule>
  </conditionalFormatting>
  <conditionalFormatting sqref="C68">
    <cfRule type="cellIs" dxfId="8505" priority="10354" stopIfTrue="1" operator="equal">
      <formula>"Napkin Hs"</formula>
    </cfRule>
  </conditionalFormatting>
  <conditionalFormatting sqref="C68">
    <cfRule type="cellIs" dxfId="8504" priority="10353" stopIfTrue="1" operator="equal">
      <formula>"Towel"</formula>
    </cfRule>
  </conditionalFormatting>
  <conditionalFormatting sqref="C68">
    <cfRule type="cellIs" dxfId="8503" priority="10352" stopIfTrue="1" operator="equal">
      <formula>"Napkin Hs"</formula>
    </cfRule>
  </conditionalFormatting>
  <conditionalFormatting sqref="C68">
    <cfRule type="cellIs" dxfId="8502" priority="10349" stopIfTrue="1" operator="equal">
      <formula>"Towel"</formula>
    </cfRule>
    <cfRule type="cellIs" dxfId="8501" priority="10350" stopIfTrue="1" operator="equal">
      <formula>"Napkin Hs"</formula>
    </cfRule>
  </conditionalFormatting>
  <conditionalFormatting sqref="C68">
    <cfRule type="cellIs" dxfId="8500" priority="10351" stopIfTrue="1" operator="equal">
      <formula>"Towel"</formula>
    </cfRule>
  </conditionalFormatting>
  <conditionalFormatting sqref="C68">
    <cfRule type="cellIs" dxfId="8499" priority="10348" stopIfTrue="1" operator="equal">
      <formula>"Napkin Hs"</formula>
    </cfRule>
  </conditionalFormatting>
  <conditionalFormatting sqref="C68">
    <cfRule type="cellIs" dxfId="8498" priority="10347" stopIfTrue="1" operator="equal">
      <formula>"Towel"</formula>
    </cfRule>
  </conditionalFormatting>
  <conditionalFormatting sqref="C68">
    <cfRule type="cellIs" dxfId="8497" priority="10346" stopIfTrue="1" operator="equal">
      <formula>"Napkin Hs"</formula>
    </cfRule>
  </conditionalFormatting>
  <conditionalFormatting sqref="C68">
    <cfRule type="cellIs" dxfId="8496" priority="10343" stopIfTrue="1" operator="equal">
      <formula>"Towel"</formula>
    </cfRule>
    <cfRule type="cellIs" dxfId="8495" priority="10344" stopIfTrue="1" operator="equal">
      <formula>"Napkin Hs"</formula>
    </cfRule>
  </conditionalFormatting>
  <conditionalFormatting sqref="C68">
    <cfRule type="cellIs" dxfId="8494" priority="10345" stopIfTrue="1" operator="equal">
      <formula>"Towel"</formula>
    </cfRule>
  </conditionalFormatting>
  <conditionalFormatting sqref="C68">
    <cfRule type="cellIs" dxfId="8493" priority="10449" stopIfTrue="1" operator="equal">
      <formula>"Towel"</formula>
    </cfRule>
    <cfRule type="cellIs" dxfId="8492" priority="10450" stopIfTrue="1" operator="equal">
      <formula>"Napkin Hs"</formula>
    </cfRule>
  </conditionalFormatting>
  <conditionalFormatting sqref="C68">
    <cfRule type="cellIs" dxfId="8491" priority="10447" stopIfTrue="1" operator="equal">
      <formula>"Towel"</formula>
    </cfRule>
    <cfRule type="cellIs" dxfId="8490" priority="10448" stopIfTrue="1" operator="equal">
      <formula>"Napkin Hs"</formula>
    </cfRule>
  </conditionalFormatting>
  <conditionalFormatting sqref="C68">
    <cfRule type="cellIs" dxfId="8489" priority="10445" stopIfTrue="1" operator="equal">
      <formula>"Towel"</formula>
    </cfRule>
    <cfRule type="cellIs" dxfId="8488" priority="10446" stopIfTrue="1" operator="equal">
      <formula>"Napkin Hs"</formula>
    </cfRule>
  </conditionalFormatting>
  <conditionalFormatting sqref="C68">
    <cfRule type="cellIs" dxfId="8487" priority="10444" stopIfTrue="1" operator="equal">
      <formula>"Napkin Hs"</formula>
    </cfRule>
  </conditionalFormatting>
  <conditionalFormatting sqref="C68">
    <cfRule type="cellIs" dxfId="8486" priority="10443" stopIfTrue="1" operator="equal">
      <formula>"Towel"</formula>
    </cfRule>
  </conditionalFormatting>
  <conditionalFormatting sqref="C68">
    <cfRule type="cellIs" dxfId="8485" priority="10442" stopIfTrue="1" operator="equal">
      <formula>"Napkin Hs"</formula>
    </cfRule>
  </conditionalFormatting>
  <conditionalFormatting sqref="C68">
    <cfRule type="cellIs" dxfId="8484" priority="10441" stopIfTrue="1" operator="equal">
      <formula>"Towel"</formula>
    </cfRule>
  </conditionalFormatting>
  <conditionalFormatting sqref="C68">
    <cfRule type="cellIs" dxfId="8483" priority="10439" stopIfTrue="1" operator="equal">
      <formula>"Towel"</formula>
    </cfRule>
    <cfRule type="cellIs" dxfId="8482" priority="10440" stopIfTrue="1" operator="equal">
      <formula>"Napkin Hs"</formula>
    </cfRule>
  </conditionalFormatting>
  <conditionalFormatting sqref="C68">
    <cfRule type="cellIs" dxfId="8481" priority="10437" stopIfTrue="1" operator="equal">
      <formula>"Towel"</formula>
    </cfRule>
    <cfRule type="cellIs" dxfId="8480" priority="10438" stopIfTrue="1" operator="equal">
      <formula>"Napkin Hs"</formula>
    </cfRule>
  </conditionalFormatting>
  <conditionalFormatting sqref="C68">
    <cfRule type="cellIs" dxfId="8479" priority="10433" stopIfTrue="1" operator="equal">
      <formula>"Towel"</formula>
    </cfRule>
    <cfRule type="cellIs" dxfId="8478" priority="10434" stopIfTrue="1" operator="equal">
      <formula>"Napkin Hs"</formula>
    </cfRule>
  </conditionalFormatting>
  <conditionalFormatting sqref="C68">
    <cfRule type="cellIs" dxfId="8477" priority="10435" stopIfTrue="1" operator="equal">
      <formula>"Towel"</formula>
    </cfRule>
    <cfRule type="cellIs" dxfId="8476" priority="10436" stopIfTrue="1" operator="equal">
      <formula>"Napkin Hs"</formula>
    </cfRule>
  </conditionalFormatting>
  <conditionalFormatting sqref="C68">
    <cfRule type="cellIs" dxfId="8475" priority="10427" stopIfTrue="1" operator="equal">
      <formula>"Towel"</formula>
    </cfRule>
    <cfRule type="cellIs" dxfId="8474" priority="10428" stopIfTrue="1" operator="equal">
      <formula>"Napkin Hs"</formula>
    </cfRule>
  </conditionalFormatting>
  <conditionalFormatting sqref="C68">
    <cfRule type="cellIs" dxfId="8473" priority="10425" stopIfTrue="1" operator="equal">
      <formula>"Towel"</formula>
    </cfRule>
    <cfRule type="cellIs" dxfId="8472" priority="10426" stopIfTrue="1" operator="equal">
      <formula>"Napkin Hs"</formula>
    </cfRule>
  </conditionalFormatting>
  <conditionalFormatting sqref="C68">
    <cfRule type="cellIs" dxfId="8471" priority="10423" stopIfTrue="1" operator="equal">
      <formula>"Towel"</formula>
    </cfRule>
    <cfRule type="cellIs" dxfId="8470" priority="10424" stopIfTrue="1" operator="equal">
      <formula>"Napkin Hs"</formula>
    </cfRule>
  </conditionalFormatting>
  <conditionalFormatting sqref="C68">
    <cfRule type="cellIs" dxfId="8469" priority="10421" stopIfTrue="1" operator="equal">
      <formula>"Towel"</formula>
    </cfRule>
    <cfRule type="cellIs" dxfId="8468" priority="10422" stopIfTrue="1" operator="equal">
      <formula>"Napkin Hs"</formula>
    </cfRule>
  </conditionalFormatting>
  <conditionalFormatting sqref="C68">
    <cfRule type="cellIs" dxfId="8467" priority="10419" stopIfTrue="1" operator="equal">
      <formula>"Towel"</formula>
    </cfRule>
    <cfRule type="cellIs" dxfId="8466" priority="10420" stopIfTrue="1" operator="equal">
      <formula>"Napkin Hs"</formula>
    </cfRule>
  </conditionalFormatting>
  <conditionalFormatting sqref="C68">
    <cfRule type="cellIs" dxfId="8465" priority="10417" stopIfTrue="1" operator="equal">
      <formula>"Towel"</formula>
    </cfRule>
    <cfRule type="cellIs" dxfId="8464" priority="10418" stopIfTrue="1" operator="equal">
      <formula>"Napkin Hs"</formula>
    </cfRule>
  </conditionalFormatting>
  <conditionalFormatting sqref="C68">
    <cfRule type="cellIs" dxfId="8463" priority="10415" stopIfTrue="1" operator="equal">
      <formula>"Towel"</formula>
    </cfRule>
    <cfRule type="cellIs" dxfId="8462" priority="10416" stopIfTrue="1" operator="equal">
      <formula>"Napkin Hs"</formula>
    </cfRule>
  </conditionalFormatting>
  <conditionalFormatting sqref="C68">
    <cfRule type="cellIs" dxfId="8461" priority="10413" stopIfTrue="1" operator="equal">
      <formula>"Towel"</formula>
    </cfRule>
    <cfRule type="cellIs" dxfId="8460" priority="10414" stopIfTrue="1" operator="equal">
      <formula>"Napkin Hs"</formula>
    </cfRule>
  </conditionalFormatting>
  <conditionalFormatting sqref="C68">
    <cfRule type="cellIs" dxfId="8459" priority="10411" stopIfTrue="1" operator="equal">
      <formula>"Towel"</formula>
    </cfRule>
    <cfRule type="cellIs" dxfId="8458" priority="10412" stopIfTrue="1" operator="equal">
      <formula>"Napkin Hs"</formula>
    </cfRule>
  </conditionalFormatting>
  <conditionalFormatting sqref="C68">
    <cfRule type="cellIs" dxfId="8457" priority="10409" stopIfTrue="1" operator="equal">
      <formula>"Towel"</formula>
    </cfRule>
    <cfRule type="cellIs" dxfId="8456" priority="10410" stopIfTrue="1" operator="equal">
      <formula>"Napkin Hs"</formula>
    </cfRule>
  </conditionalFormatting>
  <conditionalFormatting sqref="C68">
    <cfRule type="cellIs" dxfId="8455" priority="10403" stopIfTrue="1" operator="equal">
      <formula>"Towel"</formula>
    </cfRule>
    <cfRule type="cellIs" dxfId="8454" priority="10404" stopIfTrue="1" operator="equal">
      <formula>"Napkin Hs"</formula>
    </cfRule>
  </conditionalFormatting>
  <conditionalFormatting sqref="C68">
    <cfRule type="cellIs" dxfId="8453" priority="10397" stopIfTrue="1" operator="equal">
      <formula>"Towel"</formula>
    </cfRule>
    <cfRule type="cellIs" dxfId="8452" priority="10398" stopIfTrue="1" operator="equal">
      <formula>"Napkin Hs"</formula>
    </cfRule>
  </conditionalFormatting>
  <conditionalFormatting sqref="C68">
    <cfRule type="cellIs" dxfId="8451" priority="10391" stopIfTrue="1" operator="equal">
      <formula>"Towel"</formula>
    </cfRule>
    <cfRule type="cellIs" dxfId="8450" priority="10392" stopIfTrue="1" operator="equal">
      <formula>"Napkin Hs"</formula>
    </cfRule>
  </conditionalFormatting>
  <conditionalFormatting sqref="C68">
    <cfRule type="cellIs" dxfId="8449" priority="10390" stopIfTrue="1" operator="equal">
      <formula>"Napkin Hs"</formula>
    </cfRule>
  </conditionalFormatting>
  <conditionalFormatting sqref="C68">
    <cfRule type="cellIs" dxfId="8448" priority="10389" stopIfTrue="1" operator="equal">
      <formula>"Towel"</formula>
    </cfRule>
  </conditionalFormatting>
  <conditionalFormatting sqref="C68">
    <cfRule type="cellIs" dxfId="8447" priority="10388" stopIfTrue="1" operator="equal">
      <formula>"Napkin Hs"</formula>
    </cfRule>
  </conditionalFormatting>
  <conditionalFormatting sqref="C68">
    <cfRule type="cellIs" dxfId="8446" priority="10387" stopIfTrue="1" operator="equal">
      <formula>"Towel"</formula>
    </cfRule>
  </conditionalFormatting>
  <conditionalFormatting sqref="C68">
    <cfRule type="cellIs" dxfId="8445" priority="10385" stopIfTrue="1" operator="equal">
      <formula>"Towel"</formula>
    </cfRule>
    <cfRule type="cellIs" dxfId="8444" priority="10386" stopIfTrue="1" operator="equal">
      <formula>"Napkin Hs"</formula>
    </cfRule>
  </conditionalFormatting>
  <conditionalFormatting sqref="C68">
    <cfRule type="cellIs" dxfId="8443" priority="10383" stopIfTrue="1" operator="equal">
      <formula>"Towel"</formula>
    </cfRule>
    <cfRule type="cellIs" dxfId="8442" priority="10384" stopIfTrue="1" operator="equal">
      <formula>"Napkin Hs"</formula>
    </cfRule>
  </conditionalFormatting>
  <conditionalFormatting sqref="C68">
    <cfRule type="cellIs" dxfId="8441" priority="10381" stopIfTrue="1" operator="equal">
      <formula>"Towel"</formula>
    </cfRule>
    <cfRule type="cellIs" dxfId="8440" priority="10382" stopIfTrue="1" operator="equal">
      <formula>"Napkin Hs"</formula>
    </cfRule>
  </conditionalFormatting>
  <conditionalFormatting sqref="C68">
    <cfRule type="cellIs" dxfId="8439" priority="10371" stopIfTrue="1" operator="equal">
      <formula>"Towel"</formula>
    </cfRule>
    <cfRule type="cellIs" dxfId="8438" priority="10372" stopIfTrue="1" operator="equal">
      <formula>"Napkin Hs"</formula>
    </cfRule>
  </conditionalFormatting>
  <conditionalFormatting sqref="C68">
    <cfRule type="cellIs" dxfId="8437" priority="10369" stopIfTrue="1" operator="equal">
      <formula>"Towel"</formula>
    </cfRule>
    <cfRule type="cellIs" dxfId="8436" priority="10370" stopIfTrue="1" operator="equal">
      <formula>"Napkin Hs"</formula>
    </cfRule>
  </conditionalFormatting>
  <conditionalFormatting sqref="C68">
    <cfRule type="cellIs" dxfId="8435" priority="10367" stopIfTrue="1" operator="equal">
      <formula>"Towel"</formula>
    </cfRule>
    <cfRule type="cellIs" dxfId="8434" priority="10368" stopIfTrue="1" operator="equal">
      <formula>"Napkin Hs"</formula>
    </cfRule>
  </conditionalFormatting>
  <conditionalFormatting sqref="C68">
    <cfRule type="cellIs" dxfId="8433" priority="10365" stopIfTrue="1" operator="equal">
      <formula>"Towel"</formula>
    </cfRule>
    <cfRule type="cellIs" dxfId="8432" priority="10366" stopIfTrue="1" operator="equal">
      <formula>"Napkin Hs"</formula>
    </cfRule>
  </conditionalFormatting>
  <conditionalFormatting sqref="C68">
    <cfRule type="cellIs" dxfId="8431" priority="10363" stopIfTrue="1" operator="equal">
      <formula>"Towel"</formula>
    </cfRule>
    <cfRule type="cellIs" dxfId="8430" priority="10364" stopIfTrue="1" operator="equal">
      <formula>"Napkin Hs"</formula>
    </cfRule>
  </conditionalFormatting>
  <conditionalFormatting sqref="C68">
    <cfRule type="cellIs" dxfId="8429" priority="10361" stopIfTrue="1" operator="equal">
      <formula>"Towel"</formula>
    </cfRule>
    <cfRule type="cellIs" dxfId="8428" priority="10362" stopIfTrue="1" operator="equal">
      <formula>"Napkin Hs"</formula>
    </cfRule>
  </conditionalFormatting>
  <conditionalFormatting sqref="C68">
    <cfRule type="cellIs" dxfId="8427" priority="10359" stopIfTrue="1" operator="equal">
      <formula>"Towel"</formula>
    </cfRule>
    <cfRule type="cellIs" dxfId="8426" priority="10360" stopIfTrue="1" operator="equal">
      <formula>"Napkin Hs"</formula>
    </cfRule>
  </conditionalFormatting>
  <conditionalFormatting sqref="C68">
    <cfRule type="cellIs" dxfId="8425" priority="10357" stopIfTrue="1" operator="equal">
      <formula>"Towel"</formula>
    </cfRule>
    <cfRule type="cellIs" dxfId="8424" priority="10358" stopIfTrue="1" operator="equal">
      <formula>"Napkin Hs"</formula>
    </cfRule>
  </conditionalFormatting>
  <conditionalFormatting sqref="C68">
    <cfRule type="cellIs" dxfId="8423" priority="10355" stopIfTrue="1" operator="equal">
      <formula>"Towel"</formula>
    </cfRule>
    <cfRule type="cellIs" dxfId="8422" priority="10356" stopIfTrue="1" operator="equal">
      <formula>"Napkin Hs"</formula>
    </cfRule>
  </conditionalFormatting>
  <conditionalFormatting sqref="C68">
    <cfRule type="cellIs" dxfId="8421" priority="10342" stopIfTrue="1" operator="equal">
      <formula>"Napkin Hs"</formula>
    </cfRule>
  </conditionalFormatting>
  <conditionalFormatting sqref="C68">
    <cfRule type="cellIs" dxfId="8420" priority="10341" stopIfTrue="1" operator="equal">
      <formula>"Towel"</formula>
    </cfRule>
  </conditionalFormatting>
  <conditionalFormatting sqref="C68">
    <cfRule type="cellIs" dxfId="8419" priority="10340" stopIfTrue="1" operator="equal">
      <formula>"Napkin Hs"</formula>
    </cfRule>
  </conditionalFormatting>
  <conditionalFormatting sqref="C68">
    <cfRule type="cellIs" dxfId="8418" priority="10337" stopIfTrue="1" operator="equal">
      <formula>"Towel"</formula>
    </cfRule>
    <cfRule type="cellIs" dxfId="8417" priority="10338" stopIfTrue="1" operator="equal">
      <formula>"Napkin Hs"</formula>
    </cfRule>
  </conditionalFormatting>
  <conditionalFormatting sqref="C68">
    <cfRule type="cellIs" dxfId="8416" priority="10339" stopIfTrue="1" operator="equal">
      <formula>"Towel"</formula>
    </cfRule>
  </conditionalFormatting>
  <conditionalFormatting sqref="C68">
    <cfRule type="cellIs" dxfId="8415" priority="10457" stopIfTrue="1" operator="equal">
      <formula>"Towel"</formula>
    </cfRule>
    <cfRule type="cellIs" dxfId="8414" priority="10458" stopIfTrue="1" operator="equal">
      <formula>"Napkin Hs"</formula>
    </cfRule>
  </conditionalFormatting>
  <conditionalFormatting sqref="C68">
    <cfRule type="cellIs" dxfId="8413" priority="10456" stopIfTrue="1" operator="equal">
      <formula>"Napkin Hs"</formula>
    </cfRule>
  </conditionalFormatting>
  <conditionalFormatting sqref="C68">
    <cfRule type="cellIs" dxfId="8412" priority="10455" stopIfTrue="1" operator="equal">
      <formula>"Towel"</formula>
    </cfRule>
  </conditionalFormatting>
  <conditionalFormatting sqref="C68">
    <cfRule type="cellIs" dxfId="8411" priority="10454" stopIfTrue="1" operator="equal">
      <formula>"Napkin Hs"</formula>
    </cfRule>
  </conditionalFormatting>
  <conditionalFormatting sqref="C68">
    <cfRule type="cellIs" dxfId="8410" priority="10451" stopIfTrue="1" operator="equal">
      <formula>"Towel"</formula>
    </cfRule>
    <cfRule type="cellIs" dxfId="8409" priority="10452" stopIfTrue="1" operator="equal">
      <formula>"Napkin Hs"</formula>
    </cfRule>
  </conditionalFormatting>
  <conditionalFormatting sqref="C68">
    <cfRule type="cellIs" dxfId="8408" priority="10453" stopIfTrue="1" operator="equal">
      <formula>"Towel"</formula>
    </cfRule>
  </conditionalFormatting>
  <conditionalFormatting sqref="C68">
    <cfRule type="cellIs" dxfId="8407" priority="10461" stopIfTrue="1" operator="equal">
      <formula>"Towel"</formula>
    </cfRule>
    <cfRule type="cellIs" dxfId="8406" priority="10462" stopIfTrue="1" operator="equal">
      <formula>"Napkin Hs"</formula>
    </cfRule>
  </conditionalFormatting>
  <conditionalFormatting sqref="C68">
    <cfRule type="cellIs" dxfId="8405" priority="10459" stopIfTrue="1" operator="equal">
      <formula>"Towel"</formula>
    </cfRule>
    <cfRule type="cellIs" dxfId="8404" priority="10460" stopIfTrue="1" operator="equal">
      <formula>"Napkin Hs"</formula>
    </cfRule>
  </conditionalFormatting>
  <conditionalFormatting sqref="C68">
    <cfRule type="cellIs" dxfId="8403" priority="10431" stopIfTrue="1" operator="equal">
      <formula>"Towel"</formula>
    </cfRule>
    <cfRule type="cellIs" dxfId="8402" priority="10432" stopIfTrue="1" operator="equal">
      <formula>"Napkin Hs"</formula>
    </cfRule>
  </conditionalFormatting>
  <conditionalFormatting sqref="C68">
    <cfRule type="cellIs" dxfId="8401" priority="10429" stopIfTrue="1" operator="equal">
      <formula>"Towel"</formula>
    </cfRule>
    <cfRule type="cellIs" dxfId="8400" priority="10430" stopIfTrue="1" operator="equal">
      <formula>"Napkin Hs"</formula>
    </cfRule>
  </conditionalFormatting>
  <conditionalFormatting sqref="C68">
    <cfRule type="cellIs" dxfId="8399" priority="10408" stopIfTrue="1" operator="equal">
      <formula>"Napkin Hs"</formula>
    </cfRule>
  </conditionalFormatting>
  <conditionalFormatting sqref="C68">
    <cfRule type="cellIs" dxfId="8398" priority="10407" stopIfTrue="1" operator="equal">
      <formula>"Towel"</formula>
    </cfRule>
  </conditionalFormatting>
  <conditionalFormatting sqref="C68">
    <cfRule type="cellIs" dxfId="8397" priority="10406" stopIfTrue="1" operator="equal">
      <formula>"Napkin Hs"</formula>
    </cfRule>
  </conditionalFormatting>
  <conditionalFormatting sqref="C68">
    <cfRule type="cellIs" dxfId="8396" priority="10405" stopIfTrue="1" operator="equal">
      <formula>"Towel"</formula>
    </cfRule>
  </conditionalFormatting>
  <conditionalFormatting sqref="C68">
    <cfRule type="cellIs" dxfId="8395" priority="10402" stopIfTrue="1" operator="equal">
      <formula>"Napkin Hs"</formula>
    </cfRule>
  </conditionalFormatting>
  <conditionalFormatting sqref="C68">
    <cfRule type="cellIs" dxfId="8394" priority="10401" stopIfTrue="1" operator="equal">
      <formula>"Towel"</formula>
    </cfRule>
  </conditionalFormatting>
  <conditionalFormatting sqref="C68">
    <cfRule type="cellIs" dxfId="8393" priority="10400" stopIfTrue="1" operator="equal">
      <formula>"Napkin Hs"</formula>
    </cfRule>
  </conditionalFormatting>
  <conditionalFormatting sqref="C68">
    <cfRule type="cellIs" dxfId="8392" priority="10399" stopIfTrue="1" operator="equal">
      <formula>"Towel"</formula>
    </cfRule>
  </conditionalFormatting>
  <conditionalFormatting sqref="C68">
    <cfRule type="cellIs" dxfId="8391" priority="10395" stopIfTrue="1" operator="equal">
      <formula>"Towel"</formula>
    </cfRule>
    <cfRule type="cellIs" dxfId="8390" priority="10396" stopIfTrue="1" operator="equal">
      <formula>"Napkin Hs"</formula>
    </cfRule>
  </conditionalFormatting>
  <conditionalFormatting sqref="C68">
    <cfRule type="cellIs" dxfId="8389" priority="10393" stopIfTrue="1" operator="equal">
      <formula>"Towel"</formula>
    </cfRule>
    <cfRule type="cellIs" dxfId="8388" priority="10394" stopIfTrue="1" operator="equal">
      <formula>"Napkin Hs"</formula>
    </cfRule>
  </conditionalFormatting>
  <conditionalFormatting sqref="C68">
    <cfRule type="cellIs" dxfId="8387" priority="10377" stopIfTrue="1" operator="equal">
      <formula>"Towel"</formula>
    </cfRule>
    <cfRule type="cellIs" dxfId="8386" priority="10378" stopIfTrue="1" operator="equal">
      <formula>"Napkin Hs"</formula>
    </cfRule>
  </conditionalFormatting>
  <conditionalFormatting sqref="C68">
    <cfRule type="cellIs" dxfId="8385" priority="10375" stopIfTrue="1" operator="equal">
      <formula>"Towel"</formula>
    </cfRule>
    <cfRule type="cellIs" dxfId="8384" priority="10376" stopIfTrue="1" operator="equal">
      <formula>"Napkin Hs"</formula>
    </cfRule>
  </conditionalFormatting>
  <conditionalFormatting sqref="B68:C68">
    <cfRule type="cellIs" dxfId="8383" priority="10336" stopIfTrue="1" operator="equal">
      <formula>"Napkin Hs"</formula>
    </cfRule>
  </conditionalFormatting>
  <conditionalFormatting sqref="B68:C68">
    <cfRule type="cellIs" dxfId="8382" priority="10335" stopIfTrue="1" operator="equal">
      <formula>"Towel"</formula>
    </cfRule>
  </conditionalFormatting>
  <conditionalFormatting sqref="C68">
    <cfRule type="cellIs" dxfId="8381" priority="10334" stopIfTrue="1" operator="equal">
      <formula>"Napkin Hs"</formula>
    </cfRule>
  </conditionalFormatting>
  <conditionalFormatting sqref="C68">
    <cfRule type="cellIs" dxfId="8380" priority="10331" stopIfTrue="1" operator="equal">
      <formula>"Towel"</formula>
    </cfRule>
    <cfRule type="cellIs" dxfId="8379" priority="10332" stopIfTrue="1" operator="equal">
      <formula>"Napkin Hs"</formula>
    </cfRule>
  </conditionalFormatting>
  <conditionalFormatting sqref="C68">
    <cfRule type="cellIs" dxfId="8378" priority="10333" stopIfTrue="1" operator="equal">
      <formula>"Towel"</formula>
    </cfRule>
  </conditionalFormatting>
  <conditionalFormatting sqref="B65:C65">
    <cfRule type="cellIs" dxfId="8377" priority="10330" stopIfTrue="1" operator="equal">
      <formula>"Napkin Hs"</formula>
    </cfRule>
  </conditionalFormatting>
  <conditionalFormatting sqref="B65:C65">
    <cfRule type="cellIs" dxfId="8376" priority="10329" stopIfTrue="1" operator="equal">
      <formula>"Towel"</formula>
    </cfRule>
  </conditionalFormatting>
  <conditionalFormatting sqref="C65">
    <cfRule type="cellIs" dxfId="8375" priority="10328" stopIfTrue="1" operator="equal">
      <formula>"Napkin Hs"</formula>
    </cfRule>
  </conditionalFormatting>
  <conditionalFormatting sqref="C65">
    <cfRule type="cellIs" dxfId="8374" priority="10327" stopIfTrue="1" operator="equal">
      <formula>"Towel"</formula>
    </cfRule>
  </conditionalFormatting>
  <conditionalFormatting sqref="C65">
    <cfRule type="cellIs" dxfId="8373" priority="10325" stopIfTrue="1" operator="equal">
      <formula>"Towel"</formula>
    </cfRule>
    <cfRule type="cellIs" dxfId="8372" priority="10326" stopIfTrue="1" operator="equal">
      <formula>"Napkin Hs"</formula>
    </cfRule>
  </conditionalFormatting>
  <conditionalFormatting sqref="C65">
    <cfRule type="cellIs" dxfId="8371" priority="10241" stopIfTrue="1" operator="equal">
      <formula>"Towel"</formula>
    </cfRule>
    <cfRule type="cellIs" dxfId="8370" priority="10242" stopIfTrue="1" operator="equal">
      <formula>"Napkin Hs"</formula>
    </cfRule>
  </conditionalFormatting>
  <conditionalFormatting sqref="C65">
    <cfRule type="cellIs" dxfId="8369" priority="10235" stopIfTrue="1" operator="equal">
      <formula>"Towel"</formula>
    </cfRule>
    <cfRule type="cellIs" dxfId="8368" priority="10236" stopIfTrue="1" operator="equal">
      <formula>"Napkin Hs"</formula>
    </cfRule>
  </conditionalFormatting>
  <conditionalFormatting sqref="C65">
    <cfRule type="cellIs" dxfId="8367" priority="10216" stopIfTrue="1" operator="equal">
      <formula>"Napkin Hs"</formula>
    </cfRule>
  </conditionalFormatting>
  <conditionalFormatting sqref="C65">
    <cfRule type="cellIs" dxfId="8366" priority="10215" stopIfTrue="1" operator="equal">
      <formula>"Towel"</formula>
    </cfRule>
  </conditionalFormatting>
  <conditionalFormatting sqref="C65">
    <cfRule type="cellIs" dxfId="8365" priority="10214" stopIfTrue="1" operator="equal">
      <formula>"Napkin Hs"</formula>
    </cfRule>
  </conditionalFormatting>
  <conditionalFormatting sqref="C65">
    <cfRule type="cellIs" dxfId="8364" priority="10211" stopIfTrue="1" operator="equal">
      <formula>"Towel"</formula>
    </cfRule>
    <cfRule type="cellIs" dxfId="8363" priority="10212" stopIfTrue="1" operator="equal">
      <formula>"Napkin Hs"</formula>
    </cfRule>
  </conditionalFormatting>
  <conditionalFormatting sqref="C65">
    <cfRule type="cellIs" dxfId="8362" priority="10213" stopIfTrue="1" operator="equal">
      <formula>"Towel"</formula>
    </cfRule>
  </conditionalFormatting>
  <conditionalFormatting sqref="C65">
    <cfRule type="cellIs" dxfId="8361" priority="10210" stopIfTrue="1" operator="equal">
      <formula>"Napkin Hs"</formula>
    </cfRule>
  </conditionalFormatting>
  <conditionalFormatting sqref="C65">
    <cfRule type="cellIs" dxfId="8360" priority="10209" stopIfTrue="1" operator="equal">
      <formula>"Towel"</formula>
    </cfRule>
  </conditionalFormatting>
  <conditionalFormatting sqref="C65">
    <cfRule type="cellIs" dxfId="8359" priority="10208" stopIfTrue="1" operator="equal">
      <formula>"Napkin Hs"</formula>
    </cfRule>
  </conditionalFormatting>
  <conditionalFormatting sqref="C65">
    <cfRule type="cellIs" dxfId="8358" priority="10205" stopIfTrue="1" operator="equal">
      <formula>"Towel"</formula>
    </cfRule>
    <cfRule type="cellIs" dxfId="8357" priority="10206" stopIfTrue="1" operator="equal">
      <formula>"Napkin Hs"</formula>
    </cfRule>
  </conditionalFormatting>
  <conditionalFormatting sqref="C65">
    <cfRule type="cellIs" dxfId="8356" priority="10207" stopIfTrue="1" operator="equal">
      <formula>"Towel"</formula>
    </cfRule>
  </conditionalFormatting>
  <conditionalFormatting sqref="C65">
    <cfRule type="cellIs" dxfId="8355" priority="10311" stopIfTrue="1" operator="equal">
      <formula>"Towel"</formula>
    </cfRule>
    <cfRule type="cellIs" dxfId="8354" priority="10312" stopIfTrue="1" operator="equal">
      <formula>"Napkin Hs"</formula>
    </cfRule>
  </conditionalFormatting>
  <conditionalFormatting sqref="C65">
    <cfRule type="cellIs" dxfId="8353" priority="10309" stopIfTrue="1" operator="equal">
      <formula>"Towel"</formula>
    </cfRule>
    <cfRule type="cellIs" dxfId="8352" priority="10310" stopIfTrue="1" operator="equal">
      <formula>"Napkin Hs"</formula>
    </cfRule>
  </conditionalFormatting>
  <conditionalFormatting sqref="C65">
    <cfRule type="cellIs" dxfId="8351" priority="10307" stopIfTrue="1" operator="equal">
      <formula>"Towel"</formula>
    </cfRule>
    <cfRule type="cellIs" dxfId="8350" priority="10308" stopIfTrue="1" operator="equal">
      <formula>"Napkin Hs"</formula>
    </cfRule>
  </conditionalFormatting>
  <conditionalFormatting sqref="C65">
    <cfRule type="cellIs" dxfId="8349" priority="10306" stopIfTrue="1" operator="equal">
      <formula>"Napkin Hs"</formula>
    </cfRule>
  </conditionalFormatting>
  <conditionalFormatting sqref="C65">
    <cfRule type="cellIs" dxfId="8348" priority="10305" stopIfTrue="1" operator="equal">
      <formula>"Towel"</formula>
    </cfRule>
  </conditionalFormatting>
  <conditionalFormatting sqref="C65">
    <cfRule type="cellIs" dxfId="8347" priority="10304" stopIfTrue="1" operator="equal">
      <formula>"Napkin Hs"</formula>
    </cfRule>
  </conditionalFormatting>
  <conditionalFormatting sqref="C65">
    <cfRule type="cellIs" dxfId="8346" priority="10303" stopIfTrue="1" operator="equal">
      <formula>"Towel"</formula>
    </cfRule>
  </conditionalFormatting>
  <conditionalFormatting sqref="C65">
    <cfRule type="cellIs" dxfId="8345" priority="10301" stopIfTrue="1" operator="equal">
      <formula>"Towel"</formula>
    </cfRule>
    <cfRule type="cellIs" dxfId="8344" priority="10302" stopIfTrue="1" operator="equal">
      <formula>"Napkin Hs"</formula>
    </cfRule>
  </conditionalFormatting>
  <conditionalFormatting sqref="C65">
    <cfRule type="cellIs" dxfId="8343" priority="10299" stopIfTrue="1" operator="equal">
      <formula>"Towel"</formula>
    </cfRule>
    <cfRule type="cellIs" dxfId="8342" priority="10300" stopIfTrue="1" operator="equal">
      <formula>"Napkin Hs"</formula>
    </cfRule>
  </conditionalFormatting>
  <conditionalFormatting sqref="C65">
    <cfRule type="cellIs" dxfId="8341" priority="10295" stopIfTrue="1" operator="equal">
      <formula>"Towel"</formula>
    </cfRule>
    <cfRule type="cellIs" dxfId="8340" priority="10296" stopIfTrue="1" operator="equal">
      <formula>"Napkin Hs"</formula>
    </cfRule>
  </conditionalFormatting>
  <conditionalFormatting sqref="C65">
    <cfRule type="cellIs" dxfId="8339" priority="10297" stopIfTrue="1" operator="equal">
      <formula>"Towel"</formula>
    </cfRule>
    <cfRule type="cellIs" dxfId="8338" priority="10298" stopIfTrue="1" operator="equal">
      <formula>"Napkin Hs"</formula>
    </cfRule>
  </conditionalFormatting>
  <conditionalFormatting sqref="C65">
    <cfRule type="cellIs" dxfId="8337" priority="10289" stopIfTrue="1" operator="equal">
      <formula>"Towel"</formula>
    </cfRule>
    <cfRule type="cellIs" dxfId="8336" priority="10290" stopIfTrue="1" operator="equal">
      <formula>"Napkin Hs"</formula>
    </cfRule>
  </conditionalFormatting>
  <conditionalFormatting sqref="C65">
    <cfRule type="cellIs" dxfId="8335" priority="10287" stopIfTrue="1" operator="equal">
      <formula>"Towel"</formula>
    </cfRule>
    <cfRule type="cellIs" dxfId="8334" priority="10288" stopIfTrue="1" operator="equal">
      <formula>"Napkin Hs"</formula>
    </cfRule>
  </conditionalFormatting>
  <conditionalFormatting sqref="C65">
    <cfRule type="cellIs" dxfId="8333" priority="10285" stopIfTrue="1" operator="equal">
      <formula>"Towel"</formula>
    </cfRule>
    <cfRule type="cellIs" dxfId="8332" priority="10286" stopIfTrue="1" operator="equal">
      <formula>"Napkin Hs"</formula>
    </cfRule>
  </conditionalFormatting>
  <conditionalFormatting sqref="C65">
    <cfRule type="cellIs" dxfId="8331" priority="10283" stopIfTrue="1" operator="equal">
      <formula>"Towel"</formula>
    </cfRule>
    <cfRule type="cellIs" dxfId="8330" priority="10284" stopIfTrue="1" operator="equal">
      <formula>"Napkin Hs"</formula>
    </cfRule>
  </conditionalFormatting>
  <conditionalFormatting sqref="C65">
    <cfRule type="cellIs" dxfId="8329" priority="10281" stopIfTrue="1" operator="equal">
      <formula>"Towel"</formula>
    </cfRule>
    <cfRule type="cellIs" dxfId="8328" priority="10282" stopIfTrue="1" operator="equal">
      <formula>"Napkin Hs"</formula>
    </cfRule>
  </conditionalFormatting>
  <conditionalFormatting sqref="C65">
    <cfRule type="cellIs" dxfId="8327" priority="10279" stopIfTrue="1" operator="equal">
      <formula>"Towel"</formula>
    </cfRule>
    <cfRule type="cellIs" dxfId="8326" priority="10280" stopIfTrue="1" operator="equal">
      <formula>"Napkin Hs"</formula>
    </cfRule>
  </conditionalFormatting>
  <conditionalFormatting sqref="C65">
    <cfRule type="cellIs" dxfId="8325" priority="10277" stopIfTrue="1" operator="equal">
      <formula>"Towel"</formula>
    </cfRule>
    <cfRule type="cellIs" dxfId="8324" priority="10278" stopIfTrue="1" operator="equal">
      <formula>"Napkin Hs"</formula>
    </cfRule>
  </conditionalFormatting>
  <conditionalFormatting sqref="C65">
    <cfRule type="cellIs" dxfId="8323" priority="10275" stopIfTrue="1" operator="equal">
      <formula>"Towel"</formula>
    </cfRule>
    <cfRule type="cellIs" dxfId="8322" priority="10276" stopIfTrue="1" operator="equal">
      <formula>"Napkin Hs"</formula>
    </cfRule>
  </conditionalFormatting>
  <conditionalFormatting sqref="C65">
    <cfRule type="cellIs" dxfId="8321" priority="10273" stopIfTrue="1" operator="equal">
      <formula>"Towel"</formula>
    </cfRule>
    <cfRule type="cellIs" dxfId="8320" priority="10274" stopIfTrue="1" operator="equal">
      <formula>"Napkin Hs"</formula>
    </cfRule>
  </conditionalFormatting>
  <conditionalFormatting sqref="C65">
    <cfRule type="cellIs" dxfId="8319" priority="10271" stopIfTrue="1" operator="equal">
      <formula>"Towel"</formula>
    </cfRule>
    <cfRule type="cellIs" dxfId="8318" priority="10272" stopIfTrue="1" operator="equal">
      <formula>"Napkin Hs"</formula>
    </cfRule>
  </conditionalFormatting>
  <conditionalFormatting sqref="C65">
    <cfRule type="cellIs" dxfId="8317" priority="10265" stopIfTrue="1" operator="equal">
      <formula>"Towel"</formula>
    </cfRule>
    <cfRule type="cellIs" dxfId="8316" priority="10266" stopIfTrue="1" operator="equal">
      <formula>"Napkin Hs"</formula>
    </cfRule>
  </conditionalFormatting>
  <conditionalFormatting sqref="C65">
    <cfRule type="cellIs" dxfId="8315" priority="10259" stopIfTrue="1" operator="equal">
      <formula>"Towel"</formula>
    </cfRule>
    <cfRule type="cellIs" dxfId="8314" priority="10260" stopIfTrue="1" operator="equal">
      <formula>"Napkin Hs"</formula>
    </cfRule>
  </conditionalFormatting>
  <conditionalFormatting sqref="C65">
    <cfRule type="cellIs" dxfId="8313" priority="10253" stopIfTrue="1" operator="equal">
      <formula>"Towel"</formula>
    </cfRule>
    <cfRule type="cellIs" dxfId="8312" priority="10254" stopIfTrue="1" operator="equal">
      <formula>"Napkin Hs"</formula>
    </cfRule>
  </conditionalFormatting>
  <conditionalFormatting sqref="C65">
    <cfRule type="cellIs" dxfId="8311" priority="10252" stopIfTrue="1" operator="equal">
      <formula>"Napkin Hs"</formula>
    </cfRule>
  </conditionalFormatting>
  <conditionalFormatting sqref="C65">
    <cfRule type="cellIs" dxfId="8310" priority="10251" stopIfTrue="1" operator="equal">
      <formula>"Towel"</formula>
    </cfRule>
  </conditionalFormatting>
  <conditionalFormatting sqref="C65">
    <cfRule type="cellIs" dxfId="8309" priority="10250" stopIfTrue="1" operator="equal">
      <formula>"Napkin Hs"</formula>
    </cfRule>
  </conditionalFormatting>
  <conditionalFormatting sqref="C65">
    <cfRule type="cellIs" dxfId="8308" priority="10249" stopIfTrue="1" operator="equal">
      <formula>"Towel"</formula>
    </cfRule>
  </conditionalFormatting>
  <conditionalFormatting sqref="C65">
    <cfRule type="cellIs" dxfId="8307" priority="10247" stopIfTrue="1" operator="equal">
      <formula>"Towel"</formula>
    </cfRule>
    <cfRule type="cellIs" dxfId="8306" priority="10248" stopIfTrue="1" operator="equal">
      <formula>"Napkin Hs"</formula>
    </cfRule>
  </conditionalFormatting>
  <conditionalFormatting sqref="C65">
    <cfRule type="cellIs" dxfId="8305" priority="10245" stopIfTrue="1" operator="equal">
      <formula>"Towel"</formula>
    </cfRule>
    <cfRule type="cellIs" dxfId="8304" priority="10246" stopIfTrue="1" operator="equal">
      <formula>"Napkin Hs"</formula>
    </cfRule>
  </conditionalFormatting>
  <conditionalFormatting sqref="C65">
    <cfRule type="cellIs" dxfId="8303" priority="10243" stopIfTrue="1" operator="equal">
      <formula>"Towel"</formula>
    </cfRule>
    <cfRule type="cellIs" dxfId="8302" priority="10244" stopIfTrue="1" operator="equal">
      <formula>"Napkin Hs"</formula>
    </cfRule>
  </conditionalFormatting>
  <conditionalFormatting sqref="C65">
    <cfRule type="cellIs" dxfId="8301" priority="10233" stopIfTrue="1" operator="equal">
      <formula>"Towel"</formula>
    </cfRule>
    <cfRule type="cellIs" dxfId="8300" priority="10234" stopIfTrue="1" operator="equal">
      <formula>"Napkin Hs"</formula>
    </cfRule>
  </conditionalFormatting>
  <conditionalFormatting sqref="C65">
    <cfRule type="cellIs" dxfId="8299" priority="10231" stopIfTrue="1" operator="equal">
      <formula>"Towel"</formula>
    </cfRule>
    <cfRule type="cellIs" dxfId="8298" priority="10232" stopIfTrue="1" operator="equal">
      <formula>"Napkin Hs"</formula>
    </cfRule>
  </conditionalFormatting>
  <conditionalFormatting sqref="C65">
    <cfRule type="cellIs" dxfId="8297" priority="10229" stopIfTrue="1" operator="equal">
      <formula>"Towel"</formula>
    </cfRule>
    <cfRule type="cellIs" dxfId="8296" priority="10230" stopIfTrue="1" operator="equal">
      <formula>"Napkin Hs"</formula>
    </cfRule>
  </conditionalFormatting>
  <conditionalFormatting sqref="C65">
    <cfRule type="cellIs" dxfId="8295" priority="10227" stopIfTrue="1" operator="equal">
      <formula>"Towel"</formula>
    </cfRule>
    <cfRule type="cellIs" dxfId="8294" priority="10228" stopIfTrue="1" operator="equal">
      <formula>"Napkin Hs"</formula>
    </cfRule>
  </conditionalFormatting>
  <conditionalFormatting sqref="C65">
    <cfRule type="cellIs" dxfId="8293" priority="10225" stopIfTrue="1" operator="equal">
      <formula>"Towel"</formula>
    </cfRule>
    <cfRule type="cellIs" dxfId="8292" priority="10226" stopIfTrue="1" operator="equal">
      <formula>"Napkin Hs"</formula>
    </cfRule>
  </conditionalFormatting>
  <conditionalFormatting sqref="C65">
    <cfRule type="cellIs" dxfId="8291" priority="10223" stopIfTrue="1" operator="equal">
      <formula>"Towel"</formula>
    </cfRule>
    <cfRule type="cellIs" dxfId="8290" priority="10224" stopIfTrue="1" operator="equal">
      <formula>"Napkin Hs"</formula>
    </cfRule>
  </conditionalFormatting>
  <conditionalFormatting sqref="C65">
    <cfRule type="cellIs" dxfId="8289" priority="10221" stopIfTrue="1" operator="equal">
      <formula>"Towel"</formula>
    </cfRule>
    <cfRule type="cellIs" dxfId="8288" priority="10222" stopIfTrue="1" operator="equal">
      <formula>"Napkin Hs"</formula>
    </cfRule>
  </conditionalFormatting>
  <conditionalFormatting sqref="C65">
    <cfRule type="cellIs" dxfId="8287" priority="10219" stopIfTrue="1" operator="equal">
      <formula>"Towel"</formula>
    </cfRule>
    <cfRule type="cellIs" dxfId="8286" priority="10220" stopIfTrue="1" operator="equal">
      <formula>"Napkin Hs"</formula>
    </cfRule>
  </conditionalFormatting>
  <conditionalFormatting sqref="C65">
    <cfRule type="cellIs" dxfId="8285" priority="10217" stopIfTrue="1" operator="equal">
      <formula>"Towel"</formula>
    </cfRule>
    <cfRule type="cellIs" dxfId="8284" priority="10218" stopIfTrue="1" operator="equal">
      <formula>"Napkin Hs"</formula>
    </cfRule>
  </conditionalFormatting>
  <conditionalFormatting sqref="C65">
    <cfRule type="cellIs" dxfId="8283" priority="10204" stopIfTrue="1" operator="equal">
      <formula>"Napkin Hs"</formula>
    </cfRule>
  </conditionalFormatting>
  <conditionalFormatting sqref="C65">
    <cfRule type="cellIs" dxfId="8282" priority="10203" stopIfTrue="1" operator="equal">
      <formula>"Towel"</formula>
    </cfRule>
  </conditionalFormatting>
  <conditionalFormatting sqref="C65">
    <cfRule type="cellIs" dxfId="8281" priority="10202" stopIfTrue="1" operator="equal">
      <formula>"Napkin Hs"</formula>
    </cfRule>
  </conditionalFormatting>
  <conditionalFormatting sqref="C65">
    <cfRule type="cellIs" dxfId="8280" priority="10199" stopIfTrue="1" operator="equal">
      <formula>"Towel"</formula>
    </cfRule>
    <cfRule type="cellIs" dxfId="8279" priority="10200" stopIfTrue="1" operator="equal">
      <formula>"Napkin Hs"</formula>
    </cfRule>
  </conditionalFormatting>
  <conditionalFormatting sqref="C65">
    <cfRule type="cellIs" dxfId="8278" priority="10201" stopIfTrue="1" operator="equal">
      <formula>"Towel"</formula>
    </cfRule>
  </conditionalFormatting>
  <conditionalFormatting sqref="C65">
    <cfRule type="cellIs" dxfId="8277" priority="10319" stopIfTrue="1" operator="equal">
      <formula>"Towel"</formula>
    </cfRule>
    <cfRule type="cellIs" dxfId="8276" priority="10320" stopIfTrue="1" operator="equal">
      <formula>"Napkin Hs"</formula>
    </cfRule>
  </conditionalFormatting>
  <conditionalFormatting sqref="C65">
    <cfRule type="cellIs" dxfId="8275" priority="10318" stopIfTrue="1" operator="equal">
      <formula>"Napkin Hs"</formula>
    </cfRule>
  </conditionalFormatting>
  <conditionalFormatting sqref="C65">
    <cfRule type="cellIs" dxfId="8274" priority="10317" stopIfTrue="1" operator="equal">
      <formula>"Towel"</formula>
    </cfRule>
  </conditionalFormatting>
  <conditionalFormatting sqref="C65">
    <cfRule type="cellIs" dxfId="8273" priority="10316" stopIfTrue="1" operator="equal">
      <formula>"Napkin Hs"</formula>
    </cfRule>
  </conditionalFormatting>
  <conditionalFormatting sqref="C65">
    <cfRule type="cellIs" dxfId="8272" priority="10313" stopIfTrue="1" operator="equal">
      <formula>"Towel"</formula>
    </cfRule>
    <cfRule type="cellIs" dxfId="8271" priority="10314" stopIfTrue="1" operator="equal">
      <formula>"Napkin Hs"</formula>
    </cfRule>
  </conditionalFormatting>
  <conditionalFormatting sqref="C65">
    <cfRule type="cellIs" dxfId="8270" priority="10315" stopIfTrue="1" operator="equal">
      <formula>"Towel"</formula>
    </cfRule>
  </conditionalFormatting>
  <conditionalFormatting sqref="C65">
    <cfRule type="cellIs" dxfId="8269" priority="10323" stopIfTrue="1" operator="equal">
      <formula>"Towel"</formula>
    </cfRule>
    <cfRule type="cellIs" dxfId="8268" priority="10324" stopIfTrue="1" operator="equal">
      <formula>"Napkin Hs"</formula>
    </cfRule>
  </conditionalFormatting>
  <conditionalFormatting sqref="C65">
    <cfRule type="cellIs" dxfId="8267" priority="10321" stopIfTrue="1" operator="equal">
      <formula>"Towel"</formula>
    </cfRule>
    <cfRule type="cellIs" dxfId="8266" priority="10322" stopIfTrue="1" operator="equal">
      <formula>"Napkin Hs"</formula>
    </cfRule>
  </conditionalFormatting>
  <conditionalFormatting sqref="C65">
    <cfRule type="cellIs" dxfId="8265" priority="10293" stopIfTrue="1" operator="equal">
      <formula>"Towel"</formula>
    </cfRule>
    <cfRule type="cellIs" dxfId="8264" priority="10294" stopIfTrue="1" operator="equal">
      <formula>"Napkin Hs"</formula>
    </cfRule>
  </conditionalFormatting>
  <conditionalFormatting sqref="C65">
    <cfRule type="cellIs" dxfId="8263" priority="10291" stopIfTrue="1" operator="equal">
      <formula>"Towel"</formula>
    </cfRule>
    <cfRule type="cellIs" dxfId="8262" priority="10292" stopIfTrue="1" operator="equal">
      <formula>"Napkin Hs"</formula>
    </cfRule>
  </conditionalFormatting>
  <conditionalFormatting sqref="C65">
    <cfRule type="cellIs" dxfId="8261" priority="10270" stopIfTrue="1" operator="equal">
      <formula>"Napkin Hs"</formula>
    </cfRule>
  </conditionalFormatting>
  <conditionalFormatting sqref="C65">
    <cfRule type="cellIs" dxfId="8260" priority="10269" stopIfTrue="1" operator="equal">
      <formula>"Towel"</formula>
    </cfRule>
  </conditionalFormatting>
  <conditionalFormatting sqref="C65">
    <cfRule type="cellIs" dxfId="8259" priority="10268" stopIfTrue="1" operator="equal">
      <formula>"Napkin Hs"</formula>
    </cfRule>
  </conditionalFormatting>
  <conditionalFormatting sqref="C65">
    <cfRule type="cellIs" dxfId="8258" priority="10267" stopIfTrue="1" operator="equal">
      <formula>"Towel"</formula>
    </cfRule>
  </conditionalFormatting>
  <conditionalFormatting sqref="C65">
    <cfRule type="cellIs" dxfId="8257" priority="10264" stopIfTrue="1" operator="equal">
      <formula>"Napkin Hs"</formula>
    </cfRule>
  </conditionalFormatting>
  <conditionalFormatting sqref="C65">
    <cfRule type="cellIs" dxfId="8256" priority="10263" stopIfTrue="1" operator="equal">
      <formula>"Towel"</formula>
    </cfRule>
  </conditionalFormatting>
  <conditionalFormatting sqref="C65">
    <cfRule type="cellIs" dxfId="8255" priority="10262" stopIfTrue="1" operator="equal">
      <formula>"Napkin Hs"</formula>
    </cfRule>
  </conditionalFormatting>
  <conditionalFormatting sqref="C65">
    <cfRule type="cellIs" dxfId="8254" priority="10261" stopIfTrue="1" operator="equal">
      <formula>"Towel"</formula>
    </cfRule>
  </conditionalFormatting>
  <conditionalFormatting sqref="C65">
    <cfRule type="cellIs" dxfId="8253" priority="10257" stopIfTrue="1" operator="equal">
      <formula>"Towel"</formula>
    </cfRule>
    <cfRule type="cellIs" dxfId="8252" priority="10258" stopIfTrue="1" operator="equal">
      <formula>"Napkin Hs"</formula>
    </cfRule>
  </conditionalFormatting>
  <conditionalFormatting sqref="C65">
    <cfRule type="cellIs" dxfId="8251" priority="10255" stopIfTrue="1" operator="equal">
      <formula>"Towel"</formula>
    </cfRule>
    <cfRule type="cellIs" dxfId="8250" priority="10256" stopIfTrue="1" operator="equal">
      <formula>"Napkin Hs"</formula>
    </cfRule>
  </conditionalFormatting>
  <conditionalFormatting sqref="C65">
    <cfRule type="cellIs" dxfId="8249" priority="10239" stopIfTrue="1" operator="equal">
      <formula>"Towel"</formula>
    </cfRule>
    <cfRule type="cellIs" dxfId="8248" priority="10240" stopIfTrue="1" operator="equal">
      <formula>"Napkin Hs"</formula>
    </cfRule>
  </conditionalFormatting>
  <conditionalFormatting sqref="C65">
    <cfRule type="cellIs" dxfId="8247" priority="10237" stopIfTrue="1" operator="equal">
      <formula>"Towel"</formula>
    </cfRule>
    <cfRule type="cellIs" dxfId="8246" priority="10238" stopIfTrue="1" operator="equal">
      <formula>"Napkin Hs"</formula>
    </cfRule>
  </conditionalFormatting>
  <conditionalFormatting sqref="B65:C65">
    <cfRule type="cellIs" dxfId="8245" priority="10198" stopIfTrue="1" operator="equal">
      <formula>"Napkin Hs"</formula>
    </cfRule>
  </conditionalFormatting>
  <conditionalFormatting sqref="B65:C65">
    <cfRule type="cellIs" dxfId="8244" priority="10197" stopIfTrue="1" operator="equal">
      <formula>"Towel"</formula>
    </cfRule>
  </conditionalFormatting>
  <conditionalFormatting sqref="C65">
    <cfRule type="cellIs" dxfId="8243" priority="10196" stopIfTrue="1" operator="equal">
      <formula>"Napkin Hs"</formula>
    </cfRule>
  </conditionalFormatting>
  <conditionalFormatting sqref="C65">
    <cfRule type="cellIs" dxfId="8242" priority="10193" stopIfTrue="1" operator="equal">
      <formula>"Towel"</formula>
    </cfRule>
    <cfRule type="cellIs" dxfId="8241" priority="10194" stopIfTrue="1" operator="equal">
      <formula>"Napkin Hs"</formula>
    </cfRule>
  </conditionalFormatting>
  <conditionalFormatting sqref="C65">
    <cfRule type="cellIs" dxfId="8240" priority="10195" stopIfTrue="1" operator="equal">
      <formula>"Towel"</formula>
    </cfRule>
  </conditionalFormatting>
  <conditionalFormatting sqref="C73">
    <cfRule type="cellIs" dxfId="8239" priority="10117" stopIfTrue="1" operator="equal">
      <formula>"Towel"</formula>
    </cfRule>
    <cfRule type="cellIs" dxfId="8238" priority="10118" stopIfTrue="1" operator="equal">
      <formula>"Napkin Hs"</formula>
    </cfRule>
  </conditionalFormatting>
  <conditionalFormatting sqref="B73:C73">
    <cfRule type="cellIs" dxfId="8237" priority="10115" stopIfTrue="1" operator="equal">
      <formula>"Towel"</formula>
    </cfRule>
    <cfRule type="cellIs" dxfId="8236" priority="10116" stopIfTrue="1" operator="equal">
      <formula>"Napkin Hs"</formula>
    </cfRule>
  </conditionalFormatting>
  <conditionalFormatting sqref="C73">
    <cfRule type="cellIs" dxfId="8235" priority="10113" stopIfTrue="1" operator="equal">
      <formula>"Towel"</formula>
    </cfRule>
    <cfRule type="cellIs" dxfId="8234" priority="10114" stopIfTrue="1" operator="equal">
      <formula>"Napkin Hs"</formula>
    </cfRule>
  </conditionalFormatting>
  <conditionalFormatting sqref="C73">
    <cfRule type="cellIs" dxfId="8233" priority="10105" stopIfTrue="1" operator="equal">
      <formula>"Towel"</formula>
    </cfRule>
    <cfRule type="cellIs" dxfId="8232" priority="10106" stopIfTrue="1" operator="equal">
      <formula>"Napkin Hs"</formula>
    </cfRule>
  </conditionalFormatting>
  <conditionalFormatting sqref="B73:C73">
    <cfRule type="cellIs" dxfId="8231" priority="10181" stopIfTrue="1" operator="equal">
      <formula>"Towel"</formula>
    </cfRule>
    <cfRule type="cellIs" dxfId="8230" priority="10182" stopIfTrue="1" operator="equal">
      <formula>"Napkin Hs"</formula>
    </cfRule>
  </conditionalFormatting>
  <conditionalFormatting sqref="C73">
    <cfRule type="cellIs" dxfId="8229" priority="10177" stopIfTrue="1" operator="equal">
      <formula>"Towel"</formula>
    </cfRule>
    <cfRule type="cellIs" dxfId="8228" priority="10178" stopIfTrue="1" operator="equal">
      <formula>"Napkin Hs"</formula>
    </cfRule>
  </conditionalFormatting>
  <conditionalFormatting sqref="C73">
    <cfRule type="cellIs" dxfId="8227" priority="10179" stopIfTrue="1" operator="equal">
      <formula>"Towel"</formula>
    </cfRule>
    <cfRule type="cellIs" dxfId="8226" priority="10180" stopIfTrue="1" operator="equal">
      <formula>"Napkin Hs"</formula>
    </cfRule>
  </conditionalFormatting>
  <conditionalFormatting sqref="B73:C73">
    <cfRule type="cellIs" dxfId="8225" priority="10146" stopIfTrue="1" operator="equal">
      <formula>"Napkin Hs"</formula>
    </cfRule>
  </conditionalFormatting>
  <conditionalFormatting sqref="B73:C73">
    <cfRule type="cellIs" dxfId="8224" priority="10145" stopIfTrue="1" operator="equal">
      <formula>"Towel"</formula>
    </cfRule>
  </conditionalFormatting>
  <conditionalFormatting sqref="C73">
    <cfRule type="cellIs" dxfId="8223" priority="10144" stopIfTrue="1" operator="equal">
      <formula>"Napkin Hs"</formula>
    </cfRule>
  </conditionalFormatting>
  <conditionalFormatting sqref="C73">
    <cfRule type="cellIs" dxfId="8222" priority="10143" stopIfTrue="1" operator="equal">
      <formula>"Towel"</formula>
    </cfRule>
  </conditionalFormatting>
  <conditionalFormatting sqref="C73">
    <cfRule type="cellIs" dxfId="8221" priority="10141" stopIfTrue="1" operator="equal">
      <formula>"Towel"</formula>
    </cfRule>
    <cfRule type="cellIs" dxfId="8220" priority="10142" stopIfTrue="1" operator="equal">
      <formula>"Napkin Hs"</formula>
    </cfRule>
  </conditionalFormatting>
  <conditionalFormatting sqref="B73:C73">
    <cfRule type="cellIs" dxfId="8219" priority="10139" stopIfTrue="1" operator="equal">
      <formula>"Towel"</formula>
    </cfRule>
    <cfRule type="cellIs" dxfId="8218" priority="10140" stopIfTrue="1" operator="equal">
      <formula>"Napkin Hs"</formula>
    </cfRule>
  </conditionalFormatting>
  <conditionalFormatting sqref="C73">
    <cfRule type="cellIs" dxfId="8217" priority="10137" stopIfTrue="1" operator="equal">
      <formula>"Towel"</formula>
    </cfRule>
    <cfRule type="cellIs" dxfId="8216" priority="10138" stopIfTrue="1" operator="equal">
      <formula>"Napkin Hs"</formula>
    </cfRule>
  </conditionalFormatting>
  <conditionalFormatting sqref="C73">
    <cfRule type="cellIs" dxfId="8215" priority="10135" stopIfTrue="1" operator="equal">
      <formula>"Towel"</formula>
    </cfRule>
    <cfRule type="cellIs" dxfId="8214" priority="10136" stopIfTrue="1" operator="equal">
      <formula>"Napkin Hs"</formula>
    </cfRule>
  </conditionalFormatting>
  <conditionalFormatting sqref="B73:C73">
    <cfRule type="cellIs" dxfId="8213" priority="10133" stopIfTrue="1" operator="equal">
      <formula>"Towel"</formula>
    </cfRule>
    <cfRule type="cellIs" dxfId="8212" priority="10134" stopIfTrue="1" operator="equal">
      <formula>"Napkin Hs"</formula>
    </cfRule>
  </conditionalFormatting>
  <conditionalFormatting sqref="C73">
    <cfRule type="cellIs" dxfId="8211" priority="10131" stopIfTrue="1" operator="equal">
      <formula>"Towel"</formula>
    </cfRule>
    <cfRule type="cellIs" dxfId="8210" priority="10132" stopIfTrue="1" operator="equal">
      <formula>"Napkin Hs"</formula>
    </cfRule>
  </conditionalFormatting>
  <conditionalFormatting sqref="C73">
    <cfRule type="cellIs" dxfId="8209" priority="10129" stopIfTrue="1" operator="equal">
      <formula>"Towel"</formula>
    </cfRule>
    <cfRule type="cellIs" dxfId="8208" priority="10130" stopIfTrue="1" operator="equal">
      <formula>"Napkin Hs"</formula>
    </cfRule>
  </conditionalFormatting>
  <conditionalFormatting sqref="B73:C73">
    <cfRule type="cellIs" dxfId="8207" priority="10127" stopIfTrue="1" operator="equal">
      <formula>"Towel"</formula>
    </cfRule>
    <cfRule type="cellIs" dxfId="8206" priority="10128" stopIfTrue="1" operator="equal">
      <formula>"Napkin Hs"</formula>
    </cfRule>
  </conditionalFormatting>
  <conditionalFormatting sqref="C73">
    <cfRule type="cellIs" dxfId="8205" priority="10125" stopIfTrue="1" operator="equal">
      <formula>"Towel"</formula>
    </cfRule>
    <cfRule type="cellIs" dxfId="8204" priority="10126" stopIfTrue="1" operator="equal">
      <formula>"Napkin Hs"</formula>
    </cfRule>
  </conditionalFormatting>
  <conditionalFormatting sqref="C73">
    <cfRule type="cellIs" dxfId="8203" priority="10123" stopIfTrue="1" operator="equal">
      <formula>"Towel"</formula>
    </cfRule>
    <cfRule type="cellIs" dxfId="8202" priority="10124" stopIfTrue="1" operator="equal">
      <formula>"Napkin Hs"</formula>
    </cfRule>
  </conditionalFormatting>
  <conditionalFormatting sqref="B73:C73">
    <cfRule type="cellIs" dxfId="8201" priority="10121" stopIfTrue="1" operator="equal">
      <formula>"Towel"</formula>
    </cfRule>
    <cfRule type="cellIs" dxfId="8200" priority="10122" stopIfTrue="1" operator="equal">
      <formula>"Napkin Hs"</formula>
    </cfRule>
  </conditionalFormatting>
  <conditionalFormatting sqref="C73">
    <cfRule type="cellIs" dxfId="8199" priority="10119" stopIfTrue="1" operator="equal">
      <formula>"Towel"</formula>
    </cfRule>
    <cfRule type="cellIs" dxfId="8198" priority="10120" stopIfTrue="1" operator="equal">
      <formula>"Napkin Hs"</formula>
    </cfRule>
  </conditionalFormatting>
  <conditionalFormatting sqref="C73">
    <cfRule type="cellIs" dxfId="8197" priority="10111" stopIfTrue="1" operator="equal">
      <formula>"Towel"</formula>
    </cfRule>
    <cfRule type="cellIs" dxfId="8196" priority="10112" stopIfTrue="1" operator="equal">
      <formula>"Napkin Hs"</formula>
    </cfRule>
  </conditionalFormatting>
  <conditionalFormatting sqref="B73:C73">
    <cfRule type="cellIs" dxfId="8195" priority="10110" stopIfTrue="1" operator="equal">
      <formula>"Napkin Hs"</formula>
    </cfRule>
  </conditionalFormatting>
  <conditionalFormatting sqref="B73:C73">
    <cfRule type="cellIs" dxfId="8194" priority="10109" stopIfTrue="1" operator="equal">
      <formula>"Towel"</formula>
    </cfRule>
  </conditionalFormatting>
  <conditionalFormatting sqref="C73">
    <cfRule type="cellIs" dxfId="8193" priority="10108" stopIfTrue="1" operator="equal">
      <formula>"Napkin Hs"</formula>
    </cfRule>
  </conditionalFormatting>
  <conditionalFormatting sqref="C73">
    <cfRule type="cellIs" dxfId="8192" priority="10107" stopIfTrue="1" operator="equal">
      <formula>"Towel"</formula>
    </cfRule>
  </conditionalFormatting>
  <conditionalFormatting sqref="B70:C70">
    <cfRule type="cellIs" dxfId="8191" priority="10101" stopIfTrue="1" operator="equal">
      <formula>"Towel"</formula>
    </cfRule>
    <cfRule type="cellIs" dxfId="8190" priority="10102" stopIfTrue="1" operator="equal">
      <formula>"Napkin Hs"</formula>
    </cfRule>
  </conditionalFormatting>
  <conditionalFormatting sqref="C70">
    <cfRule type="cellIs" dxfId="8189" priority="10103" stopIfTrue="1" operator="equal">
      <formula>"Towel"</formula>
    </cfRule>
    <cfRule type="cellIs" dxfId="8188" priority="10104" stopIfTrue="1" operator="equal">
      <formula>"Napkin Hs"</formula>
    </cfRule>
  </conditionalFormatting>
  <conditionalFormatting sqref="C70">
    <cfRule type="cellIs" dxfId="8187" priority="10099" stopIfTrue="1" operator="equal">
      <formula>"Towel"</formula>
    </cfRule>
    <cfRule type="cellIs" dxfId="8186" priority="10100" stopIfTrue="1" operator="equal">
      <formula>"Napkin Hs"</formula>
    </cfRule>
  </conditionalFormatting>
  <conditionalFormatting sqref="B69:C69">
    <cfRule type="cellIs" dxfId="8185" priority="10097" stopIfTrue="1" operator="equal">
      <formula>"Towel"</formula>
    </cfRule>
    <cfRule type="cellIs" dxfId="8184" priority="10098" stopIfTrue="1" operator="equal">
      <formula>"Napkin Hs"</formula>
    </cfRule>
  </conditionalFormatting>
  <conditionalFormatting sqref="C69">
    <cfRule type="cellIs" dxfId="8183" priority="10093" stopIfTrue="1" operator="equal">
      <formula>"Towel"</formula>
    </cfRule>
    <cfRule type="cellIs" dxfId="8182" priority="10094" stopIfTrue="1" operator="equal">
      <formula>"Napkin Hs"</formula>
    </cfRule>
  </conditionalFormatting>
  <conditionalFormatting sqref="C69">
    <cfRule type="cellIs" dxfId="8181" priority="10095" stopIfTrue="1" operator="equal">
      <formula>"Towel"</formula>
    </cfRule>
    <cfRule type="cellIs" dxfId="8180" priority="10096" stopIfTrue="1" operator="equal">
      <formula>"Napkin Hs"</formula>
    </cfRule>
  </conditionalFormatting>
  <conditionalFormatting sqref="B69:C69">
    <cfRule type="cellIs" dxfId="8179" priority="10091" stopIfTrue="1" operator="equal">
      <formula>"Towel"</formula>
    </cfRule>
    <cfRule type="cellIs" dxfId="8178" priority="10092" stopIfTrue="1" operator="equal">
      <formula>"Napkin Hs"</formula>
    </cfRule>
  </conditionalFormatting>
  <conditionalFormatting sqref="C69">
    <cfRule type="cellIs" dxfId="8177" priority="10087" stopIfTrue="1" operator="equal">
      <formula>"Towel"</formula>
    </cfRule>
    <cfRule type="cellIs" dxfId="8176" priority="10088" stopIfTrue="1" operator="equal">
      <formula>"Napkin Hs"</formula>
    </cfRule>
  </conditionalFormatting>
  <conditionalFormatting sqref="C69">
    <cfRule type="cellIs" dxfId="8175" priority="10089" stopIfTrue="1" operator="equal">
      <formula>"Towel"</formula>
    </cfRule>
    <cfRule type="cellIs" dxfId="8174" priority="10090" stopIfTrue="1" operator="equal">
      <formula>"Napkin Hs"</formula>
    </cfRule>
  </conditionalFormatting>
  <conditionalFormatting sqref="B69:C69">
    <cfRule type="cellIs" dxfId="8173" priority="10085" stopIfTrue="1" operator="equal">
      <formula>"Towel"</formula>
    </cfRule>
    <cfRule type="cellIs" dxfId="8172" priority="10086" stopIfTrue="1" operator="equal">
      <formula>"Napkin Hs"</formula>
    </cfRule>
  </conditionalFormatting>
  <conditionalFormatting sqref="C69">
    <cfRule type="cellIs" dxfId="8171" priority="10083" stopIfTrue="1" operator="equal">
      <formula>"Towel"</formula>
    </cfRule>
    <cfRule type="cellIs" dxfId="8170" priority="10084" stopIfTrue="1" operator="equal">
      <formula>"Napkin Hs"</formula>
    </cfRule>
  </conditionalFormatting>
  <conditionalFormatting sqref="C69">
    <cfRule type="cellIs" dxfId="8169" priority="10081" stopIfTrue="1" operator="equal">
      <formula>"Towel"</formula>
    </cfRule>
    <cfRule type="cellIs" dxfId="8168" priority="10082" stopIfTrue="1" operator="equal">
      <formula>"Napkin Hs"</formula>
    </cfRule>
  </conditionalFormatting>
  <conditionalFormatting sqref="B69:C69">
    <cfRule type="cellIs" dxfId="8167" priority="10079" stopIfTrue="1" operator="equal">
      <formula>"Towel"</formula>
    </cfRule>
    <cfRule type="cellIs" dxfId="8166" priority="10080" stopIfTrue="1" operator="equal">
      <formula>"Napkin Hs"</formula>
    </cfRule>
  </conditionalFormatting>
  <conditionalFormatting sqref="C69">
    <cfRule type="cellIs" dxfId="8165" priority="10077" stopIfTrue="1" operator="equal">
      <formula>"Towel"</formula>
    </cfRule>
    <cfRule type="cellIs" dxfId="8164" priority="10078" stopIfTrue="1" operator="equal">
      <formula>"Napkin Hs"</formula>
    </cfRule>
  </conditionalFormatting>
  <conditionalFormatting sqref="C69">
    <cfRule type="cellIs" dxfId="8163" priority="10075" stopIfTrue="1" operator="equal">
      <formula>"Towel"</formula>
    </cfRule>
    <cfRule type="cellIs" dxfId="8162" priority="10076" stopIfTrue="1" operator="equal">
      <formula>"Napkin Hs"</formula>
    </cfRule>
  </conditionalFormatting>
  <conditionalFormatting sqref="B69:C69">
    <cfRule type="cellIs" dxfId="8161" priority="10073" stopIfTrue="1" operator="equal">
      <formula>"Towel"</formula>
    </cfRule>
    <cfRule type="cellIs" dxfId="8160" priority="10074" stopIfTrue="1" operator="equal">
      <formula>"Napkin Hs"</formula>
    </cfRule>
  </conditionalFormatting>
  <conditionalFormatting sqref="C69">
    <cfRule type="cellIs" dxfId="8159" priority="10071" stopIfTrue="1" operator="equal">
      <formula>"Towel"</formula>
    </cfRule>
    <cfRule type="cellIs" dxfId="8158" priority="10072" stopIfTrue="1" operator="equal">
      <formula>"Napkin Hs"</formula>
    </cfRule>
  </conditionalFormatting>
  <conditionalFormatting sqref="C69">
    <cfRule type="cellIs" dxfId="8157" priority="10069" stopIfTrue="1" operator="equal">
      <formula>"Towel"</formula>
    </cfRule>
    <cfRule type="cellIs" dxfId="8156" priority="10070" stopIfTrue="1" operator="equal">
      <formula>"Napkin Hs"</formula>
    </cfRule>
  </conditionalFormatting>
  <conditionalFormatting sqref="B69:C69">
    <cfRule type="cellIs" dxfId="8155" priority="10068" stopIfTrue="1" operator="equal">
      <formula>"Napkin Hs"</formula>
    </cfRule>
  </conditionalFormatting>
  <conditionalFormatting sqref="B69:C69">
    <cfRule type="cellIs" dxfId="8154" priority="10067" stopIfTrue="1" operator="equal">
      <formula>"Towel"</formula>
    </cfRule>
  </conditionalFormatting>
  <conditionalFormatting sqref="C69">
    <cfRule type="cellIs" dxfId="8153" priority="10066" stopIfTrue="1" operator="equal">
      <formula>"Napkin Hs"</formula>
    </cfRule>
  </conditionalFormatting>
  <conditionalFormatting sqref="C69">
    <cfRule type="cellIs" dxfId="8152" priority="10063" stopIfTrue="1" operator="equal">
      <formula>"Towel"</formula>
    </cfRule>
    <cfRule type="cellIs" dxfId="8151" priority="10064" stopIfTrue="1" operator="equal">
      <formula>"Napkin Hs"</formula>
    </cfRule>
  </conditionalFormatting>
  <conditionalFormatting sqref="C69">
    <cfRule type="cellIs" dxfId="8150" priority="10065" stopIfTrue="1" operator="equal">
      <formula>"Towel"</formula>
    </cfRule>
  </conditionalFormatting>
  <conditionalFormatting sqref="C72">
    <cfRule type="cellIs" dxfId="8149" priority="10027" stopIfTrue="1" operator="equal">
      <formula>"Towel"</formula>
    </cfRule>
    <cfRule type="cellIs" dxfId="8148" priority="10028" stopIfTrue="1" operator="equal">
      <formula>"Napkin Hs"</formula>
    </cfRule>
  </conditionalFormatting>
  <conditionalFormatting sqref="B72:C72">
    <cfRule type="cellIs" dxfId="8147" priority="10025" stopIfTrue="1" operator="equal">
      <formula>"Towel"</formula>
    </cfRule>
    <cfRule type="cellIs" dxfId="8146" priority="10026" stopIfTrue="1" operator="equal">
      <formula>"Napkin Hs"</formula>
    </cfRule>
  </conditionalFormatting>
  <conditionalFormatting sqref="C72">
    <cfRule type="cellIs" dxfId="8145" priority="10023" stopIfTrue="1" operator="equal">
      <formula>"Towel"</formula>
    </cfRule>
    <cfRule type="cellIs" dxfId="8144" priority="10024" stopIfTrue="1" operator="equal">
      <formula>"Napkin Hs"</formula>
    </cfRule>
  </conditionalFormatting>
  <conditionalFormatting sqref="C72">
    <cfRule type="cellIs" dxfId="8143" priority="10015" stopIfTrue="1" operator="equal">
      <formula>"Towel"</formula>
    </cfRule>
    <cfRule type="cellIs" dxfId="8142" priority="10016" stopIfTrue="1" operator="equal">
      <formula>"Napkin Hs"</formula>
    </cfRule>
  </conditionalFormatting>
  <conditionalFormatting sqref="B72:C72">
    <cfRule type="cellIs" dxfId="8141" priority="10061" stopIfTrue="1" operator="equal">
      <formula>"Towel"</formula>
    </cfRule>
    <cfRule type="cellIs" dxfId="8140" priority="10062" stopIfTrue="1" operator="equal">
      <formula>"Napkin Hs"</formula>
    </cfRule>
  </conditionalFormatting>
  <conditionalFormatting sqref="C72">
    <cfRule type="cellIs" dxfId="8139" priority="10057" stopIfTrue="1" operator="equal">
      <formula>"Towel"</formula>
    </cfRule>
    <cfRule type="cellIs" dxfId="8138" priority="10058" stopIfTrue="1" operator="equal">
      <formula>"Napkin Hs"</formula>
    </cfRule>
  </conditionalFormatting>
  <conditionalFormatting sqref="C72">
    <cfRule type="cellIs" dxfId="8137" priority="10059" stopIfTrue="1" operator="equal">
      <formula>"Towel"</formula>
    </cfRule>
    <cfRule type="cellIs" dxfId="8136" priority="10060" stopIfTrue="1" operator="equal">
      <formula>"Napkin Hs"</formula>
    </cfRule>
  </conditionalFormatting>
  <conditionalFormatting sqref="B72:C72">
    <cfRule type="cellIs" dxfId="8135" priority="10056" stopIfTrue="1" operator="equal">
      <formula>"Napkin Hs"</formula>
    </cfRule>
  </conditionalFormatting>
  <conditionalFormatting sqref="B72:C72">
    <cfRule type="cellIs" dxfId="8134" priority="10055" stopIfTrue="1" operator="equal">
      <formula>"Towel"</formula>
    </cfRule>
  </conditionalFormatting>
  <conditionalFormatting sqref="C72">
    <cfRule type="cellIs" dxfId="8133" priority="10054" stopIfTrue="1" operator="equal">
      <formula>"Napkin Hs"</formula>
    </cfRule>
  </conditionalFormatting>
  <conditionalFormatting sqref="C72">
    <cfRule type="cellIs" dxfId="8132" priority="10053" stopIfTrue="1" operator="equal">
      <formula>"Towel"</formula>
    </cfRule>
  </conditionalFormatting>
  <conditionalFormatting sqref="C72">
    <cfRule type="cellIs" dxfId="8131" priority="10051" stopIfTrue="1" operator="equal">
      <formula>"Towel"</formula>
    </cfRule>
    <cfRule type="cellIs" dxfId="8130" priority="10052" stopIfTrue="1" operator="equal">
      <formula>"Napkin Hs"</formula>
    </cfRule>
  </conditionalFormatting>
  <conditionalFormatting sqref="B72:C72">
    <cfRule type="cellIs" dxfId="8129" priority="10049" stopIfTrue="1" operator="equal">
      <formula>"Towel"</formula>
    </cfRule>
    <cfRule type="cellIs" dxfId="8128" priority="10050" stopIfTrue="1" operator="equal">
      <formula>"Napkin Hs"</formula>
    </cfRule>
  </conditionalFormatting>
  <conditionalFormatting sqref="C72">
    <cfRule type="cellIs" dxfId="8127" priority="10047" stopIfTrue="1" operator="equal">
      <formula>"Towel"</formula>
    </cfRule>
    <cfRule type="cellIs" dxfId="8126" priority="10048" stopIfTrue="1" operator="equal">
      <formula>"Napkin Hs"</formula>
    </cfRule>
  </conditionalFormatting>
  <conditionalFormatting sqref="C72">
    <cfRule type="cellIs" dxfId="8125" priority="10045" stopIfTrue="1" operator="equal">
      <formula>"Towel"</formula>
    </cfRule>
    <cfRule type="cellIs" dxfId="8124" priority="10046" stopIfTrue="1" operator="equal">
      <formula>"Napkin Hs"</formula>
    </cfRule>
  </conditionalFormatting>
  <conditionalFormatting sqref="B72:C72">
    <cfRule type="cellIs" dxfId="8123" priority="10043" stopIfTrue="1" operator="equal">
      <formula>"Towel"</formula>
    </cfRule>
    <cfRule type="cellIs" dxfId="8122" priority="10044" stopIfTrue="1" operator="equal">
      <formula>"Napkin Hs"</formula>
    </cfRule>
  </conditionalFormatting>
  <conditionalFormatting sqref="C72">
    <cfRule type="cellIs" dxfId="8121" priority="10041" stopIfTrue="1" operator="equal">
      <formula>"Towel"</formula>
    </cfRule>
    <cfRule type="cellIs" dxfId="8120" priority="10042" stopIfTrue="1" operator="equal">
      <formula>"Napkin Hs"</formula>
    </cfRule>
  </conditionalFormatting>
  <conditionalFormatting sqref="C72">
    <cfRule type="cellIs" dxfId="8119" priority="10039" stopIfTrue="1" operator="equal">
      <formula>"Towel"</formula>
    </cfRule>
    <cfRule type="cellIs" dxfId="8118" priority="10040" stopIfTrue="1" operator="equal">
      <formula>"Napkin Hs"</formula>
    </cfRule>
  </conditionalFormatting>
  <conditionalFormatting sqref="B72:C72">
    <cfRule type="cellIs" dxfId="8117" priority="10037" stopIfTrue="1" operator="equal">
      <formula>"Towel"</formula>
    </cfRule>
    <cfRule type="cellIs" dxfId="8116" priority="10038" stopIfTrue="1" operator="equal">
      <formula>"Napkin Hs"</formula>
    </cfRule>
  </conditionalFormatting>
  <conditionalFormatting sqref="C72">
    <cfRule type="cellIs" dxfId="8115" priority="10035" stopIfTrue="1" operator="equal">
      <formula>"Towel"</formula>
    </cfRule>
    <cfRule type="cellIs" dxfId="8114" priority="10036" stopIfTrue="1" operator="equal">
      <formula>"Napkin Hs"</formula>
    </cfRule>
  </conditionalFormatting>
  <conditionalFormatting sqref="C72">
    <cfRule type="cellIs" dxfId="8113" priority="10033" stopIfTrue="1" operator="equal">
      <formula>"Towel"</formula>
    </cfRule>
    <cfRule type="cellIs" dxfId="8112" priority="10034" stopIfTrue="1" operator="equal">
      <formula>"Napkin Hs"</formula>
    </cfRule>
  </conditionalFormatting>
  <conditionalFormatting sqref="B72:C72">
    <cfRule type="cellIs" dxfId="8111" priority="10031" stopIfTrue="1" operator="equal">
      <formula>"Towel"</formula>
    </cfRule>
    <cfRule type="cellIs" dxfId="8110" priority="10032" stopIfTrue="1" operator="equal">
      <formula>"Napkin Hs"</formula>
    </cfRule>
  </conditionalFormatting>
  <conditionalFormatting sqref="C72">
    <cfRule type="cellIs" dxfId="8109" priority="10029" stopIfTrue="1" operator="equal">
      <formula>"Towel"</formula>
    </cfRule>
    <cfRule type="cellIs" dxfId="8108" priority="10030" stopIfTrue="1" operator="equal">
      <formula>"Napkin Hs"</formula>
    </cfRule>
  </conditionalFormatting>
  <conditionalFormatting sqref="C72">
    <cfRule type="cellIs" dxfId="8107" priority="10021" stopIfTrue="1" operator="equal">
      <formula>"Towel"</formula>
    </cfRule>
    <cfRule type="cellIs" dxfId="8106" priority="10022" stopIfTrue="1" operator="equal">
      <formula>"Napkin Hs"</formula>
    </cfRule>
  </conditionalFormatting>
  <conditionalFormatting sqref="B72:C72">
    <cfRule type="cellIs" dxfId="8105" priority="10020" stopIfTrue="1" operator="equal">
      <formula>"Napkin Hs"</formula>
    </cfRule>
  </conditionalFormatting>
  <conditionalFormatting sqref="B72:C72">
    <cfRule type="cellIs" dxfId="8104" priority="10019" stopIfTrue="1" operator="equal">
      <formula>"Towel"</formula>
    </cfRule>
  </conditionalFormatting>
  <conditionalFormatting sqref="C72">
    <cfRule type="cellIs" dxfId="8103" priority="10018" stopIfTrue="1" operator="equal">
      <formula>"Napkin Hs"</formula>
    </cfRule>
  </conditionalFormatting>
  <conditionalFormatting sqref="C72">
    <cfRule type="cellIs" dxfId="8102" priority="10017" stopIfTrue="1" operator="equal">
      <formula>"Towel"</formula>
    </cfRule>
  </conditionalFormatting>
  <conditionalFormatting sqref="B71:C71">
    <cfRule type="cellIs" dxfId="8101" priority="10013" stopIfTrue="1" operator="equal">
      <formula>"Towel"</formula>
    </cfRule>
    <cfRule type="cellIs" dxfId="8100" priority="10014" stopIfTrue="1" operator="equal">
      <formula>"Napkin Hs"</formula>
    </cfRule>
  </conditionalFormatting>
  <conditionalFormatting sqref="C71">
    <cfRule type="cellIs" dxfId="8099" priority="10009" stopIfTrue="1" operator="equal">
      <formula>"Towel"</formula>
    </cfRule>
    <cfRule type="cellIs" dxfId="8098" priority="10010" stopIfTrue="1" operator="equal">
      <formula>"Napkin Hs"</formula>
    </cfRule>
  </conditionalFormatting>
  <conditionalFormatting sqref="C71">
    <cfRule type="cellIs" dxfId="8097" priority="10011" stopIfTrue="1" operator="equal">
      <formula>"Towel"</formula>
    </cfRule>
    <cfRule type="cellIs" dxfId="8096" priority="10012" stopIfTrue="1" operator="equal">
      <formula>"Napkin Hs"</formula>
    </cfRule>
  </conditionalFormatting>
  <conditionalFormatting sqref="B71:C71">
    <cfRule type="cellIs" dxfId="8095" priority="10008" stopIfTrue="1" operator="equal">
      <formula>"Napkin Hs"</formula>
    </cfRule>
  </conditionalFormatting>
  <conditionalFormatting sqref="B71:C71">
    <cfRule type="cellIs" dxfId="8094" priority="10007" stopIfTrue="1" operator="equal">
      <formula>"Towel"</formula>
    </cfRule>
  </conditionalFormatting>
  <conditionalFormatting sqref="C71">
    <cfRule type="cellIs" dxfId="8093" priority="10006" stopIfTrue="1" operator="equal">
      <formula>"Napkin Hs"</formula>
    </cfRule>
  </conditionalFormatting>
  <conditionalFormatting sqref="C71">
    <cfRule type="cellIs" dxfId="8092" priority="10005" stopIfTrue="1" operator="equal">
      <formula>"Towel"</formula>
    </cfRule>
  </conditionalFormatting>
  <conditionalFormatting sqref="C71">
    <cfRule type="cellIs" dxfId="8091" priority="10003" stopIfTrue="1" operator="equal">
      <formula>"Towel"</formula>
    </cfRule>
    <cfRule type="cellIs" dxfId="8090" priority="10004" stopIfTrue="1" operator="equal">
      <formula>"Napkin Hs"</formula>
    </cfRule>
  </conditionalFormatting>
  <conditionalFormatting sqref="B71:C71">
    <cfRule type="cellIs" dxfId="8089" priority="10001" stopIfTrue="1" operator="equal">
      <formula>"Towel"</formula>
    </cfRule>
    <cfRule type="cellIs" dxfId="8088" priority="10002" stopIfTrue="1" operator="equal">
      <formula>"Napkin Hs"</formula>
    </cfRule>
  </conditionalFormatting>
  <conditionalFormatting sqref="C71">
    <cfRule type="cellIs" dxfId="8087" priority="9999" stopIfTrue="1" operator="equal">
      <formula>"Towel"</formula>
    </cfRule>
    <cfRule type="cellIs" dxfId="8086" priority="10000" stopIfTrue="1" operator="equal">
      <formula>"Napkin Hs"</formula>
    </cfRule>
  </conditionalFormatting>
  <conditionalFormatting sqref="C71">
    <cfRule type="cellIs" dxfId="8085" priority="9997" stopIfTrue="1" operator="equal">
      <formula>"Towel"</formula>
    </cfRule>
    <cfRule type="cellIs" dxfId="8084" priority="9998" stopIfTrue="1" operator="equal">
      <formula>"Napkin Hs"</formula>
    </cfRule>
  </conditionalFormatting>
  <conditionalFormatting sqref="B71:C71">
    <cfRule type="cellIs" dxfId="8083" priority="9995" stopIfTrue="1" operator="equal">
      <formula>"Towel"</formula>
    </cfRule>
    <cfRule type="cellIs" dxfId="8082" priority="9996" stopIfTrue="1" operator="equal">
      <formula>"Napkin Hs"</formula>
    </cfRule>
  </conditionalFormatting>
  <conditionalFormatting sqref="C71">
    <cfRule type="cellIs" dxfId="8081" priority="9993" stopIfTrue="1" operator="equal">
      <formula>"Towel"</formula>
    </cfRule>
    <cfRule type="cellIs" dxfId="8080" priority="9994" stopIfTrue="1" operator="equal">
      <formula>"Napkin Hs"</formula>
    </cfRule>
  </conditionalFormatting>
  <conditionalFormatting sqref="C71">
    <cfRule type="cellIs" dxfId="8079" priority="9991" stopIfTrue="1" operator="equal">
      <formula>"Towel"</formula>
    </cfRule>
    <cfRule type="cellIs" dxfId="8078" priority="9992" stopIfTrue="1" operator="equal">
      <formula>"Napkin Hs"</formula>
    </cfRule>
  </conditionalFormatting>
  <conditionalFormatting sqref="B71:C71">
    <cfRule type="cellIs" dxfId="8077" priority="9989" stopIfTrue="1" operator="equal">
      <formula>"Towel"</formula>
    </cfRule>
    <cfRule type="cellIs" dxfId="8076" priority="9990" stopIfTrue="1" operator="equal">
      <formula>"Napkin Hs"</formula>
    </cfRule>
  </conditionalFormatting>
  <conditionalFormatting sqref="C71">
    <cfRule type="cellIs" dxfId="8075" priority="9987" stopIfTrue="1" operator="equal">
      <formula>"Towel"</formula>
    </cfRule>
    <cfRule type="cellIs" dxfId="8074" priority="9988" stopIfTrue="1" operator="equal">
      <formula>"Napkin Hs"</formula>
    </cfRule>
  </conditionalFormatting>
  <conditionalFormatting sqref="C71">
    <cfRule type="cellIs" dxfId="8073" priority="9985" stopIfTrue="1" operator="equal">
      <formula>"Towel"</formula>
    </cfRule>
    <cfRule type="cellIs" dxfId="8072" priority="9986" stopIfTrue="1" operator="equal">
      <formula>"Napkin Hs"</formula>
    </cfRule>
  </conditionalFormatting>
  <conditionalFormatting sqref="B71:C71">
    <cfRule type="cellIs" dxfId="8071" priority="9983" stopIfTrue="1" operator="equal">
      <formula>"Towel"</formula>
    </cfRule>
    <cfRule type="cellIs" dxfId="8070" priority="9984" stopIfTrue="1" operator="equal">
      <formula>"Napkin Hs"</formula>
    </cfRule>
  </conditionalFormatting>
  <conditionalFormatting sqref="C71">
    <cfRule type="cellIs" dxfId="8069" priority="9981" stopIfTrue="1" operator="equal">
      <formula>"Towel"</formula>
    </cfRule>
    <cfRule type="cellIs" dxfId="8068" priority="9982" stopIfTrue="1" operator="equal">
      <formula>"Napkin Hs"</formula>
    </cfRule>
  </conditionalFormatting>
  <conditionalFormatting sqref="C71">
    <cfRule type="cellIs" dxfId="8067" priority="9979" stopIfTrue="1" operator="equal">
      <formula>"Towel"</formula>
    </cfRule>
    <cfRule type="cellIs" dxfId="8066" priority="9980" stopIfTrue="1" operator="equal">
      <formula>"Napkin Hs"</formula>
    </cfRule>
  </conditionalFormatting>
  <conditionalFormatting sqref="B71:C71">
    <cfRule type="cellIs" dxfId="8065" priority="9977" stopIfTrue="1" operator="equal">
      <formula>"Towel"</formula>
    </cfRule>
    <cfRule type="cellIs" dxfId="8064" priority="9978" stopIfTrue="1" operator="equal">
      <formula>"Napkin Hs"</formula>
    </cfRule>
  </conditionalFormatting>
  <conditionalFormatting sqref="C71">
    <cfRule type="cellIs" dxfId="8063" priority="9975" stopIfTrue="1" operator="equal">
      <formula>"Towel"</formula>
    </cfRule>
    <cfRule type="cellIs" dxfId="8062" priority="9976" stopIfTrue="1" operator="equal">
      <formula>"Napkin Hs"</formula>
    </cfRule>
  </conditionalFormatting>
  <conditionalFormatting sqref="C71">
    <cfRule type="cellIs" dxfId="8061" priority="9973" stopIfTrue="1" operator="equal">
      <formula>"Towel"</formula>
    </cfRule>
    <cfRule type="cellIs" dxfId="8060" priority="9974" stopIfTrue="1" operator="equal">
      <formula>"Napkin Hs"</formula>
    </cfRule>
  </conditionalFormatting>
  <conditionalFormatting sqref="B71:C71">
    <cfRule type="cellIs" dxfId="8059" priority="9972" stopIfTrue="1" operator="equal">
      <formula>"Napkin Hs"</formula>
    </cfRule>
  </conditionalFormatting>
  <conditionalFormatting sqref="B71:C71">
    <cfRule type="cellIs" dxfId="8058" priority="9971" stopIfTrue="1" operator="equal">
      <formula>"Towel"</formula>
    </cfRule>
  </conditionalFormatting>
  <conditionalFormatting sqref="C71">
    <cfRule type="cellIs" dxfId="8057" priority="9970" stopIfTrue="1" operator="equal">
      <formula>"Napkin Hs"</formula>
    </cfRule>
  </conditionalFormatting>
  <conditionalFormatting sqref="C71">
    <cfRule type="cellIs" dxfId="8056" priority="9967" stopIfTrue="1" operator="equal">
      <formula>"Towel"</formula>
    </cfRule>
    <cfRule type="cellIs" dxfId="8055" priority="9968" stopIfTrue="1" operator="equal">
      <formula>"Napkin Hs"</formula>
    </cfRule>
  </conditionalFormatting>
  <conditionalFormatting sqref="C71">
    <cfRule type="cellIs" dxfId="8054" priority="9969" stopIfTrue="1" operator="equal">
      <formula>"Towel"</formula>
    </cfRule>
  </conditionalFormatting>
  <conditionalFormatting sqref="B70:C70">
    <cfRule type="cellIs" dxfId="8053" priority="9966" stopIfTrue="1" operator="equal">
      <formula>"Napkin Hs"</formula>
    </cfRule>
  </conditionalFormatting>
  <conditionalFormatting sqref="B70:C70">
    <cfRule type="cellIs" dxfId="8052" priority="9965" stopIfTrue="1" operator="equal">
      <formula>"Towel"</formula>
    </cfRule>
  </conditionalFormatting>
  <conditionalFormatting sqref="B69:C69">
    <cfRule type="cellIs" dxfId="8051" priority="9961" stopIfTrue="1" operator="equal">
      <formula>"Towel"</formula>
    </cfRule>
    <cfRule type="cellIs" dxfId="8050" priority="9962" stopIfTrue="1" operator="equal">
      <formula>"Napkin Hs"</formula>
    </cfRule>
  </conditionalFormatting>
  <conditionalFormatting sqref="C70">
    <cfRule type="cellIs" dxfId="8049" priority="9964" stopIfTrue="1" operator="equal">
      <formula>"Napkin Hs"</formula>
    </cfRule>
  </conditionalFormatting>
  <conditionalFormatting sqref="C70">
    <cfRule type="cellIs" dxfId="8048" priority="9963" stopIfTrue="1" operator="equal">
      <formula>"Towel"</formula>
    </cfRule>
  </conditionalFormatting>
  <conditionalFormatting sqref="C69">
    <cfRule type="cellIs" dxfId="8047" priority="9957" stopIfTrue="1" operator="equal">
      <formula>"Towel"</formula>
    </cfRule>
    <cfRule type="cellIs" dxfId="8046" priority="9958" stopIfTrue="1" operator="equal">
      <formula>"Napkin Hs"</formula>
    </cfRule>
  </conditionalFormatting>
  <conditionalFormatting sqref="C69:C71">
    <cfRule type="cellIs" dxfId="8045" priority="9959" stopIfTrue="1" operator="equal">
      <formula>"Towel"</formula>
    </cfRule>
    <cfRule type="cellIs" dxfId="8044" priority="9960" stopIfTrue="1" operator="equal">
      <formula>"Napkin Hs"</formula>
    </cfRule>
  </conditionalFormatting>
  <conditionalFormatting sqref="C72">
    <cfRule type="cellIs" dxfId="8043" priority="9921" stopIfTrue="1" operator="equal">
      <formula>"Towel"</formula>
    </cfRule>
    <cfRule type="cellIs" dxfId="8042" priority="9922" stopIfTrue="1" operator="equal">
      <formula>"Napkin Hs"</formula>
    </cfRule>
  </conditionalFormatting>
  <conditionalFormatting sqref="B72:C72">
    <cfRule type="cellIs" dxfId="8041" priority="9919" stopIfTrue="1" operator="equal">
      <formula>"Towel"</formula>
    </cfRule>
    <cfRule type="cellIs" dxfId="8040" priority="9920" stopIfTrue="1" operator="equal">
      <formula>"Napkin Hs"</formula>
    </cfRule>
  </conditionalFormatting>
  <conditionalFormatting sqref="C72">
    <cfRule type="cellIs" dxfId="8039" priority="9917" stopIfTrue="1" operator="equal">
      <formula>"Towel"</formula>
    </cfRule>
    <cfRule type="cellIs" dxfId="8038" priority="9918" stopIfTrue="1" operator="equal">
      <formula>"Napkin Hs"</formula>
    </cfRule>
  </conditionalFormatting>
  <conditionalFormatting sqref="C72">
    <cfRule type="cellIs" dxfId="8037" priority="9909" stopIfTrue="1" operator="equal">
      <formula>"Towel"</formula>
    </cfRule>
    <cfRule type="cellIs" dxfId="8036" priority="9910" stopIfTrue="1" operator="equal">
      <formula>"Napkin Hs"</formula>
    </cfRule>
  </conditionalFormatting>
  <conditionalFormatting sqref="B72:C72">
    <cfRule type="cellIs" dxfId="8035" priority="9955" stopIfTrue="1" operator="equal">
      <formula>"Towel"</formula>
    </cfRule>
    <cfRule type="cellIs" dxfId="8034" priority="9956" stopIfTrue="1" operator="equal">
      <formula>"Napkin Hs"</formula>
    </cfRule>
  </conditionalFormatting>
  <conditionalFormatting sqref="C72">
    <cfRule type="cellIs" dxfId="8033" priority="9951" stopIfTrue="1" operator="equal">
      <formula>"Towel"</formula>
    </cfRule>
    <cfRule type="cellIs" dxfId="8032" priority="9952" stopIfTrue="1" operator="equal">
      <formula>"Napkin Hs"</formula>
    </cfRule>
  </conditionalFormatting>
  <conditionalFormatting sqref="C72">
    <cfRule type="cellIs" dxfId="8031" priority="9953" stopIfTrue="1" operator="equal">
      <formula>"Towel"</formula>
    </cfRule>
    <cfRule type="cellIs" dxfId="8030" priority="9954" stopIfTrue="1" operator="equal">
      <formula>"Napkin Hs"</formula>
    </cfRule>
  </conditionalFormatting>
  <conditionalFormatting sqref="B72:C72">
    <cfRule type="cellIs" dxfId="8029" priority="9950" stopIfTrue="1" operator="equal">
      <formula>"Napkin Hs"</formula>
    </cfRule>
  </conditionalFormatting>
  <conditionalFormatting sqref="B72:C72">
    <cfRule type="cellIs" dxfId="8028" priority="9949" stopIfTrue="1" operator="equal">
      <formula>"Towel"</formula>
    </cfRule>
  </conditionalFormatting>
  <conditionalFormatting sqref="C72">
    <cfRule type="cellIs" dxfId="8027" priority="9948" stopIfTrue="1" operator="equal">
      <formula>"Napkin Hs"</formula>
    </cfRule>
  </conditionalFormatting>
  <conditionalFormatting sqref="C72">
    <cfRule type="cellIs" dxfId="8026" priority="9947" stopIfTrue="1" operator="equal">
      <formula>"Towel"</formula>
    </cfRule>
  </conditionalFormatting>
  <conditionalFormatting sqref="C72">
    <cfRule type="cellIs" dxfId="8025" priority="9945" stopIfTrue="1" operator="equal">
      <formula>"Towel"</formula>
    </cfRule>
    <cfRule type="cellIs" dxfId="8024" priority="9946" stopIfTrue="1" operator="equal">
      <formula>"Napkin Hs"</formula>
    </cfRule>
  </conditionalFormatting>
  <conditionalFormatting sqref="B72:C72">
    <cfRule type="cellIs" dxfId="8023" priority="9943" stopIfTrue="1" operator="equal">
      <formula>"Towel"</formula>
    </cfRule>
    <cfRule type="cellIs" dxfId="8022" priority="9944" stopIfTrue="1" operator="equal">
      <formula>"Napkin Hs"</formula>
    </cfRule>
  </conditionalFormatting>
  <conditionalFormatting sqref="C72">
    <cfRule type="cellIs" dxfId="8021" priority="9941" stopIfTrue="1" operator="equal">
      <formula>"Towel"</formula>
    </cfRule>
    <cfRule type="cellIs" dxfId="8020" priority="9942" stopIfTrue="1" operator="equal">
      <formula>"Napkin Hs"</formula>
    </cfRule>
  </conditionalFormatting>
  <conditionalFormatting sqref="C72">
    <cfRule type="cellIs" dxfId="8019" priority="9939" stopIfTrue="1" operator="equal">
      <formula>"Towel"</formula>
    </cfRule>
    <cfRule type="cellIs" dxfId="8018" priority="9940" stopIfTrue="1" operator="equal">
      <formula>"Napkin Hs"</formula>
    </cfRule>
  </conditionalFormatting>
  <conditionalFormatting sqref="B72:C72">
    <cfRule type="cellIs" dxfId="8017" priority="9937" stopIfTrue="1" operator="equal">
      <formula>"Towel"</formula>
    </cfRule>
    <cfRule type="cellIs" dxfId="8016" priority="9938" stopIfTrue="1" operator="equal">
      <formula>"Napkin Hs"</formula>
    </cfRule>
  </conditionalFormatting>
  <conditionalFormatting sqref="C72">
    <cfRule type="cellIs" dxfId="8015" priority="9935" stopIfTrue="1" operator="equal">
      <formula>"Towel"</formula>
    </cfRule>
    <cfRule type="cellIs" dxfId="8014" priority="9936" stopIfTrue="1" operator="equal">
      <formula>"Napkin Hs"</formula>
    </cfRule>
  </conditionalFormatting>
  <conditionalFormatting sqref="C72">
    <cfRule type="cellIs" dxfId="8013" priority="9933" stopIfTrue="1" operator="equal">
      <formula>"Towel"</formula>
    </cfRule>
    <cfRule type="cellIs" dxfId="8012" priority="9934" stopIfTrue="1" operator="equal">
      <formula>"Napkin Hs"</formula>
    </cfRule>
  </conditionalFormatting>
  <conditionalFormatting sqref="B72:C72">
    <cfRule type="cellIs" dxfId="8011" priority="9931" stopIfTrue="1" operator="equal">
      <formula>"Towel"</formula>
    </cfRule>
    <cfRule type="cellIs" dxfId="8010" priority="9932" stopIfTrue="1" operator="equal">
      <formula>"Napkin Hs"</formula>
    </cfRule>
  </conditionalFormatting>
  <conditionalFormatting sqref="C72">
    <cfRule type="cellIs" dxfId="8009" priority="9929" stopIfTrue="1" operator="equal">
      <formula>"Towel"</formula>
    </cfRule>
    <cfRule type="cellIs" dxfId="8008" priority="9930" stopIfTrue="1" operator="equal">
      <formula>"Napkin Hs"</formula>
    </cfRule>
  </conditionalFormatting>
  <conditionalFormatting sqref="C72">
    <cfRule type="cellIs" dxfId="8007" priority="9927" stopIfTrue="1" operator="equal">
      <formula>"Towel"</formula>
    </cfRule>
    <cfRule type="cellIs" dxfId="8006" priority="9928" stopIfTrue="1" operator="equal">
      <formula>"Napkin Hs"</formula>
    </cfRule>
  </conditionalFormatting>
  <conditionalFormatting sqref="B72:C72">
    <cfRule type="cellIs" dxfId="8005" priority="9925" stopIfTrue="1" operator="equal">
      <formula>"Towel"</formula>
    </cfRule>
    <cfRule type="cellIs" dxfId="8004" priority="9926" stopIfTrue="1" operator="equal">
      <formula>"Napkin Hs"</formula>
    </cfRule>
  </conditionalFormatting>
  <conditionalFormatting sqref="C72">
    <cfRule type="cellIs" dxfId="8003" priority="9923" stopIfTrue="1" operator="equal">
      <formula>"Towel"</formula>
    </cfRule>
    <cfRule type="cellIs" dxfId="8002" priority="9924" stopIfTrue="1" operator="equal">
      <formula>"Napkin Hs"</formula>
    </cfRule>
  </conditionalFormatting>
  <conditionalFormatting sqref="C72">
    <cfRule type="cellIs" dxfId="8001" priority="9915" stopIfTrue="1" operator="equal">
      <formula>"Towel"</formula>
    </cfRule>
    <cfRule type="cellIs" dxfId="8000" priority="9916" stopIfTrue="1" operator="equal">
      <formula>"Napkin Hs"</formula>
    </cfRule>
  </conditionalFormatting>
  <conditionalFormatting sqref="B72:C72">
    <cfRule type="cellIs" dxfId="7999" priority="9914" stopIfTrue="1" operator="equal">
      <formula>"Napkin Hs"</formula>
    </cfRule>
  </conditionalFormatting>
  <conditionalFormatting sqref="B72:C72">
    <cfRule type="cellIs" dxfId="7998" priority="9913" stopIfTrue="1" operator="equal">
      <formula>"Towel"</formula>
    </cfRule>
  </conditionalFormatting>
  <conditionalFormatting sqref="C72">
    <cfRule type="cellIs" dxfId="7997" priority="9912" stopIfTrue="1" operator="equal">
      <formula>"Napkin Hs"</formula>
    </cfRule>
  </conditionalFormatting>
  <conditionalFormatting sqref="C72">
    <cfRule type="cellIs" dxfId="7996" priority="9911" stopIfTrue="1" operator="equal">
      <formula>"Towel"</formula>
    </cfRule>
  </conditionalFormatting>
  <conditionalFormatting sqref="B71:C71">
    <cfRule type="cellIs" dxfId="7995" priority="9907" stopIfTrue="1" operator="equal">
      <formula>"Towel"</formula>
    </cfRule>
    <cfRule type="cellIs" dxfId="7994" priority="9908" stopIfTrue="1" operator="equal">
      <formula>"Napkin Hs"</formula>
    </cfRule>
  </conditionalFormatting>
  <conditionalFormatting sqref="C71">
    <cfRule type="cellIs" dxfId="7993" priority="9903" stopIfTrue="1" operator="equal">
      <formula>"Towel"</formula>
    </cfRule>
    <cfRule type="cellIs" dxfId="7992" priority="9904" stopIfTrue="1" operator="equal">
      <formula>"Napkin Hs"</formula>
    </cfRule>
  </conditionalFormatting>
  <conditionalFormatting sqref="C71">
    <cfRule type="cellIs" dxfId="7991" priority="9905" stopIfTrue="1" operator="equal">
      <formula>"Towel"</formula>
    </cfRule>
    <cfRule type="cellIs" dxfId="7990" priority="9906" stopIfTrue="1" operator="equal">
      <formula>"Napkin Hs"</formula>
    </cfRule>
  </conditionalFormatting>
  <conditionalFormatting sqref="B71:C71">
    <cfRule type="cellIs" dxfId="7989" priority="9902" stopIfTrue="1" operator="equal">
      <formula>"Napkin Hs"</formula>
    </cfRule>
  </conditionalFormatting>
  <conditionalFormatting sqref="B71:C71">
    <cfRule type="cellIs" dxfId="7988" priority="9901" stopIfTrue="1" operator="equal">
      <formula>"Towel"</formula>
    </cfRule>
  </conditionalFormatting>
  <conditionalFormatting sqref="C71">
    <cfRule type="cellIs" dxfId="7987" priority="9900" stopIfTrue="1" operator="equal">
      <formula>"Napkin Hs"</formula>
    </cfRule>
  </conditionalFormatting>
  <conditionalFormatting sqref="C71">
    <cfRule type="cellIs" dxfId="7986" priority="9899" stopIfTrue="1" operator="equal">
      <formula>"Towel"</formula>
    </cfRule>
  </conditionalFormatting>
  <conditionalFormatting sqref="C71">
    <cfRule type="cellIs" dxfId="7985" priority="9897" stopIfTrue="1" operator="equal">
      <formula>"Towel"</formula>
    </cfRule>
    <cfRule type="cellIs" dxfId="7984" priority="9898" stopIfTrue="1" operator="equal">
      <formula>"Napkin Hs"</formula>
    </cfRule>
  </conditionalFormatting>
  <conditionalFormatting sqref="B71:C71">
    <cfRule type="cellIs" dxfId="7983" priority="9895" stopIfTrue="1" operator="equal">
      <formula>"Towel"</formula>
    </cfRule>
    <cfRule type="cellIs" dxfId="7982" priority="9896" stopIfTrue="1" operator="equal">
      <formula>"Napkin Hs"</formula>
    </cfRule>
  </conditionalFormatting>
  <conditionalFormatting sqref="C71">
    <cfRule type="cellIs" dxfId="7981" priority="9893" stopIfTrue="1" operator="equal">
      <formula>"Towel"</formula>
    </cfRule>
    <cfRule type="cellIs" dxfId="7980" priority="9894" stopIfTrue="1" operator="equal">
      <formula>"Napkin Hs"</formula>
    </cfRule>
  </conditionalFormatting>
  <conditionalFormatting sqref="C71">
    <cfRule type="cellIs" dxfId="7979" priority="9891" stopIfTrue="1" operator="equal">
      <formula>"Towel"</formula>
    </cfRule>
    <cfRule type="cellIs" dxfId="7978" priority="9892" stopIfTrue="1" operator="equal">
      <formula>"Napkin Hs"</formula>
    </cfRule>
  </conditionalFormatting>
  <conditionalFormatting sqref="B71:C71">
    <cfRule type="cellIs" dxfId="7977" priority="9889" stopIfTrue="1" operator="equal">
      <formula>"Towel"</formula>
    </cfRule>
    <cfRule type="cellIs" dxfId="7976" priority="9890" stopIfTrue="1" operator="equal">
      <formula>"Napkin Hs"</formula>
    </cfRule>
  </conditionalFormatting>
  <conditionalFormatting sqref="C71">
    <cfRule type="cellIs" dxfId="7975" priority="9887" stopIfTrue="1" operator="equal">
      <formula>"Towel"</formula>
    </cfRule>
    <cfRule type="cellIs" dxfId="7974" priority="9888" stopIfTrue="1" operator="equal">
      <formula>"Napkin Hs"</formula>
    </cfRule>
  </conditionalFormatting>
  <conditionalFormatting sqref="C71">
    <cfRule type="cellIs" dxfId="7973" priority="9885" stopIfTrue="1" operator="equal">
      <formula>"Towel"</formula>
    </cfRule>
    <cfRule type="cellIs" dxfId="7972" priority="9886" stopIfTrue="1" operator="equal">
      <formula>"Napkin Hs"</formula>
    </cfRule>
  </conditionalFormatting>
  <conditionalFormatting sqref="B71:C71">
    <cfRule type="cellIs" dxfId="7971" priority="9883" stopIfTrue="1" operator="equal">
      <formula>"Towel"</formula>
    </cfRule>
    <cfRule type="cellIs" dxfId="7970" priority="9884" stopIfTrue="1" operator="equal">
      <formula>"Napkin Hs"</formula>
    </cfRule>
  </conditionalFormatting>
  <conditionalFormatting sqref="C71">
    <cfRule type="cellIs" dxfId="7969" priority="9881" stopIfTrue="1" operator="equal">
      <formula>"Towel"</formula>
    </cfRule>
    <cfRule type="cellIs" dxfId="7968" priority="9882" stopIfTrue="1" operator="equal">
      <formula>"Napkin Hs"</formula>
    </cfRule>
  </conditionalFormatting>
  <conditionalFormatting sqref="C71">
    <cfRule type="cellIs" dxfId="7967" priority="9879" stopIfTrue="1" operator="equal">
      <formula>"Towel"</formula>
    </cfRule>
    <cfRule type="cellIs" dxfId="7966" priority="9880" stopIfTrue="1" operator="equal">
      <formula>"Napkin Hs"</formula>
    </cfRule>
  </conditionalFormatting>
  <conditionalFormatting sqref="B71:C71">
    <cfRule type="cellIs" dxfId="7965" priority="9877" stopIfTrue="1" operator="equal">
      <formula>"Towel"</formula>
    </cfRule>
    <cfRule type="cellIs" dxfId="7964" priority="9878" stopIfTrue="1" operator="equal">
      <formula>"Napkin Hs"</formula>
    </cfRule>
  </conditionalFormatting>
  <conditionalFormatting sqref="C71">
    <cfRule type="cellIs" dxfId="7963" priority="9875" stopIfTrue="1" operator="equal">
      <formula>"Towel"</formula>
    </cfRule>
    <cfRule type="cellIs" dxfId="7962" priority="9876" stopIfTrue="1" operator="equal">
      <formula>"Napkin Hs"</formula>
    </cfRule>
  </conditionalFormatting>
  <conditionalFormatting sqref="C71">
    <cfRule type="cellIs" dxfId="7961" priority="9873" stopIfTrue="1" operator="equal">
      <formula>"Towel"</formula>
    </cfRule>
    <cfRule type="cellIs" dxfId="7960" priority="9874" stopIfTrue="1" operator="equal">
      <formula>"Napkin Hs"</formula>
    </cfRule>
  </conditionalFormatting>
  <conditionalFormatting sqref="B71:C71">
    <cfRule type="cellIs" dxfId="7959" priority="9871" stopIfTrue="1" operator="equal">
      <formula>"Towel"</formula>
    </cfRule>
    <cfRule type="cellIs" dxfId="7958" priority="9872" stopIfTrue="1" operator="equal">
      <formula>"Napkin Hs"</formula>
    </cfRule>
  </conditionalFormatting>
  <conditionalFormatting sqref="C71">
    <cfRule type="cellIs" dxfId="7957" priority="9869" stopIfTrue="1" operator="equal">
      <formula>"Towel"</formula>
    </cfRule>
    <cfRule type="cellIs" dxfId="7956" priority="9870" stopIfTrue="1" operator="equal">
      <formula>"Napkin Hs"</formula>
    </cfRule>
  </conditionalFormatting>
  <conditionalFormatting sqref="C71">
    <cfRule type="cellIs" dxfId="7955" priority="9867" stopIfTrue="1" operator="equal">
      <formula>"Towel"</formula>
    </cfRule>
    <cfRule type="cellIs" dxfId="7954" priority="9868" stopIfTrue="1" operator="equal">
      <formula>"Napkin Hs"</formula>
    </cfRule>
  </conditionalFormatting>
  <conditionalFormatting sqref="B71:C71">
    <cfRule type="cellIs" dxfId="7953" priority="9866" stopIfTrue="1" operator="equal">
      <formula>"Napkin Hs"</formula>
    </cfRule>
  </conditionalFormatting>
  <conditionalFormatting sqref="B71:C71">
    <cfRule type="cellIs" dxfId="7952" priority="9865" stopIfTrue="1" operator="equal">
      <formula>"Towel"</formula>
    </cfRule>
  </conditionalFormatting>
  <conditionalFormatting sqref="C71">
    <cfRule type="cellIs" dxfId="7951" priority="9864" stopIfTrue="1" operator="equal">
      <formula>"Napkin Hs"</formula>
    </cfRule>
  </conditionalFormatting>
  <conditionalFormatting sqref="C71">
    <cfRule type="cellIs" dxfId="7950" priority="9861" stopIfTrue="1" operator="equal">
      <formula>"Towel"</formula>
    </cfRule>
    <cfRule type="cellIs" dxfId="7949" priority="9862" stopIfTrue="1" operator="equal">
      <formula>"Napkin Hs"</formula>
    </cfRule>
  </conditionalFormatting>
  <conditionalFormatting sqref="C71">
    <cfRule type="cellIs" dxfId="7948" priority="9863" stopIfTrue="1" operator="equal">
      <formula>"Towel"</formula>
    </cfRule>
  </conditionalFormatting>
  <conditionalFormatting sqref="B72:C72">
    <cfRule type="cellIs" dxfId="7947" priority="9859" stopIfTrue="1" operator="equal">
      <formula>"Towel"</formula>
    </cfRule>
    <cfRule type="cellIs" dxfId="7946" priority="9860" stopIfTrue="1" operator="equal">
      <formula>"Napkin Hs"</formula>
    </cfRule>
  </conditionalFormatting>
  <conditionalFormatting sqref="C72">
    <cfRule type="cellIs" dxfId="7945" priority="9855" stopIfTrue="1" operator="equal">
      <formula>"Towel"</formula>
    </cfRule>
    <cfRule type="cellIs" dxfId="7944" priority="9856" stopIfTrue="1" operator="equal">
      <formula>"Napkin Hs"</formula>
    </cfRule>
  </conditionalFormatting>
  <conditionalFormatting sqref="C72">
    <cfRule type="cellIs" dxfId="7943" priority="9857" stopIfTrue="1" operator="equal">
      <formula>"Towel"</formula>
    </cfRule>
    <cfRule type="cellIs" dxfId="7942" priority="9858" stopIfTrue="1" operator="equal">
      <formula>"Napkin Hs"</formula>
    </cfRule>
  </conditionalFormatting>
  <conditionalFormatting sqref="B71:C71">
    <cfRule type="cellIs" dxfId="7941" priority="9853" stopIfTrue="1" operator="equal">
      <formula>"Towel"</formula>
    </cfRule>
    <cfRule type="cellIs" dxfId="7940" priority="9854" stopIfTrue="1" operator="equal">
      <formula>"Napkin Hs"</formula>
    </cfRule>
  </conditionalFormatting>
  <conditionalFormatting sqref="C71">
    <cfRule type="cellIs" dxfId="7939" priority="9849" stopIfTrue="1" operator="equal">
      <formula>"Towel"</formula>
    </cfRule>
    <cfRule type="cellIs" dxfId="7938" priority="9850" stopIfTrue="1" operator="equal">
      <formula>"Napkin Hs"</formula>
    </cfRule>
  </conditionalFormatting>
  <conditionalFormatting sqref="C71">
    <cfRule type="cellIs" dxfId="7937" priority="9851" stopIfTrue="1" operator="equal">
      <formula>"Towel"</formula>
    </cfRule>
    <cfRule type="cellIs" dxfId="7936" priority="9852" stopIfTrue="1" operator="equal">
      <formula>"Napkin Hs"</formula>
    </cfRule>
  </conditionalFormatting>
  <conditionalFormatting sqref="B71:C71">
    <cfRule type="cellIs" dxfId="7935" priority="9847" stopIfTrue="1" operator="equal">
      <formula>"Towel"</formula>
    </cfRule>
    <cfRule type="cellIs" dxfId="7934" priority="9848" stopIfTrue="1" operator="equal">
      <formula>"Napkin Hs"</formula>
    </cfRule>
  </conditionalFormatting>
  <conditionalFormatting sqref="C71">
    <cfRule type="cellIs" dxfId="7933" priority="9843" stopIfTrue="1" operator="equal">
      <formula>"Towel"</formula>
    </cfRule>
    <cfRule type="cellIs" dxfId="7932" priority="9844" stopIfTrue="1" operator="equal">
      <formula>"Napkin Hs"</formula>
    </cfRule>
  </conditionalFormatting>
  <conditionalFormatting sqref="C71">
    <cfRule type="cellIs" dxfId="7931" priority="9845" stopIfTrue="1" operator="equal">
      <formula>"Towel"</formula>
    </cfRule>
    <cfRule type="cellIs" dxfId="7930" priority="9846" stopIfTrue="1" operator="equal">
      <formula>"Napkin Hs"</formula>
    </cfRule>
  </conditionalFormatting>
  <conditionalFormatting sqref="B71:C71">
    <cfRule type="cellIs" dxfId="7929" priority="9841" stopIfTrue="1" operator="equal">
      <formula>"Towel"</formula>
    </cfRule>
    <cfRule type="cellIs" dxfId="7928" priority="9842" stopIfTrue="1" operator="equal">
      <formula>"Napkin Hs"</formula>
    </cfRule>
  </conditionalFormatting>
  <conditionalFormatting sqref="C71">
    <cfRule type="cellIs" dxfId="7927" priority="9839" stopIfTrue="1" operator="equal">
      <formula>"Towel"</formula>
    </cfRule>
    <cfRule type="cellIs" dxfId="7926" priority="9840" stopIfTrue="1" operator="equal">
      <formula>"Napkin Hs"</formula>
    </cfRule>
  </conditionalFormatting>
  <conditionalFormatting sqref="C71">
    <cfRule type="cellIs" dxfId="7925" priority="9837" stopIfTrue="1" operator="equal">
      <formula>"Towel"</formula>
    </cfRule>
    <cfRule type="cellIs" dxfId="7924" priority="9838" stopIfTrue="1" operator="equal">
      <formula>"Napkin Hs"</formula>
    </cfRule>
  </conditionalFormatting>
  <conditionalFormatting sqref="B71:C71">
    <cfRule type="cellIs" dxfId="7923" priority="9836" stopIfTrue="1" operator="equal">
      <formula>"Napkin Hs"</formula>
    </cfRule>
  </conditionalFormatting>
  <conditionalFormatting sqref="B71:C71">
    <cfRule type="cellIs" dxfId="7922" priority="9835" stopIfTrue="1" operator="equal">
      <formula>"Towel"</formula>
    </cfRule>
  </conditionalFormatting>
  <conditionalFormatting sqref="C71">
    <cfRule type="cellIs" dxfId="7921" priority="9834" stopIfTrue="1" operator="equal">
      <formula>"Napkin Hs"</formula>
    </cfRule>
  </conditionalFormatting>
  <conditionalFormatting sqref="C71">
    <cfRule type="cellIs" dxfId="7920" priority="9833" stopIfTrue="1" operator="equal">
      <formula>"Towel"</formula>
    </cfRule>
  </conditionalFormatting>
  <conditionalFormatting sqref="C71">
    <cfRule type="cellIs" dxfId="7919" priority="9831" stopIfTrue="1" operator="equal">
      <formula>"Towel"</formula>
    </cfRule>
    <cfRule type="cellIs" dxfId="7918" priority="9832" stopIfTrue="1" operator="equal">
      <formula>"Napkin Hs"</formula>
    </cfRule>
  </conditionalFormatting>
  <conditionalFormatting sqref="C71">
    <cfRule type="cellIs" dxfId="7917" priority="9829" stopIfTrue="1" operator="equal">
      <formula>"Towel"</formula>
    </cfRule>
    <cfRule type="cellIs" dxfId="7916" priority="9830" stopIfTrue="1" operator="equal">
      <formula>"Napkin Hs"</formula>
    </cfRule>
  </conditionalFormatting>
  <conditionalFormatting sqref="C71">
    <cfRule type="cellIs" dxfId="7915" priority="9745" stopIfTrue="1" operator="equal">
      <formula>"Towel"</formula>
    </cfRule>
    <cfRule type="cellIs" dxfId="7914" priority="9746" stopIfTrue="1" operator="equal">
      <formula>"Napkin Hs"</formula>
    </cfRule>
  </conditionalFormatting>
  <conditionalFormatting sqref="C71">
    <cfRule type="cellIs" dxfId="7913" priority="9739" stopIfTrue="1" operator="equal">
      <formula>"Towel"</formula>
    </cfRule>
    <cfRule type="cellIs" dxfId="7912" priority="9740" stopIfTrue="1" operator="equal">
      <formula>"Napkin Hs"</formula>
    </cfRule>
  </conditionalFormatting>
  <conditionalFormatting sqref="C71">
    <cfRule type="cellIs" dxfId="7911" priority="9720" stopIfTrue="1" operator="equal">
      <formula>"Napkin Hs"</formula>
    </cfRule>
  </conditionalFormatting>
  <conditionalFormatting sqref="C71">
    <cfRule type="cellIs" dxfId="7910" priority="9719" stopIfTrue="1" operator="equal">
      <formula>"Towel"</formula>
    </cfRule>
  </conditionalFormatting>
  <conditionalFormatting sqref="C71">
    <cfRule type="cellIs" dxfId="7909" priority="9718" stopIfTrue="1" operator="equal">
      <formula>"Napkin Hs"</formula>
    </cfRule>
  </conditionalFormatting>
  <conditionalFormatting sqref="C71">
    <cfRule type="cellIs" dxfId="7908" priority="9715" stopIfTrue="1" operator="equal">
      <formula>"Towel"</formula>
    </cfRule>
    <cfRule type="cellIs" dxfId="7907" priority="9716" stopIfTrue="1" operator="equal">
      <formula>"Napkin Hs"</formula>
    </cfRule>
  </conditionalFormatting>
  <conditionalFormatting sqref="C71">
    <cfRule type="cellIs" dxfId="7906" priority="9717" stopIfTrue="1" operator="equal">
      <formula>"Towel"</formula>
    </cfRule>
  </conditionalFormatting>
  <conditionalFormatting sqref="C71">
    <cfRule type="cellIs" dxfId="7905" priority="9714" stopIfTrue="1" operator="equal">
      <formula>"Napkin Hs"</formula>
    </cfRule>
  </conditionalFormatting>
  <conditionalFormatting sqref="C71">
    <cfRule type="cellIs" dxfId="7904" priority="9713" stopIfTrue="1" operator="equal">
      <formula>"Towel"</formula>
    </cfRule>
  </conditionalFormatting>
  <conditionalFormatting sqref="C71">
    <cfRule type="cellIs" dxfId="7903" priority="9712" stopIfTrue="1" operator="equal">
      <formula>"Napkin Hs"</formula>
    </cfRule>
  </conditionalFormatting>
  <conditionalFormatting sqref="C71">
    <cfRule type="cellIs" dxfId="7902" priority="9709" stopIfTrue="1" operator="equal">
      <formula>"Towel"</formula>
    </cfRule>
    <cfRule type="cellIs" dxfId="7901" priority="9710" stopIfTrue="1" operator="equal">
      <formula>"Napkin Hs"</formula>
    </cfRule>
  </conditionalFormatting>
  <conditionalFormatting sqref="C71">
    <cfRule type="cellIs" dxfId="7900" priority="9711" stopIfTrue="1" operator="equal">
      <formula>"Towel"</formula>
    </cfRule>
  </conditionalFormatting>
  <conditionalFormatting sqref="C71">
    <cfRule type="cellIs" dxfId="7899" priority="9815" stopIfTrue="1" operator="equal">
      <formula>"Towel"</formula>
    </cfRule>
    <cfRule type="cellIs" dxfId="7898" priority="9816" stopIfTrue="1" operator="equal">
      <formula>"Napkin Hs"</formula>
    </cfRule>
  </conditionalFormatting>
  <conditionalFormatting sqref="C71">
    <cfRule type="cellIs" dxfId="7897" priority="9813" stopIfTrue="1" operator="equal">
      <formula>"Towel"</formula>
    </cfRule>
    <cfRule type="cellIs" dxfId="7896" priority="9814" stopIfTrue="1" operator="equal">
      <formula>"Napkin Hs"</formula>
    </cfRule>
  </conditionalFormatting>
  <conditionalFormatting sqref="C71">
    <cfRule type="cellIs" dxfId="7895" priority="9811" stopIfTrue="1" operator="equal">
      <formula>"Towel"</formula>
    </cfRule>
    <cfRule type="cellIs" dxfId="7894" priority="9812" stopIfTrue="1" operator="equal">
      <formula>"Napkin Hs"</formula>
    </cfRule>
  </conditionalFormatting>
  <conditionalFormatting sqref="C71">
    <cfRule type="cellIs" dxfId="7893" priority="9810" stopIfTrue="1" operator="equal">
      <formula>"Napkin Hs"</formula>
    </cfRule>
  </conditionalFormatting>
  <conditionalFormatting sqref="C71">
    <cfRule type="cellIs" dxfId="7892" priority="9809" stopIfTrue="1" operator="equal">
      <formula>"Towel"</formula>
    </cfRule>
  </conditionalFormatting>
  <conditionalFormatting sqref="C71">
    <cfRule type="cellIs" dxfId="7891" priority="9808" stopIfTrue="1" operator="equal">
      <formula>"Napkin Hs"</formula>
    </cfRule>
  </conditionalFormatting>
  <conditionalFormatting sqref="C71">
    <cfRule type="cellIs" dxfId="7890" priority="9807" stopIfTrue="1" operator="equal">
      <formula>"Towel"</formula>
    </cfRule>
  </conditionalFormatting>
  <conditionalFormatting sqref="C71">
    <cfRule type="cellIs" dxfId="7889" priority="9805" stopIfTrue="1" operator="equal">
      <formula>"Towel"</formula>
    </cfRule>
    <cfRule type="cellIs" dxfId="7888" priority="9806" stopIfTrue="1" operator="equal">
      <formula>"Napkin Hs"</formula>
    </cfRule>
  </conditionalFormatting>
  <conditionalFormatting sqref="C71">
    <cfRule type="cellIs" dxfId="7887" priority="9803" stopIfTrue="1" operator="equal">
      <formula>"Towel"</formula>
    </cfRule>
    <cfRule type="cellIs" dxfId="7886" priority="9804" stopIfTrue="1" operator="equal">
      <formula>"Napkin Hs"</formula>
    </cfRule>
  </conditionalFormatting>
  <conditionalFormatting sqref="C71">
    <cfRule type="cellIs" dxfId="7885" priority="9799" stopIfTrue="1" operator="equal">
      <formula>"Towel"</formula>
    </cfRule>
    <cfRule type="cellIs" dxfId="7884" priority="9800" stopIfTrue="1" operator="equal">
      <formula>"Napkin Hs"</formula>
    </cfRule>
  </conditionalFormatting>
  <conditionalFormatting sqref="C71">
    <cfRule type="cellIs" dxfId="7883" priority="9801" stopIfTrue="1" operator="equal">
      <formula>"Towel"</formula>
    </cfRule>
    <cfRule type="cellIs" dxfId="7882" priority="9802" stopIfTrue="1" operator="equal">
      <formula>"Napkin Hs"</formula>
    </cfRule>
  </conditionalFormatting>
  <conditionalFormatting sqref="C71">
    <cfRule type="cellIs" dxfId="7881" priority="9793" stopIfTrue="1" operator="equal">
      <formula>"Towel"</formula>
    </cfRule>
    <cfRule type="cellIs" dxfId="7880" priority="9794" stopIfTrue="1" operator="equal">
      <formula>"Napkin Hs"</formula>
    </cfRule>
  </conditionalFormatting>
  <conditionalFormatting sqref="C71">
    <cfRule type="cellIs" dxfId="7879" priority="9791" stopIfTrue="1" operator="equal">
      <formula>"Towel"</formula>
    </cfRule>
    <cfRule type="cellIs" dxfId="7878" priority="9792" stopIfTrue="1" operator="equal">
      <formula>"Napkin Hs"</formula>
    </cfRule>
  </conditionalFormatting>
  <conditionalFormatting sqref="C71">
    <cfRule type="cellIs" dxfId="7877" priority="9789" stopIfTrue="1" operator="equal">
      <formula>"Towel"</formula>
    </cfRule>
    <cfRule type="cellIs" dxfId="7876" priority="9790" stopIfTrue="1" operator="equal">
      <formula>"Napkin Hs"</formula>
    </cfRule>
  </conditionalFormatting>
  <conditionalFormatting sqref="C71">
    <cfRule type="cellIs" dxfId="7875" priority="9787" stopIfTrue="1" operator="equal">
      <formula>"Towel"</formula>
    </cfRule>
    <cfRule type="cellIs" dxfId="7874" priority="9788" stopIfTrue="1" operator="equal">
      <formula>"Napkin Hs"</formula>
    </cfRule>
  </conditionalFormatting>
  <conditionalFormatting sqref="C71">
    <cfRule type="cellIs" dxfId="7873" priority="9785" stopIfTrue="1" operator="equal">
      <formula>"Towel"</formula>
    </cfRule>
    <cfRule type="cellIs" dxfId="7872" priority="9786" stopIfTrue="1" operator="equal">
      <formula>"Napkin Hs"</formula>
    </cfRule>
  </conditionalFormatting>
  <conditionalFormatting sqref="C71">
    <cfRule type="cellIs" dxfId="7871" priority="9783" stopIfTrue="1" operator="equal">
      <formula>"Towel"</formula>
    </cfRule>
    <cfRule type="cellIs" dxfId="7870" priority="9784" stopIfTrue="1" operator="equal">
      <formula>"Napkin Hs"</formula>
    </cfRule>
  </conditionalFormatting>
  <conditionalFormatting sqref="C71">
    <cfRule type="cellIs" dxfId="7869" priority="9781" stopIfTrue="1" operator="equal">
      <formula>"Towel"</formula>
    </cfRule>
    <cfRule type="cellIs" dxfId="7868" priority="9782" stopIfTrue="1" operator="equal">
      <formula>"Napkin Hs"</formula>
    </cfRule>
  </conditionalFormatting>
  <conditionalFormatting sqref="C71">
    <cfRule type="cellIs" dxfId="7867" priority="9779" stopIfTrue="1" operator="equal">
      <formula>"Towel"</formula>
    </cfRule>
    <cfRule type="cellIs" dxfId="7866" priority="9780" stopIfTrue="1" operator="equal">
      <formula>"Napkin Hs"</formula>
    </cfRule>
  </conditionalFormatting>
  <conditionalFormatting sqref="C71">
    <cfRule type="cellIs" dxfId="7865" priority="9777" stopIfTrue="1" operator="equal">
      <formula>"Towel"</formula>
    </cfRule>
    <cfRule type="cellIs" dxfId="7864" priority="9778" stopIfTrue="1" operator="equal">
      <formula>"Napkin Hs"</formula>
    </cfRule>
  </conditionalFormatting>
  <conditionalFormatting sqref="C71">
    <cfRule type="cellIs" dxfId="7863" priority="9775" stopIfTrue="1" operator="equal">
      <formula>"Towel"</formula>
    </cfRule>
    <cfRule type="cellIs" dxfId="7862" priority="9776" stopIfTrue="1" operator="equal">
      <formula>"Napkin Hs"</formula>
    </cfRule>
  </conditionalFormatting>
  <conditionalFormatting sqref="C71">
    <cfRule type="cellIs" dxfId="7861" priority="9769" stopIfTrue="1" operator="equal">
      <formula>"Towel"</formula>
    </cfRule>
    <cfRule type="cellIs" dxfId="7860" priority="9770" stopIfTrue="1" operator="equal">
      <formula>"Napkin Hs"</formula>
    </cfRule>
  </conditionalFormatting>
  <conditionalFormatting sqref="C71">
    <cfRule type="cellIs" dxfId="7859" priority="9763" stopIfTrue="1" operator="equal">
      <formula>"Towel"</formula>
    </cfRule>
    <cfRule type="cellIs" dxfId="7858" priority="9764" stopIfTrue="1" operator="equal">
      <formula>"Napkin Hs"</formula>
    </cfRule>
  </conditionalFormatting>
  <conditionalFormatting sqref="C71">
    <cfRule type="cellIs" dxfId="7857" priority="9757" stopIfTrue="1" operator="equal">
      <formula>"Towel"</formula>
    </cfRule>
    <cfRule type="cellIs" dxfId="7856" priority="9758" stopIfTrue="1" operator="equal">
      <formula>"Napkin Hs"</formula>
    </cfRule>
  </conditionalFormatting>
  <conditionalFormatting sqref="C71">
    <cfRule type="cellIs" dxfId="7855" priority="9756" stopIfTrue="1" operator="equal">
      <formula>"Napkin Hs"</formula>
    </cfRule>
  </conditionalFormatting>
  <conditionalFormatting sqref="C71">
    <cfRule type="cellIs" dxfId="7854" priority="9755" stopIfTrue="1" operator="equal">
      <formula>"Towel"</formula>
    </cfRule>
  </conditionalFormatting>
  <conditionalFormatting sqref="C71">
    <cfRule type="cellIs" dxfId="7853" priority="9754" stopIfTrue="1" operator="equal">
      <formula>"Napkin Hs"</formula>
    </cfRule>
  </conditionalFormatting>
  <conditionalFormatting sqref="C71">
    <cfRule type="cellIs" dxfId="7852" priority="9753" stopIfTrue="1" operator="equal">
      <formula>"Towel"</formula>
    </cfRule>
  </conditionalFormatting>
  <conditionalFormatting sqref="C71">
    <cfRule type="cellIs" dxfId="7851" priority="9751" stopIfTrue="1" operator="equal">
      <formula>"Towel"</formula>
    </cfRule>
    <cfRule type="cellIs" dxfId="7850" priority="9752" stopIfTrue="1" operator="equal">
      <formula>"Napkin Hs"</formula>
    </cfRule>
  </conditionalFormatting>
  <conditionalFormatting sqref="C71">
    <cfRule type="cellIs" dxfId="7849" priority="9749" stopIfTrue="1" operator="equal">
      <formula>"Towel"</formula>
    </cfRule>
    <cfRule type="cellIs" dxfId="7848" priority="9750" stopIfTrue="1" operator="equal">
      <formula>"Napkin Hs"</formula>
    </cfRule>
  </conditionalFormatting>
  <conditionalFormatting sqref="C71">
    <cfRule type="cellIs" dxfId="7847" priority="9747" stopIfTrue="1" operator="equal">
      <formula>"Towel"</formula>
    </cfRule>
    <cfRule type="cellIs" dxfId="7846" priority="9748" stopIfTrue="1" operator="equal">
      <formula>"Napkin Hs"</formula>
    </cfRule>
  </conditionalFormatting>
  <conditionalFormatting sqref="C71">
    <cfRule type="cellIs" dxfId="7845" priority="9737" stopIfTrue="1" operator="equal">
      <formula>"Towel"</formula>
    </cfRule>
    <cfRule type="cellIs" dxfId="7844" priority="9738" stopIfTrue="1" operator="equal">
      <formula>"Napkin Hs"</formula>
    </cfRule>
  </conditionalFormatting>
  <conditionalFormatting sqref="C71">
    <cfRule type="cellIs" dxfId="7843" priority="9735" stopIfTrue="1" operator="equal">
      <formula>"Towel"</formula>
    </cfRule>
    <cfRule type="cellIs" dxfId="7842" priority="9736" stopIfTrue="1" operator="equal">
      <formula>"Napkin Hs"</formula>
    </cfRule>
  </conditionalFormatting>
  <conditionalFormatting sqref="C71">
    <cfRule type="cellIs" dxfId="7841" priority="9733" stopIfTrue="1" operator="equal">
      <formula>"Towel"</formula>
    </cfRule>
    <cfRule type="cellIs" dxfId="7840" priority="9734" stopIfTrue="1" operator="equal">
      <formula>"Napkin Hs"</formula>
    </cfRule>
  </conditionalFormatting>
  <conditionalFormatting sqref="C71">
    <cfRule type="cellIs" dxfId="7839" priority="9731" stopIfTrue="1" operator="equal">
      <formula>"Towel"</formula>
    </cfRule>
    <cfRule type="cellIs" dxfId="7838" priority="9732" stopIfTrue="1" operator="equal">
      <formula>"Napkin Hs"</formula>
    </cfRule>
  </conditionalFormatting>
  <conditionalFormatting sqref="C71">
    <cfRule type="cellIs" dxfId="7837" priority="9729" stopIfTrue="1" operator="equal">
      <formula>"Towel"</formula>
    </cfRule>
    <cfRule type="cellIs" dxfId="7836" priority="9730" stopIfTrue="1" operator="equal">
      <formula>"Napkin Hs"</formula>
    </cfRule>
  </conditionalFormatting>
  <conditionalFormatting sqref="C71">
    <cfRule type="cellIs" dxfId="7835" priority="9727" stopIfTrue="1" operator="equal">
      <formula>"Towel"</formula>
    </cfRule>
    <cfRule type="cellIs" dxfId="7834" priority="9728" stopIfTrue="1" operator="equal">
      <formula>"Napkin Hs"</formula>
    </cfRule>
  </conditionalFormatting>
  <conditionalFormatting sqref="C71">
    <cfRule type="cellIs" dxfId="7833" priority="9725" stopIfTrue="1" operator="equal">
      <formula>"Towel"</formula>
    </cfRule>
    <cfRule type="cellIs" dxfId="7832" priority="9726" stopIfTrue="1" operator="equal">
      <formula>"Napkin Hs"</formula>
    </cfRule>
  </conditionalFormatting>
  <conditionalFormatting sqref="C71">
    <cfRule type="cellIs" dxfId="7831" priority="9723" stopIfTrue="1" operator="equal">
      <formula>"Towel"</formula>
    </cfRule>
    <cfRule type="cellIs" dxfId="7830" priority="9724" stopIfTrue="1" operator="equal">
      <formula>"Napkin Hs"</formula>
    </cfRule>
  </conditionalFormatting>
  <conditionalFormatting sqref="C71">
    <cfRule type="cellIs" dxfId="7829" priority="9721" stopIfTrue="1" operator="equal">
      <formula>"Towel"</formula>
    </cfRule>
    <cfRule type="cellIs" dxfId="7828" priority="9722" stopIfTrue="1" operator="equal">
      <formula>"Napkin Hs"</formula>
    </cfRule>
  </conditionalFormatting>
  <conditionalFormatting sqref="C71">
    <cfRule type="cellIs" dxfId="7827" priority="9708" stopIfTrue="1" operator="equal">
      <formula>"Napkin Hs"</formula>
    </cfRule>
  </conditionalFormatting>
  <conditionalFormatting sqref="C71">
    <cfRule type="cellIs" dxfId="7826" priority="9707" stopIfTrue="1" operator="equal">
      <formula>"Towel"</formula>
    </cfRule>
  </conditionalFormatting>
  <conditionalFormatting sqref="C71">
    <cfRule type="cellIs" dxfId="7825" priority="9706" stopIfTrue="1" operator="equal">
      <formula>"Napkin Hs"</formula>
    </cfRule>
  </conditionalFormatting>
  <conditionalFormatting sqref="C71">
    <cfRule type="cellIs" dxfId="7824" priority="9703" stopIfTrue="1" operator="equal">
      <formula>"Towel"</formula>
    </cfRule>
    <cfRule type="cellIs" dxfId="7823" priority="9704" stopIfTrue="1" operator="equal">
      <formula>"Napkin Hs"</formula>
    </cfRule>
  </conditionalFormatting>
  <conditionalFormatting sqref="C71">
    <cfRule type="cellIs" dxfId="7822" priority="9705" stopIfTrue="1" operator="equal">
      <formula>"Towel"</formula>
    </cfRule>
  </conditionalFormatting>
  <conditionalFormatting sqref="C71">
    <cfRule type="cellIs" dxfId="7821" priority="9823" stopIfTrue="1" operator="equal">
      <formula>"Towel"</formula>
    </cfRule>
    <cfRule type="cellIs" dxfId="7820" priority="9824" stopIfTrue="1" operator="equal">
      <formula>"Napkin Hs"</formula>
    </cfRule>
  </conditionalFormatting>
  <conditionalFormatting sqref="C71">
    <cfRule type="cellIs" dxfId="7819" priority="9822" stopIfTrue="1" operator="equal">
      <formula>"Napkin Hs"</formula>
    </cfRule>
  </conditionalFormatting>
  <conditionalFormatting sqref="C71">
    <cfRule type="cellIs" dxfId="7818" priority="9821" stopIfTrue="1" operator="equal">
      <formula>"Towel"</formula>
    </cfRule>
  </conditionalFormatting>
  <conditionalFormatting sqref="C71">
    <cfRule type="cellIs" dxfId="7817" priority="9820" stopIfTrue="1" operator="equal">
      <formula>"Napkin Hs"</formula>
    </cfRule>
  </conditionalFormatting>
  <conditionalFormatting sqref="C71">
    <cfRule type="cellIs" dxfId="7816" priority="9817" stopIfTrue="1" operator="equal">
      <formula>"Towel"</formula>
    </cfRule>
    <cfRule type="cellIs" dxfId="7815" priority="9818" stopIfTrue="1" operator="equal">
      <formula>"Napkin Hs"</formula>
    </cfRule>
  </conditionalFormatting>
  <conditionalFormatting sqref="C71">
    <cfRule type="cellIs" dxfId="7814" priority="9819" stopIfTrue="1" operator="equal">
      <formula>"Towel"</formula>
    </cfRule>
  </conditionalFormatting>
  <conditionalFormatting sqref="C71">
    <cfRule type="cellIs" dxfId="7813" priority="9827" stopIfTrue="1" operator="equal">
      <formula>"Towel"</formula>
    </cfRule>
    <cfRule type="cellIs" dxfId="7812" priority="9828" stopIfTrue="1" operator="equal">
      <formula>"Napkin Hs"</formula>
    </cfRule>
  </conditionalFormatting>
  <conditionalFormatting sqref="C71">
    <cfRule type="cellIs" dxfId="7811" priority="9825" stopIfTrue="1" operator="equal">
      <formula>"Towel"</formula>
    </cfRule>
    <cfRule type="cellIs" dxfId="7810" priority="9826" stopIfTrue="1" operator="equal">
      <formula>"Napkin Hs"</formula>
    </cfRule>
  </conditionalFormatting>
  <conditionalFormatting sqref="C71">
    <cfRule type="cellIs" dxfId="7809" priority="9797" stopIfTrue="1" operator="equal">
      <formula>"Towel"</formula>
    </cfRule>
    <cfRule type="cellIs" dxfId="7808" priority="9798" stopIfTrue="1" operator="equal">
      <formula>"Napkin Hs"</formula>
    </cfRule>
  </conditionalFormatting>
  <conditionalFormatting sqref="C71">
    <cfRule type="cellIs" dxfId="7807" priority="9795" stopIfTrue="1" operator="equal">
      <formula>"Towel"</formula>
    </cfRule>
    <cfRule type="cellIs" dxfId="7806" priority="9796" stopIfTrue="1" operator="equal">
      <formula>"Napkin Hs"</formula>
    </cfRule>
  </conditionalFormatting>
  <conditionalFormatting sqref="C71">
    <cfRule type="cellIs" dxfId="7805" priority="9774" stopIfTrue="1" operator="equal">
      <formula>"Napkin Hs"</formula>
    </cfRule>
  </conditionalFormatting>
  <conditionalFormatting sqref="C71">
    <cfRule type="cellIs" dxfId="7804" priority="9773" stopIfTrue="1" operator="equal">
      <formula>"Towel"</formula>
    </cfRule>
  </conditionalFormatting>
  <conditionalFormatting sqref="C71">
    <cfRule type="cellIs" dxfId="7803" priority="9772" stopIfTrue="1" operator="equal">
      <formula>"Napkin Hs"</formula>
    </cfRule>
  </conditionalFormatting>
  <conditionalFormatting sqref="C71">
    <cfRule type="cellIs" dxfId="7802" priority="9771" stopIfTrue="1" operator="equal">
      <formula>"Towel"</formula>
    </cfRule>
  </conditionalFormatting>
  <conditionalFormatting sqref="C71">
    <cfRule type="cellIs" dxfId="7801" priority="9768" stopIfTrue="1" operator="equal">
      <formula>"Napkin Hs"</formula>
    </cfRule>
  </conditionalFormatting>
  <conditionalFormatting sqref="C71">
    <cfRule type="cellIs" dxfId="7800" priority="9767" stopIfTrue="1" operator="equal">
      <formula>"Towel"</formula>
    </cfRule>
  </conditionalFormatting>
  <conditionalFormatting sqref="C71">
    <cfRule type="cellIs" dxfId="7799" priority="9766" stopIfTrue="1" operator="equal">
      <formula>"Napkin Hs"</formula>
    </cfRule>
  </conditionalFormatting>
  <conditionalFormatting sqref="C71">
    <cfRule type="cellIs" dxfId="7798" priority="9765" stopIfTrue="1" operator="equal">
      <formula>"Towel"</formula>
    </cfRule>
  </conditionalFormatting>
  <conditionalFormatting sqref="C71">
    <cfRule type="cellIs" dxfId="7797" priority="9761" stopIfTrue="1" operator="equal">
      <formula>"Towel"</formula>
    </cfRule>
    <cfRule type="cellIs" dxfId="7796" priority="9762" stopIfTrue="1" operator="equal">
      <formula>"Napkin Hs"</formula>
    </cfRule>
  </conditionalFormatting>
  <conditionalFormatting sqref="C71">
    <cfRule type="cellIs" dxfId="7795" priority="9759" stopIfTrue="1" operator="equal">
      <formula>"Towel"</formula>
    </cfRule>
    <cfRule type="cellIs" dxfId="7794" priority="9760" stopIfTrue="1" operator="equal">
      <formula>"Napkin Hs"</formula>
    </cfRule>
  </conditionalFormatting>
  <conditionalFormatting sqref="C71">
    <cfRule type="cellIs" dxfId="7793" priority="9743" stopIfTrue="1" operator="equal">
      <formula>"Towel"</formula>
    </cfRule>
    <cfRule type="cellIs" dxfId="7792" priority="9744" stopIfTrue="1" operator="equal">
      <formula>"Napkin Hs"</formula>
    </cfRule>
  </conditionalFormatting>
  <conditionalFormatting sqref="C71">
    <cfRule type="cellIs" dxfId="7791" priority="9741" stopIfTrue="1" operator="equal">
      <formula>"Towel"</formula>
    </cfRule>
    <cfRule type="cellIs" dxfId="7790" priority="9742" stopIfTrue="1" operator="equal">
      <formula>"Napkin Hs"</formula>
    </cfRule>
  </conditionalFormatting>
  <conditionalFormatting sqref="B71:C71">
    <cfRule type="cellIs" dxfId="7789" priority="9702" stopIfTrue="1" operator="equal">
      <formula>"Napkin Hs"</formula>
    </cfRule>
  </conditionalFormatting>
  <conditionalFormatting sqref="B71:C71">
    <cfRule type="cellIs" dxfId="7788" priority="9701" stopIfTrue="1" operator="equal">
      <formula>"Towel"</formula>
    </cfRule>
  </conditionalFormatting>
  <conditionalFormatting sqref="C71">
    <cfRule type="cellIs" dxfId="7787" priority="9700" stopIfTrue="1" operator="equal">
      <formula>"Napkin Hs"</formula>
    </cfRule>
  </conditionalFormatting>
  <conditionalFormatting sqref="C71">
    <cfRule type="cellIs" dxfId="7786" priority="9697" stopIfTrue="1" operator="equal">
      <formula>"Towel"</formula>
    </cfRule>
    <cfRule type="cellIs" dxfId="7785" priority="9698" stopIfTrue="1" operator="equal">
      <formula>"Napkin Hs"</formula>
    </cfRule>
  </conditionalFormatting>
  <conditionalFormatting sqref="C71">
    <cfRule type="cellIs" dxfId="7784" priority="9699" stopIfTrue="1" operator="equal">
      <formula>"Towel"</formula>
    </cfRule>
  </conditionalFormatting>
  <conditionalFormatting sqref="C69:C71">
    <cfRule type="cellIs" dxfId="7783" priority="9613" stopIfTrue="1" operator="equal">
      <formula>"Towel"</formula>
    </cfRule>
    <cfRule type="cellIs" dxfId="7782" priority="9614" stopIfTrue="1" operator="equal">
      <formula>"Napkin Hs"</formula>
    </cfRule>
  </conditionalFormatting>
  <conditionalFormatting sqref="C69:C71">
    <cfRule type="cellIs" dxfId="7781" priority="9607" stopIfTrue="1" operator="equal">
      <formula>"Towel"</formula>
    </cfRule>
    <cfRule type="cellIs" dxfId="7780" priority="9608" stopIfTrue="1" operator="equal">
      <formula>"Napkin Hs"</formula>
    </cfRule>
  </conditionalFormatting>
  <conditionalFormatting sqref="C69:C71">
    <cfRule type="cellIs" dxfId="7779" priority="9588" stopIfTrue="1" operator="equal">
      <formula>"Napkin Hs"</formula>
    </cfRule>
  </conditionalFormatting>
  <conditionalFormatting sqref="C69:C71">
    <cfRule type="cellIs" dxfId="7778" priority="9587" stopIfTrue="1" operator="equal">
      <formula>"Towel"</formula>
    </cfRule>
  </conditionalFormatting>
  <conditionalFormatting sqref="C69:C71">
    <cfRule type="cellIs" dxfId="7777" priority="9586" stopIfTrue="1" operator="equal">
      <formula>"Napkin Hs"</formula>
    </cfRule>
  </conditionalFormatting>
  <conditionalFormatting sqref="C69:C71">
    <cfRule type="cellIs" dxfId="7776" priority="9583" stopIfTrue="1" operator="equal">
      <formula>"Towel"</formula>
    </cfRule>
    <cfRule type="cellIs" dxfId="7775" priority="9584" stopIfTrue="1" operator="equal">
      <formula>"Napkin Hs"</formula>
    </cfRule>
  </conditionalFormatting>
  <conditionalFormatting sqref="C69:C71">
    <cfRule type="cellIs" dxfId="7774" priority="9585" stopIfTrue="1" operator="equal">
      <formula>"Towel"</formula>
    </cfRule>
  </conditionalFormatting>
  <conditionalFormatting sqref="C69:C71">
    <cfRule type="cellIs" dxfId="7773" priority="9582" stopIfTrue="1" operator="equal">
      <formula>"Napkin Hs"</formula>
    </cfRule>
  </conditionalFormatting>
  <conditionalFormatting sqref="C69:C71">
    <cfRule type="cellIs" dxfId="7772" priority="9581" stopIfTrue="1" operator="equal">
      <formula>"Towel"</formula>
    </cfRule>
  </conditionalFormatting>
  <conditionalFormatting sqref="C69:C71">
    <cfRule type="cellIs" dxfId="7771" priority="9580" stopIfTrue="1" operator="equal">
      <formula>"Napkin Hs"</formula>
    </cfRule>
  </conditionalFormatting>
  <conditionalFormatting sqref="C69:C71">
    <cfRule type="cellIs" dxfId="7770" priority="9577" stopIfTrue="1" operator="equal">
      <formula>"Towel"</formula>
    </cfRule>
    <cfRule type="cellIs" dxfId="7769" priority="9578" stopIfTrue="1" operator="equal">
      <formula>"Napkin Hs"</formula>
    </cfRule>
  </conditionalFormatting>
  <conditionalFormatting sqref="C69:C71">
    <cfRule type="cellIs" dxfId="7768" priority="9579" stopIfTrue="1" operator="equal">
      <formula>"Towel"</formula>
    </cfRule>
  </conditionalFormatting>
  <conditionalFormatting sqref="C69:C71">
    <cfRule type="cellIs" dxfId="7767" priority="9683" stopIfTrue="1" operator="equal">
      <formula>"Towel"</formula>
    </cfRule>
    <cfRule type="cellIs" dxfId="7766" priority="9684" stopIfTrue="1" operator="equal">
      <formula>"Napkin Hs"</formula>
    </cfRule>
  </conditionalFormatting>
  <conditionalFormatting sqref="C69:C71">
    <cfRule type="cellIs" dxfId="7765" priority="9681" stopIfTrue="1" operator="equal">
      <formula>"Towel"</formula>
    </cfRule>
    <cfRule type="cellIs" dxfId="7764" priority="9682" stopIfTrue="1" operator="equal">
      <formula>"Napkin Hs"</formula>
    </cfRule>
  </conditionalFormatting>
  <conditionalFormatting sqref="C69:C71">
    <cfRule type="cellIs" dxfId="7763" priority="9679" stopIfTrue="1" operator="equal">
      <formula>"Towel"</formula>
    </cfRule>
    <cfRule type="cellIs" dxfId="7762" priority="9680" stopIfTrue="1" operator="equal">
      <formula>"Napkin Hs"</formula>
    </cfRule>
  </conditionalFormatting>
  <conditionalFormatting sqref="C69:C71">
    <cfRule type="cellIs" dxfId="7761" priority="9678" stopIfTrue="1" operator="equal">
      <formula>"Napkin Hs"</formula>
    </cfRule>
  </conditionalFormatting>
  <conditionalFormatting sqref="C69:C71">
    <cfRule type="cellIs" dxfId="7760" priority="9677" stopIfTrue="1" operator="equal">
      <formula>"Towel"</formula>
    </cfRule>
  </conditionalFormatting>
  <conditionalFormatting sqref="C69:C71">
    <cfRule type="cellIs" dxfId="7759" priority="9676" stopIfTrue="1" operator="equal">
      <formula>"Napkin Hs"</formula>
    </cfRule>
  </conditionalFormatting>
  <conditionalFormatting sqref="C69:C71">
    <cfRule type="cellIs" dxfId="7758" priority="9675" stopIfTrue="1" operator="equal">
      <formula>"Towel"</formula>
    </cfRule>
  </conditionalFormatting>
  <conditionalFormatting sqref="C69:C71">
    <cfRule type="cellIs" dxfId="7757" priority="9673" stopIfTrue="1" operator="equal">
      <formula>"Towel"</formula>
    </cfRule>
    <cfRule type="cellIs" dxfId="7756" priority="9674" stopIfTrue="1" operator="equal">
      <formula>"Napkin Hs"</formula>
    </cfRule>
  </conditionalFormatting>
  <conditionalFormatting sqref="C69:C71">
    <cfRule type="cellIs" dxfId="7755" priority="9671" stopIfTrue="1" operator="equal">
      <formula>"Towel"</formula>
    </cfRule>
    <cfRule type="cellIs" dxfId="7754" priority="9672" stopIfTrue="1" operator="equal">
      <formula>"Napkin Hs"</formula>
    </cfRule>
  </conditionalFormatting>
  <conditionalFormatting sqref="C69:C71">
    <cfRule type="cellIs" dxfId="7753" priority="9667" stopIfTrue="1" operator="equal">
      <formula>"Towel"</formula>
    </cfRule>
    <cfRule type="cellIs" dxfId="7752" priority="9668" stopIfTrue="1" operator="equal">
      <formula>"Napkin Hs"</formula>
    </cfRule>
  </conditionalFormatting>
  <conditionalFormatting sqref="C69:C71">
    <cfRule type="cellIs" dxfId="7751" priority="9669" stopIfTrue="1" operator="equal">
      <formula>"Towel"</formula>
    </cfRule>
    <cfRule type="cellIs" dxfId="7750" priority="9670" stopIfTrue="1" operator="equal">
      <formula>"Napkin Hs"</formula>
    </cfRule>
  </conditionalFormatting>
  <conditionalFormatting sqref="C69:C71">
    <cfRule type="cellIs" dxfId="7749" priority="9661" stopIfTrue="1" operator="equal">
      <formula>"Towel"</formula>
    </cfRule>
    <cfRule type="cellIs" dxfId="7748" priority="9662" stopIfTrue="1" operator="equal">
      <formula>"Napkin Hs"</formula>
    </cfRule>
  </conditionalFormatting>
  <conditionalFormatting sqref="C69:C71">
    <cfRule type="cellIs" dxfId="7747" priority="9659" stopIfTrue="1" operator="equal">
      <formula>"Towel"</formula>
    </cfRule>
    <cfRule type="cellIs" dxfId="7746" priority="9660" stopIfTrue="1" operator="equal">
      <formula>"Napkin Hs"</formula>
    </cfRule>
  </conditionalFormatting>
  <conditionalFormatting sqref="C69:C71">
    <cfRule type="cellIs" dxfId="7745" priority="9657" stopIfTrue="1" operator="equal">
      <formula>"Towel"</formula>
    </cfRule>
    <cfRule type="cellIs" dxfId="7744" priority="9658" stopIfTrue="1" operator="equal">
      <formula>"Napkin Hs"</formula>
    </cfRule>
  </conditionalFormatting>
  <conditionalFormatting sqref="C69:C71">
    <cfRule type="cellIs" dxfId="7743" priority="9655" stopIfTrue="1" operator="equal">
      <formula>"Towel"</formula>
    </cfRule>
    <cfRule type="cellIs" dxfId="7742" priority="9656" stopIfTrue="1" operator="equal">
      <formula>"Napkin Hs"</formula>
    </cfRule>
  </conditionalFormatting>
  <conditionalFormatting sqref="C69:C71">
    <cfRule type="cellIs" dxfId="7741" priority="9653" stopIfTrue="1" operator="equal">
      <formula>"Towel"</formula>
    </cfRule>
    <cfRule type="cellIs" dxfId="7740" priority="9654" stopIfTrue="1" operator="equal">
      <formula>"Napkin Hs"</formula>
    </cfRule>
  </conditionalFormatting>
  <conditionalFormatting sqref="C69:C71">
    <cfRule type="cellIs" dxfId="7739" priority="9651" stopIfTrue="1" operator="equal">
      <formula>"Towel"</formula>
    </cfRule>
    <cfRule type="cellIs" dxfId="7738" priority="9652" stopIfTrue="1" operator="equal">
      <formula>"Napkin Hs"</formula>
    </cfRule>
  </conditionalFormatting>
  <conditionalFormatting sqref="C69:C71">
    <cfRule type="cellIs" dxfId="7737" priority="9649" stopIfTrue="1" operator="equal">
      <formula>"Towel"</formula>
    </cfRule>
    <cfRule type="cellIs" dxfId="7736" priority="9650" stopIfTrue="1" operator="equal">
      <formula>"Napkin Hs"</formula>
    </cfRule>
  </conditionalFormatting>
  <conditionalFormatting sqref="C69:C71">
    <cfRule type="cellIs" dxfId="7735" priority="9647" stopIfTrue="1" operator="equal">
      <formula>"Towel"</formula>
    </cfRule>
    <cfRule type="cellIs" dxfId="7734" priority="9648" stopIfTrue="1" operator="equal">
      <formula>"Napkin Hs"</formula>
    </cfRule>
  </conditionalFormatting>
  <conditionalFormatting sqref="C69:C71">
    <cfRule type="cellIs" dxfId="7733" priority="9645" stopIfTrue="1" operator="equal">
      <formula>"Towel"</formula>
    </cfRule>
    <cfRule type="cellIs" dxfId="7732" priority="9646" stopIfTrue="1" operator="equal">
      <formula>"Napkin Hs"</formula>
    </cfRule>
  </conditionalFormatting>
  <conditionalFormatting sqref="C69:C71">
    <cfRule type="cellIs" dxfId="7731" priority="9643" stopIfTrue="1" operator="equal">
      <formula>"Towel"</formula>
    </cfRule>
    <cfRule type="cellIs" dxfId="7730" priority="9644" stopIfTrue="1" operator="equal">
      <formula>"Napkin Hs"</formula>
    </cfRule>
  </conditionalFormatting>
  <conditionalFormatting sqref="C69:C71">
    <cfRule type="cellIs" dxfId="7729" priority="9637" stopIfTrue="1" operator="equal">
      <formula>"Towel"</formula>
    </cfRule>
    <cfRule type="cellIs" dxfId="7728" priority="9638" stopIfTrue="1" operator="equal">
      <formula>"Napkin Hs"</formula>
    </cfRule>
  </conditionalFormatting>
  <conditionalFormatting sqref="C69:C71">
    <cfRule type="cellIs" dxfId="7727" priority="9631" stopIfTrue="1" operator="equal">
      <formula>"Towel"</formula>
    </cfRule>
    <cfRule type="cellIs" dxfId="7726" priority="9632" stopIfTrue="1" operator="equal">
      <formula>"Napkin Hs"</formula>
    </cfRule>
  </conditionalFormatting>
  <conditionalFormatting sqref="C69:C71">
    <cfRule type="cellIs" dxfId="7725" priority="9625" stopIfTrue="1" operator="equal">
      <formula>"Towel"</formula>
    </cfRule>
    <cfRule type="cellIs" dxfId="7724" priority="9626" stopIfTrue="1" operator="equal">
      <formula>"Napkin Hs"</formula>
    </cfRule>
  </conditionalFormatting>
  <conditionalFormatting sqref="C69:C71">
    <cfRule type="cellIs" dxfId="7723" priority="9624" stopIfTrue="1" operator="equal">
      <formula>"Napkin Hs"</formula>
    </cfRule>
  </conditionalFormatting>
  <conditionalFormatting sqref="C69:C71">
    <cfRule type="cellIs" dxfId="7722" priority="9623" stopIfTrue="1" operator="equal">
      <formula>"Towel"</formula>
    </cfRule>
  </conditionalFormatting>
  <conditionalFormatting sqref="C69:C71">
    <cfRule type="cellIs" dxfId="7721" priority="9622" stopIfTrue="1" operator="equal">
      <formula>"Napkin Hs"</formula>
    </cfRule>
  </conditionalFormatting>
  <conditionalFormatting sqref="C69:C71">
    <cfRule type="cellIs" dxfId="7720" priority="9621" stopIfTrue="1" operator="equal">
      <formula>"Towel"</formula>
    </cfRule>
  </conditionalFormatting>
  <conditionalFormatting sqref="C69:C71">
    <cfRule type="cellIs" dxfId="7719" priority="9619" stopIfTrue="1" operator="equal">
      <formula>"Towel"</formula>
    </cfRule>
    <cfRule type="cellIs" dxfId="7718" priority="9620" stopIfTrue="1" operator="equal">
      <formula>"Napkin Hs"</formula>
    </cfRule>
  </conditionalFormatting>
  <conditionalFormatting sqref="C69:C71">
    <cfRule type="cellIs" dxfId="7717" priority="9617" stopIfTrue="1" operator="equal">
      <formula>"Towel"</formula>
    </cfRule>
    <cfRule type="cellIs" dxfId="7716" priority="9618" stopIfTrue="1" operator="equal">
      <formula>"Napkin Hs"</formula>
    </cfRule>
  </conditionalFormatting>
  <conditionalFormatting sqref="C69:C71">
    <cfRule type="cellIs" dxfId="7715" priority="9615" stopIfTrue="1" operator="equal">
      <formula>"Towel"</formula>
    </cfRule>
    <cfRule type="cellIs" dxfId="7714" priority="9616" stopIfTrue="1" operator="equal">
      <formula>"Napkin Hs"</formula>
    </cfRule>
  </conditionalFormatting>
  <conditionalFormatting sqref="C69:C71">
    <cfRule type="cellIs" dxfId="7713" priority="9605" stopIfTrue="1" operator="equal">
      <formula>"Towel"</formula>
    </cfRule>
    <cfRule type="cellIs" dxfId="7712" priority="9606" stopIfTrue="1" operator="equal">
      <formula>"Napkin Hs"</formula>
    </cfRule>
  </conditionalFormatting>
  <conditionalFormatting sqref="C69:C71">
    <cfRule type="cellIs" dxfId="7711" priority="9603" stopIfTrue="1" operator="equal">
      <formula>"Towel"</formula>
    </cfRule>
    <cfRule type="cellIs" dxfId="7710" priority="9604" stopIfTrue="1" operator="equal">
      <formula>"Napkin Hs"</formula>
    </cfRule>
  </conditionalFormatting>
  <conditionalFormatting sqref="C69:C71">
    <cfRule type="cellIs" dxfId="7709" priority="9601" stopIfTrue="1" operator="equal">
      <formula>"Towel"</formula>
    </cfRule>
    <cfRule type="cellIs" dxfId="7708" priority="9602" stopIfTrue="1" operator="equal">
      <formula>"Napkin Hs"</formula>
    </cfRule>
  </conditionalFormatting>
  <conditionalFormatting sqref="C69:C71">
    <cfRule type="cellIs" dxfId="7707" priority="9599" stopIfTrue="1" operator="equal">
      <formula>"Towel"</formula>
    </cfRule>
    <cfRule type="cellIs" dxfId="7706" priority="9600" stopIfTrue="1" operator="equal">
      <formula>"Napkin Hs"</formula>
    </cfRule>
  </conditionalFormatting>
  <conditionalFormatting sqref="C69:C71">
    <cfRule type="cellIs" dxfId="7705" priority="9597" stopIfTrue="1" operator="equal">
      <formula>"Towel"</formula>
    </cfRule>
    <cfRule type="cellIs" dxfId="7704" priority="9598" stopIfTrue="1" operator="equal">
      <formula>"Napkin Hs"</formula>
    </cfRule>
  </conditionalFormatting>
  <conditionalFormatting sqref="C69:C71">
    <cfRule type="cellIs" dxfId="7703" priority="9595" stopIfTrue="1" operator="equal">
      <formula>"Towel"</formula>
    </cfRule>
    <cfRule type="cellIs" dxfId="7702" priority="9596" stopIfTrue="1" operator="equal">
      <formula>"Napkin Hs"</formula>
    </cfRule>
  </conditionalFormatting>
  <conditionalFormatting sqref="C69:C71">
    <cfRule type="cellIs" dxfId="7701" priority="9593" stopIfTrue="1" operator="equal">
      <formula>"Towel"</formula>
    </cfRule>
    <cfRule type="cellIs" dxfId="7700" priority="9594" stopIfTrue="1" operator="equal">
      <formula>"Napkin Hs"</formula>
    </cfRule>
  </conditionalFormatting>
  <conditionalFormatting sqref="C69:C71">
    <cfRule type="cellIs" dxfId="7699" priority="9591" stopIfTrue="1" operator="equal">
      <formula>"Towel"</formula>
    </cfRule>
    <cfRule type="cellIs" dxfId="7698" priority="9592" stopIfTrue="1" operator="equal">
      <formula>"Napkin Hs"</formula>
    </cfRule>
  </conditionalFormatting>
  <conditionalFormatting sqref="C69:C71">
    <cfRule type="cellIs" dxfId="7697" priority="9589" stopIfTrue="1" operator="equal">
      <formula>"Towel"</formula>
    </cfRule>
    <cfRule type="cellIs" dxfId="7696" priority="9590" stopIfTrue="1" operator="equal">
      <formula>"Napkin Hs"</formula>
    </cfRule>
  </conditionalFormatting>
  <conditionalFormatting sqref="C69:C71">
    <cfRule type="cellIs" dxfId="7695" priority="9576" stopIfTrue="1" operator="equal">
      <formula>"Napkin Hs"</formula>
    </cfRule>
  </conditionalFormatting>
  <conditionalFormatting sqref="C69:C71">
    <cfRule type="cellIs" dxfId="7694" priority="9575" stopIfTrue="1" operator="equal">
      <formula>"Towel"</formula>
    </cfRule>
  </conditionalFormatting>
  <conditionalFormatting sqref="C69:C71">
    <cfRule type="cellIs" dxfId="7693" priority="9574" stopIfTrue="1" operator="equal">
      <formula>"Napkin Hs"</formula>
    </cfRule>
  </conditionalFormatting>
  <conditionalFormatting sqref="C69:C71">
    <cfRule type="cellIs" dxfId="7692" priority="9571" stopIfTrue="1" operator="equal">
      <formula>"Towel"</formula>
    </cfRule>
    <cfRule type="cellIs" dxfId="7691" priority="9572" stopIfTrue="1" operator="equal">
      <formula>"Napkin Hs"</formula>
    </cfRule>
  </conditionalFormatting>
  <conditionalFormatting sqref="C69:C71">
    <cfRule type="cellIs" dxfId="7690" priority="9573" stopIfTrue="1" operator="equal">
      <formula>"Towel"</formula>
    </cfRule>
  </conditionalFormatting>
  <conditionalFormatting sqref="C69:C71">
    <cfRule type="cellIs" dxfId="7689" priority="9691" stopIfTrue="1" operator="equal">
      <formula>"Towel"</formula>
    </cfRule>
    <cfRule type="cellIs" dxfId="7688" priority="9692" stopIfTrue="1" operator="equal">
      <formula>"Napkin Hs"</formula>
    </cfRule>
  </conditionalFormatting>
  <conditionalFormatting sqref="C69:C71">
    <cfRule type="cellIs" dxfId="7687" priority="9690" stopIfTrue="1" operator="equal">
      <formula>"Napkin Hs"</formula>
    </cfRule>
  </conditionalFormatting>
  <conditionalFormatting sqref="C69:C71">
    <cfRule type="cellIs" dxfId="7686" priority="9689" stopIfTrue="1" operator="equal">
      <formula>"Towel"</formula>
    </cfRule>
  </conditionalFormatting>
  <conditionalFormatting sqref="C69:C71">
    <cfRule type="cellIs" dxfId="7685" priority="9688" stopIfTrue="1" operator="equal">
      <formula>"Napkin Hs"</formula>
    </cfRule>
  </conditionalFormatting>
  <conditionalFormatting sqref="C69:C71">
    <cfRule type="cellIs" dxfId="7684" priority="9685" stopIfTrue="1" operator="equal">
      <formula>"Towel"</formula>
    </cfRule>
    <cfRule type="cellIs" dxfId="7683" priority="9686" stopIfTrue="1" operator="equal">
      <formula>"Napkin Hs"</formula>
    </cfRule>
  </conditionalFormatting>
  <conditionalFormatting sqref="C69:C71">
    <cfRule type="cellIs" dxfId="7682" priority="9687" stopIfTrue="1" operator="equal">
      <formula>"Towel"</formula>
    </cfRule>
  </conditionalFormatting>
  <conditionalFormatting sqref="C69:C71">
    <cfRule type="cellIs" dxfId="7681" priority="9695" stopIfTrue="1" operator="equal">
      <formula>"Towel"</formula>
    </cfRule>
    <cfRule type="cellIs" dxfId="7680" priority="9696" stopIfTrue="1" operator="equal">
      <formula>"Napkin Hs"</formula>
    </cfRule>
  </conditionalFormatting>
  <conditionalFormatting sqref="C69:C71">
    <cfRule type="cellIs" dxfId="7679" priority="9693" stopIfTrue="1" operator="equal">
      <formula>"Towel"</formula>
    </cfRule>
    <cfRule type="cellIs" dxfId="7678" priority="9694" stopIfTrue="1" operator="equal">
      <formula>"Napkin Hs"</formula>
    </cfRule>
  </conditionalFormatting>
  <conditionalFormatting sqref="C69:C71">
    <cfRule type="cellIs" dxfId="7677" priority="9665" stopIfTrue="1" operator="equal">
      <formula>"Towel"</formula>
    </cfRule>
    <cfRule type="cellIs" dxfId="7676" priority="9666" stopIfTrue="1" operator="equal">
      <formula>"Napkin Hs"</formula>
    </cfRule>
  </conditionalFormatting>
  <conditionalFormatting sqref="C69:C71">
    <cfRule type="cellIs" dxfId="7675" priority="9663" stopIfTrue="1" operator="equal">
      <formula>"Towel"</formula>
    </cfRule>
    <cfRule type="cellIs" dxfId="7674" priority="9664" stopIfTrue="1" operator="equal">
      <formula>"Napkin Hs"</formula>
    </cfRule>
  </conditionalFormatting>
  <conditionalFormatting sqref="C69:C71">
    <cfRule type="cellIs" dxfId="7673" priority="9642" stopIfTrue="1" operator="equal">
      <formula>"Napkin Hs"</formula>
    </cfRule>
  </conditionalFormatting>
  <conditionalFormatting sqref="C69:C71">
    <cfRule type="cellIs" dxfId="7672" priority="9641" stopIfTrue="1" operator="equal">
      <formula>"Towel"</formula>
    </cfRule>
  </conditionalFormatting>
  <conditionalFormatting sqref="C69:C71">
    <cfRule type="cellIs" dxfId="7671" priority="9640" stopIfTrue="1" operator="equal">
      <formula>"Napkin Hs"</formula>
    </cfRule>
  </conditionalFormatting>
  <conditionalFormatting sqref="C69:C71">
    <cfRule type="cellIs" dxfId="7670" priority="9639" stopIfTrue="1" operator="equal">
      <formula>"Towel"</formula>
    </cfRule>
  </conditionalFormatting>
  <conditionalFormatting sqref="C69:C71">
    <cfRule type="cellIs" dxfId="7669" priority="9636" stopIfTrue="1" operator="equal">
      <formula>"Napkin Hs"</formula>
    </cfRule>
  </conditionalFormatting>
  <conditionalFormatting sqref="C69:C71">
    <cfRule type="cellIs" dxfId="7668" priority="9635" stopIfTrue="1" operator="equal">
      <formula>"Towel"</formula>
    </cfRule>
  </conditionalFormatting>
  <conditionalFormatting sqref="C69:C71">
    <cfRule type="cellIs" dxfId="7667" priority="9634" stopIfTrue="1" operator="equal">
      <formula>"Napkin Hs"</formula>
    </cfRule>
  </conditionalFormatting>
  <conditionalFormatting sqref="C69:C71">
    <cfRule type="cellIs" dxfId="7666" priority="9633" stopIfTrue="1" operator="equal">
      <formula>"Towel"</formula>
    </cfRule>
  </conditionalFormatting>
  <conditionalFormatting sqref="C69:C71">
    <cfRule type="cellIs" dxfId="7665" priority="9629" stopIfTrue="1" operator="equal">
      <formula>"Towel"</formula>
    </cfRule>
    <cfRule type="cellIs" dxfId="7664" priority="9630" stopIfTrue="1" operator="equal">
      <formula>"Napkin Hs"</formula>
    </cfRule>
  </conditionalFormatting>
  <conditionalFormatting sqref="C69:C71">
    <cfRule type="cellIs" dxfId="7663" priority="9627" stopIfTrue="1" operator="equal">
      <formula>"Towel"</formula>
    </cfRule>
    <cfRule type="cellIs" dxfId="7662" priority="9628" stopIfTrue="1" operator="equal">
      <formula>"Napkin Hs"</formula>
    </cfRule>
  </conditionalFormatting>
  <conditionalFormatting sqref="C69:C71">
    <cfRule type="cellIs" dxfId="7661" priority="9611" stopIfTrue="1" operator="equal">
      <formula>"Towel"</formula>
    </cfRule>
    <cfRule type="cellIs" dxfId="7660" priority="9612" stopIfTrue="1" operator="equal">
      <formula>"Napkin Hs"</formula>
    </cfRule>
  </conditionalFormatting>
  <conditionalFormatting sqref="C69:C71">
    <cfRule type="cellIs" dxfId="7659" priority="9609" stopIfTrue="1" operator="equal">
      <formula>"Towel"</formula>
    </cfRule>
    <cfRule type="cellIs" dxfId="7658" priority="9610" stopIfTrue="1" operator="equal">
      <formula>"Napkin Hs"</formula>
    </cfRule>
  </conditionalFormatting>
  <conditionalFormatting sqref="B69:C71">
    <cfRule type="cellIs" dxfId="7657" priority="9570" stopIfTrue="1" operator="equal">
      <formula>"Napkin Hs"</formula>
    </cfRule>
  </conditionalFormatting>
  <conditionalFormatting sqref="B69:C71">
    <cfRule type="cellIs" dxfId="7656" priority="9569" stopIfTrue="1" operator="equal">
      <formula>"Towel"</formula>
    </cfRule>
  </conditionalFormatting>
  <conditionalFormatting sqref="C69:C71">
    <cfRule type="cellIs" dxfId="7655" priority="9568" stopIfTrue="1" operator="equal">
      <formula>"Napkin Hs"</formula>
    </cfRule>
  </conditionalFormatting>
  <conditionalFormatting sqref="C69:C71">
    <cfRule type="cellIs" dxfId="7654" priority="9565" stopIfTrue="1" operator="equal">
      <formula>"Towel"</formula>
    </cfRule>
    <cfRule type="cellIs" dxfId="7653" priority="9566" stopIfTrue="1" operator="equal">
      <formula>"Napkin Hs"</formula>
    </cfRule>
  </conditionalFormatting>
  <conditionalFormatting sqref="C69:C71">
    <cfRule type="cellIs" dxfId="7652" priority="9567" stopIfTrue="1" operator="equal">
      <formula>"Towel"</formula>
    </cfRule>
  </conditionalFormatting>
  <conditionalFormatting sqref="B71:C71">
    <cfRule type="cellIs" dxfId="7651" priority="9564" stopIfTrue="1" operator="equal">
      <formula>"Napkin Hs"</formula>
    </cfRule>
  </conditionalFormatting>
  <conditionalFormatting sqref="B71:C71">
    <cfRule type="cellIs" dxfId="7650" priority="9563" stopIfTrue="1" operator="equal">
      <formula>"Towel"</formula>
    </cfRule>
  </conditionalFormatting>
  <conditionalFormatting sqref="B70:C70">
    <cfRule type="cellIs" dxfId="7649" priority="9559" stopIfTrue="1" operator="equal">
      <formula>"Towel"</formula>
    </cfRule>
    <cfRule type="cellIs" dxfId="7648" priority="9560" stopIfTrue="1" operator="equal">
      <formula>"Napkin Hs"</formula>
    </cfRule>
  </conditionalFormatting>
  <conditionalFormatting sqref="C71">
    <cfRule type="cellIs" dxfId="7647" priority="9562" stopIfTrue="1" operator="equal">
      <formula>"Napkin Hs"</formula>
    </cfRule>
  </conditionalFormatting>
  <conditionalFormatting sqref="C71">
    <cfRule type="cellIs" dxfId="7646" priority="9561" stopIfTrue="1" operator="equal">
      <formula>"Towel"</formula>
    </cfRule>
  </conditionalFormatting>
  <conditionalFormatting sqref="C70">
    <cfRule type="cellIs" dxfId="7645" priority="9557" stopIfTrue="1" operator="equal">
      <formula>"Towel"</formula>
    </cfRule>
    <cfRule type="cellIs" dxfId="7644" priority="9558" stopIfTrue="1" operator="equal">
      <formula>"Napkin Hs"</formula>
    </cfRule>
  </conditionalFormatting>
  <conditionalFormatting sqref="B72:C72">
    <cfRule type="cellIs" dxfId="7643" priority="9555" stopIfTrue="1" operator="equal">
      <formula>"Towel"</formula>
    </cfRule>
    <cfRule type="cellIs" dxfId="7642" priority="9556" stopIfTrue="1" operator="equal">
      <formula>"Napkin Hs"</formula>
    </cfRule>
  </conditionalFormatting>
  <conditionalFormatting sqref="C72">
    <cfRule type="cellIs" dxfId="7641" priority="9551" stopIfTrue="1" operator="equal">
      <formula>"Towel"</formula>
    </cfRule>
    <cfRule type="cellIs" dxfId="7640" priority="9552" stopIfTrue="1" operator="equal">
      <formula>"Napkin Hs"</formula>
    </cfRule>
  </conditionalFormatting>
  <conditionalFormatting sqref="C72">
    <cfRule type="cellIs" dxfId="7639" priority="9553" stopIfTrue="1" operator="equal">
      <formula>"Towel"</formula>
    </cfRule>
    <cfRule type="cellIs" dxfId="7638" priority="9554" stopIfTrue="1" operator="equal">
      <formula>"Napkin Hs"</formula>
    </cfRule>
  </conditionalFormatting>
  <conditionalFormatting sqref="B72:C72">
    <cfRule type="cellIs" dxfId="7637" priority="9550" stopIfTrue="1" operator="equal">
      <formula>"Napkin Hs"</formula>
    </cfRule>
  </conditionalFormatting>
  <conditionalFormatting sqref="B72:C72">
    <cfRule type="cellIs" dxfId="7636" priority="9549" stopIfTrue="1" operator="equal">
      <formula>"Towel"</formula>
    </cfRule>
  </conditionalFormatting>
  <conditionalFormatting sqref="C72">
    <cfRule type="cellIs" dxfId="7635" priority="9548" stopIfTrue="1" operator="equal">
      <formula>"Napkin Hs"</formula>
    </cfRule>
  </conditionalFormatting>
  <conditionalFormatting sqref="C72">
    <cfRule type="cellIs" dxfId="7634" priority="9547" stopIfTrue="1" operator="equal">
      <formula>"Towel"</formula>
    </cfRule>
  </conditionalFormatting>
  <conditionalFormatting sqref="C72">
    <cfRule type="cellIs" dxfId="7633" priority="9545" stopIfTrue="1" operator="equal">
      <formula>"Towel"</formula>
    </cfRule>
    <cfRule type="cellIs" dxfId="7632" priority="9546" stopIfTrue="1" operator="equal">
      <formula>"Napkin Hs"</formula>
    </cfRule>
  </conditionalFormatting>
  <conditionalFormatting sqref="B72:C72">
    <cfRule type="cellIs" dxfId="7631" priority="9543" stopIfTrue="1" operator="equal">
      <formula>"Towel"</formula>
    </cfRule>
    <cfRule type="cellIs" dxfId="7630" priority="9544" stopIfTrue="1" operator="equal">
      <formula>"Napkin Hs"</formula>
    </cfRule>
  </conditionalFormatting>
  <conditionalFormatting sqref="C72">
    <cfRule type="cellIs" dxfId="7629" priority="9541" stopIfTrue="1" operator="equal">
      <formula>"Towel"</formula>
    </cfRule>
    <cfRule type="cellIs" dxfId="7628" priority="9542" stopIfTrue="1" operator="equal">
      <formula>"Napkin Hs"</formula>
    </cfRule>
  </conditionalFormatting>
  <conditionalFormatting sqref="C72">
    <cfRule type="cellIs" dxfId="7627" priority="9539" stopIfTrue="1" operator="equal">
      <formula>"Towel"</formula>
    </cfRule>
    <cfRule type="cellIs" dxfId="7626" priority="9540" stopIfTrue="1" operator="equal">
      <formula>"Napkin Hs"</formula>
    </cfRule>
  </conditionalFormatting>
  <conditionalFormatting sqref="B72:C72">
    <cfRule type="cellIs" dxfId="7625" priority="9537" stopIfTrue="1" operator="equal">
      <formula>"Towel"</formula>
    </cfRule>
    <cfRule type="cellIs" dxfId="7624" priority="9538" stopIfTrue="1" operator="equal">
      <formula>"Napkin Hs"</formula>
    </cfRule>
  </conditionalFormatting>
  <conditionalFormatting sqref="C72">
    <cfRule type="cellIs" dxfId="7623" priority="9535" stopIfTrue="1" operator="equal">
      <formula>"Towel"</formula>
    </cfRule>
    <cfRule type="cellIs" dxfId="7622" priority="9536" stopIfTrue="1" operator="equal">
      <formula>"Napkin Hs"</formula>
    </cfRule>
  </conditionalFormatting>
  <conditionalFormatting sqref="C72">
    <cfRule type="cellIs" dxfId="7621" priority="9533" stopIfTrue="1" operator="equal">
      <formula>"Towel"</formula>
    </cfRule>
    <cfRule type="cellIs" dxfId="7620" priority="9534" stopIfTrue="1" operator="equal">
      <formula>"Napkin Hs"</formula>
    </cfRule>
  </conditionalFormatting>
  <conditionalFormatting sqref="B72:C72">
    <cfRule type="cellIs" dxfId="7619" priority="9531" stopIfTrue="1" operator="equal">
      <formula>"Towel"</formula>
    </cfRule>
    <cfRule type="cellIs" dxfId="7618" priority="9532" stopIfTrue="1" operator="equal">
      <formula>"Napkin Hs"</formula>
    </cfRule>
  </conditionalFormatting>
  <conditionalFormatting sqref="C72">
    <cfRule type="cellIs" dxfId="7617" priority="9529" stopIfTrue="1" operator="equal">
      <formula>"Towel"</formula>
    </cfRule>
    <cfRule type="cellIs" dxfId="7616" priority="9530" stopIfTrue="1" operator="equal">
      <formula>"Napkin Hs"</formula>
    </cfRule>
  </conditionalFormatting>
  <conditionalFormatting sqref="C72">
    <cfRule type="cellIs" dxfId="7615" priority="9527" stopIfTrue="1" operator="equal">
      <formula>"Towel"</formula>
    </cfRule>
    <cfRule type="cellIs" dxfId="7614" priority="9528" stopIfTrue="1" operator="equal">
      <formula>"Napkin Hs"</formula>
    </cfRule>
  </conditionalFormatting>
  <conditionalFormatting sqref="B72:C72">
    <cfRule type="cellIs" dxfId="7613" priority="9525" stopIfTrue="1" operator="equal">
      <formula>"Towel"</formula>
    </cfRule>
    <cfRule type="cellIs" dxfId="7612" priority="9526" stopIfTrue="1" operator="equal">
      <formula>"Napkin Hs"</formula>
    </cfRule>
  </conditionalFormatting>
  <conditionalFormatting sqref="C72">
    <cfRule type="cellIs" dxfId="7611" priority="9523" stopIfTrue="1" operator="equal">
      <formula>"Towel"</formula>
    </cfRule>
    <cfRule type="cellIs" dxfId="7610" priority="9524" stopIfTrue="1" operator="equal">
      <formula>"Napkin Hs"</formula>
    </cfRule>
  </conditionalFormatting>
  <conditionalFormatting sqref="C72">
    <cfRule type="cellIs" dxfId="7609" priority="9521" stopIfTrue="1" operator="equal">
      <formula>"Towel"</formula>
    </cfRule>
    <cfRule type="cellIs" dxfId="7608" priority="9522" stopIfTrue="1" operator="equal">
      <formula>"Napkin Hs"</formula>
    </cfRule>
  </conditionalFormatting>
  <conditionalFormatting sqref="B72:C72">
    <cfRule type="cellIs" dxfId="7607" priority="9519" stopIfTrue="1" operator="equal">
      <formula>"Towel"</formula>
    </cfRule>
    <cfRule type="cellIs" dxfId="7606" priority="9520" stopIfTrue="1" operator="equal">
      <formula>"Napkin Hs"</formula>
    </cfRule>
  </conditionalFormatting>
  <conditionalFormatting sqref="C72">
    <cfRule type="cellIs" dxfId="7605" priority="9517" stopIfTrue="1" operator="equal">
      <formula>"Towel"</formula>
    </cfRule>
    <cfRule type="cellIs" dxfId="7604" priority="9518" stopIfTrue="1" operator="equal">
      <formula>"Napkin Hs"</formula>
    </cfRule>
  </conditionalFormatting>
  <conditionalFormatting sqref="C72">
    <cfRule type="cellIs" dxfId="7603" priority="9515" stopIfTrue="1" operator="equal">
      <formula>"Towel"</formula>
    </cfRule>
    <cfRule type="cellIs" dxfId="7602" priority="9516" stopIfTrue="1" operator="equal">
      <formula>"Napkin Hs"</formula>
    </cfRule>
  </conditionalFormatting>
  <conditionalFormatting sqref="B72:C72">
    <cfRule type="cellIs" dxfId="7601" priority="9514" stopIfTrue="1" operator="equal">
      <formula>"Napkin Hs"</formula>
    </cfRule>
  </conditionalFormatting>
  <conditionalFormatting sqref="B72:C72">
    <cfRule type="cellIs" dxfId="7600" priority="9513" stopIfTrue="1" operator="equal">
      <formula>"Towel"</formula>
    </cfRule>
  </conditionalFormatting>
  <conditionalFormatting sqref="C72">
    <cfRule type="cellIs" dxfId="7599" priority="9512" stopIfTrue="1" operator="equal">
      <formula>"Napkin Hs"</formula>
    </cfRule>
  </conditionalFormatting>
  <conditionalFormatting sqref="C72">
    <cfRule type="cellIs" dxfId="7598" priority="9509" stopIfTrue="1" operator="equal">
      <formula>"Towel"</formula>
    </cfRule>
    <cfRule type="cellIs" dxfId="7597" priority="9510" stopIfTrue="1" operator="equal">
      <formula>"Napkin Hs"</formula>
    </cfRule>
  </conditionalFormatting>
  <conditionalFormatting sqref="C72">
    <cfRule type="cellIs" dxfId="7596" priority="9511" stopIfTrue="1" operator="equal">
      <formula>"Towel"</formula>
    </cfRule>
  </conditionalFormatting>
  <conditionalFormatting sqref="B72:C72">
    <cfRule type="cellIs" dxfId="7595" priority="9507" stopIfTrue="1" operator="equal">
      <formula>"Towel"</formula>
    </cfRule>
    <cfRule type="cellIs" dxfId="7594" priority="9508" stopIfTrue="1" operator="equal">
      <formula>"Napkin Hs"</formula>
    </cfRule>
  </conditionalFormatting>
  <conditionalFormatting sqref="C72">
    <cfRule type="cellIs" dxfId="7593" priority="9503" stopIfTrue="1" operator="equal">
      <formula>"Towel"</formula>
    </cfRule>
    <cfRule type="cellIs" dxfId="7592" priority="9504" stopIfTrue="1" operator="equal">
      <formula>"Napkin Hs"</formula>
    </cfRule>
  </conditionalFormatting>
  <conditionalFormatting sqref="C72">
    <cfRule type="cellIs" dxfId="7591" priority="9505" stopIfTrue="1" operator="equal">
      <formula>"Towel"</formula>
    </cfRule>
    <cfRule type="cellIs" dxfId="7590" priority="9506" stopIfTrue="1" operator="equal">
      <formula>"Napkin Hs"</formula>
    </cfRule>
  </conditionalFormatting>
  <conditionalFormatting sqref="B72:C72">
    <cfRule type="cellIs" dxfId="7589" priority="9501" stopIfTrue="1" operator="equal">
      <formula>"Towel"</formula>
    </cfRule>
    <cfRule type="cellIs" dxfId="7588" priority="9502" stopIfTrue="1" operator="equal">
      <formula>"Napkin Hs"</formula>
    </cfRule>
  </conditionalFormatting>
  <conditionalFormatting sqref="C72">
    <cfRule type="cellIs" dxfId="7587" priority="9497" stopIfTrue="1" operator="equal">
      <formula>"Towel"</formula>
    </cfRule>
    <cfRule type="cellIs" dxfId="7586" priority="9498" stopIfTrue="1" operator="equal">
      <formula>"Napkin Hs"</formula>
    </cfRule>
  </conditionalFormatting>
  <conditionalFormatting sqref="C72">
    <cfRule type="cellIs" dxfId="7585" priority="9499" stopIfTrue="1" operator="equal">
      <formula>"Towel"</formula>
    </cfRule>
    <cfRule type="cellIs" dxfId="7584" priority="9500" stopIfTrue="1" operator="equal">
      <formula>"Napkin Hs"</formula>
    </cfRule>
  </conditionalFormatting>
  <conditionalFormatting sqref="B72:C72">
    <cfRule type="cellIs" dxfId="7583" priority="9495" stopIfTrue="1" operator="equal">
      <formula>"Towel"</formula>
    </cfRule>
    <cfRule type="cellIs" dxfId="7582" priority="9496" stopIfTrue="1" operator="equal">
      <formula>"Napkin Hs"</formula>
    </cfRule>
  </conditionalFormatting>
  <conditionalFormatting sqref="C72">
    <cfRule type="cellIs" dxfId="7581" priority="9493" stopIfTrue="1" operator="equal">
      <formula>"Towel"</formula>
    </cfRule>
    <cfRule type="cellIs" dxfId="7580" priority="9494" stopIfTrue="1" operator="equal">
      <formula>"Napkin Hs"</formula>
    </cfRule>
  </conditionalFormatting>
  <conditionalFormatting sqref="C72">
    <cfRule type="cellIs" dxfId="7579" priority="9491" stopIfTrue="1" operator="equal">
      <formula>"Towel"</formula>
    </cfRule>
    <cfRule type="cellIs" dxfId="7578" priority="9492" stopIfTrue="1" operator="equal">
      <formula>"Napkin Hs"</formula>
    </cfRule>
  </conditionalFormatting>
  <conditionalFormatting sqref="B72:C72">
    <cfRule type="cellIs" dxfId="7577" priority="9490" stopIfTrue="1" operator="equal">
      <formula>"Napkin Hs"</formula>
    </cfRule>
  </conditionalFormatting>
  <conditionalFormatting sqref="B72:C72">
    <cfRule type="cellIs" dxfId="7576" priority="9489" stopIfTrue="1" operator="equal">
      <formula>"Towel"</formula>
    </cfRule>
  </conditionalFormatting>
  <conditionalFormatting sqref="C72">
    <cfRule type="cellIs" dxfId="7575" priority="9488" stopIfTrue="1" operator="equal">
      <formula>"Napkin Hs"</formula>
    </cfRule>
  </conditionalFormatting>
  <conditionalFormatting sqref="C72">
    <cfRule type="cellIs" dxfId="7574" priority="9487" stopIfTrue="1" operator="equal">
      <formula>"Towel"</formula>
    </cfRule>
  </conditionalFormatting>
  <conditionalFormatting sqref="C72">
    <cfRule type="cellIs" dxfId="7573" priority="9485" stopIfTrue="1" operator="equal">
      <formula>"Towel"</formula>
    </cfRule>
    <cfRule type="cellIs" dxfId="7572" priority="9486" stopIfTrue="1" operator="equal">
      <formula>"Napkin Hs"</formula>
    </cfRule>
  </conditionalFormatting>
  <conditionalFormatting sqref="C72">
    <cfRule type="cellIs" dxfId="7571" priority="9483" stopIfTrue="1" operator="equal">
      <formula>"Towel"</formula>
    </cfRule>
    <cfRule type="cellIs" dxfId="7570" priority="9484" stopIfTrue="1" operator="equal">
      <formula>"Napkin Hs"</formula>
    </cfRule>
  </conditionalFormatting>
  <conditionalFormatting sqref="C72">
    <cfRule type="cellIs" dxfId="7569" priority="9399" stopIfTrue="1" operator="equal">
      <formula>"Towel"</formula>
    </cfRule>
    <cfRule type="cellIs" dxfId="7568" priority="9400" stopIfTrue="1" operator="equal">
      <formula>"Napkin Hs"</formula>
    </cfRule>
  </conditionalFormatting>
  <conditionalFormatting sqref="C72">
    <cfRule type="cellIs" dxfId="7567" priority="9393" stopIfTrue="1" operator="equal">
      <formula>"Towel"</formula>
    </cfRule>
    <cfRule type="cellIs" dxfId="7566" priority="9394" stopIfTrue="1" operator="equal">
      <formula>"Napkin Hs"</formula>
    </cfRule>
  </conditionalFormatting>
  <conditionalFormatting sqref="C72">
    <cfRule type="cellIs" dxfId="7565" priority="9374" stopIfTrue="1" operator="equal">
      <formula>"Napkin Hs"</formula>
    </cfRule>
  </conditionalFormatting>
  <conditionalFormatting sqref="C72">
    <cfRule type="cellIs" dxfId="7564" priority="9373" stopIfTrue="1" operator="equal">
      <formula>"Towel"</formula>
    </cfRule>
  </conditionalFormatting>
  <conditionalFormatting sqref="C72">
    <cfRule type="cellIs" dxfId="7563" priority="9372" stopIfTrue="1" operator="equal">
      <formula>"Napkin Hs"</formula>
    </cfRule>
  </conditionalFormatting>
  <conditionalFormatting sqref="C72">
    <cfRule type="cellIs" dxfId="7562" priority="9369" stopIfTrue="1" operator="equal">
      <formula>"Towel"</formula>
    </cfRule>
    <cfRule type="cellIs" dxfId="7561" priority="9370" stopIfTrue="1" operator="equal">
      <formula>"Napkin Hs"</formula>
    </cfRule>
  </conditionalFormatting>
  <conditionalFormatting sqref="C72">
    <cfRule type="cellIs" dxfId="7560" priority="9371" stopIfTrue="1" operator="equal">
      <formula>"Towel"</formula>
    </cfRule>
  </conditionalFormatting>
  <conditionalFormatting sqref="C72">
    <cfRule type="cellIs" dxfId="7559" priority="9368" stopIfTrue="1" operator="equal">
      <formula>"Napkin Hs"</formula>
    </cfRule>
  </conditionalFormatting>
  <conditionalFormatting sqref="C72">
    <cfRule type="cellIs" dxfId="7558" priority="9367" stopIfTrue="1" operator="equal">
      <formula>"Towel"</formula>
    </cfRule>
  </conditionalFormatting>
  <conditionalFormatting sqref="C72">
    <cfRule type="cellIs" dxfId="7557" priority="9366" stopIfTrue="1" operator="equal">
      <formula>"Napkin Hs"</formula>
    </cfRule>
  </conditionalFormatting>
  <conditionalFormatting sqref="C72">
    <cfRule type="cellIs" dxfId="7556" priority="9363" stopIfTrue="1" operator="equal">
      <formula>"Towel"</formula>
    </cfRule>
    <cfRule type="cellIs" dxfId="7555" priority="9364" stopIfTrue="1" operator="equal">
      <formula>"Napkin Hs"</formula>
    </cfRule>
  </conditionalFormatting>
  <conditionalFormatting sqref="C72">
    <cfRule type="cellIs" dxfId="7554" priority="9365" stopIfTrue="1" operator="equal">
      <formula>"Towel"</formula>
    </cfRule>
  </conditionalFormatting>
  <conditionalFormatting sqref="C72">
    <cfRule type="cellIs" dxfId="7553" priority="9469" stopIfTrue="1" operator="equal">
      <formula>"Towel"</formula>
    </cfRule>
    <cfRule type="cellIs" dxfId="7552" priority="9470" stopIfTrue="1" operator="equal">
      <formula>"Napkin Hs"</formula>
    </cfRule>
  </conditionalFormatting>
  <conditionalFormatting sqref="C72">
    <cfRule type="cellIs" dxfId="7551" priority="9467" stopIfTrue="1" operator="equal">
      <formula>"Towel"</formula>
    </cfRule>
    <cfRule type="cellIs" dxfId="7550" priority="9468" stopIfTrue="1" operator="equal">
      <formula>"Napkin Hs"</formula>
    </cfRule>
  </conditionalFormatting>
  <conditionalFormatting sqref="C72">
    <cfRule type="cellIs" dxfId="7549" priority="9465" stopIfTrue="1" operator="equal">
      <formula>"Towel"</formula>
    </cfRule>
    <cfRule type="cellIs" dxfId="7548" priority="9466" stopIfTrue="1" operator="equal">
      <formula>"Napkin Hs"</formula>
    </cfRule>
  </conditionalFormatting>
  <conditionalFormatting sqref="C72">
    <cfRule type="cellIs" dxfId="7547" priority="9464" stopIfTrue="1" operator="equal">
      <formula>"Napkin Hs"</formula>
    </cfRule>
  </conditionalFormatting>
  <conditionalFormatting sqref="C72">
    <cfRule type="cellIs" dxfId="7546" priority="9463" stopIfTrue="1" operator="equal">
      <formula>"Towel"</formula>
    </cfRule>
  </conditionalFormatting>
  <conditionalFormatting sqref="C72">
    <cfRule type="cellIs" dxfId="7545" priority="9462" stopIfTrue="1" operator="equal">
      <formula>"Napkin Hs"</formula>
    </cfRule>
  </conditionalFormatting>
  <conditionalFormatting sqref="C72">
    <cfRule type="cellIs" dxfId="7544" priority="9461" stopIfTrue="1" operator="equal">
      <formula>"Towel"</formula>
    </cfRule>
  </conditionalFormatting>
  <conditionalFormatting sqref="C72">
    <cfRule type="cellIs" dxfId="7543" priority="9459" stopIfTrue="1" operator="equal">
      <formula>"Towel"</formula>
    </cfRule>
    <cfRule type="cellIs" dxfId="7542" priority="9460" stopIfTrue="1" operator="equal">
      <formula>"Napkin Hs"</formula>
    </cfRule>
  </conditionalFormatting>
  <conditionalFormatting sqref="C72">
    <cfRule type="cellIs" dxfId="7541" priority="9457" stopIfTrue="1" operator="equal">
      <formula>"Towel"</formula>
    </cfRule>
    <cfRule type="cellIs" dxfId="7540" priority="9458" stopIfTrue="1" operator="equal">
      <formula>"Napkin Hs"</formula>
    </cfRule>
  </conditionalFormatting>
  <conditionalFormatting sqref="C72">
    <cfRule type="cellIs" dxfId="7539" priority="9453" stopIfTrue="1" operator="equal">
      <formula>"Towel"</formula>
    </cfRule>
    <cfRule type="cellIs" dxfId="7538" priority="9454" stopIfTrue="1" operator="equal">
      <formula>"Napkin Hs"</formula>
    </cfRule>
  </conditionalFormatting>
  <conditionalFormatting sqref="C72">
    <cfRule type="cellIs" dxfId="7537" priority="9455" stopIfTrue="1" operator="equal">
      <formula>"Towel"</formula>
    </cfRule>
    <cfRule type="cellIs" dxfId="7536" priority="9456" stopIfTrue="1" operator="equal">
      <formula>"Napkin Hs"</formula>
    </cfRule>
  </conditionalFormatting>
  <conditionalFormatting sqref="C72">
    <cfRule type="cellIs" dxfId="7535" priority="9447" stopIfTrue="1" operator="equal">
      <formula>"Towel"</formula>
    </cfRule>
    <cfRule type="cellIs" dxfId="7534" priority="9448" stopIfTrue="1" operator="equal">
      <formula>"Napkin Hs"</formula>
    </cfRule>
  </conditionalFormatting>
  <conditionalFormatting sqref="C72">
    <cfRule type="cellIs" dxfId="7533" priority="9445" stopIfTrue="1" operator="equal">
      <formula>"Towel"</formula>
    </cfRule>
    <cfRule type="cellIs" dxfId="7532" priority="9446" stopIfTrue="1" operator="equal">
      <formula>"Napkin Hs"</formula>
    </cfRule>
  </conditionalFormatting>
  <conditionalFormatting sqref="C72">
    <cfRule type="cellIs" dxfId="7531" priority="9443" stopIfTrue="1" operator="equal">
      <formula>"Towel"</formula>
    </cfRule>
    <cfRule type="cellIs" dxfId="7530" priority="9444" stopIfTrue="1" operator="equal">
      <formula>"Napkin Hs"</formula>
    </cfRule>
  </conditionalFormatting>
  <conditionalFormatting sqref="C72">
    <cfRule type="cellIs" dxfId="7529" priority="9441" stopIfTrue="1" operator="equal">
      <formula>"Towel"</formula>
    </cfRule>
    <cfRule type="cellIs" dxfId="7528" priority="9442" stopIfTrue="1" operator="equal">
      <formula>"Napkin Hs"</formula>
    </cfRule>
  </conditionalFormatting>
  <conditionalFormatting sqref="C72">
    <cfRule type="cellIs" dxfId="7527" priority="9439" stopIfTrue="1" operator="equal">
      <formula>"Towel"</formula>
    </cfRule>
    <cfRule type="cellIs" dxfId="7526" priority="9440" stopIfTrue="1" operator="equal">
      <formula>"Napkin Hs"</formula>
    </cfRule>
  </conditionalFormatting>
  <conditionalFormatting sqref="C72">
    <cfRule type="cellIs" dxfId="7525" priority="9437" stopIfTrue="1" operator="equal">
      <formula>"Towel"</formula>
    </cfRule>
    <cfRule type="cellIs" dxfId="7524" priority="9438" stopIfTrue="1" operator="equal">
      <formula>"Napkin Hs"</formula>
    </cfRule>
  </conditionalFormatting>
  <conditionalFormatting sqref="C72">
    <cfRule type="cellIs" dxfId="7523" priority="9435" stopIfTrue="1" operator="equal">
      <formula>"Towel"</formula>
    </cfRule>
    <cfRule type="cellIs" dxfId="7522" priority="9436" stopIfTrue="1" operator="equal">
      <formula>"Napkin Hs"</formula>
    </cfRule>
  </conditionalFormatting>
  <conditionalFormatting sqref="C72">
    <cfRule type="cellIs" dxfId="7521" priority="9433" stopIfTrue="1" operator="equal">
      <formula>"Towel"</formula>
    </cfRule>
    <cfRule type="cellIs" dxfId="7520" priority="9434" stopIfTrue="1" operator="equal">
      <formula>"Napkin Hs"</formula>
    </cfRule>
  </conditionalFormatting>
  <conditionalFormatting sqref="C72">
    <cfRule type="cellIs" dxfId="7519" priority="9431" stopIfTrue="1" operator="equal">
      <formula>"Towel"</formula>
    </cfRule>
    <cfRule type="cellIs" dxfId="7518" priority="9432" stopIfTrue="1" operator="equal">
      <formula>"Napkin Hs"</formula>
    </cfRule>
  </conditionalFormatting>
  <conditionalFormatting sqref="C72">
    <cfRule type="cellIs" dxfId="7517" priority="9429" stopIfTrue="1" operator="equal">
      <formula>"Towel"</formula>
    </cfRule>
    <cfRule type="cellIs" dxfId="7516" priority="9430" stopIfTrue="1" operator="equal">
      <formula>"Napkin Hs"</formula>
    </cfRule>
  </conditionalFormatting>
  <conditionalFormatting sqref="C72">
    <cfRule type="cellIs" dxfId="7515" priority="9423" stopIfTrue="1" operator="equal">
      <formula>"Towel"</formula>
    </cfRule>
    <cfRule type="cellIs" dxfId="7514" priority="9424" stopIfTrue="1" operator="equal">
      <formula>"Napkin Hs"</formula>
    </cfRule>
  </conditionalFormatting>
  <conditionalFormatting sqref="C72">
    <cfRule type="cellIs" dxfId="7513" priority="9417" stopIfTrue="1" operator="equal">
      <formula>"Towel"</formula>
    </cfRule>
    <cfRule type="cellIs" dxfId="7512" priority="9418" stopIfTrue="1" operator="equal">
      <formula>"Napkin Hs"</formula>
    </cfRule>
  </conditionalFormatting>
  <conditionalFormatting sqref="C72">
    <cfRule type="cellIs" dxfId="7511" priority="9411" stopIfTrue="1" operator="equal">
      <formula>"Towel"</formula>
    </cfRule>
    <cfRule type="cellIs" dxfId="7510" priority="9412" stopIfTrue="1" operator="equal">
      <formula>"Napkin Hs"</formula>
    </cfRule>
  </conditionalFormatting>
  <conditionalFormatting sqref="C72">
    <cfRule type="cellIs" dxfId="7509" priority="9410" stopIfTrue="1" operator="equal">
      <formula>"Napkin Hs"</formula>
    </cfRule>
  </conditionalFormatting>
  <conditionalFormatting sqref="C72">
    <cfRule type="cellIs" dxfId="7508" priority="9409" stopIfTrue="1" operator="equal">
      <formula>"Towel"</formula>
    </cfRule>
  </conditionalFormatting>
  <conditionalFormatting sqref="C72">
    <cfRule type="cellIs" dxfId="7507" priority="9408" stopIfTrue="1" operator="equal">
      <formula>"Napkin Hs"</formula>
    </cfRule>
  </conditionalFormatting>
  <conditionalFormatting sqref="C72">
    <cfRule type="cellIs" dxfId="7506" priority="9407" stopIfTrue="1" operator="equal">
      <formula>"Towel"</formula>
    </cfRule>
  </conditionalFormatting>
  <conditionalFormatting sqref="C72">
    <cfRule type="cellIs" dxfId="7505" priority="9405" stopIfTrue="1" operator="equal">
      <formula>"Towel"</formula>
    </cfRule>
    <cfRule type="cellIs" dxfId="7504" priority="9406" stopIfTrue="1" operator="equal">
      <formula>"Napkin Hs"</formula>
    </cfRule>
  </conditionalFormatting>
  <conditionalFormatting sqref="C72">
    <cfRule type="cellIs" dxfId="7503" priority="9403" stopIfTrue="1" operator="equal">
      <formula>"Towel"</formula>
    </cfRule>
    <cfRule type="cellIs" dxfId="7502" priority="9404" stopIfTrue="1" operator="equal">
      <formula>"Napkin Hs"</formula>
    </cfRule>
  </conditionalFormatting>
  <conditionalFormatting sqref="C72">
    <cfRule type="cellIs" dxfId="7501" priority="9401" stopIfTrue="1" operator="equal">
      <formula>"Towel"</formula>
    </cfRule>
    <cfRule type="cellIs" dxfId="7500" priority="9402" stopIfTrue="1" operator="equal">
      <formula>"Napkin Hs"</formula>
    </cfRule>
  </conditionalFormatting>
  <conditionalFormatting sqref="C72">
    <cfRule type="cellIs" dxfId="7499" priority="9391" stopIfTrue="1" operator="equal">
      <formula>"Towel"</formula>
    </cfRule>
    <cfRule type="cellIs" dxfId="7498" priority="9392" stopIfTrue="1" operator="equal">
      <formula>"Napkin Hs"</formula>
    </cfRule>
  </conditionalFormatting>
  <conditionalFormatting sqref="C72">
    <cfRule type="cellIs" dxfId="7497" priority="9389" stopIfTrue="1" operator="equal">
      <formula>"Towel"</formula>
    </cfRule>
    <cfRule type="cellIs" dxfId="7496" priority="9390" stopIfTrue="1" operator="equal">
      <formula>"Napkin Hs"</formula>
    </cfRule>
  </conditionalFormatting>
  <conditionalFormatting sqref="C72">
    <cfRule type="cellIs" dxfId="7495" priority="9387" stopIfTrue="1" operator="equal">
      <formula>"Towel"</formula>
    </cfRule>
    <cfRule type="cellIs" dxfId="7494" priority="9388" stopIfTrue="1" operator="equal">
      <formula>"Napkin Hs"</formula>
    </cfRule>
  </conditionalFormatting>
  <conditionalFormatting sqref="C72">
    <cfRule type="cellIs" dxfId="7493" priority="9385" stopIfTrue="1" operator="equal">
      <formula>"Towel"</formula>
    </cfRule>
    <cfRule type="cellIs" dxfId="7492" priority="9386" stopIfTrue="1" operator="equal">
      <formula>"Napkin Hs"</formula>
    </cfRule>
  </conditionalFormatting>
  <conditionalFormatting sqref="C72">
    <cfRule type="cellIs" dxfId="7491" priority="9383" stopIfTrue="1" operator="equal">
      <formula>"Towel"</formula>
    </cfRule>
    <cfRule type="cellIs" dxfId="7490" priority="9384" stopIfTrue="1" operator="equal">
      <formula>"Napkin Hs"</formula>
    </cfRule>
  </conditionalFormatting>
  <conditionalFormatting sqref="C72">
    <cfRule type="cellIs" dxfId="7489" priority="9381" stopIfTrue="1" operator="equal">
      <formula>"Towel"</formula>
    </cfRule>
    <cfRule type="cellIs" dxfId="7488" priority="9382" stopIfTrue="1" operator="equal">
      <formula>"Napkin Hs"</formula>
    </cfRule>
  </conditionalFormatting>
  <conditionalFormatting sqref="C72">
    <cfRule type="cellIs" dxfId="7487" priority="9379" stopIfTrue="1" operator="equal">
      <formula>"Towel"</formula>
    </cfRule>
    <cfRule type="cellIs" dxfId="7486" priority="9380" stopIfTrue="1" operator="equal">
      <formula>"Napkin Hs"</formula>
    </cfRule>
  </conditionalFormatting>
  <conditionalFormatting sqref="C72">
    <cfRule type="cellIs" dxfId="7485" priority="9377" stopIfTrue="1" operator="equal">
      <formula>"Towel"</formula>
    </cfRule>
    <cfRule type="cellIs" dxfId="7484" priority="9378" stopIfTrue="1" operator="equal">
      <formula>"Napkin Hs"</formula>
    </cfRule>
  </conditionalFormatting>
  <conditionalFormatting sqref="C72">
    <cfRule type="cellIs" dxfId="7483" priority="9375" stopIfTrue="1" operator="equal">
      <formula>"Towel"</formula>
    </cfRule>
    <cfRule type="cellIs" dxfId="7482" priority="9376" stopIfTrue="1" operator="equal">
      <formula>"Napkin Hs"</formula>
    </cfRule>
  </conditionalFormatting>
  <conditionalFormatting sqref="C72">
    <cfRule type="cellIs" dxfId="7481" priority="9362" stopIfTrue="1" operator="equal">
      <formula>"Napkin Hs"</formula>
    </cfRule>
  </conditionalFormatting>
  <conditionalFormatting sqref="C72">
    <cfRule type="cellIs" dxfId="7480" priority="9361" stopIfTrue="1" operator="equal">
      <formula>"Towel"</formula>
    </cfRule>
  </conditionalFormatting>
  <conditionalFormatting sqref="C72">
    <cfRule type="cellIs" dxfId="7479" priority="9360" stopIfTrue="1" operator="equal">
      <formula>"Napkin Hs"</formula>
    </cfRule>
  </conditionalFormatting>
  <conditionalFormatting sqref="C72">
    <cfRule type="cellIs" dxfId="7478" priority="9357" stopIfTrue="1" operator="equal">
      <formula>"Towel"</formula>
    </cfRule>
    <cfRule type="cellIs" dxfId="7477" priority="9358" stopIfTrue="1" operator="equal">
      <formula>"Napkin Hs"</formula>
    </cfRule>
  </conditionalFormatting>
  <conditionalFormatting sqref="C72">
    <cfRule type="cellIs" dxfId="7476" priority="9359" stopIfTrue="1" operator="equal">
      <formula>"Towel"</formula>
    </cfRule>
  </conditionalFormatting>
  <conditionalFormatting sqref="C72">
    <cfRule type="cellIs" dxfId="7475" priority="9477" stopIfTrue="1" operator="equal">
      <formula>"Towel"</formula>
    </cfRule>
    <cfRule type="cellIs" dxfId="7474" priority="9478" stopIfTrue="1" operator="equal">
      <formula>"Napkin Hs"</formula>
    </cfRule>
  </conditionalFormatting>
  <conditionalFormatting sqref="C72">
    <cfRule type="cellIs" dxfId="7473" priority="9476" stopIfTrue="1" operator="equal">
      <formula>"Napkin Hs"</formula>
    </cfRule>
  </conditionalFormatting>
  <conditionalFormatting sqref="C72">
    <cfRule type="cellIs" dxfId="7472" priority="9475" stopIfTrue="1" operator="equal">
      <formula>"Towel"</formula>
    </cfRule>
  </conditionalFormatting>
  <conditionalFormatting sqref="C72">
    <cfRule type="cellIs" dxfId="7471" priority="9474" stopIfTrue="1" operator="equal">
      <formula>"Napkin Hs"</formula>
    </cfRule>
  </conditionalFormatting>
  <conditionalFormatting sqref="C72">
    <cfRule type="cellIs" dxfId="7470" priority="9471" stopIfTrue="1" operator="equal">
      <formula>"Towel"</formula>
    </cfRule>
    <cfRule type="cellIs" dxfId="7469" priority="9472" stopIfTrue="1" operator="equal">
      <formula>"Napkin Hs"</formula>
    </cfRule>
  </conditionalFormatting>
  <conditionalFormatting sqref="C72">
    <cfRule type="cellIs" dxfId="7468" priority="9473" stopIfTrue="1" operator="equal">
      <formula>"Towel"</formula>
    </cfRule>
  </conditionalFormatting>
  <conditionalFormatting sqref="C72">
    <cfRule type="cellIs" dxfId="7467" priority="9481" stopIfTrue="1" operator="equal">
      <formula>"Towel"</formula>
    </cfRule>
    <cfRule type="cellIs" dxfId="7466" priority="9482" stopIfTrue="1" operator="equal">
      <formula>"Napkin Hs"</formula>
    </cfRule>
  </conditionalFormatting>
  <conditionalFormatting sqref="C72">
    <cfRule type="cellIs" dxfId="7465" priority="9479" stopIfTrue="1" operator="equal">
      <formula>"Towel"</formula>
    </cfRule>
    <cfRule type="cellIs" dxfId="7464" priority="9480" stopIfTrue="1" operator="equal">
      <formula>"Napkin Hs"</formula>
    </cfRule>
  </conditionalFormatting>
  <conditionalFormatting sqref="C72">
    <cfRule type="cellIs" dxfId="7463" priority="9451" stopIfTrue="1" operator="equal">
      <formula>"Towel"</formula>
    </cfRule>
    <cfRule type="cellIs" dxfId="7462" priority="9452" stopIfTrue="1" operator="equal">
      <formula>"Napkin Hs"</formula>
    </cfRule>
  </conditionalFormatting>
  <conditionalFormatting sqref="C72">
    <cfRule type="cellIs" dxfId="7461" priority="9449" stopIfTrue="1" operator="equal">
      <formula>"Towel"</formula>
    </cfRule>
    <cfRule type="cellIs" dxfId="7460" priority="9450" stopIfTrue="1" operator="equal">
      <formula>"Napkin Hs"</formula>
    </cfRule>
  </conditionalFormatting>
  <conditionalFormatting sqref="C72">
    <cfRule type="cellIs" dxfId="7459" priority="9428" stopIfTrue="1" operator="equal">
      <formula>"Napkin Hs"</formula>
    </cfRule>
  </conditionalFormatting>
  <conditionalFormatting sqref="C72">
    <cfRule type="cellIs" dxfId="7458" priority="9427" stopIfTrue="1" operator="equal">
      <formula>"Towel"</formula>
    </cfRule>
  </conditionalFormatting>
  <conditionalFormatting sqref="C72">
    <cfRule type="cellIs" dxfId="7457" priority="9426" stopIfTrue="1" operator="equal">
      <formula>"Napkin Hs"</formula>
    </cfRule>
  </conditionalFormatting>
  <conditionalFormatting sqref="C72">
    <cfRule type="cellIs" dxfId="7456" priority="9425" stopIfTrue="1" operator="equal">
      <formula>"Towel"</formula>
    </cfRule>
  </conditionalFormatting>
  <conditionalFormatting sqref="C72">
    <cfRule type="cellIs" dxfId="7455" priority="9422" stopIfTrue="1" operator="equal">
      <formula>"Napkin Hs"</formula>
    </cfRule>
  </conditionalFormatting>
  <conditionalFormatting sqref="C72">
    <cfRule type="cellIs" dxfId="7454" priority="9421" stopIfTrue="1" operator="equal">
      <formula>"Towel"</formula>
    </cfRule>
  </conditionalFormatting>
  <conditionalFormatting sqref="C72">
    <cfRule type="cellIs" dxfId="7453" priority="9420" stopIfTrue="1" operator="equal">
      <formula>"Napkin Hs"</formula>
    </cfRule>
  </conditionalFormatting>
  <conditionalFormatting sqref="C72">
    <cfRule type="cellIs" dxfId="7452" priority="9419" stopIfTrue="1" operator="equal">
      <formula>"Towel"</formula>
    </cfRule>
  </conditionalFormatting>
  <conditionalFormatting sqref="C72">
    <cfRule type="cellIs" dxfId="7451" priority="9415" stopIfTrue="1" operator="equal">
      <formula>"Towel"</formula>
    </cfRule>
    <cfRule type="cellIs" dxfId="7450" priority="9416" stopIfTrue="1" operator="equal">
      <formula>"Napkin Hs"</formula>
    </cfRule>
  </conditionalFormatting>
  <conditionalFormatting sqref="C72">
    <cfRule type="cellIs" dxfId="7449" priority="9413" stopIfTrue="1" operator="equal">
      <formula>"Towel"</formula>
    </cfRule>
    <cfRule type="cellIs" dxfId="7448" priority="9414" stopIfTrue="1" operator="equal">
      <formula>"Napkin Hs"</formula>
    </cfRule>
  </conditionalFormatting>
  <conditionalFormatting sqref="C72">
    <cfRule type="cellIs" dxfId="7447" priority="9397" stopIfTrue="1" operator="equal">
      <formula>"Towel"</formula>
    </cfRule>
    <cfRule type="cellIs" dxfId="7446" priority="9398" stopIfTrue="1" operator="equal">
      <formula>"Napkin Hs"</formula>
    </cfRule>
  </conditionalFormatting>
  <conditionalFormatting sqref="C72">
    <cfRule type="cellIs" dxfId="7445" priority="9395" stopIfTrue="1" operator="equal">
      <formula>"Towel"</formula>
    </cfRule>
    <cfRule type="cellIs" dxfId="7444" priority="9396" stopIfTrue="1" operator="equal">
      <formula>"Napkin Hs"</formula>
    </cfRule>
  </conditionalFormatting>
  <conditionalFormatting sqref="B72:C72">
    <cfRule type="cellIs" dxfId="7443" priority="9356" stopIfTrue="1" operator="equal">
      <formula>"Napkin Hs"</formula>
    </cfRule>
  </conditionalFormatting>
  <conditionalFormatting sqref="B72:C72">
    <cfRule type="cellIs" dxfId="7442" priority="9355" stopIfTrue="1" operator="equal">
      <formula>"Towel"</formula>
    </cfRule>
  </conditionalFormatting>
  <conditionalFormatting sqref="C72">
    <cfRule type="cellIs" dxfId="7441" priority="9354" stopIfTrue="1" operator="equal">
      <formula>"Napkin Hs"</formula>
    </cfRule>
  </conditionalFormatting>
  <conditionalFormatting sqref="C72">
    <cfRule type="cellIs" dxfId="7440" priority="9351" stopIfTrue="1" operator="equal">
      <formula>"Towel"</formula>
    </cfRule>
    <cfRule type="cellIs" dxfId="7439" priority="9352" stopIfTrue="1" operator="equal">
      <formula>"Napkin Hs"</formula>
    </cfRule>
  </conditionalFormatting>
  <conditionalFormatting sqref="C72">
    <cfRule type="cellIs" dxfId="7438" priority="9353" stopIfTrue="1" operator="equal">
      <formula>"Towel"</formula>
    </cfRule>
  </conditionalFormatting>
  <conditionalFormatting sqref="B69:C69">
    <cfRule type="cellIs" dxfId="7437" priority="9350" stopIfTrue="1" operator="equal">
      <formula>"Napkin Hs"</formula>
    </cfRule>
  </conditionalFormatting>
  <conditionalFormatting sqref="B69:C69">
    <cfRule type="cellIs" dxfId="7436" priority="9349" stopIfTrue="1" operator="equal">
      <formula>"Towel"</formula>
    </cfRule>
  </conditionalFormatting>
  <conditionalFormatting sqref="C69">
    <cfRule type="cellIs" dxfId="7435" priority="9348" stopIfTrue="1" operator="equal">
      <formula>"Napkin Hs"</formula>
    </cfRule>
  </conditionalFormatting>
  <conditionalFormatting sqref="C69">
    <cfRule type="cellIs" dxfId="7434" priority="9347" stopIfTrue="1" operator="equal">
      <formula>"Towel"</formula>
    </cfRule>
  </conditionalFormatting>
  <conditionalFormatting sqref="C69">
    <cfRule type="cellIs" dxfId="7433" priority="9345" stopIfTrue="1" operator="equal">
      <formula>"Towel"</formula>
    </cfRule>
    <cfRule type="cellIs" dxfId="7432" priority="9346" stopIfTrue="1" operator="equal">
      <formula>"Napkin Hs"</formula>
    </cfRule>
  </conditionalFormatting>
  <conditionalFormatting sqref="C69">
    <cfRule type="cellIs" dxfId="7431" priority="9261" stopIfTrue="1" operator="equal">
      <formula>"Towel"</formula>
    </cfRule>
    <cfRule type="cellIs" dxfId="7430" priority="9262" stopIfTrue="1" operator="equal">
      <formula>"Napkin Hs"</formula>
    </cfRule>
  </conditionalFormatting>
  <conditionalFormatting sqref="C69">
    <cfRule type="cellIs" dxfId="7429" priority="9255" stopIfTrue="1" operator="equal">
      <formula>"Towel"</formula>
    </cfRule>
    <cfRule type="cellIs" dxfId="7428" priority="9256" stopIfTrue="1" operator="equal">
      <formula>"Napkin Hs"</formula>
    </cfRule>
  </conditionalFormatting>
  <conditionalFormatting sqref="C69">
    <cfRule type="cellIs" dxfId="7427" priority="9236" stopIfTrue="1" operator="equal">
      <formula>"Napkin Hs"</formula>
    </cfRule>
  </conditionalFormatting>
  <conditionalFormatting sqref="C69">
    <cfRule type="cellIs" dxfId="7426" priority="9235" stopIfTrue="1" operator="equal">
      <formula>"Towel"</formula>
    </cfRule>
  </conditionalFormatting>
  <conditionalFormatting sqref="C69">
    <cfRule type="cellIs" dxfId="7425" priority="9234" stopIfTrue="1" operator="equal">
      <formula>"Napkin Hs"</formula>
    </cfRule>
  </conditionalFormatting>
  <conditionalFormatting sqref="C69">
    <cfRule type="cellIs" dxfId="7424" priority="9231" stopIfTrue="1" operator="equal">
      <formula>"Towel"</formula>
    </cfRule>
    <cfRule type="cellIs" dxfId="7423" priority="9232" stopIfTrue="1" operator="equal">
      <formula>"Napkin Hs"</formula>
    </cfRule>
  </conditionalFormatting>
  <conditionalFormatting sqref="C69">
    <cfRule type="cellIs" dxfId="7422" priority="9233" stopIfTrue="1" operator="equal">
      <formula>"Towel"</formula>
    </cfRule>
  </conditionalFormatting>
  <conditionalFormatting sqref="C69">
    <cfRule type="cellIs" dxfId="7421" priority="9230" stopIfTrue="1" operator="equal">
      <formula>"Napkin Hs"</formula>
    </cfRule>
  </conditionalFormatting>
  <conditionalFormatting sqref="C69">
    <cfRule type="cellIs" dxfId="7420" priority="9229" stopIfTrue="1" operator="equal">
      <formula>"Towel"</formula>
    </cfRule>
  </conditionalFormatting>
  <conditionalFormatting sqref="C69">
    <cfRule type="cellIs" dxfId="7419" priority="9228" stopIfTrue="1" operator="equal">
      <formula>"Napkin Hs"</formula>
    </cfRule>
  </conditionalFormatting>
  <conditionalFormatting sqref="C69">
    <cfRule type="cellIs" dxfId="7418" priority="9225" stopIfTrue="1" operator="equal">
      <formula>"Towel"</formula>
    </cfRule>
    <cfRule type="cellIs" dxfId="7417" priority="9226" stopIfTrue="1" operator="equal">
      <formula>"Napkin Hs"</formula>
    </cfRule>
  </conditionalFormatting>
  <conditionalFormatting sqref="C69">
    <cfRule type="cellIs" dxfId="7416" priority="9227" stopIfTrue="1" operator="equal">
      <formula>"Towel"</formula>
    </cfRule>
  </conditionalFormatting>
  <conditionalFormatting sqref="C69">
    <cfRule type="cellIs" dxfId="7415" priority="9331" stopIfTrue="1" operator="equal">
      <formula>"Towel"</formula>
    </cfRule>
    <cfRule type="cellIs" dxfId="7414" priority="9332" stopIfTrue="1" operator="equal">
      <formula>"Napkin Hs"</formula>
    </cfRule>
  </conditionalFormatting>
  <conditionalFormatting sqref="C69">
    <cfRule type="cellIs" dxfId="7413" priority="9329" stopIfTrue="1" operator="equal">
      <formula>"Towel"</formula>
    </cfRule>
    <cfRule type="cellIs" dxfId="7412" priority="9330" stopIfTrue="1" operator="equal">
      <formula>"Napkin Hs"</formula>
    </cfRule>
  </conditionalFormatting>
  <conditionalFormatting sqref="C69">
    <cfRule type="cellIs" dxfId="7411" priority="9327" stopIfTrue="1" operator="equal">
      <formula>"Towel"</formula>
    </cfRule>
    <cfRule type="cellIs" dxfId="7410" priority="9328" stopIfTrue="1" operator="equal">
      <formula>"Napkin Hs"</formula>
    </cfRule>
  </conditionalFormatting>
  <conditionalFormatting sqref="C69">
    <cfRule type="cellIs" dxfId="7409" priority="9326" stopIfTrue="1" operator="equal">
      <formula>"Napkin Hs"</formula>
    </cfRule>
  </conditionalFormatting>
  <conditionalFormatting sqref="C69">
    <cfRule type="cellIs" dxfId="7408" priority="9325" stopIfTrue="1" operator="equal">
      <formula>"Towel"</formula>
    </cfRule>
  </conditionalFormatting>
  <conditionalFormatting sqref="C69">
    <cfRule type="cellIs" dxfId="7407" priority="9324" stopIfTrue="1" operator="equal">
      <formula>"Napkin Hs"</formula>
    </cfRule>
  </conditionalFormatting>
  <conditionalFormatting sqref="C69">
    <cfRule type="cellIs" dxfId="7406" priority="9323" stopIfTrue="1" operator="equal">
      <formula>"Towel"</formula>
    </cfRule>
  </conditionalFormatting>
  <conditionalFormatting sqref="C69">
    <cfRule type="cellIs" dxfId="7405" priority="9321" stopIfTrue="1" operator="equal">
      <formula>"Towel"</formula>
    </cfRule>
    <cfRule type="cellIs" dxfId="7404" priority="9322" stopIfTrue="1" operator="equal">
      <formula>"Napkin Hs"</formula>
    </cfRule>
  </conditionalFormatting>
  <conditionalFormatting sqref="C69">
    <cfRule type="cellIs" dxfId="7403" priority="9319" stopIfTrue="1" operator="equal">
      <formula>"Towel"</formula>
    </cfRule>
    <cfRule type="cellIs" dxfId="7402" priority="9320" stopIfTrue="1" operator="equal">
      <formula>"Napkin Hs"</formula>
    </cfRule>
  </conditionalFormatting>
  <conditionalFormatting sqref="C69">
    <cfRule type="cellIs" dxfId="7401" priority="9315" stopIfTrue="1" operator="equal">
      <formula>"Towel"</formula>
    </cfRule>
    <cfRule type="cellIs" dxfId="7400" priority="9316" stopIfTrue="1" operator="equal">
      <formula>"Napkin Hs"</formula>
    </cfRule>
  </conditionalFormatting>
  <conditionalFormatting sqref="C69">
    <cfRule type="cellIs" dxfId="7399" priority="9317" stopIfTrue="1" operator="equal">
      <formula>"Towel"</formula>
    </cfRule>
    <cfRule type="cellIs" dxfId="7398" priority="9318" stopIfTrue="1" operator="equal">
      <formula>"Napkin Hs"</formula>
    </cfRule>
  </conditionalFormatting>
  <conditionalFormatting sqref="C69">
    <cfRule type="cellIs" dxfId="7397" priority="9309" stopIfTrue="1" operator="equal">
      <formula>"Towel"</formula>
    </cfRule>
    <cfRule type="cellIs" dxfId="7396" priority="9310" stopIfTrue="1" operator="equal">
      <formula>"Napkin Hs"</formula>
    </cfRule>
  </conditionalFormatting>
  <conditionalFormatting sqref="C69">
    <cfRule type="cellIs" dxfId="7395" priority="9307" stopIfTrue="1" operator="equal">
      <formula>"Towel"</formula>
    </cfRule>
    <cfRule type="cellIs" dxfId="7394" priority="9308" stopIfTrue="1" operator="equal">
      <formula>"Napkin Hs"</formula>
    </cfRule>
  </conditionalFormatting>
  <conditionalFormatting sqref="C69">
    <cfRule type="cellIs" dxfId="7393" priority="9305" stopIfTrue="1" operator="equal">
      <formula>"Towel"</formula>
    </cfRule>
    <cfRule type="cellIs" dxfId="7392" priority="9306" stopIfTrue="1" operator="equal">
      <formula>"Napkin Hs"</formula>
    </cfRule>
  </conditionalFormatting>
  <conditionalFormatting sqref="C69">
    <cfRule type="cellIs" dxfId="7391" priority="9303" stopIfTrue="1" operator="equal">
      <formula>"Towel"</formula>
    </cfRule>
    <cfRule type="cellIs" dxfId="7390" priority="9304" stopIfTrue="1" operator="equal">
      <formula>"Napkin Hs"</formula>
    </cfRule>
  </conditionalFormatting>
  <conditionalFormatting sqref="C69">
    <cfRule type="cellIs" dxfId="7389" priority="9301" stopIfTrue="1" operator="equal">
      <formula>"Towel"</formula>
    </cfRule>
    <cfRule type="cellIs" dxfId="7388" priority="9302" stopIfTrue="1" operator="equal">
      <formula>"Napkin Hs"</formula>
    </cfRule>
  </conditionalFormatting>
  <conditionalFormatting sqref="C69">
    <cfRule type="cellIs" dxfId="7387" priority="9299" stopIfTrue="1" operator="equal">
      <formula>"Towel"</formula>
    </cfRule>
    <cfRule type="cellIs" dxfId="7386" priority="9300" stopIfTrue="1" operator="equal">
      <formula>"Napkin Hs"</formula>
    </cfRule>
  </conditionalFormatting>
  <conditionalFormatting sqref="C69">
    <cfRule type="cellIs" dxfId="7385" priority="9297" stopIfTrue="1" operator="equal">
      <formula>"Towel"</formula>
    </cfRule>
    <cfRule type="cellIs" dxfId="7384" priority="9298" stopIfTrue="1" operator="equal">
      <formula>"Napkin Hs"</formula>
    </cfRule>
  </conditionalFormatting>
  <conditionalFormatting sqref="C69">
    <cfRule type="cellIs" dxfId="7383" priority="9295" stopIfTrue="1" operator="equal">
      <formula>"Towel"</formula>
    </cfRule>
    <cfRule type="cellIs" dxfId="7382" priority="9296" stopIfTrue="1" operator="equal">
      <formula>"Napkin Hs"</formula>
    </cfRule>
  </conditionalFormatting>
  <conditionalFormatting sqref="C69">
    <cfRule type="cellIs" dxfId="7381" priority="9293" stopIfTrue="1" operator="equal">
      <formula>"Towel"</formula>
    </cfRule>
    <cfRule type="cellIs" dxfId="7380" priority="9294" stopIfTrue="1" operator="equal">
      <formula>"Napkin Hs"</formula>
    </cfRule>
  </conditionalFormatting>
  <conditionalFormatting sqref="C69">
    <cfRule type="cellIs" dxfId="7379" priority="9291" stopIfTrue="1" operator="equal">
      <formula>"Towel"</formula>
    </cfRule>
    <cfRule type="cellIs" dxfId="7378" priority="9292" stopIfTrue="1" operator="equal">
      <formula>"Napkin Hs"</formula>
    </cfRule>
  </conditionalFormatting>
  <conditionalFormatting sqref="C69">
    <cfRule type="cellIs" dxfId="7377" priority="9285" stopIfTrue="1" operator="equal">
      <formula>"Towel"</formula>
    </cfRule>
    <cfRule type="cellIs" dxfId="7376" priority="9286" stopIfTrue="1" operator="equal">
      <formula>"Napkin Hs"</formula>
    </cfRule>
  </conditionalFormatting>
  <conditionalFormatting sqref="C69">
    <cfRule type="cellIs" dxfId="7375" priority="9279" stopIfTrue="1" operator="equal">
      <formula>"Towel"</formula>
    </cfRule>
    <cfRule type="cellIs" dxfId="7374" priority="9280" stopIfTrue="1" operator="equal">
      <formula>"Napkin Hs"</formula>
    </cfRule>
  </conditionalFormatting>
  <conditionalFormatting sqref="C69">
    <cfRule type="cellIs" dxfId="7373" priority="9273" stopIfTrue="1" operator="equal">
      <formula>"Towel"</formula>
    </cfRule>
    <cfRule type="cellIs" dxfId="7372" priority="9274" stopIfTrue="1" operator="equal">
      <formula>"Napkin Hs"</formula>
    </cfRule>
  </conditionalFormatting>
  <conditionalFormatting sqref="C69">
    <cfRule type="cellIs" dxfId="7371" priority="9272" stopIfTrue="1" operator="equal">
      <formula>"Napkin Hs"</formula>
    </cfRule>
  </conditionalFormatting>
  <conditionalFormatting sqref="C69">
    <cfRule type="cellIs" dxfId="7370" priority="9271" stopIfTrue="1" operator="equal">
      <formula>"Towel"</formula>
    </cfRule>
  </conditionalFormatting>
  <conditionalFormatting sqref="C69">
    <cfRule type="cellIs" dxfId="7369" priority="9270" stopIfTrue="1" operator="equal">
      <formula>"Napkin Hs"</formula>
    </cfRule>
  </conditionalFormatting>
  <conditionalFormatting sqref="C69">
    <cfRule type="cellIs" dxfId="7368" priority="9269" stopIfTrue="1" operator="equal">
      <formula>"Towel"</formula>
    </cfRule>
  </conditionalFormatting>
  <conditionalFormatting sqref="C69">
    <cfRule type="cellIs" dxfId="7367" priority="9267" stopIfTrue="1" operator="equal">
      <formula>"Towel"</formula>
    </cfRule>
    <cfRule type="cellIs" dxfId="7366" priority="9268" stopIfTrue="1" operator="equal">
      <formula>"Napkin Hs"</formula>
    </cfRule>
  </conditionalFormatting>
  <conditionalFormatting sqref="C69">
    <cfRule type="cellIs" dxfId="7365" priority="9265" stopIfTrue="1" operator="equal">
      <formula>"Towel"</formula>
    </cfRule>
    <cfRule type="cellIs" dxfId="7364" priority="9266" stopIfTrue="1" operator="equal">
      <formula>"Napkin Hs"</formula>
    </cfRule>
  </conditionalFormatting>
  <conditionalFormatting sqref="C69">
    <cfRule type="cellIs" dxfId="7363" priority="9263" stopIfTrue="1" operator="equal">
      <formula>"Towel"</formula>
    </cfRule>
    <cfRule type="cellIs" dxfId="7362" priority="9264" stopIfTrue="1" operator="equal">
      <formula>"Napkin Hs"</formula>
    </cfRule>
  </conditionalFormatting>
  <conditionalFormatting sqref="C69">
    <cfRule type="cellIs" dxfId="7361" priority="9253" stopIfTrue="1" operator="equal">
      <formula>"Towel"</formula>
    </cfRule>
    <cfRule type="cellIs" dxfId="7360" priority="9254" stopIfTrue="1" operator="equal">
      <formula>"Napkin Hs"</formula>
    </cfRule>
  </conditionalFormatting>
  <conditionalFormatting sqref="C69">
    <cfRule type="cellIs" dxfId="7359" priority="9251" stopIfTrue="1" operator="equal">
      <formula>"Towel"</formula>
    </cfRule>
    <cfRule type="cellIs" dxfId="7358" priority="9252" stopIfTrue="1" operator="equal">
      <formula>"Napkin Hs"</formula>
    </cfRule>
  </conditionalFormatting>
  <conditionalFormatting sqref="C69">
    <cfRule type="cellIs" dxfId="7357" priority="9249" stopIfTrue="1" operator="equal">
      <formula>"Towel"</formula>
    </cfRule>
    <cfRule type="cellIs" dxfId="7356" priority="9250" stopIfTrue="1" operator="equal">
      <formula>"Napkin Hs"</formula>
    </cfRule>
  </conditionalFormatting>
  <conditionalFormatting sqref="C69">
    <cfRule type="cellIs" dxfId="7355" priority="9247" stopIfTrue="1" operator="equal">
      <formula>"Towel"</formula>
    </cfRule>
    <cfRule type="cellIs" dxfId="7354" priority="9248" stopIfTrue="1" operator="equal">
      <formula>"Napkin Hs"</formula>
    </cfRule>
  </conditionalFormatting>
  <conditionalFormatting sqref="C69">
    <cfRule type="cellIs" dxfId="7353" priority="9245" stopIfTrue="1" operator="equal">
      <formula>"Towel"</formula>
    </cfRule>
    <cfRule type="cellIs" dxfId="7352" priority="9246" stopIfTrue="1" operator="equal">
      <formula>"Napkin Hs"</formula>
    </cfRule>
  </conditionalFormatting>
  <conditionalFormatting sqref="C69">
    <cfRule type="cellIs" dxfId="7351" priority="9243" stopIfTrue="1" operator="equal">
      <formula>"Towel"</formula>
    </cfRule>
    <cfRule type="cellIs" dxfId="7350" priority="9244" stopIfTrue="1" operator="equal">
      <formula>"Napkin Hs"</formula>
    </cfRule>
  </conditionalFormatting>
  <conditionalFormatting sqref="C69">
    <cfRule type="cellIs" dxfId="7349" priority="9241" stopIfTrue="1" operator="equal">
      <formula>"Towel"</formula>
    </cfRule>
    <cfRule type="cellIs" dxfId="7348" priority="9242" stopIfTrue="1" operator="equal">
      <formula>"Napkin Hs"</formula>
    </cfRule>
  </conditionalFormatting>
  <conditionalFormatting sqref="C69">
    <cfRule type="cellIs" dxfId="7347" priority="9239" stopIfTrue="1" operator="equal">
      <formula>"Towel"</formula>
    </cfRule>
    <cfRule type="cellIs" dxfId="7346" priority="9240" stopIfTrue="1" operator="equal">
      <formula>"Napkin Hs"</formula>
    </cfRule>
  </conditionalFormatting>
  <conditionalFormatting sqref="C69">
    <cfRule type="cellIs" dxfId="7345" priority="9237" stopIfTrue="1" operator="equal">
      <formula>"Towel"</formula>
    </cfRule>
    <cfRule type="cellIs" dxfId="7344" priority="9238" stopIfTrue="1" operator="equal">
      <formula>"Napkin Hs"</formula>
    </cfRule>
  </conditionalFormatting>
  <conditionalFormatting sqref="C69">
    <cfRule type="cellIs" dxfId="7343" priority="9224" stopIfTrue="1" operator="equal">
      <formula>"Napkin Hs"</formula>
    </cfRule>
  </conditionalFormatting>
  <conditionalFormatting sqref="C69">
    <cfRule type="cellIs" dxfId="7342" priority="9223" stopIfTrue="1" operator="equal">
      <formula>"Towel"</formula>
    </cfRule>
  </conditionalFormatting>
  <conditionalFormatting sqref="C69">
    <cfRule type="cellIs" dxfId="7341" priority="9222" stopIfTrue="1" operator="equal">
      <formula>"Napkin Hs"</formula>
    </cfRule>
  </conditionalFormatting>
  <conditionalFormatting sqref="C69">
    <cfRule type="cellIs" dxfId="7340" priority="9219" stopIfTrue="1" operator="equal">
      <formula>"Towel"</formula>
    </cfRule>
    <cfRule type="cellIs" dxfId="7339" priority="9220" stopIfTrue="1" operator="equal">
      <formula>"Napkin Hs"</formula>
    </cfRule>
  </conditionalFormatting>
  <conditionalFormatting sqref="C69">
    <cfRule type="cellIs" dxfId="7338" priority="9221" stopIfTrue="1" operator="equal">
      <formula>"Towel"</formula>
    </cfRule>
  </conditionalFormatting>
  <conditionalFormatting sqref="C69">
    <cfRule type="cellIs" dxfId="7337" priority="9339" stopIfTrue="1" operator="equal">
      <formula>"Towel"</formula>
    </cfRule>
    <cfRule type="cellIs" dxfId="7336" priority="9340" stopIfTrue="1" operator="equal">
      <formula>"Napkin Hs"</formula>
    </cfRule>
  </conditionalFormatting>
  <conditionalFormatting sqref="C69">
    <cfRule type="cellIs" dxfId="7335" priority="9338" stopIfTrue="1" operator="equal">
      <formula>"Napkin Hs"</formula>
    </cfRule>
  </conditionalFormatting>
  <conditionalFormatting sqref="C69">
    <cfRule type="cellIs" dxfId="7334" priority="9337" stopIfTrue="1" operator="equal">
      <formula>"Towel"</formula>
    </cfRule>
  </conditionalFormatting>
  <conditionalFormatting sqref="C69">
    <cfRule type="cellIs" dxfId="7333" priority="9336" stopIfTrue="1" operator="equal">
      <formula>"Napkin Hs"</formula>
    </cfRule>
  </conditionalFormatting>
  <conditionalFormatting sqref="C69">
    <cfRule type="cellIs" dxfId="7332" priority="9333" stopIfTrue="1" operator="equal">
      <formula>"Towel"</formula>
    </cfRule>
    <cfRule type="cellIs" dxfId="7331" priority="9334" stopIfTrue="1" operator="equal">
      <formula>"Napkin Hs"</formula>
    </cfRule>
  </conditionalFormatting>
  <conditionalFormatting sqref="C69">
    <cfRule type="cellIs" dxfId="7330" priority="9335" stopIfTrue="1" operator="equal">
      <formula>"Towel"</formula>
    </cfRule>
  </conditionalFormatting>
  <conditionalFormatting sqref="C69">
    <cfRule type="cellIs" dxfId="7329" priority="9343" stopIfTrue="1" operator="equal">
      <formula>"Towel"</formula>
    </cfRule>
    <cfRule type="cellIs" dxfId="7328" priority="9344" stopIfTrue="1" operator="equal">
      <formula>"Napkin Hs"</formula>
    </cfRule>
  </conditionalFormatting>
  <conditionalFormatting sqref="C69">
    <cfRule type="cellIs" dxfId="7327" priority="9341" stopIfTrue="1" operator="equal">
      <formula>"Towel"</formula>
    </cfRule>
    <cfRule type="cellIs" dxfId="7326" priority="9342" stopIfTrue="1" operator="equal">
      <formula>"Napkin Hs"</formula>
    </cfRule>
  </conditionalFormatting>
  <conditionalFormatting sqref="C69">
    <cfRule type="cellIs" dxfId="7325" priority="9313" stopIfTrue="1" operator="equal">
      <formula>"Towel"</formula>
    </cfRule>
    <cfRule type="cellIs" dxfId="7324" priority="9314" stopIfTrue="1" operator="equal">
      <formula>"Napkin Hs"</formula>
    </cfRule>
  </conditionalFormatting>
  <conditionalFormatting sqref="C69">
    <cfRule type="cellIs" dxfId="7323" priority="9311" stopIfTrue="1" operator="equal">
      <formula>"Towel"</formula>
    </cfRule>
    <cfRule type="cellIs" dxfId="7322" priority="9312" stopIfTrue="1" operator="equal">
      <formula>"Napkin Hs"</formula>
    </cfRule>
  </conditionalFormatting>
  <conditionalFormatting sqref="C69">
    <cfRule type="cellIs" dxfId="7321" priority="9290" stopIfTrue="1" operator="equal">
      <formula>"Napkin Hs"</formula>
    </cfRule>
  </conditionalFormatting>
  <conditionalFormatting sqref="C69">
    <cfRule type="cellIs" dxfId="7320" priority="9289" stopIfTrue="1" operator="equal">
      <formula>"Towel"</formula>
    </cfRule>
  </conditionalFormatting>
  <conditionalFormatting sqref="C69">
    <cfRule type="cellIs" dxfId="7319" priority="9288" stopIfTrue="1" operator="equal">
      <formula>"Napkin Hs"</formula>
    </cfRule>
  </conditionalFormatting>
  <conditionalFormatting sqref="C69">
    <cfRule type="cellIs" dxfId="7318" priority="9287" stopIfTrue="1" operator="equal">
      <formula>"Towel"</formula>
    </cfRule>
  </conditionalFormatting>
  <conditionalFormatting sqref="C69">
    <cfRule type="cellIs" dxfId="7317" priority="9284" stopIfTrue="1" operator="equal">
      <formula>"Napkin Hs"</formula>
    </cfRule>
  </conditionalFormatting>
  <conditionalFormatting sqref="C69">
    <cfRule type="cellIs" dxfId="7316" priority="9283" stopIfTrue="1" operator="equal">
      <formula>"Towel"</formula>
    </cfRule>
  </conditionalFormatting>
  <conditionalFormatting sqref="C69">
    <cfRule type="cellIs" dxfId="7315" priority="9282" stopIfTrue="1" operator="equal">
      <formula>"Napkin Hs"</formula>
    </cfRule>
  </conditionalFormatting>
  <conditionalFormatting sqref="C69">
    <cfRule type="cellIs" dxfId="7314" priority="9281" stopIfTrue="1" operator="equal">
      <formula>"Towel"</formula>
    </cfRule>
  </conditionalFormatting>
  <conditionalFormatting sqref="C69">
    <cfRule type="cellIs" dxfId="7313" priority="9277" stopIfTrue="1" operator="equal">
      <formula>"Towel"</formula>
    </cfRule>
    <cfRule type="cellIs" dxfId="7312" priority="9278" stopIfTrue="1" operator="equal">
      <formula>"Napkin Hs"</formula>
    </cfRule>
  </conditionalFormatting>
  <conditionalFormatting sqref="C69">
    <cfRule type="cellIs" dxfId="7311" priority="9275" stopIfTrue="1" operator="equal">
      <formula>"Towel"</formula>
    </cfRule>
    <cfRule type="cellIs" dxfId="7310" priority="9276" stopIfTrue="1" operator="equal">
      <formula>"Napkin Hs"</formula>
    </cfRule>
  </conditionalFormatting>
  <conditionalFormatting sqref="C69">
    <cfRule type="cellIs" dxfId="7309" priority="9259" stopIfTrue="1" operator="equal">
      <formula>"Towel"</formula>
    </cfRule>
    <cfRule type="cellIs" dxfId="7308" priority="9260" stopIfTrue="1" operator="equal">
      <formula>"Napkin Hs"</formula>
    </cfRule>
  </conditionalFormatting>
  <conditionalFormatting sqref="C69">
    <cfRule type="cellIs" dxfId="7307" priority="9257" stopIfTrue="1" operator="equal">
      <formula>"Towel"</formula>
    </cfRule>
    <cfRule type="cellIs" dxfId="7306" priority="9258" stopIfTrue="1" operator="equal">
      <formula>"Napkin Hs"</formula>
    </cfRule>
  </conditionalFormatting>
  <conditionalFormatting sqref="B69:C69">
    <cfRule type="cellIs" dxfId="7305" priority="9218" stopIfTrue="1" operator="equal">
      <formula>"Napkin Hs"</formula>
    </cfRule>
  </conditionalFormatting>
  <conditionalFormatting sqref="B69:C69">
    <cfRule type="cellIs" dxfId="7304" priority="9217" stopIfTrue="1" operator="equal">
      <formula>"Towel"</formula>
    </cfRule>
  </conditionalFormatting>
  <conditionalFormatting sqref="C69">
    <cfRule type="cellIs" dxfId="7303" priority="9216" stopIfTrue="1" operator="equal">
      <formula>"Napkin Hs"</formula>
    </cfRule>
  </conditionalFormatting>
  <conditionalFormatting sqref="C69">
    <cfRule type="cellIs" dxfId="7302" priority="9213" stopIfTrue="1" operator="equal">
      <formula>"Towel"</formula>
    </cfRule>
    <cfRule type="cellIs" dxfId="7301" priority="9214" stopIfTrue="1" operator="equal">
      <formula>"Napkin Hs"</formula>
    </cfRule>
  </conditionalFormatting>
  <conditionalFormatting sqref="C69">
    <cfRule type="cellIs" dxfId="7300" priority="9215" stopIfTrue="1" operator="equal">
      <formula>"Towel"</formula>
    </cfRule>
  </conditionalFormatting>
  <conditionalFormatting sqref="B75:C75">
    <cfRule type="cellIs" dxfId="7299" priority="9211" stopIfTrue="1" operator="equal">
      <formula>"Towel"</formula>
    </cfRule>
    <cfRule type="cellIs" dxfId="7298" priority="9212" stopIfTrue="1" operator="equal">
      <formula>"Napkin Hs"</formula>
    </cfRule>
  </conditionalFormatting>
  <conditionalFormatting sqref="C75">
    <cfRule type="cellIs" dxfId="7297" priority="9207" stopIfTrue="1" operator="equal">
      <formula>"Towel"</formula>
    </cfRule>
    <cfRule type="cellIs" dxfId="7296" priority="9208" stopIfTrue="1" operator="equal">
      <formula>"Napkin Hs"</formula>
    </cfRule>
  </conditionalFormatting>
  <conditionalFormatting sqref="C75">
    <cfRule type="cellIs" dxfId="7295" priority="9209" stopIfTrue="1" operator="equal">
      <formula>"Towel"</formula>
    </cfRule>
    <cfRule type="cellIs" dxfId="7294" priority="9210" stopIfTrue="1" operator="equal">
      <formula>"Napkin Hs"</formula>
    </cfRule>
  </conditionalFormatting>
  <conditionalFormatting sqref="B74:C74">
    <cfRule type="cellIs" dxfId="7293" priority="9205" stopIfTrue="1" operator="equal">
      <formula>"Towel"</formula>
    </cfRule>
    <cfRule type="cellIs" dxfId="7292" priority="9206" stopIfTrue="1" operator="equal">
      <formula>"Napkin Hs"</formula>
    </cfRule>
  </conditionalFormatting>
  <conditionalFormatting sqref="C74">
    <cfRule type="cellIs" dxfId="7291" priority="9201" stopIfTrue="1" operator="equal">
      <formula>"Towel"</formula>
    </cfRule>
    <cfRule type="cellIs" dxfId="7290" priority="9202" stopIfTrue="1" operator="equal">
      <formula>"Napkin Hs"</formula>
    </cfRule>
  </conditionalFormatting>
  <conditionalFormatting sqref="C74">
    <cfRule type="cellIs" dxfId="7289" priority="9203" stopIfTrue="1" operator="equal">
      <formula>"Towel"</formula>
    </cfRule>
    <cfRule type="cellIs" dxfId="7288" priority="9204" stopIfTrue="1" operator="equal">
      <formula>"Napkin Hs"</formula>
    </cfRule>
  </conditionalFormatting>
  <conditionalFormatting sqref="B74:C74">
    <cfRule type="cellIs" dxfId="7287" priority="9199" stopIfTrue="1" operator="equal">
      <formula>"Towel"</formula>
    </cfRule>
    <cfRule type="cellIs" dxfId="7286" priority="9200" stopIfTrue="1" operator="equal">
      <formula>"Napkin Hs"</formula>
    </cfRule>
  </conditionalFormatting>
  <conditionalFormatting sqref="C74">
    <cfRule type="cellIs" dxfId="7285" priority="9195" stopIfTrue="1" operator="equal">
      <formula>"Towel"</formula>
    </cfRule>
    <cfRule type="cellIs" dxfId="7284" priority="9196" stopIfTrue="1" operator="equal">
      <formula>"Napkin Hs"</formula>
    </cfRule>
  </conditionalFormatting>
  <conditionalFormatting sqref="C74">
    <cfRule type="cellIs" dxfId="7283" priority="9197" stopIfTrue="1" operator="equal">
      <formula>"Towel"</formula>
    </cfRule>
    <cfRule type="cellIs" dxfId="7282" priority="9198" stopIfTrue="1" operator="equal">
      <formula>"Napkin Hs"</formula>
    </cfRule>
  </conditionalFormatting>
  <conditionalFormatting sqref="B74:C74">
    <cfRule type="cellIs" dxfId="7281" priority="9193" stopIfTrue="1" operator="equal">
      <formula>"Towel"</formula>
    </cfRule>
    <cfRule type="cellIs" dxfId="7280" priority="9194" stopIfTrue="1" operator="equal">
      <formula>"Napkin Hs"</formula>
    </cfRule>
  </conditionalFormatting>
  <conditionalFormatting sqref="C74">
    <cfRule type="cellIs" dxfId="7279" priority="9191" stopIfTrue="1" operator="equal">
      <formula>"Towel"</formula>
    </cfRule>
    <cfRule type="cellIs" dxfId="7278" priority="9192" stopIfTrue="1" operator="equal">
      <formula>"Napkin Hs"</formula>
    </cfRule>
  </conditionalFormatting>
  <conditionalFormatting sqref="C74">
    <cfRule type="cellIs" dxfId="7277" priority="9189" stopIfTrue="1" operator="equal">
      <formula>"Towel"</formula>
    </cfRule>
    <cfRule type="cellIs" dxfId="7276" priority="9190" stopIfTrue="1" operator="equal">
      <formula>"Napkin Hs"</formula>
    </cfRule>
  </conditionalFormatting>
  <conditionalFormatting sqref="B74:C74">
    <cfRule type="cellIs" dxfId="7275" priority="9187" stopIfTrue="1" operator="equal">
      <formula>"Towel"</formula>
    </cfRule>
    <cfRule type="cellIs" dxfId="7274" priority="9188" stopIfTrue="1" operator="equal">
      <formula>"Napkin Hs"</formula>
    </cfRule>
  </conditionalFormatting>
  <conditionalFormatting sqref="C74">
    <cfRule type="cellIs" dxfId="7273" priority="9185" stopIfTrue="1" operator="equal">
      <formula>"Towel"</formula>
    </cfRule>
    <cfRule type="cellIs" dxfId="7272" priority="9186" stopIfTrue="1" operator="equal">
      <formula>"Napkin Hs"</formula>
    </cfRule>
  </conditionalFormatting>
  <conditionalFormatting sqref="C74">
    <cfRule type="cellIs" dxfId="7271" priority="9183" stopIfTrue="1" operator="equal">
      <formula>"Towel"</formula>
    </cfRule>
    <cfRule type="cellIs" dxfId="7270" priority="9184" stopIfTrue="1" operator="equal">
      <formula>"Napkin Hs"</formula>
    </cfRule>
  </conditionalFormatting>
  <conditionalFormatting sqref="B74:C74">
    <cfRule type="cellIs" dxfId="7269" priority="9181" stopIfTrue="1" operator="equal">
      <formula>"Towel"</formula>
    </cfRule>
    <cfRule type="cellIs" dxfId="7268" priority="9182" stopIfTrue="1" operator="equal">
      <formula>"Napkin Hs"</formula>
    </cfRule>
  </conditionalFormatting>
  <conditionalFormatting sqref="C74">
    <cfRule type="cellIs" dxfId="7267" priority="9179" stopIfTrue="1" operator="equal">
      <formula>"Towel"</formula>
    </cfRule>
    <cfRule type="cellIs" dxfId="7266" priority="9180" stopIfTrue="1" operator="equal">
      <formula>"Napkin Hs"</formula>
    </cfRule>
  </conditionalFormatting>
  <conditionalFormatting sqref="C74">
    <cfRule type="cellIs" dxfId="7265" priority="9177" stopIfTrue="1" operator="equal">
      <formula>"Towel"</formula>
    </cfRule>
    <cfRule type="cellIs" dxfId="7264" priority="9178" stopIfTrue="1" operator="equal">
      <formula>"Napkin Hs"</formula>
    </cfRule>
  </conditionalFormatting>
  <conditionalFormatting sqref="B74:C74">
    <cfRule type="cellIs" dxfId="7263" priority="9176" stopIfTrue="1" operator="equal">
      <formula>"Napkin Hs"</formula>
    </cfRule>
  </conditionalFormatting>
  <conditionalFormatting sqref="B74:C74">
    <cfRule type="cellIs" dxfId="7262" priority="9175" stopIfTrue="1" operator="equal">
      <formula>"Towel"</formula>
    </cfRule>
  </conditionalFormatting>
  <conditionalFormatting sqref="C74">
    <cfRule type="cellIs" dxfId="7261" priority="9174" stopIfTrue="1" operator="equal">
      <formula>"Napkin Hs"</formula>
    </cfRule>
  </conditionalFormatting>
  <conditionalFormatting sqref="C74">
    <cfRule type="cellIs" dxfId="7260" priority="9171" stopIfTrue="1" operator="equal">
      <formula>"Towel"</formula>
    </cfRule>
    <cfRule type="cellIs" dxfId="7259" priority="9172" stopIfTrue="1" operator="equal">
      <formula>"Napkin Hs"</formula>
    </cfRule>
  </conditionalFormatting>
  <conditionalFormatting sqref="C74">
    <cfRule type="cellIs" dxfId="7258" priority="9173" stopIfTrue="1" operator="equal">
      <formula>"Towel"</formula>
    </cfRule>
  </conditionalFormatting>
  <conditionalFormatting sqref="C76">
    <cfRule type="cellIs" dxfId="7257" priority="9099" stopIfTrue="1" operator="equal">
      <formula>"Towel"</formula>
    </cfRule>
    <cfRule type="cellIs" dxfId="7256" priority="9100" stopIfTrue="1" operator="equal">
      <formula>"Napkin Hs"</formula>
    </cfRule>
  </conditionalFormatting>
  <conditionalFormatting sqref="B76:C76">
    <cfRule type="cellIs" dxfId="7255" priority="9097" stopIfTrue="1" operator="equal">
      <formula>"Towel"</formula>
    </cfRule>
    <cfRule type="cellIs" dxfId="7254" priority="9098" stopIfTrue="1" operator="equal">
      <formula>"Napkin Hs"</formula>
    </cfRule>
  </conditionalFormatting>
  <conditionalFormatting sqref="C76">
    <cfRule type="cellIs" dxfId="7253" priority="9095" stopIfTrue="1" operator="equal">
      <formula>"Towel"</formula>
    </cfRule>
    <cfRule type="cellIs" dxfId="7252" priority="9096" stopIfTrue="1" operator="equal">
      <formula>"Napkin Hs"</formula>
    </cfRule>
  </conditionalFormatting>
  <conditionalFormatting sqref="C76">
    <cfRule type="cellIs" dxfId="7251" priority="9087" stopIfTrue="1" operator="equal">
      <formula>"Towel"</formula>
    </cfRule>
    <cfRule type="cellIs" dxfId="7250" priority="9088" stopIfTrue="1" operator="equal">
      <formula>"Napkin Hs"</formula>
    </cfRule>
  </conditionalFormatting>
  <conditionalFormatting sqref="B76:C76">
    <cfRule type="cellIs" dxfId="7249" priority="9128" stopIfTrue="1" operator="equal">
      <formula>"Napkin Hs"</formula>
    </cfRule>
  </conditionalFormatting>
  <conditionalFormatting sqref="B76:C76">
    <cfRule type="cellIs" dxfId="7248" priority="9127" stopIfTrue="1" operator="equal">
      <formula>"Towel"</formula>
    </cfRule>
  </conditionalFormatting>
  <conditionalFormatting sqref="C76">
    <cfRule type="cellIs" dxfId="7247" priority="9126" stopIfTrue="1" operator="equal">
      <formula>"Napkin Hs"</formula>
    </cfRule>
  </conditionalFormatting>
  <conditionalFormatting sqref="C76">
    <cfRule type="cellIs" dxfId="7246" priority="9125" stopIfTrue="1" operator="equal">
      <formula>"Towel"</formula>
    </cfRule>
  </conditionalFormatting>
  <conditionalFormatting sqref="C76">
    <cfRule type="cellIs" dxfId="7245" priority="9123" stopIfTrue="1" operator="equal">
      <formula>"Towel"</formula>
    </cfRule>
    <cfRule type="cellIs" dxfId="7244" priority="9124" stopIfTrue="1" operator="equal">
      <formula>"Napkin Hs"</formula>
    </cfRule>
  </conditionalFormatting>
  <conditionalFormatting sqref="B76:C76">
    <cfRule type="cellIs" dxfId="7243" priority="9121" stopIfTrue="1" operator="equal">
      <formula>"Towel"</formula>
    </cfRule>
    <cfRule type="cellIs" dxfId="7242" priority="9122" stopIfTrue="1" operator="equal">
      <formula>"Napkin Hs"</formula>
    </cfRule>
  </conditionalFormatting>
  <conditionalFormatting sqref="C76">
    <cfRule type="cellIs" dxfId="7241" priority="9119" stopIfTrue="1" operator="equal">
      <formula>"Towel"</formula>
    </cfRule>
    <cfRule type="cellIs" dxfId="7240" priority="9120" stopIfTrue="1" operator="equal">
      <formula>"Napkin Hs"</formula>
    </cfRule>
  </conditionalFormatting>
  <conditionalFormatting sqref="C76">
    <cfRule type="cellIs" dxfId="7239" priority="9117" stopIfTrue="1" operator="equal">
      <formula>"Towel"</formula>
    </cfRule>
    <cfRule type="cellIs" dxfId="7238" priority="9118" stopIfTrue="1" operator="equal">
      <formula>"Napkin Hs"</formula>
    </cfRule>
  </conditionalFormatting>
  <conditionalFormatting sqref="B76:C76">
    <cfRule type="cellIs" dxfId="7237" priority="9115" stopIfTrue="1" operator="equal">
      <formula>"Towel"</formula>
    </cfRule>
    <cfRule type="cellIs" dxfId="7236" priority="9116" stopIfTrue="1" operator="equal">
      <formula>"Napkin Hs"</formula>
    </cfRule>
  </conditionalFormatting>
  <conditionalFormatting sqref="C76">
    <cfRule type="cellIs" dxfId="7235" priority="9113" stopIfTrue="1" operator="equal">
      <formula>"Towel"</formula>
    </cfRule>
    <cfRule type="cellIs" dxfId="7234" priority="9114" stopIfTrue="1" operator="equal">
      <formula>"Napkin Hs"</formula>
    </cfRule>
  </conditionalFormatting>
  <conditionalFormatting sqref="C76">
    <cfRule type="cellIs" dxfId="7233" priority="9111" stopIfTrue="1" operator="equal">
      <formula>"Towel"</formula>
    </cfRule>
    <cfRule type="cellIs" dxfId="7232" priority="9112" stopIfTrue="1" operator="equal">
      <formula>"Napkin Hs"</formula>
    </cfRule>
  </conditionalFormatting>
  <conditionalFormatting sqref="B76:C76">
    <cfRule type="cellIs" dxfId="7231" priority="9109" stopIfTrue="1" operator="equal">
      <formula>"Towel"</formula>
    </cfRule>
    <cfRule type="cellIs" dxfId="7230" priority="9110" stopIfTrue="1" operator="equal">
      <formula>"Napkin Hs"</formula>
    </cfRule>
  </conditionalFormatting>
  <conditionalFormatting sqref="C76">
    <cfRule type="cellIs" dxfId="7229" priority="9107" stopIfTrue="1" operator="equal">
      <formula>"Towel"</formula>
    </cfRule>
    <cfRule type="cellIs" dxfId="7228" priority="9108" stopIfTrue="1" operator="equal">
      <formula>"Napkin Hs"</formula>
    </cfRule>
  </conditionalFormatting>
  <conditionalFormatting sqref="C76">
    <cfRule type="cellIs" dxfId="7227" priority="9105" stopIfTrue="1" operator="equal">
      <formula>"Towel"</formula>
    </cfRule>
    <cfRule type="cellIs" dxfId="7226" priority="9106" stopIfTrue="1" operator="equal">
      <formula>"Napkin Hs"</formula>
    </cfRule>
  </conditionalFormatting>
  <conditionalFormatting sqref="B76:C76">
    <cfRule type="cellIs" dxfId="7225" priority="9103" stopIfTrue="1" operator="equal">
      <formula>"Towel"</formula>
    </cfRule>
    <cfRule type="cellIs" dxfId="7224" priority="9104" stopIfTrue="1" operator="equal">
      <formula>"Napkin Hs"</formula>
    </cfRule>
  </conditionalFormatting>
  <conditionalFormatting sqref="C76">
    <cfRule type="cellIs" dxfId="7223" priority="9101" stopIfTrue="1" operator="equal">
      <formula>"Towel"</formula>
    </cfRule>
    <cfRule type="cellIs" dxfId="7222" priority="9102" stopIfTrue="1" operator="equal">
      <formula>"Napkin Hs"</formula>
    </cfRule>
  </conditionalFormatting>
  <conditionalFormatting sqref="C76">
    <cfRule type="cellIs" dxfId="7221" priority="9093" stopIfTrue="1" operator="equal">
      <formula>"Towel"</formula>
    </cfRule>
    <cfRule type="cellIs" dxfId="7220" priority="9094" stopIfTrue="1" operator="equal">
      <formula>"Napkin Hs"</formula>
    </cfRule>
  </conditionalFormatting>
  <conditionalFormatting sqref="B76:C76">
    <cfRule type="cellIs" dxfId="7219" priority="9092" stopIfTrue="1" operator="equal">
      <formula>"Napkin Hs"</formula>
    </cfRule>
  </conditionalFormatting>
  <conditionalFormatting sqref="B76:C76">
    <cfRule type="cellIs" dxfId="7218" priority="9091" stopIfTrue="1" operator="equal">
      <formula>"Towel"</formula>
    </cfRule>
  </conditionalFormatting>
  <conditionalFormatting sqref="C76">
    <cfRule type="cellIs" dxfId="7217" priority="9090" stopIfTrue="1" operator="equal">
      <formula>"Napkin Hs"</formula>
    </cfRule>
  </conditionalFormatting>
  <conditionalFormatting sqref="C76">
    <cfRule type="cellIs" dxfId="7216" priority="9089" stopIfTrue="1" operator="equal">
      <formula>"Towel"</formula>
    </cfRule>
  </conditionalFormatting>
  <conditionalFormatting sqref="B76:C76">
    <cfRule type="cellIs" dxfId="7215" priority="9133" stopIfTrue="1" operator="equal">
      <formula>"Towel"</formula>
    </cfRule>
    <cfRule type="cellIs" dxfId="7214" priority="9134" stopIfTrue="1" operator="equal">
      <formula>"Napkin Hs"</formula>
    </cfRule>
  </conditionalFormatting>
  <conditionalFormatting sqref="C76">
    <cfRule type="cellIs" dxfId="7213" priority="9129" stopIfTrue="1" operator="equal">
      <formula>"Towel"</formula>
    </cfRule>
    <cfRule type="cellIs" dxfId="7212" priority="9130" stopIfTrue="1" operator="equal">
      <formula>"Napkin Hs"</formula>
    </cfRule>
  </conditionalFormatting>
  <conditionalFormatting sqref="C76">
    <cfRule type="cellIs" dxfId="7211" priority="9131" stopIfTrue="1" operator="equal">
      <formula>"Towel"</formula>
    </cfRule>
    <cfRule type="cellIs" dxfId="7210" priority="9132" stopIfTrue="1" operator="equal">
      <formula>"Napkin Hs"</formula>
    </cfRule>
  </conditionalFormatting>
  <conditionalFormatting sqref="B77:C77">
    <cfRule type="cellIs" dxfId="7209" priority="9085" stopIfTrue="1" operator="equal">
      <formula>"Towel"</formula>
    </cfRule>
    <cfRule type="cellIs" dxfId="7208" priority="9086" stopIfTrue="1" operator="equal">
      <formula>"Napkin Hs"</formula>
    </cfRule>
  </conditionalFormatting>
  <conditionalFormatting sqref="C77">
    <cfRule type="cellIs" dxfId="7207" priority="9081" stopIfTrue="1" operator="equal">
      <formula>"Towel"</formula>
    </cfRule>
    <cfRule type="cellIs" dxfId="7206" priority="9082" stopIfTrue="1" operator="equal">
      <formula>"Napkin Hs"</formula>
    </cfRule>
  </conditionalFormatting>
  <conditionalFormatting sqref="C77">
    <cfRule type="cellIs" dxfId="7205" priority="9083" stopIfTrue="1" operator="equal">
      <formula>"Towel"</formula>
    </cfRule>
    <cfRule type="cellIs" dxfId="7204" priority="9084" stopIfTrue="1" operator="equal">
      <formula>"Napkin Hs"</formula>
    </cfRule>
  </conditionalFormatting>
  <conditionalFormatting sqref="B77:C77">
    <cfRule type="cellIs" dxfId="7203" priority="9080" stopIfTrue="1" operator="equal">
      <formula>"Napkin Hs"</formula>
    </cfRule>
  </conditionalFormatting>
  <conditionalFormatting sqref="B77:C77">
    <cfRule type="cellIs" dxfId="7202" priority="9079" stopIfTrue="1" operator="equal">
      <formula>"Towel"</formula>
    </cfRule>
  </conditionalFormatting>
  <conditionalFormatting sqref="C77">
    <cfRule type="cellIs" dxfId="7201" priority="9078" stopIfTrue="1" operator="equal">
      <formula>"Napkin Hs"</formula>
    </cfRule>
  </conditionalFormatting>
  <conditionalFormatting sqref="C77">
    <cfRule type="cellIs" dxfId="7200" priority="9077" stopIfTrue="1" operator="equal">
      <formula>"Towel"</formula>
    </cfRule>
  </conditionalFormatting>
  <conditionalFormatting sqref="C77">
    <cfRule type="cellIs" dxfId="7199" priority="9075" stopIfTrue="1" operator="equal">
      <formula>"Towel"</formula>
    </cfRule>
    <cfRule type="cellIs" dxfId="7198" priority="9076" stopIfTrue="1" operator="equal">
      <formula>"Napkin Hs"</formula>
    </cfRule>
  </conditionalFormatting>
  <conditionalFormatting sqref="B77:C77">
    <cfRule type="cellIs" dxfId="7197" priority="9073" stopIfTrue="1" operator="equal">
      <formula>"Towel"</formula>
    </cfRule>
    <cfRule type="cellIs" dxfId="7196" priority="9074" stopIfTrue="1" operator="equal">
      <formula>"Napkin Hs"</formula>
    </cfRule>
  </conditionalFormatting>
  <conditionalFormatting sqref="C77">
    <cfRule type="cellIs" dxfId="7195" priority="9071" stopIfTrue="1" operator="equal">
      <formula>"Towel"</formula>
    </cfRule>
    <cfRule type="cellIs" dxfId="7194" priority="9072" stopIfTrue="1" operator="equal">
      <formula>"Napkin Hs"</formula>
    </cfRule>
  </conditionalFormatting>
  <conditionalFormatting sqref="C77">
    <cfRule type="cellIs" dxfId="7193" priority="9069" stopIfTrue="1" operator="equal">
      <formula>"Towel"</formula>
    </cfRule>
    <cfRule type="cellIs" dxfId="7192" priority="9070" stopIfTrue="1" operator="equal">
      <formula>"Napkin Hs"</formula>
    </cfRule>
  </conditionalFormatting>
  <conditionalFormatting sqref="B77:C77">
    <cfRule type="cellIs" dxfId="7191" priority="9067" stopIfTrue="1" operator="equal">
      <formula>"Towel"</formula>
    </cfRule>
    <cfRule type="cellIs" dxfId="7190" priority="9068" stopIfTrue="1" operator="equal">
      <formula>"Napkin Hs"</formula>
    </cfRule>
  </conditionalFormatting>
  <conditionalFormatting sqref="C77">
    <cfRule type="cellIs" dxfId="7189" priority="9065" stopIfTrue="1" operator="equal">
      <formula>"Towel"</formula>
    </cfRule>
    <cfRule type="cellIs" dxfId="7188" priority="9066" stopIfTrue="1" operator="equal">
      <formula>"Napkin Hs"</formula>
    </cfRule>
  </conditionalFormatting>
  <conditionalFormatting sqref="C77">
    <cfRule type="cellIs" dxfId="7187" priority="9063" stopIfTrue="1" operator="equal">
      <formula>"Towel"</formula>
    </cfRule>
    <cfRule type="cellIs" dxfId="7186" priority="9064" stopIfTrue="1" operator="equal">
      <formula>"Napkin Hs"</formula>
    </cfRule>
  </conditionalFormatting>
  <conditionalFormatting sqref="B77:C77">
    <cfRule type="cellIs" dxfId="7185" priority="9061" stopIfTrue="1" operator="equal">
      <formula>"Towel"</formula>
    </cfRule>
    <cfRule type="cellIs" dxfId="7184" priority="9062" stopIfTrue="1" operator="equal">
      <formula>"Napkin Hs"</formula>
    </cfRule>
  </conditionalFormatting>
  <conditionalFormatting sqref="C77">
    <cfRule type="cellIs" dxfId="7183" priority="9059" stopIfTrue="1" operator="equal">
      <formula>"Towel"</formula>
    </cfRule>
    <cfRule type="cellIs" dxfId="7182" priority="9060" stopIfTrue="1" operator="equal">
      <formula>"Napkin Hs"</formula>
    </cfRule>
  </conditionalFormatting>
  <conditionalFormatting sqref="C77">
    <cfRule type="cellIs" dxfId="7181" priority="9057" stopIfTrue="1" operator="equal">
      <formula>"Towel"</formula>
    </cfRule>
    <cfRule type="cellIs" dxfId="7180" priority="9058" stopIfTrue="1" operator="equal">
      <formula>"Napkin Hs"</formula>
    </cfRule>
  </conditionalFormatting>
  <conditionalFormatting sqref="B77:C77">
    <cfRule type="cellIs" dxfId="7179" priority="9055" stopIfTrue="1" operator="equal">
      <formula>"Towel"</formula>
    </cfRule>
    <cfRule type="cellIs" dxfId="7178" priority="9056" stopIfTrue="1" operator="equal">
      <formula>"Napkin Hs"</formula>
    </cfRule>
  </conditionalFormatting>
  <conditionalFormatting sqref="C77">
    <cfRule type="cellIs" dxfId="7177" priority="9053" stopIfTrue="1" operator="equal">
      <formula>"Towel"</formula>
    </cfRule>
    <cfRule type="cellIs" dxfId="7176" priority="9054" stopIfTrue="1" operator="equal">
      <formula>"Napkin Hs"</formula>
    </cfRule>
  </conditionalFormatting>
  <conditionalFormatting sqref="C77">
    <cfRule type="cellIs" dxfId="7175" priority="9051" stopIfTrue="1" operator="equal">
      <formula>"Towel"</formula>
    </cfRule>
    <cfRule type="cellIs" dxfId="7174" priority="9052" stopIfTrue="1" operator="equal">
      <formula>"Napkin Hs"</formula>
    </cfRule>
  </conditionalFormatting>
  <conditionalFormatting sqref="B77:C77">
    <cfRule type="cellIs" dxfId="7173" priority="9049" stopIfTrue="1" operator="equal">
      <formula>"Towel"</formula>
    </cfRule>
    <cfRule type="cellIs" dxfId="7172" priority="9050" stopIfTrue="1" operator="equal">
      <formula>"Napkin Hs"</formula>
    </cfRule>
  </conditionalFormatting>
  <conditionalFormatting sqref="C77">
    <cfRule type="cellIs" dxfId="7171" priority="9047" stopIfTrue="1" operator="equal">
      <formula>"Towel"</formula>
    </cfRule>
    <cfRule type="cellIs" dxfId="7170" priority="9048" stopIfTrue="1" operator="equal">
      <formula>"Napkin Hs"</formula>
    </cfRule>
  </conditionalFormatting>
  <conditionalFormatting sqref="C77">
    <cfRule type="cellIs" dxfId="7169" priority="9045" stopIfTrue="1" operator="equal">
      <formula>"Towel"</formula>
    </cfRule>
    <cfRule type="cellIs" dxfId="7168" priority="9046" stopIfTrue="1" operator="equal">
      <formula>"Napkin Hs"</formula>
    </cfRule>
  </conditionalFormatting>
  <conditionalFormatting sqref="B77:C77">
    <cfRule type="cellIs" dxfId="7167" priority="9044" stopIfTrue="1" operator="equal">
      <formula>"Napkin Hs"</formula>
    </cfRule>
  </conditionalFormatting>
  <conditionalFormatting sqref="B77:C77">
    <cfRule type="cellIs" dxfId="7166" priority="9043" stopIfTrue="1" operator="equal">
      <formula>"Towel"</formula>
    </cfRule>
  </conditionalFormatting>
  <conditionalFormatting sqref="C77">
    <cfRule type="cellIs" dxfId="7165" priority="9042" stopIfTrue="1" operator="equal">
      <formula>"Napkin Hs"</formula>
    </cfRule>
  </conditionalFormatting>
  <conditionalFormatting sqref="C77">
    <cfRule type="cellIs" dxfId="7164" priority="9039" stopIfTrue="1" operator="equal">
      <formula>"Towel"</formula>
    </cfRule>
    <cfRule type="cellIs" dxfId="7163" priority="9040" stopIfTrue="1" operator="equal">
      <formula>"Napkin Hs"</formula>
    </cfRule>
  </conditionalFormatting>
  <conditionalFormatting sqref="C77">
    <cfRule type="cellIs" dxfId="7162" priority="9041" stopIfTrue="1" operator="equal">
      <formula>"Towel"</formula>
    </cfRule>
  </conditionalFormatting>
  <conditionalFormatting sqref="B75:C75">
    <cfRule type="cellIs" dxfId="7161" priority="8987" stopIfTrue="1" operator="equal">
      <formula>"Towel"</formula>
    </cfRule>
    <cfRule type="cellIs" dxfId="7160" priority="8988" stopIfTrue="1" operator="equal">
      <formula>"Napkin Hs"</formula>
    </cfRule>
  </conditionalFormatting>
  <conditionalFormatting sqref="C75">
    <cfRule type="cellIs" dxfId="7159" priority="8989" stopIfTrue="1" operator="equal">
      <formula>"Towel"</formula>
    </cfRule>
    <cfRule type="cellIs" dxfId="7158" priority="8990" stopIfTrue="1" operator="equal">
      <formula>"Napkin Hs"</formula>
    </cfRule>
  </conditionalFormatting>
  <conditionalFormatting sqref="C75">
    <cfRule type="cellIs" dxfId="7157" priority="8985" stopIfTrue="1" operator="equal">
      <formula>"Towel"</formula>
    </cfRule>
    <cfRule type="cellIs" dxfId="7156" priority="8986" stopIfTrue="1" operator="equal">
      <formula>"Napkin Hs"</formula>
    </cfRule>
  </conditionalFormatting>
  <conditionalFormatting sqref="B74:C74">
    <cfRule type="cellIs" dxfId="7155" priority="8983" stopIfTrue="1" operator="equal">
      <formula>"Towel"</formula>
    </cfRule>
    <cfRule type="cellIs" dxfId="7154" priority="8984" stopIfTrue="1" operator="equal">
      <formula>"Napkin Hs"</formula>
    </cfRule>
  </conditionalFormatting>
  <conditionalFormatting sqref="C74">
    <cfRule type="cellIs" dxfId="7153" priority="8979" stopIfTrue="1" operator="equal">
      <formula>"Towel"</formula>
    </cfRule>
    <cfRule type="cellIs" dxfId="7152" priority="8980" stopIfTrue="1" operator="equal">
      <formula>"Napkin Hs"</formula>
    </cfRule>
  </conditionalFormatting>
  <conditionalFormatting sqref="C74">
    <cfRule type="cellIs" dxfId="7151" priority="8981" stopIfTrue="1" operator="equal">
      <formula>"Towel"</formula>
    </cfRule>
    <cfRule type="cellIs" dxfId="7150" priority="8982" stopIfTrue="1" operator="equal">
      <formula>"Napkin Hs"</formula>
    </cfRule>
  </conditionalFormatting>
  <conditionalFormatting sqref="B74:C74">
    <cfRule type="cellIs" dxfId="7149" priority="8977" stopIfTrue="1" operator="equal">
      <formula>"Towel"</formula>
    </cfRule>
    <cfRule type="cellIs" dxfId="7148" priority="8978" stopIfTrue="1" operator="equal">
      <formula>"Napkin Hs"</formula>
    </cfRule>
  </conditionalFormatting>
  <conditionalFormatting sqref="C74">
    <cfRule type="cellIs" dxfId="7147" priority="8973" stopIfTrue="1" operator="equal">
      <formula>"Towel"</formula>
    </cfRule>
    <cfRule type="cellIs" dxfId="7146" priority="8974" stopIfTrue="1" operator="equal">
      <formula>"Napkin Hs"</formula>
    </cfRule>
  </conditionalFormatting>
  <conditionalFormatting sqref="C74">
    <cfRule type="cellIs" dxfId="7145" priority="8975" stopIfTrue="1" operator="equal">
      <formula>"Towel"</formula>
    </cfRule>
    <cfRule type="cellIs" dxfId="7144" priority="8976" stopIfTrue="1" operator="equal">
      <formula>"Napkin Hs"</formula>
    </cfRule>
  </conditionalFormatting>
  <conditionalFormatting sqref="B74:C74">
    <cfRule type="cellIs" dxfId="7143" priority="8971" stopIfTrue="1" operator="equal">
      <formula>"Towel"</formula>
    </cfRule>
    <cfRule type="cellIs" dxfId="7142" priority="8972" stopIfTrue="1" operator="equal">
      <formula>"Napkin Hs"</formula>
    </cfRule>
  </conditionalFormatting>
  <conditionalFormatting sqref="C74">
    <cfRule type="cellIs" dxfId="7141" priority="8969" stopIfTrue="1" operator="equal">
      <formula>"Towel"</formula>
    </cfRule>
    <cfRule type="cellIs" dxfId="7140" priority="8970" stopIfTrue="1" operator="equal">
      <formula>"Napkin Hs"</formula>
    </cfRule>
  </conditionalFormatting>
  <conditionalFormatting sqref="C74">
    <cfRule type="cellIs" dxfId="7139" priority="8967" stopIfTrue="1" operator="equal">
      <formula>"Towel"</formula>
    </cfRule>
    <cfRule type="cellIs" dxfId="7138" priority="8968" stopIfTrue="1" operator="equal">
      <formula>"Napkin Hs"</formula>
    </cfRule>
  </conditionalFormatting>
  <conditionalFormatting sqref="B74:C74">
    <cfRule type="cellIs" dxfId="7137" priority="8965" stopIfTrue="1" operator="equal">
      <formula>"Towel"</formula>
    </cfRule>
    <cfRule type="cellIs" dxfId="7136" priority="8966" stopIfTrue="1" operator="equal">
      <formula>"Napkin Hs"</formula>
    </cfRule>
  </conditionalFormatting>
  <conditionalFormatting sqref="C74">
    <cfRule type="cellIs" dxfId="7135" priority="8963" stopIfTrue="1" operator="equal">
      <formula>"Towel"</formula>
    </cfRule>
    <cfRule type="cellIs" dxfId="7134" priority="8964" stopIfTrue="1" operator="equal">
      <formula>"Napkin Hs"</formula>
    </cfRule>
  </conditionalFormatting>
  <conditionalFormatting sqref="C74">
    <cfRule type="cellIs" dxfId="7133" priority="8961" stopIfTrue="1" operator="equal">
      <formula>"Towel"</formula>
    </cfRule>
    <cfRule type="cellIs" dxfId="7132" priority="8962" stopIfTrue="1" operator="equal">
      <formula>"Napkin Hs"</formula>
    </cfRule>
  </conditionalFormatting>
  <conditionalFormatting sqref="B74:C74">
    <cfRule type="cellIs" dxfId="7131" priority="8959" stopIfTrue="1" operator="equal">
      <formula>"Towel"</formula>
    </cfRule>
    <cfRule type="cellIs" dxfId="7130" priority="8960" stopIfTrue="1" operator="equal">
      <formula>"Napkin Hs"</formula>
    </cfRule>
  </conditionalFormatting>
  <conditionalFormatting sqref="C74">
    <cfRule type="cellIs" dxfId="7129" priority="8957" stopIfTrue="1" operator="equal">
      <formula>"Towel"</formula>
    </cfRule>
    <cfRule type="cellIs" dxfId="7128" priority="8958" stopIfTrue="1" operator="equal">
      <formula>"Napkin Hs"</formula>
    </cfRule>
  </conditionalFormatting>
  <conditionalFormatting sqref="C74">
    <cfRule type="cellIs" dxfId="7127" priority="8955" stopIfTrue="1" operator="equal">
      <formula>"Towel"</formula>
    </cfRule>
    <cfRule type="cellIs" dxfId="7126" priority="8956" stopIfTrue="1" operator="equal">
      <formula>"Napkin Hs"</formula>
    </cfRule>
  </conditionalFormatting>
  <conditionalFormatting sqref="B74:C74">
    <cfRule type="cellIs" dxfId="7125" priority="8954" stopIfTrue="1" operator="equal">
      <formula>"Napkin Hs"</formula>
    </cfRule>
  </conditionalFormatting>
  <conditionalFormatting sqref="B74:C74">
    <cfRule type="cellIs" dxfId="7124" priority="8953" stopIfTrue="1" operator="equal">
      <formula>"Towel"</formula>
    </cfRule>
  </conditionalFormatting>
  <conditionalFormatting sqref="C74">
    <cfRule type="cellIs" dxfId="7123" priority="8952" stopIfTrue="1" operator="equal">
      <formula>"Napkin Hs"</formula>
    </cfRule>
  </conditionalFormatting>
  <conditionalFormatting sqref="C74">
    <cfRule type="cellIs" dxfId="7122" priority="8949" stopIfTrue="1" operator="equal">
      <formula>"Towel"</formula>
    </cfRule>
    <cfRule type="cellIs" dxfId="7121" priority="8950" stopIfTrue="1" operator="equal">
      <formula>"Napkin Hs"</formula>
    </cfRule>
  </conditionalFormatting>
  <conditionalFormatting sqref="C74">
    <cfRule type="cellIs" dxfId="7120" priority="8951" stopIfTrue="1" operator="equal">
      <formula>"Towel"</formula>
    </cfRule>
  </conditionalFormatting>
  <conditionalFormatting sqref="C77">
    <cfRule type="cellIs" dxfId="7119" priority="8913" stopIfTrue="1" operator="equal">
      <formula>"Towel"</formula>
    </cfRule>
    <cfRule type="cellIs" dxfId="7118" priority="8914" stopIfTrue="1" operator="equal">
      <formula>"Napkin Hs"</formula>
    </cfRule>
  </conditionalFormatting>
  <conditionalFormatting sqref="B77:C77">
    <cfRule type="cellIs" dxfId="7117" priority="8911" stopIfTrue="1" operator="equal">
      <formula>"Towel"</formula>
    </cfRule>
    <cfRule type="cellIs" dxfId="7116" priority="8912" stopIfTrue="1" operator="equal">
      <formula>"Napkin Hs"</formula>
    </cfRule>
  </conditionalFormatting>
  <conditionalFormatting sqref="C77">
    <cfRule type="cellIs" dxfId="7115" priority="8909" stopIfTrue="1" operator="equal">
      <formula>"Towel"</formula>
    </cfRule>
    <cfRule type="cellIs" dxfId="7114" priority="8910" stopIfTrue="1" operator="equal">
      <formula>"Napkin Hs"</formula>
    </cfRule>
  </conditionalFormatting>
  <conditionalFormatting sqref="C77">
    <cfRule type="cellIs" dxfId="7113" priority="8901" stopIfTrue="1" operator="equal">
      <formula>"Towel"</formula>
    </cfRule>
    <cfRule type="cellIs" dxfId="7112" priority="8902" stopIfTrue="1" operator="equal">
      <formula>"Napkin Hs"</formula>
    </cfRule>
  </conditionalFormatting>
  <conditionalFormatting sqref="B77:C77">
    <cfRule type="cellIs" dxfId="7111" priority="8947" stopIfTrue="1" operator="equal">
      <formula>"Towel"</formula>
    </cfRule>
    <cfRule type="cellIs" dxfId="7110" priority="8948" stopIfTrue="1" operator="equal">
      <formula>"Napkin Hs"</formula>
    </cfRule>
  </conditionalFormatting>
  <conditionalFormatting sqref="C77">
    <cfRule type="cellIs" dxfId="7109" priority="8943" stopIfTrue="1" operator="equal">
      <formula>"Towel"</formula>
    </cfRule>
    <cfRule type="cellIs" dxfId="7108" priority="8944" stopIfTrue="1" operator="equal">
      <formula>"Napkin Hs"</formula>
    </cfRule>
  </conditionalFormatting>
  <conditionalFormatting sqref="C77">
    <cfRule type="cellIs" dxfId="7107" priority="8945" stopIfTrue="1" operator="equal">
      <formula>"Towel"</formula>
    </cfRule>
    <cfRule type="cellIs" dxfId="7106" priority="8946" stopIfTrue="1" operator="equal">
      <formula>"Napkin Hs"</formula>
    </cfRule>
  </conditionalFormatting>
  <conditionalFormatting sqref="B77:C77">
    <cfRule type="cellIs" dxfId="7105" priority="8942" stopIfTrue="1" operator="equal">
      <formula>"Napkin Hs"</formula>
    </cfRule>
  </conditionalFormatting>
  <conditionalFormatting sqref="B77:C77">
    <cfRule type="cellIs" dxfId="7104" priority="8941" stopIfTrue="1" operator="equal">
      <formula>"Towel"</formula>
    </cfRule>
  </conditionalFormatting>
  <conditionalFormatting sqref="C77">
    <cfRule type="cellIs" dxfId="7103" priority="8940" stopIfTrue="1" operator="equal">
      <formula>"Napkin Hs"</formula>
    </cfRule>
  </conditionalFormatting>
  <conditionalFormatting sqref="C77">
    <cfRule type="cellIs" dxfId="7102" priority="8939" stopIfTrue="1" operator="equal">
      <formula>"Towel"</formula>
    </cfRule>
  </conditionalFormatting>
  <conditionalFormatting sqref="C77">
    <cfRule type="cellIs" dxfId="7101" priority="8937" stopIfTrue="1" operator="equal">
      <formula>"Towel"</formula>
    </cfRule>
    <cfRule type="cellIs" dxfId="7100" priority="8938" stopIfTrue="1" operator="equal">
      <formula>"Napkin Hs"</formula>
    </cfRule>
  </conditionalFormatting>
  <conditionalFormatting sqref="B77:C77">
    <cfRule type="cellIs" dxfId="7099" priority="8935" stopIfTrue="1" operator="equal">
      <formula>"Towel"</formula>
    </cfRule>
    <cfRule type="cellIs" dxfId="7098" priority="8936" stopIfTrue="1" operator="equal">
      <formula>"Napkin Hs"</formula>
    </cfRule>
  </conditionalFormatting>
  <conditionalFormatting sqref="C77">
    <cfRule type="cellIs" dxfId="7097" priority="8933" stopIfTrue="1" operator="equal">
      <formula>"Towel"</formula>
    </cfRule>
    <cfRule type="cellIs" dxfId="7096" priority="8934" stopIfTrue="1" operator="equal">
      <formula>"Napkin Hs"</formula>
    </cfRule>
  </conditionalFormatting>
  <conditionalFormatting sqref="C77">
    <cfRule type="cellIs" dxfId="7095" priority="8931" stopIfTrue="1" operator="equal">
      <formula>"Towel"</formula>
    </cfRule>
    <cfRule type="cellIs" dxfId="7094" priority="8932" stopIfTrue="1" operator="equal">
      <formula>"Napkin Hs"</formula>
    </cfRule>
  </conditionalFormatting>
  <conditionalFormatting sqref="B77:C77">
    <cfRule type="cellIs" dxfId="7093" priority="8929" stopIfTrue="1" operator="equal">
      <formula>"Towel"</formula>
    </cfRule>
    <cfRule type="cellIs" dxfId="7092" priority="8930" stopIfTrue="1" operator="equal">
      <formula>"Napkin Hs"</formula>
    </cfRule>
  </conditionalFormatting>
  <conditionalFormatting sqref="C77">
    <cfRule type="cellIs" dxfId="7091" priority="8927" stopIfTrue="1" operator="equal">
      <formula>"Towel"</formula>
    </cfRule>
    <cfRule type="cellIs" dxfId="7090" priority="8928" stopIfTrue="1" operator="equal">
      <formula>"Napkin Hs"</formula>
    </cfRule>
  </conditionalFormatting>
  <conditionalFormatting sqref="C77">
    <cfRule type="cellIs" dxfId="7089" priority="8925" stopIfTrue="1" operator="equal">
      <formula>"Towel"</formula>
    </cfRule>
    <cfRule type="cellIs" dxfId="7088" priority="8926" stopIfTrue="1" operator="equal">
      <formula>"Napkin Hs"</formula>
    </cfRule>
  </conditionalFormatting>
  <conditionalFormatting sqref="B77:C77">
    <cfRule type="cellIs" dxfId="7087" priority="8923" stopIfTrue="1" operator="equal">
      <formula>"Towel"</formula>
    </cfRule>
    <cfRule type="cellIs" dxfId="7086" priority="8924" stopIfTrue="1" operator="equal">
      <formula>"Napkin Hs"</formula>
    </cfRule>
  </conditionalFormatting>
  <conditionalFormatting sqref="C77">
    <cfRule type="cellIs" dxfId="7085" priority="8921" stopIfTrue="1" operator="equal">
      <formula>"Towel"</formula>
    </cfRule>
    <cfRule type="cellIs" dxfId="7084" priority="8922" stopIfTrue="1" operator="equal">
      <formula>"Napkin Hs"</formula>
    </cfRule>
  </conditionalFormatting>
  <conditionalFormatting sqref="C77">
    <cfRule type="cellIs" dxfId="7083" priority="8919" stopIfTrue="1" operator="equal">
      <formula>"Towel"</formula>
    </cfRule>
    <cfRule type="cellIs" dxfId="7082" priority="8920" stopIfTrue="1" operator="equal">
      <formula>"Napkin Hs"</formula>
    </cfRule>
  </conditionalFormatting>
  <conditionalFormatting sqref="B77:C77">
    <cfRule type="cellIs" dxfId="7081" priority="8917" stopIfTrue="1" operator="equal">
      <formula>"Towel"</formula>
    </cfRule>
    <cfRule type="cellIs" dxfId="7080" priority="8918" stopIfTrue="1" operator="equal">
      <formula>"Napkin Hs"</formula>
    </cfRule>
  </conditionalFormatting>
  <conditionalFormatting sqref="C77">
    <cfRule type="cellIs" dxfId="7079" priority="8915" stopIfTrue="1" operator="equal">
      <formula>"Towel"</formula>
    </cfRule>
    <cfRule type="cellIs" dxfId="7078" priority="8916" stopIfTrue="1" operator="equal">
      <formula>"Napkin Hs"</formula>
    </cfRule>
  </conditionalFormatting>
  <conditionalFormatting sqref="C77">
    <cfRule type="cellIs" dxfId="7077" priority="8907" stopIfTrue="1" operator="equal">
      <formula>"Towel"</formula>
    </cfRule>
    <cfRule type="cellIs" dxfId="7076" priority="8908" stopIfTrue="1" operator="equal">
      <formula>"Napkin Hs"</formula>
    </cfRule>
  </conditionalFormatting>
  <conditionalFormatting sqref="B77:C77">
    <cfRule type="cellIs" dxfId="7075" priority="8906" stopIfTrue="1" operator="equal">
      <formula>"Napkin Hs"</formula>
    </cfRule>
  </conditionalFormatting>
  <conditionalFormatting sqref="B77:C77">
    <cfRule type="cellIs" dxfId="7074" priority="8905" stopIfTrue="1" operator="equal">
      <formula>"Towel"</formula>
    </cfRule>
  </conditionalFormatting>
  <conditionalFormatting sqref="C77">
    <cfRule type="cellIs" dxfId="7073" priority="8904" stopIfTrue="1" operator="equal">
      <formula>"Napkin Hs"</formula>
    </cfRule>
  </conditionalFormatting>
  <conditionalFormatting sqref="C77">
    <cfRule type="cellIs" dxfId="7072" priority="8903" stopIfTrue="1" operator="equal">
      <formula>"Towel"</formula>
    </cfRule>
  </conditionalFormatting>
  <conditionalFormatting sqref="B76:C76">
    <cfRule type="cellIs" dxfId="7071" priority="8899" stopIfTrue="1" operator="equal">
      <formula>"Towel"</formula>
    </cfRule>
    <cfRule type="cellIs" dxfId="7070" priority="8900" stopIfTrue="1" operator="equal">
      <formula>"Napkin Hs"</formula>
    </cfRule>
  </conditionalFormatting>
  <conditionalFormatting sqref="C76">
    <cfRule type="cellIs" dxfId="7069" priority="8895" stopIfTrue="1" operator="equal">
      <formula>"Towel"</formula>
    </cfRule>
    <cfRule type="cellIs" dxfId="7068" priority="8896" stopIfTrue="1" operator="equal">
      <formula>"Napkin Hs"</formula>
    </cfRule>
  </conditionalFormatting>
  <conditionalFormatting sqref="C76">
    <cfRule type="cellIs" dxfId="7067" priority="8897" stopIfTrue="1" operator="equal">
      <formula>"Towel"</formula>
    </cfRule>
    <cfRule type="cellIs" dxfId="7066" priority="8898" stopIfTrue="1" operator="equal">
      <formula>"Napkin Hs"</formula>
    </cfRule>
  </conditionalFormatting>
  <conditionalFormatting sqref="B76:C76">
    <cfRule type="cellIs" dxfId="7065" priority="8894" stopIfTrue="1" operator="equal">
      <formula>"Napkin Hs"</formula>
    </cfRule>
  </conditionalFormatting>
  <conditionalFormatting sqref="B76:C76">
    <cfRule type="cellIs" dxfId="7064" priority="8893" stopIfTrue="1" operator="equal">
      <formula>"Towel"</formula>
    </cfRule>
  </conditionalFormatting>
  <conditionalFormatting sqref="C76">
    <cfRule type="cellIs" dxfId="7063" priority="8892" stopIfTrue="1" operator="equal">
      <formula>"Napkin Hs"</formula>
    </cfRule>
  </conditionalFormatting>
  <conditionalFormatting sqref="C76">
    <cfRule type="cellIs" dxfId="7062" priority="8891" stopIfTrue="1" operator="equal">
      <formula>"Towel"</formula>
    </cfRule>
  </conditionalFormatting>
  <conditionalFormatting sqref="C76">
    <cfRule type="cellIs" dxfId="7061" priority="8889" stopIfTrue="1" operator="equal">
      <formula>"Towel"</formula>
    </cfRule>
    <cfRule type="cellIs" dxfId="7060" priority="8890" stopIfTrue="1" operator="equal">
      <formula>"Napkin Hs"</formula>
    </cfRule>
  </conditionalFormatting>
  <conditionalFormatting sqref="B76:C76">
    <cfRule type="cellIs" dxfId="7059" priority="8887" stopIfTrue="1" operator="equal">
      <formula>"Towel"</formula>
    </cfRule>
    <cfRule type="cellIs" dxfId="7058" priority="8888" stopIfTrue="1" operator="equal">
      <formula>"Napkin Hs"</formula>
    </cfRule>
  </conditionalFormatting>
  <conditionalFormatting sqref="C76">
    <cfRule type="cellIs" dxfId="7057" priority="8885" stopIfTrue="1" operator="equal">
      <formula>"Towel"</formula>
    </cfRule>
    <cfRule type="cellIs" dxfId="7056" priority="8886" stopIfTrue="1" operator="equal">
      <formula>"Napkin Hs"</formula>
    </cfRule>
  </conditionalFormatting>
  <conditionalFormatting sqref="C76">
    <cfRule type="cellIs" dxfId="7055" priority="8883" stopIfTrue="1" operator="equal">
      <formula>"Towel"</formula>
    </cfRule>
    <cfRule type="cellIs" dxfId="7054" priority="8884" stopIfTrue="1" operator="equal">
      <formula>"Napkin Hs"</formula>
    </cfRule>
  </conditionalFormatting>
  <conditionalFormatting sqref="B76:C76">
    <cfRule type="cellIs" dxfId="7053" priority="8881" stopIfTrue="1" operator="equal">
      <formula>"Towel"</formula>
    </cfRule>
    <cfRule type="cellIs" dxfId="7052" priority="8882" stopIfTrue="1" operator="equal">
      <formula>"Napkin Hs"</formula>
    </cfRule>
  </conditionalFormatting>
  <conditionalFormatting sqref="C76">
    <cfRule type="cellIs" dxfId="7051" priority="8879" stopIfTrue="1" operator="equal">
      <formula>"Towel"</formula>
    </cfRule>
    <cfRule type="cellIs" dxfId="7050" priority="8880" stopIfTrue="1" operator="equal">
      <formula>"Napkin Hs"</formula>
    </cfRule>
  </conditionalFormatting>
  <conditionalFormatting sqref="C76">
    <cfRule type="cellIs" dxfId="7049" priority="8877" stopIfTrue="1" operator="equal">
      <formula>"Towel"</formula>
    </cfRule>
    <cfRule type="cellIs" dxfId="7048" priority="8878" stopIfTrue="1" operator="equal">
      <formula>"Napkin Hs"</formula>
    </cfRule>
  </conditionalFormatting>
  <conditionalFormatting sqref="B76:C76">
    <cfRule type="cellIs" dxfId="7047" priority="8875" stopIfTrue="1" operator="equal">
      <formula>"Towel"</formula>
    </cfRule>
    <cfRule type="cellIs" dxfId="7046" priority="8876" stopIfTrue="1" operator="equal">
      <formula>"Napkin Hs"</formula>
    </cfRule>
  </conditionalFormatting>
  <conditionalFormatting sqref="C76">
    <cfRule type="cellIs" dxfId="7045" priority="8873" stopIfTrue="1" operator="equal">
      <formula>"Towel"</formula>
    </cfRule>
    <cfRule type="cellIs" dxfId="7044" priority="8874" stopIfTrue="1" operator="equal">
      <formula>"Napkin Hs"</formula>
    </cfRule>
  </conditionalFormatting>
  <conditionalFormatting sqref="C76">
    <cfRule type="cellIs" dxfId="7043" priority="8871" stopIfTrue="1" operator="equal">
      <formula>"Towel"</formula>
    </cfRule>
    <cfRule type="cellIs" dxfId="7042" priority="8872" stopIfTrue="1" operator="equal">
      <formula>"Napkin Hs"</formula>
    </cfRule>
  </conditionalFormatting>
  <conditionalFormatting sqref="B76:C76">
    <cfRule type="cellIs" dxfId="7041" priority="8869" stopIfTrue="1" operator="equal">
      <formula>"Towel"</formula>
    </cfRule>
    <cfRule type="cellIs" dxfId="7040" priority="8870" stopIfTrue="1" operator="equal">
      <formula>"Napkin Hs"</formula>
    </cfRule>
  </conditionalFormatting>
  <conditionalFormatting sqref="C76">
    <cfRule type="cellIs" dxfId="7039" priority="8867" stopIfTrue="1" operator="equal">
      <formula>"Towel"</formula>
    </cfRule>
    <cfRule type="cellIs" dxfId="7038" priority="8868" stopIfTrue="1" operator="equal">
      <formula>"Napkin Hs"</formula>
    </cfRule>
  </conditionalFormatting>
  <conditionalFormatting sqref="C76">
    <cfRule type="cellIs" dxfId="7037" priority="8865" stopIfTrue="1" operator="equal">
      <formula>"Towel"</formula>
    </cfRule>
    <cfRule type="cellIs" dxfId="7036" priority="8866" stopIfTrue="1" operator="equal">
      <formula>"Napkin Hs"</formula>
    </cfRule>
  </conditionalFormatting>
  <conditionalFormatting sqref="B76:C76">
    <cfRule type="cellIs" dxfId="7035" priority="8863" stopIfTrue="1" operator="equal">
      <formula>"Towel"</formula>
    </cfRule>
    <cfRule type="cellIs" dxfId="7034" priority="8864" stopIfTrue="1" operator="equal">
      <formula>"Napkin Hs"</formula>
    </cfRule>
  </conditionalFormatting>
  <conditionalFormatting sqref="C76">
    <cfRule type="cellIs" dxfId="7033" priority="8861" stopIfTrue="1" operator="equal">
      <formula>"Towel"</formula>
    </cfRule>
    <cfRule type="cellIs" dxfId="7032" priority="8862" stopIfTrue="1" operator="equal">
      <formula>"Napkin Hs"</formula>
    </cfRule>
  </conditionalFormatting>
  <conditionalFormatting sqref="C76">
    <cfRule type="cellIs" dxfId="7031" priority="8859" stopIfTrue="1" operator="equal">
      <formula>"Towel"</formula>
    </cfRule>
    <cfRule type="cellIs" dxfId="7030" priority="8860" stopIfTrue="1" operator="equal">
      <formula>"Napkin Hs"</formula>
    </cfRule>
  </conditionalFormatting>
  <conditionalFormatting sqref="B76:C76">
    <cfRule type="cellIs" dxfId="7029" priority="8858" stopIfTrue="1" operator="equal">
      <formula>"Napkin Hs"</formula>
    </cfRule>
  </conditionalFormatting>
  <conditionalFormatting sqref="B76:C76">
    <cfRule type="cellIs" dxfId="7028" priority="8857" stopIfTrue="1" operator="equal">
      <formula>"Towel"</formula>
    </cfRule>
  </conditionalFormatting>
  <conditionalFormatting sqref="C76">
    <cfRule type="cellIs" dxfId="7027" priority="8856" stopIfTrue="1" operator="equal">
      <formula>"Napkin Hs"</formula>
    </cfRule>
  </conditionalFormatting>
  <conditionalFormatting sqref="C76">
    <cfRule type="cellIs" dxfId="7026" priority="8853" stopIfTrue="1" operator="equal">
      <formula>"Towel"</formula>
    </cfRule>
    <cfRule type="cellIs" dxfId="7025" priority="8854" stopIfTrue="1" operator="equal">
      <formula>"Napkin Hs"</formula>
    </cfRule>
  </conditionalFormatting>
  <conditionalFormatting sqref="C76">
    <cfRule type="cellIs" dxfId="7024" priority="8855" stopIfTrue="1" operator="equal">
      <formula>"Towel"</formula>
    </cfRule>
  </conditionalFormatting>
  <conditionalFormatting sqref="B75:C75">
    <cfRule type="cellIs" dxfId="7023" priority="8852" stopIfTrue="1" operator="equal">
      <formula>"Napkin Hs"</formula>
    </cfRule>
  </conditionalFormatting>
  <conditionalFormatting sqref="B75:C75">
    <cfRule type="cellIs" dxfId="7022" priority="8851" stopIfTrue="1" operator="equal">
      <formula>"Towel"</formula>
    </cfRule>
  </conditionalFormatting>
  <conditionalFormatting sqref="B74:C74">
    <cfRule type="cellIs" dxfId="7021" priority="8847" stopIfTrue="1" operator="equal">
      <formula>"Towel"</formula>
    </cfRule>
    <cfRule type="cellIs" dxfId="7020" priority="8848" stopIfTrue="1" operator="equal">
      <formula>"Napkin Hs"</formula>
    </cfRule>
  </conditionalFormatting>
  <conditionalFormatting sqref="C75">
    <cfRule type="cellIs" dxfId="7019" priority="8850" stopIfTrue="1" operator="equal">
      <formula>"Napkin Hs"</formula>
    </cfRule>
  </conditionalFormatting>
  <conditionalFormatting sqref="C75">
    <cfRule type="cellIs" dxfId="7018" priority="8849" stopIfTrue="1" operator="equal">
      <formula>"Towel"</formula>
    </cfRule>
  </conditionalFormatting>
  <conditionalFormatting sqref="C74">
    <cfRule type="cellIs" dxfId="7017" priority="8843" stopIfTrue="1" operator="equal">
      <formula>"Towel"</formula>
    </cfRule>
    <cfRule type="cellIs" dxfId="7016" priority="8844" stopIfTrue="1" operator="equal">
      <formula>"Napkin Hs"</formula>
    </cfRule>
  </conditionalFormatting>
  <conditionalFormatting sqref="C74:C76">
    <cfRule type="cellIs" dxfId="7015" priority="8845" stopIfTrue="1" operator="equal">
      <formula>"Towel"</formula>
    </cfRule>
    <cfRule type="cellIs" dxfId="7014" priority="8846" stopIfTrue="1" operator="equal">
      <formula>"Napkin Hs"</formula>
    </cfRule>
  </conditionalFormatting>
  <conditionalFormatting sqref="C77">
    <cfRule type="cellIs" dxfId="7013" priority="8807" stopIfTrue="1" operator="equal">
      <formula>"Towel"</formula>
    </cfRule>
    <cfRule type="cellIs" dxfId="7012" priority="8808" stopIfTrue="1" operator="equal">
      <formula>"Napkin Hs"</formula>
    </cfRule>
  </conditionalFormatting>
  <conditionalFormatting sqref="B77:C77">
    <cfRule type="cellIs" dxfId="7011" priority="8805" stopIfTrue="1" operator="equal">
      <formula>"Towel"</formula>
    </cfRule>
    <cfRule type="cellIs" dxfId="7010" priority="8806" stopIfTrue="1" operator="equal">
      <formula>"Napkin Hs"</formula>
    </cfRule>
  </conditionalFormatting>
  <conditionalFormatting sqref="C77">
    <cfRule type="cellIs" dxfId="7009" priority="8803" stopIfTrue="1" operator="equal">
      <formula>"Towel"</formula>
    </cfRule>
    <cfRule type="cellIs" dxfId="7008" priority="8804" stopIfTrue="1" operator="equal">
      <formula>"Napkin Hs"</formula>
    </cfRule>
  </conditionalFormatting>
  <conditionalFormatting sqref="C77">
    <cfRule type="cellIs" dxfId="7007" priority="8795" stopIfTrue="1" operator="equal">
      <formula>"Towel"</formula>
    </cfRule>
    <cfRule type="cellIs" dxfId="7006" priority="8796" stopIfTrue="1" operator="equal">
      <formula>"Napkin Hs"</formula>
    </cfRule>
  </conditionalFormatting>
  <conditionalFormatting sqref="B77:C77">
    <cfRule type="cellIs" dxfId="7005" priority="8841" stopIfTrue="1" operator="equal">
      <formula>"Towel"</formula>
    </cfRule>
    <cfRule type="cellIs" dxfId="7004" priority="8842" stopIfTrue="1" operator="equal">
      <formula>"Napkin Hs"</formula>
    </cfRule>
  </conditionalFormatting>
  <conditionalFormatting sqref="C77">
    <cfRule type="cellIs" dxfId="7003" priority="8837" stopIfTrue="1" operator="equal">
      <formula>"Towel"</formula>
    </cfRule>
    <cfRule type="cellIs" dxfId="7002" priority="8838" stopIfTrue="1" operator="equal">
      <formula>"Napkin Hs"</formula>
    </cfRule>
  </conditionalFormatting>
  <conditionalFormatting sqref="C77">
    <cfRule type="cellIs" dxfId="7001" priority="8839" stopIfTrue="1" operator="equal">
      <formula>"Towel"</formula>
    </cfRule>
    <cfRule type="cellIs" dxfId="7000" priority="8840" stopIfTrue="1" operator="equal">
      <formula>"Napkin Hs"</formula>
    </cfRule>
  </conditionalFormatting>
  <conditionalFormatting sqref="B77:C77">
    <cfRule type="cellIs" dxfId="6999" priority="8836" stopIfTrue="1" operator="equal">
      <formula>"Napkin Hs"</formula>
    </cfRule>
  </conditionalFormatting>
  <conditionalFormatting sqref="B77:C77">
    <cfRule type="cellIs" dxfId="6998" priority="8835" stopIfTrue="1" operator="equal">
      <formula>"Towel"</formula>
    </cfRule>
  </conditionalFormatting>
  <conditionalFormatting sqref="C77">
    <cfRule type="cellIs" dxfId="6997" priority="8834" stopIfTrue="1" operator="equal">
      <formula>"Napkin Hs"</formula>
    </cfRule>
  </conditionalFormatting>
  <conditionalFormatting sqref="C77">
    <cfRule type="cellIs" dxfId="6996" priority="8833" stopIfTrue="1" operator="equal">
      <formula>"Towel"</formula>
    </cfRule>
  </conditionalFormatting>
  <conditionalFormatting sqref="C77">
    <cfRule type="cellIs" dxfId="6995" priority="8831" stopIfTrue="1" operator="equal">
      <formula>"Towel"</formula>
    </cfRule>
    <cfRule type="cellIs" dxfId="6994" priority="8832" stopIfTrue="1" operator="equal">
      <formula>"Napkin Hs"</formula>
    </cfRule>
  </conditionalFormatting>
  <conditionalFormatting sqref="B77:C77">
    <cfRule type="cellIs" dxfId="6993" priority="8829" stopIfTrue="1" operator="equal">
      <formula>"Towel"</formula>
    </cfRule>
    <cfRule type="cellIs" dxfId="6992" priority="8830" stopIfTrue="1" operator="equal">
      <formula>"Napkin Hs"</formula>
    </cfRule>
  </conditionalFormatting>
  <conditionalFormatting sqref="C77">
    <cfRule type="cellIs" dxfId="6991" priority="8827" stopIfTrue="1" operator="equal">
      <formula>"Towel"</formula>
    </cfRule>
    <cfRule type="cellIs" dxfId="6990" priority="8828" stopIfTrue="1" operator="equal">
      <formula>"Napkin Hs"</formula>
    </cfRule>
  </conditionalFormatting>
  <conditionalFormatting sqref="C77">
    <cfRule type="cellIs" dxfId="6989" priority="8825" stopIfTrue="1" operator="equal">
      <formula>"Towel"</formula>
    </cfRule>
    <cfRule type="cellIs" dxfId="6988" priority="8826" stopIfTrue="1" operator="equal">
      <formula>"Napkin Hs"</formula>
    </cfRule>
  </conditionalFormatting>
  <conditionalFormatting sqref="B77:C77">
    <cfRule type="cellIs" dxfId="6987" priority="8823" stopIfTrue="1" operator="equal">
      <formula>"Towel"</formula>
    </cfRule>
    <cfRule type="cellIs" dxfId="6986" priority="8824" stopIfTrue="1" operator="equal">
      <formula>"Napkin Hs"</formula>
    </cfRule>
  </conditionalFormatting>
  <conditionalFormatting sqref="C77">
    <cfRule type="cellIs" dxfId="6985" priority="8821" stopIfTrue="1" operator="equal">
      <formula>"Towel"</formula>
    </cfRule>
    <cfRule type="cellIs" dxfId="6984" priority="8822" stopIfTrue="1" operator="equal">
      <formula>"Napkin Hs"</formula>
    </cfRule>
  </conditionalFormatting>
  <conditionalFormatting sqref="C77">
    <cfRule type="cellIs" dxfId="6983" priority="8819" stopIfTrue="1" operator="equal">
      <formula>"Towel"</formula>
    </cfRule>
    <cfRule type="cellIs" dxfId="6982" priority="8820" stopIfTrue="1" operator="equal">
      <formula>"Napkin Hs"</formula>
    </cfRule>
  </conditionalFormatting>
  <conditionalFormatting sqref="B77:C77">
    <cfRule type="cellIs" dxfId="6981" priority="8817" stopIfTrue="1" operator="equal">
      <formula>"Towel"</formula>
    </cfRule>
    <cfRule type="cellIs" dxfId="6980" priority="8818" stopIfTrue="1" operator="equal">
      <formula>"Napkin Hs"</formula>
    </cfRule>
  </conditionalFormatting>
  <conditionalFormatting sqref="C77">
    <cfRule type="cellIs" dxfId="6979" priority="8815" stopIfTrue="1" operator="equal">
      <formula>"Towel"</formula>
    </cfRule>
    <cfRule type="cellIs" dxfId="6978" priority="8816" stopIfTrue="1" operator="equal">
      <formula>"Napkin Hs"</formula>
    </cfRule>
  </conditionalFormatting>
  <conditionalFormatting sqref="C77">
    <cfRule type="cellIs" dxfId="6977" priority="8813" stopIfTrue="1" operator="equal">
      <formula>"Towel"</formula>
    </cfRule>
    <cfRule type="cellIs" dxfId="6976" priority="8814" stopIfTrue="1" operator="equal">
      <formula>"Napkin Hs"</formula>
    </cfRule>
  </conditionalFormatting>
  <conditionalFormatting sqref="B77:C77">
    <cfRule type="cellIs" dxfId="6975" priority="8811" stopIfTrue="1" operator="equal">
      <formula>"Towel"</formula>
    </cfRule>
    <cfRule type="cellIs" dxfId="6974" priority="8812" stopIfTrue="1" operator="equal">
      <formula>"Napkin Hs"</formula>
    </cfRule>
  </conditionalFormatting>
  <conditionalFormatting sqref="C77">
    <cfRule type="cellIs" dxfId="6973" priority="8809" stopIfTrue="1" operator="equal">
      <formula>"Towel"</formula>
    </cfRule>
    <cfRule type="cellIs" dxfId="6972" priority="8810" stopIfTrue="1" operator="equal">
      <formula>"Napkin Hs"</formula>
    </cfRule>
  </conditionalFormatting>
  <conditionalFormatting sqref="C77">
    <cfRule type="cellIs" dxfId="6971" priority="8801" stopIfTrue="1" operator="equal">
      <formula>"Towel"</formula>
    </cfRule>
    <cfRule type="cellIs" dxfId="6970" priority="8802" stopIfTrue="1" operator="equal">
      <formula>"Napkin Hs"</formula>
    </cfRule>
  </conditionalFormatting>
  <conditionalFormatting sqref="B77:C77">
    <cfRule type="cellIs" dxfId="6969" priority="8800" stopIfTrue="1" operator="equal">
      <formula>"Napkin Hs"</formula>
    </cfRule>
  </conditionalFormatting>
  <conditionalFormatting sqref="B77:C77">
    <cfRule type="cellIs" dxfId="6968" priority="8799" stopIfTrue="1" operator="equal">
      <formula>"Towel"</formula>
    </cfRule>
  </conditionalFormatting>
  <conditionalFormatting sqref="C77">
    <cfRule type="cellIs" dxfId="6967" priority="8798" stopIfTrue="1" operator="equal">
      <formula>"Napkin Hs"</formula>
    </cfRule>
  </conditionalFormatting>
  <conditionalFormatting sqref="C77">
    <cfRule type="cellIs" dxfId="6966" priority="8797" stopIfTrue="1" operator="equal">
      <formula>"Towel"</formula>
    </cfRule>
  </conditionalFormatting>
  <conditionalFormatting sqref="B76:C76">
    <cfRule type="cellIs" dxfId="6965" priority="8793" stopIfTrue="1" operator="equal">
      <formula>"Towel"</formula>
    </cfRule>
    <cfRule type="cellIs" dxfId="6964" priority="8794" stopIfTrue="1" operator="equal">
      <formula>"Napkin Hs"</formula>
    </cfRule>
  </conditionalFormatting>
  <conditionalFormatting sqref="C76">
    <cfRule type="cellIs" dxfId="6963" priority="8789" stopIfTrue="1" operator="equal">
      <formula>"Towel"</formula>
    </cfRule>
    <cfRule type="cellIs" dxfId="6962" priority="8790" stopIfTrue="1" operator="equal">
      <formula>"Napkin Hs"</formula>
    </cfRule>
  </conditionalFormatting>
  <conditionalFormatting sqref="C76">
    <cfRule type="cellIs" dxfId="6961" priority="8791" stopIfTrue="1" operator="equal">
      <formula>"Towel"</formula>
    </cfRule>
    <cfRule type="cellIs" dxfId="6960" priority="8792" stopIfTrue="1" operator="equal">
      <formula>"Napkin Hs"</formula>
    </cfRule>
  </conditionalFormatting>
  <conditionalFormatting sqref="B76:C76">
    <cfRule type="cellIs" dxfId="6959" priority="8788" stopIfTrue="1" operator="equal">
      <formula>"Napkin Hs"</formula>
    </cfRule>
  </conditionalFormatting>
  <conditionalFormatting sqref="B76:C76">
    <cfRule type="cellIs" dxfId="6958" priority="8787" stopIfTrue="1" operator="equal">
      <formula>"Towel"</formula>
    </cfRule>
  </conditionalFormatting>
  <conditionalFormatting sqref="C76">
    <cfRule type="cellIs" dxfId="6957" priority="8786" stopIfTrue="1" operator="equal">
      <formula>"Napkin Hs"</formula>
    </cfRule>
  </conditionalFormatting>
  <conditionalFormatting sqref="C76">
    <cfRule type="cellIs" dxfId="6956" priority="8785" stopIfTrue="1" operator="equal">
      <formula>"Towel"</formula>
    </cfRule>
  </conditionalFormatting>
  <conditionalFormatting sqref="C76">
    <cfRule type="cellIs" dxfId="6955" priority="8783" stopIfTrue="1" operator="equal">
      <formula>"Towel"</formula>
    </cfRule>
    <cfRule type="cellIs" dxfId="6954" priority="8784" stopIfTrue="1" operator="equal">
      <formula>"Napkin Hs"</formula>
    </cfRule>
  </conditionalFormatting>
  <conditionalFormatting sqref="B76:C76">
    <cfRule type="cellIs" dxfId="6953" priority="8781" stopIfTrue="1" operator="equal">
      <formula>"Towel"</formula>
    </cfRule>
    <cfRule type="cellIs" dxfId="6952" priority="8782" stopIfTrue="1" operator="equal">
      <formula>"Napkin Hs"</formula>
    </cfRule>
  </conditionalFormatting>
  <conditionalFormatting sqref="C76">
    <cfRule type="cellIs" dxfId="6951" priority="8779" stopIfTrue="1" operator="equal">
      <formula>"Towel"</formula>
    </cfRule>
    <cfRule type="cellIs" dxfId="6950" priority="8780" stopIfTrue="1" operator="equal">
      <formula>"Napkin Hs"</formula>
    </cfRule>
  </conditionalFormatting>
  <conditionalFormatting sqref="C76">
    <cfRule type="cellIs" dxfId="6949" priority="8777" stopIfTrue="1" operator="equal">
      <formula>"Towel"</formula>
    </cfRule>
    <cfRule type="cellIs" dxfId="6948" priority="8778" stopIfTrue="1" operator="equal">
      <formula>"Napkin Hs"</formula>
    </cfRule>
  </conditionalFormatting>
  <conditionalFormatting sqref="B76:C76">
    <cfRule type="cellIs" dxfId="6947" priority="8775" stopIfTrue="1" operator="equal">
      <formula>"Towel"</formula>
    </cfRule>
    <cfRule type="cellIs" dxfId="6946" priority="8776" stopIfTrue="1" operator="equal">
      <formula>"Napkin Hs"</formula>
    </cfRule>
  </conditionalFormatting>
  <conditionalFormatting sqref="C76">
    <cfRule type="cellIs" dxfId="6945" priority="8773" stopIfTrue="1" operator="equal">
      <formula>"Towel"</formula>
    </cfRule>
    <cfRule type="cellIs" dxfId="6944" priority="8774" stopIfTrue="1" operator="equal">
      <formula>"Napkin Hs"</formula>
    </cfRule>
  </conditionalFormatting>
  <conditionalFormatting sqref="C76">
    <cfRule type="cellIs" dxfId="6943" priority="8771" stopIfTrue="1" operator="equal">
      <formula>"Towel"</formula>
    </cfRule>
    <cfRule type="cellIs" dxfId="6942" priority="8772" stopIfTrue="1" operator="equal">
      <formula>"Napkin Hs"</formula>
    </cfRule>
  </conditionalFormatting>
  <conditionalFormatting sqref="B76:C76">
    <cfRule type="cellIs" dxfId="6941" priority="8769" stopIfTrue="1" operator="equal">
      <formula>"Towel"</formula>
    </cfRule>
    <cfRule type="cellIs" dxfId="6940" priority="8770" stopIfTrue="1" operator="equal">
      <formula>"Napkin Hs"</formula>
    </cfRule>
  </conditionalFormatting>
  <conditionalFormatting sqref="C76">
    <cfRule type="cellIs" dxfId="6939" priority="8767" stopIfTrue="1" operator="equal">
      <formula>"Towel"</formula>
    </cfRule>
    <cfRule type="cellIs" dxfId="6938" priority="8768" stopIfTrue="1" operator="equal">
      <formula>"Napkin Hs"</formula>
    </cfRule>
  </conditionalFormatting>
  <conditionalFormatting sqref="C76">
    <cfRule type="cellIs" dxfId="6937" priority="8765" stopIfTrue="1" operator="equal">
      <formula>"Towel"</formula>
    </cfRule>
    <cfRule type="cellIs" dxfId="6936" priority="8766" stopIfTrue="1" operator="equal">
      <formula>"Napkin Hs"</formula>
    </cfRule>
  </conditionalFormatting>
  <conditionalFormatting sqref="B76:C76">
    <cfRule type="cellIs" dxfId="6935" priority="8763" stopIfTrue="1" operator="equal">
      <formula>"Towel"</formula>
    </cfRule>
    <cfRule type="cellIs" dxfId="6934" priority="8764" stopIfTrue="1" operator="equal">
      <formula>"Napkin Hs"</formula>
    </cfRule>
  </conditionalFormatting>
  <conditionalFormatting sqref="C76">
    <cfRule type="cellIs" dxfId="6933" priority="8761" stopIfTrue="1" operator="equal">
      <formula>"Towel"</formula>
    </cfRule>
    <cfRule type="cellIs" dxfId="6932" priority="8762" stopIfTrue="1" operator="equal">
      <formula>"Napkin Hs"</formula>
    </cfRule>
  </conditionalFormatting>
  <conditionalFormatting sqref="C76">
    <cfRule type="cellIs" dxfId="6931" priority="8759" stopIfTrue="1" operator="equal">
      <formula>"Towel"</formula>
    </cfRule>
    <cfRule type="cellIs" dxfId="6930" priority="8760" stopIfTrue="1" operator="equal">
      <formula>"Napkin Hs"</formula>
    </cfRule>
  </conditionalFormatting>
  <conditionalFormatting sqref="B76:C76">
    <cfRule type="cellIs" dxfId="6929" priority="8757" stopIfTrue="1" operator="equal">
      <formula>"Towel"</formula>
    </cfRule>
    <cfRule type="cellIs" dxfId="6928" priority="8758" stopIfTrue="1" operator="equal">
      <formula>"Napkin Hs"</formula>
    </cfRule>
  </conditionalFormatting>
  <conditionalFormatting sqref="C76">
    <cfRule type="cellIs" dxfId="6927" priority="8755" stopIfTrue="1" operator="equal">
      <formula>"Towel"</formula>
    </cfRule>
    <cfRule type="cellIs" dxfId="6926" priority="8756" stopIfTrue="1" operator="equal">
      <formula>"Napkin Hs"</formula>
    </cfRule>
  </conditionalFormatting>
  <conditionalFormatting sqref="C76">
    <cfRule type="cellIs" dxfId="6925" priority="8753" stopIfTrue="1" operator="equal">
      <formula>"Towel"</formula>
    </cfRule>
    <cfRule type="cellIs" dxfId="6924" priority="8754" stopIfTrue="1" operator="equal">
      <formula>"Napkin Hs"</formula>
    </cfRule>
  </conditionalFormatting>
  <conditionalFormatting sqref="B76:C76">
    <cfRule type="cellIs" dxfId="6923" priority="8752" stopIfTrue="1" operator="equal">
      <formula>"Napkin Hs"</formula>
    </cfRule>
  </conditionalFormatting>
  <conditionalFormatting sqref="B76:C76">
    <cfRule type="cellIs" dxfId="6922" priority="8751" stopIfTrue="1" operator="equal">
      <formula>"Towel"</formula>
    </cfRule>
  </conditionalFormatting>
  <conditionalFormatting sqref="C76">
    <cfRule type="cellIs" dxfId="6921" priority="8750" stopIfTrue="1" operator="equal">
      <formula>"Napkin Hs"</formula>
    </cfRule>
  </conditionalFormatting>
  <conditionalFormatting sqref="C76">
    <cfRule type="cellIs" dxfId="6920" priority="8747" stopIfTrue="1" operator="equal">
      <formula>"Towel"</formula>
    </cfRule>
    <cfRule type="cellIs" dxfId="6919" priority="8748" stopIfTrue="1" operator="equal">
      <formula>"Napkin Hs"</formula>
    </cfRule>
  </conditionalFormatting>
  <conditionalFormatting sqref="C76">
    <cfRule type="cellIs" dxfId="6918" priority="8749" stopIfTrue="1" operator="equal">
      <formula>"Towel"</formula>
    </cfRule>
  </conditionalFormatting>
  <conditionalFormatting sqref="B77:C77">
    <cfRule type="cellIs" dxfId="6917" priority="8745" stopIfTrue="1" operator="equal">
      <formula>"Towel"</formula>
    </cfRule>
    <cfRule type="cellIs" dxfId="6916" priority="8746" stopIfTrue="1" operator="equal">
      <formula>"Napkin Hs"</formula>
    </cfRule>
  </conditionalFormatting>
  <conditionalFormatting sqref="C77">
    <cfRule type="cellIs" dxfId="6915" priority="8741" stopIfTrue="1" operator="equal">
      <formula>"Towel"</formula>
    </cfRule>
    <cfRule type="cellIs" dxfId="6914" priority="8742" stopIfTrue="1" operator="equal">
      <formula>"Napkin Hs"</formula>
    </cfRule>
  </conditionalFormatting>
  <conditionalFormatting sqref="C77">
    <cfRule type="cellIs" dxfId="6913" priority="8743" stopIfTrue="1" operator="equal">
      <formula>"Towel"</formula>
    </cfRule>
    <cfRule type="cellIs" dxfId="6912" priority="8744" stopIfTrue="1" operator="equal">
      <formula>"Napkin Hs"</formula>
    </cfRule>
  </conditionalFormatting>
  <conditionalFormatting sqref="B76:C76">
    <cfRule type="cellIs" dxfId="6911" priority="8739" stopIfTrue="1" operator="equal">
      <formula>"Towel"</formula>
    </cfRule>
    <cfRule type="cellIs" dxfId="6910" priority="8740" stopIfTrue="1" operator="equal">
      <formula>"Napkin Hs"</formula>
    </cfRule>
  </conditionalFormatting>
  <conditionalFormatting sqref="C76">
    <cfRule type="cellIs" dxfId="6909" priority="8735" stopIfTrue="1" operator="equal">
      <formula>"Towel"</formula>
    </cfRule>
    <cfRule type="cellIs" dxfId="6908" priority="8736" stopIfTrue="1" operator="equal">
      <formula>"Napkin Hs"</formula>
    </cfRule>
  </conditionalFormatting>
  <conditionalFormatting sqref="C76">
    <cfRule type="cellIs" dxfId="6907" priority="8737" stopIfTrue="1" operator="equal">
      <formula>"Towel"</formula>
    </cfRule>
    <cfRule type="cellIs" dxfId="6906" priority="8738" stopIfTrue="1" operator="equal">
      <formula>"Napkin Hs"</formula>
    </cfRule>
  </conditionalFormatting>
  <conditionalFormatting sqref="B76:C76">
    <cfRule type="cellIs" dxfId="6905" priority="8733" stopIfTrue="1" operator="equal">
      <formula>"Towel"</formula>
    </cfRule>
    <cfRule type="cellIs" dxfId="6904" priority="8734" stopIfTrue="1" operator="equal">
      <formula>"Napkin Hs"</formula>
    </cfRule>
  </conditionalFormatting>
  <conditionalFormatting sqref="C76">
    <cfRule type="cellIs" dxfId="6903" priority="8729" stopIfTrue="1" operator="equal">
      <formula>"Towel"</formula>
    </cfRule>
    <cfRule type="cellIs" dxfId="6902" priority="8730" stopIfTrue="1" operator="equal">
      <formula>"Napkin Hs"</formula>
    </cfRule>
  </conditionalFormatting>
  <conditionalFormatting sqref="C76">
    <cfRule type="cellIs" dxfId="6901" priority="8731" stopIfTrue="1" operator="equal">
      <formula>"Towel"</formula>
    </cfRule>
    <cfRule type="cellIs" dxfId="6900" priority="8732" stopIfTrue="1" operator="equal">
      <formula>"Napkin Hs"</formula>
    </cfRule>
  </conditionalFormatting>
  <conditionalFormatting sqref="B76:C76">
    <cfRule type="cellIs" dxfId="6899" priority="8727" stopIfTrue="1" operator="equal">
      <formula>"Towel"</formula>
    </cfRule>
    <cfRule type="cellIs" dxfId="6898" priority="8728" stopIfTrue="1" operator="equal">
      <formula>"Napkin Hs"</formula>
    </cfRule>
  </conditionalFormatting>
  <conditionalFormatting sqref="C76">
    <cfRule type="cellIs" dxfId="6897" priority="8725" stopIfTrue="1" operator="equal">
      <formula>"Towel"</formula>
    </cfRule>
    <cfRule type="cellIs" dxfId="6896" priority="8726" stopIfTrue="1" operator="equal">
      <formula>"Napkin Hs"</formula>
    </cfRule>
  </conditionalFormatting>
  <conditionalFormatting sqref="C76">
    <cfRule type="cellIs" dxfId="6895" priority="8723" stopIfTrue="1" operator="equal">
      <formula>"Towel"</formula>
    </cfRule>
    <cfRule type="cellIs" dxfId="6894" priority="8724" stopIfTrue="1" operator="equal">
      <formula>"Napkin Hs"</formula>
    </cfRule>
  </conditionalFormatting>
  <conditionalFormatting sqref="B76:C76">
    <cfRule type="cellIs" dxfId="6893" priority="8722" stopIfTrue="1" operator="equal">
      <formula>"Napkin Hs"</formula>
    </cfRule>
  </conditionalFormatting>
  <conditionalFormatting sqref="B76:C76">
    <cfRule type="cellIs" dxfId="6892" priority="8721" stopIfTrue="1" operator="equal">
      <formula>"Towel"</formula>
    </cfRule>
  </conditionalFormatting>
  <conditionalFormatting sqref="C76">
    <cfRule type="cellIs" dxfId="6891" priority="8720" stopIfTrue="1" operator="equal">
      <formula>"Napkin Hs"</formula>
    </cfRule>
  </conditionalFormatting>
  <conditionalFormatting sqref="C76">
    <cfRule type="cellIs" dxfId="6890" priority="8719" stopIfTrue="1" operator="equal">
      <formula>"Towel"</formula>
    </cfRule>
  </conditionalFormatting>
  <conditionalFormatting sqref="C76">
    <cfRule type="cellIs" dxfId="6889" priority="8717" stopIfTrue="1" operator="equal">
      <formula>"Towel"</formula>
    </cfRule>
    <cfRule type="cellIs" dxfId="6888" priority="8718" stopIfTrue="1" operator="equal">
      <formula>"Napkin Hs"</formula>
    </cfRule>
  </conditionalFormatting>
  <conditionalFormatting sqref="C76">
    <cfRule type="cellIs" dxfId="6887" priority="8715" stopIfTrue="1" operator="equal">
      <formula>"Towel"</formula>
    </cfRule>
    <cfRule type="cellIs" dxfId="6886" priority="8716" stopIfTrue="1" operator="equal">
      <formula>"Napkin Hs"</formula>
    </cfRule>
  </conditionalFormatting>
  <conditionalFormatting sqref="C76">
    <cfRule type="cellIs" dxfId="6885" priority="8631" stopIfTrue="1" operator="equal">
      <formula>"Towel"</formula>
    </cfRule>
    <cfRule type="cellIs" dxfId="6884" priority="8632" stopIfTrue="1" operator="equal">
      <formula>"Napkin Hs"</formula>
    </cfRule>
  </conditionalFormatting>
  <conditionalFormatting sqref="C76">
    <cfRule type="cellIs" dxfId="6883" priority="8625" stopIfTrue="1" operator="equal">
      <formula>"Towel"</formula>
    </cfRule>
    <cfRule type="cellIs" dxfId="6882" priority="8626" stopIfTrue="1" operator="equal">
      <formula>"Napkin Hs"</formula>
    </cfRule>
  </conditionalFormatting>
  <conditionalFormatting sqref="C76">
    <cfRule type="cellIs" dxfId="6881" priority="8606" stopIfTrue="1" operator="equal">
      <formula>"Napkin Hs"</formula>
    </cfRule>
  </conditionalFormatting>
  <conditionalFormatting sqref="C76">
    <cfRule type="cellIs" dxfId="6880" priority="8605" stopIfTrue="1" operator="equal">
      <formula>"Towel"</formula>
    </cfRule>
  </conditionalFormatting>
  <conditionalFormatting sqref="C76">
    <cfRule type="cellIs" dxfId="6879" priority="8604" stopIfTrue="1" operator="equal">
      <formula>"Napkin Hs"</formula>
    </cfRule>
  </conditionalFormatting>
  <conditionalFormatting sqref="C76">
    <cfRule type="cellIs" dxfId="6878" priority="8601" stopIfTrue="1" operator="equal">
      <formula>"Towel"</formula>
    </cfRule>
    <cfRule type="cellIs" dxfId="6877" priority="8602" stopIfTrue="1" operator="equal">
      <formula>"Napkin Hs"</formula>
    </cfRule>
  </conditionalFormatting>
  <conditionalFormatting sqref="C76">
    <cfRule type="cellIs" dxfId="6876" priority="8603" stopIfTrue="1" operator="equal">
      <formula>"Towel"</formula>
    </cfRule>
  </conditionalFormatting>
  <conditionalFormatting sqref="C76">
    <cfRule type="cellIs" dxfId="6875" priority="8600" stopIfTrue="1" operator="equal">
      <formula>"Napkin Hs"</formula>
    </cfRule>
  </conditionalFormatting>
  <conditionalFormatting sqref="C76">
    <cfRule type="cellIs" dxfId="6874" priority="8599" stopIfTrue="1" operator="equal">
      <formula>"Towel"</formula>
    </cfRule>
  </conditionalFormatting>
  <conditionalFormatting sqref="C76">
    <cfRule type="cellIs" dxfId="6873" priority="8598" stopIfTrue="1" operator="equal">
      <formula>"Napkin Hs"</formula>
    </cfRule>
  </conditionalFormatting>
  <conditionalFormatting sqref="C76">
    <cfRule type="cellIs" dxfId="6872" priority="8595" stopIfTrue="1" operator="equal">
      <formula>"Towel"</formula>
    </cfRule>
    <cfRule type="cellIs" dxfId="6871" priority="8596" stopIfTrue="1" operator="equal">
      <formula>"Napkin Hs"</formula>
    </cfRule>
  </conditionalFormatting>
  <conditionalFormatting sqref="C76">
    <cfRule type="cellIs" dxfId="6870" priority="8597" stopIfTrue="1" operator="equal">
      <formula>"Towel"</formula>
    </cfRule>
  </conditionalFormatting>
  <conditionalFormatting sqref="C76">
    <cfRule type="cellIs" dxfId="6869" priority="8701" stopIfTrue="1" operator="equal">
      <formula>"Towel"</formula>
    </cfRule>
    <cfRule type="cellIs" dxfId="6868" priority="8702" stopIfTrue="1" operator="equal">
      <formula>"Napkin Hs"</formula>
    </cfRule>
  </conditionalFormatting>
  <conditionalFormatting sqref="C76">
    <cfRule type="cellIs" dxfId="6867" priority="8699" stopIfTrue="1" operator="equal">
      <formula>"Towel"</formula>
    </cfRule>
    <cfRule type="cellIs" dxfId="6866" priority="8700" stopIfTrue="1" operator="equal">
      <formula>"Napkin Hs"</formula>
    </cfRule>
  </conditionalFormatting>
  <conditionalFormatting sqref="C76">
    <cfRule type="cellIs" dxfId="6865" priority="8697" stopIfTrue="1" operator="equal">
      <formula>"Towel"</formula>
    </cfRule>
    <cfRule type="cellIs" dxfId="6864" priority="8698" stopIfTrue="1" operator="equal">
      <formula>"Napkin Hs"</formula>
    </cfRule>
  </conditionalFormatting>
  <conditionalFormatting sqref="C76">
    <cfRule type="cellIs" dxfId="6863" priority="8696" stopIfTrue="1" operator="equal">
      <formula>"Napkin Hs"</formula>
    </cfRule>
  </conditionalFormatting>
  <conditionalFormatting sqref="C76">
    <cfRule type="cellIs" dxfId="6862" priority="8695" stopIfTrue="1" operator="equal">
      <formula>"Towel"</formula>
    </cfRule>
  </conditionalFormatting>
  <conditionalFormatting sqref="C76">
    <cfRule type="cellIs" dxfId="6861" priority="8694" stopIfTrue="1" operator="equal">
      <formula>"Napkin Hs"</formula>
    </cfRule>
  </conditionalFormatting>
  <conditionalFormatting sqref="C76">
    <cfRule type="cellIs" dxfId="6860" priority="8693" stopIfTrue="1" operator="equal">
      <formula>"Towel"</formula>
    </cfRule>
  </conditionalFormatting>
  <conditionalFormatting sqref="C76">
    <cfRule type="cellIs" dxfId="6859" priority="8691" stopIfTrue="1" operator="equal">
      <formula>"Towel"</formula>
    </cfRule>
    <cfRule type="cellIs" dxfId="6858" priority="8692" stopIfTrue="1" operator="equal">
      <formula>"Napkin Hs"</formula>
    </cfRule>
  </conditionalFormatting>
  <conditionalFormatting sqref="C76">
    <cfRule type="cellIs" dxfId="6857" priority="8689" stopIfTrue="1" operator="equal">
      <formula>"Towel"</formula>
    </cfRule>
    <cfRule type="cellIs" dxfId="6856" priority="8690" stopIfTrue="1" operator="equal">
      <formula>"Napkin Hs"</formula>
    </cfRule>
  </conditionalFormatting>
  <conditionalFormatting sqref="C76">
    <cfRule type="cellIs" dxfId="6855" priority="8685" stopIfTrue="1" operator="equal">
      <formula>"Towel"</formula>
    </cfRule>
    <cfRule type="cellIs" dxfId="6854" priority="8686" stopIfTrue="1" operator="equal">
      <formula>"Napkin Hs"</formula>
    </cfRule>
  </conditionalFormatting>
  <conditionalFormatting sqref="C76">
    <cfRule type="cellIs" dxfId="6853" priority="8687" stopIfTrue="1" operator="equal">
      <formula>"Towel"</formula>
    </cfRule>
    <cfRule type="cellIs" dxfId="6852" priority="8688" stopIfTrue="1" operator="equal">
      <formula>"Napkin Hs"</formula>
    </cfRule>
  </conditionalFormatting>
  <conditionalFormatting sqref="C76">
    <cfRule type="cellIs" dxfId="6851" priority="8679" stopIfTrue="1" operator="equal">
      <formula>"Towel"</formula>
    </cfRule>
    <cfRule type="cellIs" dxfId="6850" priority="8680" stopIfTrue="1" operator="equal">
      <formula>"Napkin Hs"</formula>
    </cfRule>
  </conditionalFormatting>
  <conditionalFormatting sqref="C76">
    <cfRule type="cellIs" dxfId="6849" priority="8677" stopIfTrue="1" operator="equal">
      <formula>"Towel"</formula>
    </cfRule>
    <cfRule type="cellIs" dxfId="6848" priority="8678" stopIfTrue="1" operator="equal">
      <formula>"Napkin Hs"</formula>
    </cfRule>
  </conditionalFormatting>
  <conditionalFormatting sqref="C76">
    <cfRule type="cellIs" dxfId="6847" priority="8675" stopIfTrue="1" operator="equal">
      <formula>"Towel"</formula>
    </cfRule>
    <cfRule type="cellIs" dxfId="6846" priority="8676" stopIfTrue="1" operator="equal">
      <formula>"Napkin Hs"</formula>
    </cfRule>
  </conditionalFormatting>
  <conditionalFormatting sqref="C76">
    <cfRule type="cellIs" dxfId="6845" priority="8673" stopIfTrue="1" operator="equal">
      <formula>"Towel"</formula>
    </cfRule>
    <cfRule type="cellIs" dxfId="6844" priority="8674" stopIfTrue="1" operator="equal">
      <formula>"Napkin Hs"</formula>
    </cfRule>
  </conditionalFormatting>
  <conditionalFormatting sqref="C76">
    <cfRule type="cellIs" dxfId="6843" priority="8671" stopIfTrue="1" operator="equal">
      <formula>"Towel"</formula>
    </cfRule>
    <cfRule type="cellIs" dxfId="6842" priority="8672" stopIfTrue="1" operator="equal">
      <formula>"Napkin Hs"</formula>
    </cfRule>
  </conditionalFormatting>
  <conditionalFormatting sqref="C76">
    <cfRule type="cellIs" dxfId="6841" priority="8669" stopIfTrue="1" operator="equal">
      <formula>"Towel"</formula>
    </cfRule>
    <cfRule type="cellIs" dxfId="6840" priority="8670" stopIfTrue="1" operator="equal">
      <formula>"Napkin Hs"</formula>
    </cfRule>
  </conditionalFormatting>
  <conditionalFormatting sqref="C76">
    <cfRule type="cellIs" dxfId="6839" priority="8667" stopIfTrue="1" operator="equal">
      <formula>"Towel"</formula>
    </cfRule>
    <cfRule type="cellIs" dxfId="6838" priority="8668" stopIfTrue="1" operator="equal">
      <formula>"Napkin Hs"</formula>
    </cfRule>
  </conditionalFormatting>
  <conditionalFormatting sqref="C76">
    <cfRule type="cellIs" dxfId="6837" priority="8665" stopIfTrue="1" operator="equal">
      <formula>"Towel"</formula>
    </cfRule>
    <cfRule type="cellIs" dxfId="6836" priority="8666" stopIfTrue="1" operator="equal">
      <formula>"Napkin Hs"</formula>
    </cfRule>
  </conditionalFormatting>
  <conditionalFormatting sqref="C76">
    <cfRule type="cellIs" dxfId="6835" priority="8663" stopIfTrue="1" operator="equal">
      <formula>"Towel"</formula>
    </cfRule>
    <cfRule type="cellIs" dxfId="6834" priority="8664" stopIfTrue="1" operator="equal">
      <formula>"Napkin Hs"</formula>
    </cfRule>
  </conditionalFormatting>
  <conditionalFormatting sqref="C76">
    <cfRule type="cellIs" dxfId="6833" priority="8661" stopIfTrue="1" operator="equal">
      <formula>"Towel"</formula>
    </cfRule>
    <cfRule type="cellIs" dxfId="6832" priority="8662" stopIfTrue="1" operator="equal">
      <formula>"Napkin Hs"</formula>
    </cfRule>
  </conditionalFormatting>
  <conditionalFormatting sqref="C76">
    <cfRule type="cellIs" dxfId="6831" priority="8655" stopIfTrue="1" operator="equal">
      <formula>"Towel"</formula>
    </cfRule>
    <cfRule type="cellIs" dxfId="6830" priority="8656" stopIfTrue="1" operator="equal">
      <formula>"Napkin Hs"</formula>
    </cfRule>
  </conditionalFormatting>
  <conditionalFormatting sqref="C76">
    <cfRule type="cellIs" dxfId="6829" priority="8649" stopIfTrue="1" operator="equal">
      <formula>"Towel"</formula>
    </cfRule>
    <cfRule type="cellIs" dxfId="6828" priority="8650" stopIfTrue="1" operator="equal">
      <formula>"Napkin Hs"</formula>
    </cfRule>
  </conditionalFormatting>
  <conditionalFormatting sqref="C76">
    <cfRule type="cellIs" dxfId="6827" priority="8643" stopIfTrue="1" operator="equal">
      <formula>"Towel"</formula>
    </cfRule>
    <cfRule type="cellIs" dxfId="6826" priority="8644" stopIfTrue="1" operator="equal">
      <formula>"Napkin Hs"</formula>
    </cfRule>
  </conditionalFormatting>
  <conditionalFormatting sqref="C76">
    <cfRule type="cellIs" dxfId="6825" priority="8642" stopIfTrue="1" operator="equal">
      <formula>"Napkin Hs"</formula>
    </cfRule>
  </conditionalFormatting>
  <conditionalFormatting sqref="C76">
    <cfRule type="cellIs" dxfId="6824" priority="8641" stopIfTrue="1" operator="equal">
      <formula>"Towel"</formula>
    </cfRule>
  </conditionalFormatting>
  <conditionalFormatting sqref="C76">
    <cfRule type="cellIs" dxfId="6823" priority="8640" stopIfTrue="1" operator="equal">
      <formula>"Napkin Hs"</formula>
    </cfRule>
  </conditionalFormatting>
  <conditionalFormatting sqref="C76">
    <cfRule type="cellIs" dxfId="6822" priority="8639" stopIfTrue="1" operator="equal">
      <formula>"Towel"</formula>
    </cfRule>
  </conditionalFormatting>
  <conditionalFormatting sqref="C76">
    <cfRule type="cellIs" dxfId="6821" priority="8637" stopIfTrue="1" operator="equal">
      <formula>"Towel"</formula>
    </cfRule>
    <cfRule type="cellIs" dxfId="6820" priority="8638" stopIfTrue="1" operator="equal">
      <formula>"Napkin Hs"</formula>
    </cfRule>
  </conditionalFormatting>
  <conditionalFormatting sqref="C76">
    <cfRule type="cellIs" dxfId="6819" priority="8635" stopIfTrue="1" operator="equal">
      <formula>"Towel"</formula>
    </cfRule>
    <cfRule type="cellIs" dxfId="6818" priority="8636" stopIfTrue="1" operator="equal">
      <formula>"Napkin Hs"</formula>
    </cfRule>
  </conditionalFormatting>
  <conditionalFormatting sqref="C76">
    <cfRule type="cellIs" dxfId="6817" priority="8633" stopIfTrue="1" operator="equal">
      <formula>"Towel"</formula>
    </cfRule>
    <cfRule type="cellIs" dxfId="6816" priority="8634" stopIfTrue="1" operator="equal">
      <formula>"Napkin Hs"</formula>
    </cfRule>
  </conditionalFormatting>
  <conditionalFormatting sqref="C76">
    <cfRule type="cellIs" dxfId="6815" priority="8623" stopIfTrue="1" operator="equal">
      <formula>"Towel"</formula>
    </cfRule>
    <cfRule type="cellIs" dxfId="6814" priority="8624" stopIfTrue="1" operator="equal">
      <formula>"Napkin Hs"</formula>
    </cfRule>
  </conditionalFormatting>
  <conditionalFormatting sqref="C76">
    <cfRule type="cellIs" dxfId="6813" priority="8621" stopIfTrue="1" operator="equal">
      <formula>"Towel"</formula>
    </cfRule>
    <cfRule type="cellIs" dxfId="6812" priority="8622" stopIfTrue="1" operator="equal">
      <formula>"Napkin Hs"</formula>
    </cfRule>
  </conditionalFormatting>
  <conditionalFormatting sqref="C76">
    <cfRule type="cellIs" dxfId="6811" priority="8619" stopIfTrue="1" operator="equal">
      <formula>"Towel"</formula>
    </cfRule>
    <cfRule type="cellIs" dxfId="6810" priority="8620" stopIfTrue="1" operator="equal">
      <formula>"Napkin Hs"</formula>
    </cfRule>
  </conditionalFormatting>
  <conditionalFormatting sqref="C76">
    <cfRule type="cellIs" dxfId="6809" priority="8617" stopIfTrue="1" operator="equal">
      <formula>"Towel"</formula>
    </cfRule>
    <cfRule type="cellIs" dxfId="6808" priority="8618" stopIfTrue="1" operator="equal">
      <formula>"Napkin Hs"</formula>
    </cfRule>
  </conditionalFormatting>
  <conditionalFormatting sqref="C76">
    <cfRule type="cellIs" dxfId="6807" priority="8615" stopIfTrue="1" operator="equal">
      <formula>"Towel"</formula>
    </cfRule>
    <cfRule type="cellIs" dxfId="6806" priority="8616" stopIfTrue="1" operator="equal">
      <formula>"Napkin Hs"</formula>
    </cfRule>
  </conditionalFormatting>
  <conditionalFormatting sqref="C76">
    <cfRule type="cellIs" dxfId="6805" priority="8613" stopIfTrue="1" operator="equal">
      <formula>"Towel"</formula>
    </cfRule>
    <cfRule type="cellIs" dxfId="6804" priority="8614" stopIfTrue="1" operator="equal">
      <formula>"Napkin Hs"</formula>
    </cfRule>
  </conditionalFormatting>
  <conditionalFormatting sqref="C76">
    <cfRule type="cellIs" dxfId="6803" priority="8611" stopIfTrue="1" operator="equal">
      <formula>"Towel"</formula>
    </cfRule>
    <cfRule type="cellIs" dxfId="6802" priority="8612" stopIfTrue="1" operator="equal">
      <formula>"Napkin Hs"</formula>
    </cfRule>
  </conditionalFormatting>
  <conditionalFormatting sqref="C76">
    <cfRule type="cellIs" dxfId="6801" priority="8609" stopIfTrue="1" operator="equal">
      <formula>"Towel"</formula>
    </cfRule>
    <cfRule type="cellIs" dxfId="6800" priority="8610" stopIfTrue="1" operator="equal">
      <formula>"Napkin Hs"</formula>
    </cfRule>
  </conditionalFormatting>
  <conditionalFormatting sqref="C76">
    <cfRule type="cellIs" dxfId="6799" priority="8607" stopIfTrue="1" operator="equal">
      <formula>"Towel"</formula>
    </cfRule>
    <cfRule type="cellIs" dxfId="6798" priority="8608" stopIfTrue="1" operator="equal">
      <formula>"Napkin Hs"</formula>
    </cfRule>
  </conditionalFormatting>
  <conditionalFormatting sqref="C76">
    <cfRule type="cellIs" dxfId="6797" priority="8594" stopIfTrue="1" operator="equal">
      <formula>"Napkin Hs"</formula>
    </cfRule>
  </conditionalFormatting>
  <conditionalFormatting sqref="C76">
    <cfRule type="cellIs" dxfId="6796" priority="8593" stopIfTrue="1" operator="equal">
      <formula>"Towel"</formula>
    </cfRule>
  </conditionalFormatting>
  <conditionalFormatting sqref="C76">
    <cfRule type="cellIs" dxfId="6795" priority="8592" stopIfTrue="1" operator="equal">
      <formula>"Napkin Hs"</formula>
    </cfRule>
  </conditionalFormatting>
  <conditionalFormatting sqref="C76">
    <cfRule type="cellIs" dxfId="6794" priority="8589" stopIfTrue="1" operator="equal">
      <formula>"Towel"</formula>
    </cfRule>
    <cfRule type="cellIs" dxfId="6793" priority="8590" stopIfTrue="1" operator="equal">
      <formula>"Napkin Hs"</formula>
    </cfRule>
  </conditionalFormatting>
  <conditionalFormatting sqref="C76">
    <cfRule type="cellIs" dxfId="6792" priority="8591" stopIfTrue="1" operator="equal">
      <formula>"Towel"</formula>
    </cfRule>
  </conditionalFormatting>
  <conditionalFormatting sqref="C76">
    <cfRule type="cellIs" dxfId="6791" priority="8709" stopIfTrue="1" operator="equal">
      <formula>"Towel"</formula>
    </cfRule>
    <cfRule type="cellIs" dxfId="6790" priority="8710" stopIfTrue="1" operator="equal">
      <formula>"Napkin Hs"</formula>
    </cfRule>
  </conditionalFormatting>
  <conditionalFormatting sqref="C76">
    <cfRule type="cellIs" dxfId="6789" priority="8708" stopIfTrue="1" operator="equal">
      <formula>"Napkin Hs"</formula>
    </cfRule>
  </conditionalFormatting>
  <conditionalFormatting sqref="C76">
    <cfRule type="cellIs" dxfId="6788" priority="8707" stopIfTrue="1" operator="equal">
      <formula>"Towel"</formula>
    </cfRule>
  </conditionalFormatting>
  <conditionalFormatting sqref="C76">
    <cfRule type="cellIs" dxfId="6787" priority="8706" stopIfTrue="1" operator="equal">
      <formula>"Napkin Hs"</formula>
    </cfRule>
  </conditionalFormatting>
  <conditionalFormatting sqref="C76">
    <cfRule type="cellIs" dxfId="6786" priority="8703" stopIfTrue="1" operator="equal">
      <formula>"Towel"</formula>
    </cfRule>
    <cfRule type="cellIs" dxfId="6785" priority="8704" stopIfTrue="1" operator="equal">
      <formula>"Napkin Hs"</formula>
    </cfRule>
  </conditionalFormatting>
  <conditionalFormatting sqref="C76">
    <cfRule type="cellIs" dxfId="6784" priority="8705" stopIfTrue="1" operator="equal">
      <formula>"Towel"</formula>
    </cfRule>
  </conditionalFormatting>
  <conditionalFormatting sqref="C76">
    <cfRule type="cellIs" dxfId="6783" priority="8713" stopIfTrue="1" operator="equal">
      <formula>"Towel"</formula>
    </cfRule>
    <cfRule type="cellIs" dxfId="6782" priority="8714" stopIfTrue="1" operator="equal">
      <formula>"Napkin Hs"</formula>
    </cfRule>
  </conditionalFormatting>
  <conditionalFormatting sqref="C76">
    <cfRule type="cellIs" dxfId="6781" priority="8711" stopIfTrue="1" operator="equal">
      <formula>"Towel"</formula>
    </cfRule>
    <cfRule type="cellIs" dxfId="6780" priority="8712" stopIfTrue="1" operator="equal">
      <formula>"Napkin Hs"</formula>
    </cfRule>
  </conditionalFormatting>
  <conditionalFormatting sqref="C76">
    <cfRule type="cellIs" dxfId="6779" priority="8683" stopIfTrue="1" operator="equal">
      <formula>"Towel"</formula>
    </cfRule>
    <cfRule type="cellIs" dxfId="6778" priority="8684" stopIfTrue="1" operator="equal">
      <formula>"Napkin Hs"</formula>
    </cfRule>
  </conditionalFormatting>
  <conditionalFormatting sqref="C76">
    <cfRule type="cellIs" dxfId="6777" priority="8681" stopIfTrue="1" operator="equal">
      <formula>"Towel"</formula>
    </cfRule>
    <cfRule type="cellIs" dxfId="6776" priority="8682" stopIfTrue="1" operator="equal">
      <formula>"Napkin Hs"</formula>
    </cfRule>
  </conditionalFormatting>
  <conditionalFormatting sqref="C76">
    <cfRule type="cellIs" dxfId="6775" priority="8660" stopIfTrue="1" operator="equal">
      <formula>"Napkin Hs"</formula>
    </cfRule>
  </conditionalFormatting>
  <conditionalFormatting sqref="C76">
    <cfRule type="cellIs" dxfId="6774" priority="8659" stopIfTrue="1" operator="equal">
      <formula>"Towel"</formula>
    </cfRule>
  </conditionalFormatting>
  <conditionalFormatting sqref="C76">
    <cfRule type="cellIs" dxfId="6773" priority="8658" stopIfTrue="1" operator="equal">
      <formula>"Napkin Hs"</formula>
    </cfRule>
  </conditionalFormatting>
  <conditionalFormatting sqref="C76">
    <cfRule type="cellIs" dxfId="6772" priority="8657" stopIfTrue="1" operator="equal">
      <formula>"Towel"</formula>
    </cfRule>
  </conditionalFormatting>
  <conditionalFormatting sqref="C76">
    <cfRule type="cellIs" dxfId="6771" priority="8654" stopIfTrue="1" operator="equal">
      <formula>"Napkin Hs"</formula>
    </cfRule>
  </conditionalFormatting>
  <conditionalFormatting sqref="C76">
    <cfRule type="cellIs" dxfId="6770" priority="8653" stopIfTrue="1" operator="equal">
      <formula>"Towel"</formula>
    </cfRule>
  </conditionalFormatting>
  <conditionalFormatting sqref="C76">
    <cfRule type="cellIs" dxfId="6769" priority="8652" stopIfTrue="1" operator="equal">
      <formula>"Napkin Hs"</formula>
    </cfRule>
  </conditionalFormatting>
  <conditionalFormatting sqref="C76">
    <cfRule type="cellIs" dxfId="6768" priority="8651" stopIfTrue="1" operator="equal">
      <formula>"Towel"</formula>
    </cfRule>
  </conditionalFormatting>
  <conditionalFormatting sqref="C76">
    <cfRule type="cellIs" dxfId="6767" priority="8647" stopIfTrue="1" operator="equal">
      <formula>"Towel"</formula>
    </cfRule>
    <cfRule type="cellIs" dxfId="6766" priority="8648" stopIfTrue="1" operator="equal">
      <formula>"Napkin Hs"</formula>
    </cfRule>
  </conditionalFormatting>
  <conditionalFormatting sqref="C76">
    <cfRule type="cellIs" dxfId="6765" priority="8645" stopIfTrue="1" operator="equal">
      <formula>"Towel"</formula>
    </cfRule>
    <cfRule type="cellIs" dxfId="6764" priority="8646" stopIfTrue="1" operator="equal">
      <formula>"Napkin Hs"</formula>
    </cfRule>
  </conditionalFormatting>
  <conditionalFormatting sqref="C76">
    <cfRule type="cellIs" dxfId="6763" priority="8629" stopIfTrue="1" operator="equal">
      <formula>"Towel"</formula>
    </cfRule>
    <cfRule type="cellIs" dxfId="6762" priority="8630" stopIfTrue="1" operator="equal">
      <formula>"Napkin Hs"</formula>
    </cfRule>
  </conditionalFormatting>
  <conditionalFormatting sqref="C76">
    <cfRule type="cellIs" dxfId="6761" priority="8627" stopIfTrue="1" operator="equal">
      <formula>"Towel"</formula>
    </cfRule>
    <cfRule type="cellIs" dxfId="6760" priority="8628" stopIfTrue="1" operator="equal">
      <formula>"Napkin Hs"</formula>
    </cfRule>
  </conditionalFormatting>
  <conditionalFormatting sqref="B76:C76">
    <cfRule type="cellIs" dxfId="6759" priority="8588" stopIfTrue="1" operator="equal">
      <formula>"Napkin Hs"</formula>
    </cfRule>
  </conditionalFormatting>
  <conditionalFormatting sqref="B76:C76">
    <cfRule type="cellIs" dxfId="6758" priority="8587" stopIfTrue="1" operator="equal">
      <formula>"Towel"</formula>
    </cfRule>
  </conditionalFormatting>
  <conditionalFormatting sqref="C76">
    <cfRule type="cellIs" dxfId="6757" priority="8586" stopIfTrue="1" operator="equal">
      <formula>"Napkin Hs"</formula>
    </cfRule>
  </conditionalFormatting>
  <conditionalFormatting sqref="C76">
    <cfRule type="cellIs" dxfId="6756" priority="8583" stopIfTrue="1" operator="equal">
      <formula>"Towel"</formula>
    </cfRule>
    <cfRule type="cellIs" dxfId="6755" priority="8584" stopIfTrue="1" operator="equal">
      <formula>"Napkin Hs"</formula>
    </cfRule>
  </conditionalFormatting>
  <conditionalFormatting sqref="C76">
    <cfRule type="cellIs" dxfId="6754" priority="8585" stopIfTrue="1" operator="equal">
      <formula>"Towel"</formula>
    </cfRule>
  </conditionalFormatting>
  <conditionalFormatting sqref="C74:C76">
    <cfRule type="cellIs" dxfId="6753" priority="8499" stopIfTrue="1" operator="equal">
      <formula>"Towel"</formula>
    </cfRule>
    <cfRule type="cellIs" dxfId="6752" priority="8500" stopIfTrue="1" operator="equal">
      <formula>"Napkin Hs"</formula>
    </cfRule>
  </conditionalFormatting>
  <conditionalFormatting sqref="C74:C76">
    <cfRule type="cellIs" dxfId="6751" priority="8493" stopIfTrue="1" operator="equal">
      <formula>"Towel"</formula>
    </cfRule>
    <cfRule type="cellIs" dxfId="6750" priority="8494" stopIfTrue="1" operator="equal">
      <formula>"Napkin Hs"</formula>
    </cfRule>
  </conditionalFormatting>
  <conditionalFormatting sqref="C74:C76">
    <cfRule type="cellIs" dxfId="6749" priority="8474" stopIfTrue="1" operator="equal">
      <formula>"Napkin Hs"</formula>
    </cfRule>
  </conditionalFormatting>
  <conditionalFormatting sqref="C74:C76">
    <cfRule type="cellIs" dxfId="6748" priority="8473" stopIfTrue="1" operator="equal">
      <formula>"Towel"</formula>
    </cfRule>
  </conditionalFormatting>
  <conditionalFormatting sqref="C74:C76">
    <cfRule type="cellIs" dxfId="6747" priority="8472" stopIfTrue="1" operator="equal">
      <formula>"Napkin Hs"</formula>
    </cfRule>
  </conditionalFormatting>
  <conditionalFormatting sqref="C74:C76">
    <cfRule type="cellIs" dxfId="6746" priority="8469" stopIfTrue="1" operator="equal">
      <formula>"Towel"</formula>
    </cfRule>
    <cfRule type="cellIs" dxfId="6745" priority="8470" stopIfTrue="1" operator="equal">
      <formula>"Napkin Hs"</formula>
    </cfRule>
  </conditionalFormatting>
  <conditionalFormatting sqref="C74:C76">
    <cfRule type="cellIs" dxfId="6744" priority="8471" stopIfTrue="1" operator="equal">
      <formula>"Towel"</formula>
    </cfRule>
  </conditionalFormatting>
  <conditionalFormatting sqref="C74:C76">
    <cfRule type="cellIs" dxfId="6743" priority="8468" stopIfTrue="1" operator="equal">
      <formula>"Napkin Hs"</formula>
    </cfRule>
  </conditionalFormatting>
  <conditionalFormatting sqref="C74:C76">
    <cfRule type="cellIs" dxfId="6742" priority="8467" stopIfTrue="1" operator="equal">
      <formula>"Towel"</formula>
    </cfRule>
  </conditionalFormatting>
  <conditionalFormatting sqref="C74:C76">
    <cfRule type="cellIs" dxfId="6741" priority="8466" stopIfTrue="1" operator="equal">
      <formula>"Napkin Hs"</formula>
    </cfRule>
  </conditionalFormatting>
  <conditionalFormatting sqref="C74:C76">
    <cfRule type="cellIs" dxfId="6740" priority="8463" stopIfTrue="1" operator="equal">
      <formula>"Towel"</formula>
    </cfRule>
    <cfRule type="cellIs" dxfId="6739" priority="8464" stopIfTrue="1" operator="equal">
      <formula>"Napkin Hs"</formula>
    </cfRule>
  </conditionalFormatting>
  <conditionalFormatting sqref="C74:C76">
    <cfRule type="cellIs" dxfId="6738" priority="8465" stopIfTrue="1" operator="equal">
      <formula>"Towel"</formula>
    </cfRule>
  </conditionalFormatting>
  <conditionalFormatting sqref="C74:C76">
    <cfRule type="cellIs" dxfId="6737" priority="8569" stopIfTrue="1" operator="equal">
      <formula>"Towel"</formula>
    </cfRule>
    <cfRule type="cellIs" dxfId="6736" priority="8570" stopIfTrue="1" operator="equal">
      <formula>"Napkin Hs"</formula>
    </cfRule>
  </conditionalFormatting>
  <conditionalFormatting sqref="C74:C76">
    <cfRule type="cellIs" dxfId="6735" priority="8567" stopIfTrue="1" operator="equal">
      <formula>"Towel"</formula>
    </cfRule>
    <cfRule type="cellIs" dxfId="6734" priority="8568" stopIfTrue="1" operator="equal">
      <formula>"Napkin Hs"</formula>
    </cfRule>
  </conditionalFormatting>
  <conditionalFormatting sqref="C74:C76">
    <cfRule type="cellIs" dxfId="6733" priority="8565" stopIfTrue="1" operator="equal">
      <formula>"Towel"</formula>
    </cfRule>
    <cfRule type="cellIs" dxfId="6732" priority="8566" stopIfTrue="1" operator="equal">
      <formula>"Napkin Hs"</formula>
    </cfRule>
  </conditionalFormatting>
  <conditionalFormatting sqref="C74:C76">
    <cfRule type="cellIs" dxfId="6731" priority="8564" stopIfTrue="1" operator="equal">
      <formula>"Napkin Hs"</formula>
    </cfRule>
  </conditionalFormatting>
  <conditionalFormatting sqref="C74:C76">
    <cfRule type="cellIs" dxfId="6730" priority="8563" stopIfTrue="1" operator="equal">
      <formula>"Towel"</formula>
    </cfRule>
  </conditionalFormatting>
  <conditionalFormatting sqref="C74:C76">
    <cfRule type="cellIs" dxfId="6729" priority="8562" stopIfTrue="1" operator="equal">
      <formula>"Napkin Hs"</formula>
    </cfRule>
  </conditionalFormatting>
  <conditionalFormatting sqref="C74:C76">
    <cfRule type="cellIs" dxfId="6728" priority="8561" stopIfTrue="1" operator="equal">
      <formula>"Towel"</formula>
    </cfRule>
  </conditionalFormatting>
  <conditionalFormatting sqref="C74:C76">
    <cfRule type="cellIs" dxfId="6727" priority="8559" stopIfTrue="1" operator="equal">
      <formula>"Towel"</formula>
    </cfRule>
    <cfRule type="cellIs" dxfId="6726" priority="8560" stopIfTrue="1" operator="equal">
      <formula>"Napkin Hs"</formula>
    </cfRule>
  </conditionalFormatting>
  <conditionalFormatting sqref="C74:C76">
    <cfRule type="cellIs" dxfId="6725" priority="8557" stopIfTrue="1" operator="equal">
      <formula>"Towel"</formula>
    </cfRule>
    <cfRule type="cellIs" dxfId="6724" priority="8558" stopIfTrue="1" operator="equal">
      <formula>"Napkin Hs"</formula>
    </cfRule>
  </conditionalFormatting>
  <conditionalFormatting sqref="C74:C76">
    <cfRule type="cellIs" dxfId="6723" priority="8553" stopIfTrue="1" operator="equal">
      <formula>"Towel"</formula>
    </cfRule>
    <cfRule type="cellIs" dxfId="6722" priority="8554" stopIfTrue="1" operator="equal">
      <formula>"Napkin Hs"</formula>
    </cfRule>
  </conditionalFormatting>
  <conditionalFormatting sqref="C74:C76">
    <cfRule type="cellIs" dxfId="6721" priority="8555" stopIfTrue="1" operator="equal">
      <formula>"Towel"</formula>
    </cfRule>
    <cfRule type="cellIs" dxfId="6720" priority="8556" stopIfTrue="1" operator="equal">
      <formula>"Napkin Hs"</formula>
    </cfRule>
  </conditionalFormatting>
  <conditionalFormatting sqref="C74:C76">
    <cfRule type="cellIs" dxfId="6719" priority="8547" stopIfTrue="1" operator="equal">
      <formula>"Towel"</formula>
    </cfRule>
    <cfRule type="cellIs" dxfId="6718" priority="8548" stopIfTrue="1" operator="equal">
      <formula>"Napkin Hs"</formula>
    </cfRule>
  </conditionalFormatting>
  <conditionalFormatting sqref="C74:C76">
    <cfRule type="cellIs" dxfId="6717" priority="8545" stopIfTrue="1" operator="equal">
      <formula>"Towel"</formula>
    </cfRule>
    <cfRule type="cellIs" dxfId="6716" priority="8546" stopIfTrue="1" operator="equal">
      <formula>"Napkin Hs"</formula>
    </cfRule>
  </conditionalFormatting>
  <conditionalFormatting sqref="C74:C76">
    <cfRule type="cellIs" dxfId="6715" priority="8543" stopIfTrue="1" operator="equal">
      <formula>"Towel"</formula>
    </cfRule>
    <cfRule type="cellIs" dxfId="6714" priority="8544" stopIfTrue="1" operator="equal">
      <formula>"Napkin Hs"</formula>
    </cfRule>
  </conditionalFormatting>
  <conditionalFormatting sqref="C74:C76">
    <cfRule type="cellIs" dxfId="6713" priority="8541" stopIfTrue="1" operator="equal">
      <formula>"Towel"</formula>
    </cfRule>
    <cfRule type="cellIs" dxfId="6712" priority="8542" stopIfTrue="1" operator="equal">
      <formula>"Napkin Hs"</formula>
    </cfRule>
  </conditionalFormatting>
  <conditionalFormatting sqref="C74:C76">
    <cfRule type="cellIs" dxfId="6711" priority="8539" stopIfTrue="1" operator="equal">
      <formula>"Towel"</formula>
    </cfRule>
    <cfRule type="cellIs" dxfId="6710" priority="8540" stopIfTrue="1" operator="equal">
      <formula>"Napkin Hs"</formula>
    </cfRule>
  </conditionalFormatting>
  <conditionalFormatting sqref="C74:C76">
    <cfRule type="cellIs" dxfId="6709" priority="8537" stopIfTrue="1" operator="equal">
      <formula>"Towel"</formula>
    </cfRule>
    <cfRule type="cellIs" dxfId="6708" priority="8538" stopIfTrue="1" operator="equal">
      <formula>"Napkin Hs"</formula>
    </cfRule>
  </conditionalFormatting>
  <conditionalFormatting sqref="C74:C76">
    <cfRule type="cellIs" dxfId="6707" priority="8535" stopIfTrue="1" operator="equal">
      <formula>"Towel"</formula>
    </cfRule>
    <cfRule type="cellIs" dxfId="6706" priority="8536" stopIfTrue="1" operator="equal">
      <formula>"Napkin Hs"</formula>
    </cfRule>
  </conditionalFormatting>
  <conditionalFormatting sqref="C74:C76">
    <cfRule type="cellIs" dxfId="6705" priority="8533" stopIfTrue="1" operator="equal">
      <formula>"Towel"</formula>
    </cfRule>
    <cfRule type="cellIs" dxfId="6704" priority="8534" stopIfTrue="1" operator="equal">
      <formula>"Napkin Hs"</formula>
    </cfRule>
  </conditionalFormatting>
  <conditionalFormatting sqref="C74:C76">
    <cfRule type="cellIs" dxfId="6703" priority="8531" stopIfTrue="1" operator="equal">
      <formula>"Towel"</formula>
    </cfRule>
    <cfRule type="cellIs" dxfId="6702" priority="8532" stopIfTrue="1" operator="equal">
      <formula>"Napkin Hs"</formula>
    </cfRule>
  </conditionalFormatting>
  <conditionalFormatting sqref="C74:C76">
    <cfRule type="cellIs" dxfId="6701" priority="8529" stopIfTrue="1" operator="equal">
      <formula>"Towel"</formula>
    </cfRule>
    <cfRule type="cellIs" dxfId="6700" priority="8530" stopIfTrue="1" operator="equal">
      <formula>"Napkin Hs"</formula>
    </cfRule>
  </conditionalFormatting>
  <conditionalFormatting sqref="C74:C76">
    <cfRule type="cellIs" dxfId="6699" priority="8523" stopIfTrue="1" operator="equal">
      <formula>"Towel"</formula>
    </cfRule>
    <cfRule type="cellIs" dxfId="6698" priority="8524" stopIfTrue="1" operator="equal">
      <formula>"Napkin Hs"</formula>
    </cfRule>
  </conditionalFormatting>
  <conditionalFormatting sqref="C74:C76">
    <cfRule type="cellIs" dxfId="6697" priority="8517" stopIfTrue="1" operator="equal">
      <formula>"Towel"</formula>
    </cfRule>
    <cfRule type="cellIs" dxfId="6696" priority="8518" stopIfTrue="1" operator="equal">
      <formula>"Napkin Hs"</formula>
    </cfRule>
  </conditionalFormatting>
  <conditionalFormatting sqref="C74:C76">
    <cfRule type="cellIs" dxfId="6695" priority="8511" stopIfTrue="1" operator="equal">
      <formula>"Towel"</formula>
    </cfRule>
    <cfRule type="cellIs" dxfId="6694" priority="8512" stopIfTrue="1" operator="equal">
      <formula>"Napkin Hs"</formula>
    </cfRule>
  </conditionalFormatting>
  <conditionalFormatting sqref="C74:C76">
    <cfRule type="cellIs" dxfId="6693" priority="8510" stopIfTrue="1" operator="equal">
      <formula>"Napkin Hs"</formula>
    </cfRule>
  </conditionalFormatting>
  <conditionalFormatting sqref="C74:C76">
    <cfRule type="cellIs" dxfId="6692" priority="8509" stopIfTrue="1" operator="equal">
      <formula>"Towel"</formula>
    </cfRule>
  </conditionalFormatting>
  <conditionalFormatting sqref="C74:C76">
    <cfRule type="cellIs" dxfId="6691" priority="8508" stopIfTrue="1" operator="equal">
      <formula>"Napkin Hs"</formula>
    </cfRule>
  </conditionalFormatting>
  <conditionalFormatting sqref="C74:C76">
    <cfRule type="cellIs" dxfId="6690" priority="8507" stopIfTrue="1" operator="equal">
      <formula>"Towel"</formula>
    </cfRule>
  </conditionalFormatting>
  <conditionalFormatting sqref="C74:C76">
    <cfRule type="cellIs" dxfId="6689" priority="8505" stopIfTrue="1" operator="equal">
      <formula>"Towel"</formula>
    </cfRule>
    <cfRule type="cellIs" dxfId="6688" priority="8506" stopIfTrue="1" operator="equal">
      <formula>"Napkin Hs"</formula>
    </cfRule>
  </conditionalFormatting>
  <conditionalFormatting sqref="C74:C76">
    <cfRule type="cellIs" dxfId="6687" priority="8503" stopIfTrue="1" operator="equal">
      <formula>"Towel"</formula>
    </cfRule>
    <cfRule type="cellIs" dxfId="6686" priority="8504" stopIfTrue="1" operator="equal">
      <formula>"Napkin Hs"</formula>
    </cfRule>
  </conditionalFormatting>
  <conditionalFormatting sqref="C74:C76">
    <cfRule type="cellIs" dxfId="6685" priority="8501" stopIfTrue="1" operator="equal">
      <formula>"Towel"</formula>
    </cfRule>
    <cfRule type="cellIs" dxfId="6684" priority="8502" stopIfTrue="1" operator="equal">
      <formula>"Napkin Hs"</formula>
    </cfRule>
  </conditionalFormatting>
  <conditionalFormatting sqref="C74:C76">
    <cfRule type="cellIs" dxfId="6683" priority="8491" stopIfTrue="1" operator="equal">
      <formula>"Towel"</formula>
    </cfRule>
    <cfRule type="cellIs" dxfId="6682" priority="8492" stopIfTrue="1" operator="equal">
      <formula>"Napkin Hs"</formula>
    </cfRule>
  </conditionalFormatting>
  <conditionalFormatting sqref="C74:C76">
    <cfRule type="cellIs" dxfId="6681" priority="8489" stopIfTrue="1" operator="equal">
      <formula>"Towel"</formula>
    </cfRule>
    <cfRule type="cellIs" dxfId="6680" priority="8490" stopIfTrue="1" operator="equal">
      <formula>"Napkin Hs"</formula>
    </cfRule>
  </conditionalFormatting>
  <conditionalFormatting sqref="C74:C76">
    <cfRule type="cellIs" dxfId="6679" priority="8487" stopIfTrue="1" operator="equal">
      <formula>"Towel"</formula>
    </cfRule>
    <cfRule type="cellIs" dxfId="6678" priority="8488" stopIfTrue="1" operator="equal">
      <formula>"Napkin Hs"</formula>
    </cfRule>
  </conditionalFormatting>
  <conditionalFormatting sqref="C74:C76">
    <cfRule type="cellIs" dxfId="6677" priority="8485" stopIfTrue="1" operator="equal">
      <formula>"Towel"</formula>
    </cfRule>
    <cfRule type="cellIs" dxfId="6676" priority="8486" stopIfTrue="1" operator="equal">
      <formula>"Napkin Hs"</formula>
    </cfRule>
  </conditionalFormatting>
  <conditionalFormatting sqref="C74:C76">
    <cfRule type="cellIs" dxfId="6675" priority="8483" stopIfTrue="1" operator="equal">
      <formula>"Towel"</formula>
    </cfRule>
    <cfRule type="cellIs" dxfId="6674" priority="8484" stopIfTrue="1" operator="equal">
      <formula>"Napkin Hs"</formula>
    </cfRule>
  </conditionalFormatting>
  <conditionalFormatting sqref="C74:C76">
    <cfRule type="cellIs" dxfId="6673" priority="8481" stopIfTrue="1" operator="equal">
      <formula>"Towel"</formula>
    </cfRule>
    <cfRule type="cellIs" dxfId="6672" priority="8482" stopIfTrue="1" operator="equal">
      <formula>"Napkin Hs"</formula>
    </cfRule>
  </conditionalFormatting>
  <conditionalFormatting sqref="C74:C76">
    <cfRule type="cellIs" dxfId="6671" priority="8479" stopIfTrue="1" operator="equal">
      <formula>"Towel"</formula>
    </cfRule>
    <cfRule type="cellIs" dxfId="6670" priority="8480" stopIfTrue="1" operator="equal">
      <formula>"Napkin Hs"</formula>
    </cfRule>
  </conditionalFormatting>
  <conditionalFormatting sqref="C74:C76">
    <cfRule type="cellIs" dxfId="6669" priority="8477" stopIfTrue="1" operator="equal">
      <formula>"Towel"</formula>
    </cfRule>
    <cfRule type="cellIs" dxfId="6668" priority="8478" stopIfTrue="1" operator="equal">
      <formula>"Napkin Hs"</formula>
    </cfRule>
  </conditionalFormatting>
  <conditionalFormatting sqref="C74:C76">
    <cfRule type="cellIs" dxfId="6667" priority="8475" stopIfTrue="1" operator="equal">
      <formula>"Towel"</formula>
    </cfRule>
    <cfRule type="cellIs" dxfId="6666" priority="8476" stopIfTrue="1" operator="equal">
      <formula>"Napkin Hs"</formula>
    </cfRule>
  </conditionalFormatting>
  <conditionalFormatting sqref="C74:C76">
    <cfRule type="cellIs" dxfId="6665" priority="8462" stopIfTrue="1" operator="equal">
      <formula>"Napkin Hs"</formula>
    </cfRule>
  </conditionalFormatting>
  <conditionalFormatting sqref="C74:C76">
    <cfRule type="cellIs" dxfId="6664" priority="8461" stopIfTrue="1" operator="equal">
      <formula>"Towel"</formula>
    </cfRule>
  </conditionalFormatting>
  <conditionalFormatting sqref="C74:C76">
    <cfRule type="cellIs" dxfId="6663" priority="8460" stopIfTrue="1" operator="equal">
      <formula>"Napkin Hs"</formula>
    </cfRule>
  </conditionalFormatting>
  <conditionalFormatting sqref="C74:C76">
    <cfRule type="cellIs" dxfId="6662" priority="8457" stopIfTrue="1" operator="equal">
      <formula>"Towel"</formula>
    </cfRule>
    <cfRule type="cellIs" dxfId="6661" priority="8458" stopIfTrue="1" operator="equal">
      <formula>"Napkin Hs"</formula>
    </cfRule>
  </conditionalFormatting>
  <conditionalFormatting sqref="C74:C76">
    <cfRule type="cellIs" dxfId="6660" priority="8459" stopIfTrue="1" operator="equal">
      <formula>"Towel"</formula>
    </cfRule>
  </conditionalFormatting>
  <conditionalFormatting sqref="C74:C76">
    <cfRule type="cellIs" dxfId="6659" priority="8577" stopIfTrue="1" operator="equal">
      <formula>"Towel"</formula>
    </cfRule>
    <cfRule type="cellIs" dxfId="6658" priority="8578" stopIfTrue="1" operator="equal">
      <formula>"Napkin Hs"</formula>
    </cfRule>
  </conditionalFormatting>
  <conditionalFormatting sqref="C74:C76">
    <cfRule type="cellIs" dxfId="6657" priority="8576" stopIfTrue="1" operator="equal">
      <formula>"Napkin Hs"</formula>
    </cfRule>
  </conditionalFormatting>
  <conditionalFormatting sqref="C74:C76">
    <cfRule type="cellIs" dxfId="6656" priority="8575" stopIfTrue="1" operator="equal">
      <formula>"Towel"</formula>
    </cfRule>
  </conditionalFormatting>
  <conditionalFormatting sqref="C74:C76">
    <cfRule type="cellIs" dxfId="6655" priority="8574" stopIfTrue="1" operator="equal">
      <formula>"Napkin Hs"</formula>
    </cfRule>
  </conditionalFormatting>
  <conditionalFormatting sqref="C74:C76">
    <cfRule type="cellIs" dxfId="6654" priority="8571" stopIfTrue="1" operator="equal">
      <formula>"Towel"</formula>
    </cfRule>
    <cfRule type="cellIs" dxfId="6653" priority="8572" stopIfTrue="1" operator="equal">
      <formula>"Napkin Hs"</formula>
    </cfRule>
  </conditionalFormatting>
  <conditionalFormatting sqref="C74:C76">
    <cfRule type="cellIs" dxfId="6652" priority="8573" stopIfTrue="1" operator="equal">
      <formula>"Towel"</formula>
    </cfRule>
  </conditionalFormatting>
  <conditionalFormatting sqref="C74:C76">
    <cfRule type="cellIs" dxfId="6651" priority="8581" stopIfTrue="1" operator="equal">
      <formula>"Towel"</formula>
    </cfRule>
    <cfRule type="cellIs" dxfId="6650" priority="8582" stopIfTrue="1" operator="equal">
      <formula>"Napkin Hs"</formula>
    </cfRule>
  </conditionalFormatting>
  <conditionalFormatting sqref="C74:C76">
    <cfRule type="cellIs" dxfId="6649" priority="8579" stopIfTrue="1" operator="equal">
      <formula>"Towel"</formula>
    </cfRule>
    <cfRule type="cellIs" dxfId="6648" priority="8580" stopIfTrue="1" operator="equal">
      <formula>"Napkin Hs"</formula>
    </cfRule>
  </conditionalFormatting>
  <conditionalFormatting sqref="C74:C76">
    <cfRule type="cellIs" dxfId="6647" priority="8551" stopIfTrue="1" operator="equal">
      <formula>"Towel"</formula>
    </cfRule>
    <cfRule type="cellIs" dxfId="6646" priority="8552" stopIfTrue="1" operator="equal">
      <formula>"Napkin Hs"</formula>
    </cfRule>
  </conditionalFormatting>
  <conditionalFormatting sqref="C74:C76">
    <cfRule type="cellIs" dxfId="6645" priority="8549" stopIfTrue="1" operator="equal">
      <formula>"Towel"</formula>
    </cfRule>
    <cfRule type="cellIs" dxfId="6644" priority="8550" stopIfTrue="1" operator="equal">
      <formula>"Napkin Hs"</formula>
    </cfRule>
  </conditionalFormatting>
  <conditionalFormatting sqref="C74:C76">
    <cfRule type="cellIs" dxfId="6643" priority="8528" stopIfTrue="1" operator="equal">
      <formula>"Napkin Hs"</formula>
    </cfRule>
  </conditionalFormatting>
  <conditionalFormatting sqref="C74:C76">
    <cfRule type="cellIs" dxfId="6642" priority="8527" stopIfTrue="1" operator="equal">
      <formula>"Towel"</formula>
    </cfRule>
  </conditionalFormatting>
  <conditionalFormatting sqref="C74:C76">
    <cfRule type="cellIs" dxfId="6641" priority="8526" stopIfTrue="1" operator="equal">
      <formula>"Napkin Hs"</formula>
    </cfRule>
  </conditionalFormatting>
  <conditionalFormatting sqref="C74:C76">
    <cfRule type="cellIs" dxfId="6640" priority="8525" stopIfTrue="1" operator="equal">
      <formula>"Towel"</formula>
    </cfRule>
  </conditionalFormatting>
  <conditionalFormatting sqref="C74:C76">
    <cfRule type="cellIs" dxfId="6639" priority="8522" stopIfTrue="1" operator="equal">
      <formula>"Napkin Hs"</formula>
    </cfRule>
  </conditionalFormatting>
  <conditionalFormatting sqref="C74:C76">
    <cfRule type="cellIs" dxfId="6638" priority="8521" stopIfTrue="1" operator="equal">
      <formula>"Towel"</formula>
    </cfRule>
  </conditionalFormatting>
  <conditionalFormatting sqref="C74:C76">
    <cfRule type="cellIs" dxfId="6637" priority="8520" stopIfTrue="1" operator="equal">
      <formula>"Napkin Hs"</formula>
    </cfRule>
  </conditionalFormatting>
  <conditionalFormatting sqref="C74:C76">
    <cfRule type="cellIs" dxfId="6636" priority="8519" stopIfTrue="1" operator="equal">
      <formula>"Towel"</formula>
    </cfRule>
  </conditionalFormatting>
  <conditionalFormatting sqref="C74:C76">
    <cfRule type="cellIs" dxfId="6635" priority="8515" stopIfTrue="1" operator="equal">
      <formula>"Towel"</formula>
    </cfRule>
    <cfRule type="cellIs" dxfId="6634" priority="8516" stopIfTrue="1" operator="equal">
      <formula>"Napkin Hs"</formula>
    </cfRule>
  </conditionalFormatting>
  <conditionalFormatting sqref="C74:C76">
    <cfRule type="cellIs" dxfId="6633" priority="8513" stopIfTrue="1" operator="equal">
      <formula>"Towel"</formula>
    </cfRule>
    <cfRule type="cellIs" dxfId="6632" priority="8514" stopIfTrue="1" operator="equal">
      <formula>"Napkin Hs"</formula>
    </cfRule>
  </conditionalFormatting>
  <conditionalFormatting sqref="C74:C76">
    <cfRule type="cellIs" dxfId="6631" priority="8497" stopIfTrue="1" operator="equal">
      <formula>"Towel"</formula>
    </cfRule>
    <cfRule type="cellIs" dxfId="6630" priority="8498" stopIfTrue="1" operator="equal">
      <formula>"Napkin Hs"</formula>
    </cfRule>
  </conditionalFormatting>
  <conditionalFormatting sqref="C74:C76">
    <cfRule type="cellIs" dxfId="6629" priority="8495" stopIfTrue="1" operator="equal">
      <formula>"Towel"</formula>
    </cfRule>
    <cfRule type="cellIs" dxfId="6628" priority="8496" stopIfTrue="1" operator="equal">
      <formula>"Napkin Hs"</formula>
    </cfRule>
  </conditionalFormatting>
  <conditionalFormatting sqref="B74:C76">
    <cfRule type="cellIs" dxfId="6627" priority="8456" stopIfTrue="1" operator="equal">
      <formula>"Napkin Hs"</formula>
    </cfRule>
  </conditionalFormatting>
  <conditionalFormatting sqref="B74:C76">
    <cfRule type="cellIs" dxfId="6626" priority="8455" stopIfTrue="1" operator="equal">
      <formula>"Towel"</formula>
    </cfRule>
  </conditionalFormatting>
  <conditionalFormatting sqref="C74:C76">
    <cfRule type="cellIs" dxfId="6625" priority="8454" stopIfTrue="1" operator="equal">
      <formula>"Napkin Hs"</formula>
    </cfRule>
  </conditionalFormatting>
  <conditionalFormatting sqref="C74:C76">
    <cfRule type="cellIs" dxfId="6624" priority="8451" stopIfTrue="1" operator="equal">
      <formula>"Towel"</formula>
    </cfRule>
    <cfRule type="cellIs" dxfId="6623" priority="8452" stopIfTrue="1" operator="equal">
      <formula>"Napkin Hs"</formula>
    </cfRule>
  </conditionalFormatting>
  <conditionalFormatting sqref="C74:C76">
    <cfRule type="cellIs" dxfId="6622" priority="8453" stopIfTrue="1" operator="equal">
      <formula>"Towel"</formula>
    </cfRule>
  </conditionalFormatting>
  <conditionalFormatting sqref="B76:C76">
    <cfRule type="cellIs" dxfId="6621" priority="8450" stopIfTrue="1" operator="equal">
      <formula>"Napkin Hs"</formula>
    </cfRule>
  </conditionalFormatting>
  <conditionalFormatting sqref="B76:C76">
    <cfRule type="cellIs" dxfId="6620" priority="8449" stopIfTrue="1" operator="equal">
      <formula>"Towel"</formula>
    </cfRule>
  </conditionalFormatting>
  <conditionalFormatting sqref="B75:C75">
    <cfRule type="cellIs" dxfId="6619" priority="8445" stopIfTrue="1" operator="equal">
      <formula>"Towel"</formula>
    </cfRule>
    <cfRule type="cellIs" dxfId="6618" priority="8446" stopIfTrue="1" operator="equal">
      <formula>"Napkin Hs"</formula>
    </cfRule>
  </conditionalFormatting>
  <conditionalFormatting sqref="C76">
    <cfRule type="cellIs" dxfId="6617" priority="8448" stopIfTrue="1" operator="equal">
      <formula>"Napkin Hs"</formula>
    </cfRule>
  </conditionalFormatting>
  <conditionalFormatting sqref="C76">
    <cfRule type="cellIs" dxfId="6616" priority="8447" stopIfTrue="1" operator="equal">
      <formula>"Towel"</formula>
    </cfRule>
  </conditionalFormatting>
  <conditionalFormatting sqref="C75">
    <cfRule type="cellIs" dxfId="6615" priority="8443" stopIfTrue="1" operator="equal">
      <formula>"Towel"</formula>
    </cfRule>
    <cfRule type="cellIs" dxfId="6614" priority="8444" stopIfTrue="1" operator="equal">
      <formula>"Napkin Hs"</formula>
    </cfRule>
  </conditionalFormatting>
  <conditionalFormatting sqref="B77:C77">
    <cfRule type="cellIs" dxfId="6613" priority="8441" stopIfTrue="1" operator="equal">
      <formula>"Towel"</formula>
    </cfRule>
    <cfRule type="cellIs" dxfId="6612" priority="8442" stopIfTrue="1" operator="equal">
      <formula>"Napkin Hs"</formula>
    </cfRule>
  </conditionalFormatting>
  <conditionalFormatting sqref="C77">
    <cfRule type="cellIs" dxfId="6611" priority="8437" stopIfTrue="1" operator="equal">
      <formula>"Towel"</formula>
    </cfRule>
    <cfRule type="cellIs" dxfId="6610" priority="8438" stopIfTrue="1" operator="equal">
      <formula>"Napkin Hs"</formula>
    </cfRule>
  </conditionalFormatting>
  <conditionalFormatting sqref="C77">
    <cfRule type="cellIs" dxfId="6609" priority="8439" stopIfTrue="1" operator="equal">
      <formula>"Towel"</formula>
    </cfRule>
    <cfRule type="cellIs" dxfId="6608" priority="8440" stopIfTrue="1" operator="equal">
      <formula>"Napkin Hs"</formula>
    </cfRule>
  </conditionalFormatting>
  <conditionalFormatting sqref="B77:C77">
    <cfRule type="cellIs" dxfId="6607" priority="8436" stopIfTrue="1" operator="equal">
      <formula>"Napkin Hs"</formula>
    </cfRule>
  </conditionalFormatting>
  <conditionalFormatting sqref="B77:C77">
    <cfRule type="cellIs" dxfId="6606" priority="8435" stopIfTrue="1" operator="equal">
      <formula>"Towel"</formula>
    </cfRule>
  </conditionalFormatting>
  <conditionalFormatting sqref="C77">
    <cfRule type="cellIs" dxfId="6605" priority="8434" stopIfTrue="1" operator="equal">
      <formula>"Napkin Hs"</formula>
    </cfRule>
  </conditionalFormatting>
  <conditionalFormatting sqref="C77">
    <cfRule type="cellIs" dxfId="6604" priority="8433" stopIfTrue="1" operator="equal">
      <formula>"Towel"</formula>
    </cfRule>
  </conditionalFormatting>
  <conditionalFormatting sqref="C77">
    <cfRule type="cellIs" dxfId="6603" priority="8431" stopIfTrue="1" operator="equal">
      <formula>"Towel"</formula>
    </cfRule>
    <cfRule type="cellIs" dxfId="6602" priority="8432" stopIfTrue="1" operator="equal">
      <formula>"Napkin Hs"</formula>
    </cfRule>
  </conditionalFormatting>
  <conditionalFormatting sqref="B77:C77">
    <cfRule type="cellIs" dxfId="6601" priority="8429" stopIfTrue="1" operator="equal">
      <formula>"Towel"</formula>
    </cfRule>
    <cfRule type="cellIs" dxfId="6600" priority="8430" stopIfTrue="1" operator="equal">
      <formula>"Napkin Hs"</formula>
    </cfRule>
  </conditionalFormatting>
  <conditionalFormatting sqref="C77">
    <cfRule type="cellIs" dxfId="6599" priority="8427" stopIfTrue="1" operator="equal">
      <formula>"Towel"</formula>
    </cfRule>
    <cfRule type="cellIs" dxfId="6598" priority="8428" stopIfTrue="1" operator="equal">
      <formula>"Napkin Hs"</formula>
    </cfRule>
  </conditionalFormatting>
  <conditionalFormatting sqref="C77">
    <cfRule type="cellIs" dxfId="6597" priority="8425" stopIfTrue="1" operator="equal">
      <formula>"Towel"</formula>
    </cfRule>
    <cfRule type="cellIs" dxfId="6596" priority="8426" stopIfTrue="1" operator="equal">
      <formula>"Napkin Hs"</formula>
    </cfRule>
  </conditionalFormatting>
  <conditionalFormatting sqref="B77:C77">
    <cfRule type="cellIs" dxfId="6595" priority="8423" stopIfTrue="1" operator="equal">
      <formula>"Towel"</formula>
    </cfRule>
    <cfRule type="cellIs" dxfId="6594" priority="8424" stopIfTrue="1" operator="equal">
      <formula>"Napkin Hs"</formula>
    </cfRule>
  </conditionalFormatting>
  <conditionalFormatting sqref="C77">
    <cfRule type="cellIs" dxfId="6593" priority="8421" stopIfTrue="1" operator="equal">
      <formula>"Towel"</formula>
    </cfRule>
    <cfRule type="cellIs" dxfId="6592" priority="8422" stopIfTrue="1" operator="equal">
      <formula>"Napkin Hs"</formula>
    </cfRule>
  </conditionalFormatting>
  <conditionalFormatting sqref="C77">
    <cfRule type="cellIs" dxfId="6591" priority="8419" stopIfTrue="1" operator="equal">
      <formula>"Towel"</formula>
    </cfRule>
    <cfRule type="cellIs" dxfId="6590" priority="8420" stopIfTrue="1" operator="equal">
      <formula>"Napkin Hs"</formula>
    </cfRule>
  </conditionalFormatting>
  <conditionalFormatting sqref="B77:C77">
    <cfRule type="cellIs" dxfId="6589" priority="8417" stopIfTrue="1" operator="equal">
      <formula>"Towel"</formula>
    </cfRule>
    <cfRule type="cellIs" dxfId="6588" priority="8418" stopIfTrue="1" operator="equal">
      <formula>"Napkin Hs"</formula>
    </cfRule>
  </conditionalFormatting>
  <conditionalFormatting sqref="C77">
    <cfRule type="cellIs" dxfId="6587" priority="8415" stopIfTrue="1" operator="equal">
      <formula>"Towel"</formula>
    </cfRule>
    <cfRule type="cellIs" dxfId="6586" priority="8416" stopIfTrue="1" operator="equal">
      <formula>"Napkin Hs"</formula>
    </cfRule>
  </conditionalFormatting>
  <conditionalFormatting sqref="C77">
    <cfRule type="cellIs" dxfId="6585" priority="8413" stopIfTrue="1" operator="equal">
      <formula>"Towel"</formula>
    </cfRule>
    <cfRule type="cellIs" dxfId="6584" priority="8414" stopIfTrue="1" operator="equal">
      <formula>"Napkin Hs"</formula>
    </cfRule>
  </conditionalFormatting>
  <conditionalFormatting sqref="B77:C77">
    <cfRule type="cellIs" dxfId="6583" priority="8411" stopIfTrue="1" operator="equal">
      <formula>"Towel"</formula>
    </cfRule>
    <cfRule type="cellIs" dxfId="6582" priority="8412" stopIfTrue="1" operator="equal">
      <formula>"Napkin Hs"</formula>
    </cfRule>
  </conditionalFormatting>
  <conditionalFormatting sqref="C77">
    <cfRule type="cellIs" dxfId="6581" priority="8409" stopIfTrue="1" operator="equal">
      <formula>"Towel"</formula>
    </cfRule>
    <cfRule type="cellIs" dxfId="6580" priority="8410" stopIfTrue="1" operator="equal">
      <formula>"Napkin Hs"</formula>
    </cfRule>
  </conditionalFormatting>
  <conditionalFormatting sqref="C77">
    <cfRule type="cellIs" dxfId="6579" priority="8407" stopIfTrue="1" operator="equal">
      <formula>"Towel"</formula>
    </cfRule>
    <cfRule type="cellIs" dxfId="6578" priority="8408" stopIfTrue="1" operator="equal">
      <formula>"Napkin Hs"</formula>
    </cfRule>
  </conditionalFormatting>
  <conditionalFormatting sqref="B77:C77">
    <cfRule type="cellIs" dxfId="6577" priority="8405" stopIfTrue="1" operator="equal">
      <formula>"Towel"</formula>
    </cfRule>
    <cfRule type="cellIs" dxfId="6576" priority="8406" stopIfTrue="1" operator="equal">
      <formula>"Napkin Hs"</formula>
    </cfRule>
  </conditionalFormatting>
  <conditionalFormatting sqref="C77">
    <cfRule type="cellIs" dxfId="6575" priority="8403" stopIfTrue="1" operator="equal">
      <formula>"Towel"</formula>
    </cfRule>
    <cfRule type="cellIs" dxfId="6574" priority="8404" stopIfTrue="1" operator="equal">
      <formula>"Napkin Hs"</formula>
    </cfRule>
  </conditionalFormatting>
  <conditionalFormatting sqref="C77">
    <cfRule type="cellIs" dxfId="6573" priority="8401" stopIfTrue="1" operator="equal">
      <formula>"Towel"</formula>
    </cfRule>
    <cfRule type="cellIs" dxfId="6572" priority="8402" stopIfTrue="1" operator="equal">
      <formula>"Napkin Hs"</formula>
    </cfRule>
  </conditionalFormatting>
  <conditionalFormatting sqref="B77:C77">
    <cfRule type="cellIs" dxfId="6571" priority="8400" stopIfTrue="1" operator="equal">
      <formula>"Napkin Hs"</formula>
    </cfRule>
  </conditionalFormatting>
  <conditionalFormatting sqref="B77:C77">
    <cfRule type="cellIs" dxfId="6570" priority="8399" stopIfTrue="1" operator="equal">
      <formula>"Towel"</formula>
    </cfRule>
  </conditionalFormatting>
  <conditionalFormatting sqref="C77">
    <cfRule type="cellIs" dxfId="6569" priority="8398" stopIfTrue="1" operator="equal">
      <formula>"Napkin Hs"</formula>
    </cfRule>
  </conditionalFormatting>
  <conditionalFormatting sqref="C77">
    <cfRule type="cellIs" dxfId="6568" priority="8395" stopIfTrue="1" operator="equal">
      <formula>"Towel"</formula>
    </cfRule>
    <cfRule type="cellIs" dxfId="6567" priority="8396" stopIfTrue="1" operator="equal">
      <formula>"Napkin Hs"</formula>
    </cfRule>
  </conditionalFormatting>
  <conditionalFormatting sqref="C77">
    <cfRule type="cellIs" dxfId="6566" priority="8397" stopIfTrue="1" operator="equal">
      <formula>"Towel"</formula>
    </cfRule>
  </conditionalFormatting>
  <conditionalFormatting sqref="B77:C77">
    <cfRule type="cellIs" dxfId="6565" priority="8393" stopIfTrue="1" operator="equal">
      <formula>"Towel"</formula>
    </cfRule>
    <cfRule type="cellIs" dxfId="6564" priority="8394" stopIfTrue="1" operator="equal">
      <formula>"Napkin Hs"</formula>
    </cfRule>
  </conditionalFormatting>
  <conditionalFormatting sqref="C77">
    <cfRule type="cellIs" dxfId="6563" priority="8389" stopIfTrue="1" operator="equal">
      <formula>"Towel"</formula>
    </cfRule>
    <cfRule type="cellIs" dxfId="6562" priority="8390" stopIfTrue="1" operator="equal">
      <formula>"Napkin Hs"</formula>
    </cfRule>
  </conditionalFormatting>
  <conditionalFormatting sqref="C77">
    <cfRule type="cellIs" dxfId="6561" priority="8391" stopIfTrue="1" operator="equal">
      <formula>"Towel"</formula>
    </cfRule>
    <cfRule type="cellIs" dxfId="6560" priority="8392" stopIfTrue="1" operator="equal">
      <formula>"Napkin Hs"</formula>
    </cfRule>
  </conditionalFormatting>
  <conditionalFormatting sqref="B77:C77">
    <cfRule type="cellIs" dxfId="6559" priority="8387" stopIfTrue="1" operator="equal">
      <formula>"Towel"</formula>
    </cfRule>
    <cfRule type="cellIs" dxfId="6558" priority="8388" stopIfTrue="1" operator="equal">
      <formula>"Napkin Hs"</formula>
    </cfRule>
  </conditionalFormatting>
  <conditionalFormatting sqref="C77">
    <cfRule type="cellIs" dxfId="6557" priority="8383" stopIfTrue="1" operator="equal">
      <formula>"Towel"</formula>
    </cfRule>
    <cfRule type="cellIs" dxfId="6556" priority="8384" stopIfTrue="1" operator="equal">
      <formula>"Napkin Hs"</formula>
    </cfRule>
  </conditionalFormatting>
  <conditionalFormatting sqref="C77">
    <cfRule type="cellIs" dxfId="6555" priority="8385" stopIfTrue="1" operator="equal">
      <formula>"Towel"</formula>
    </cfRule>
    <cfRule type="cellIs" dxfId="6554" priority="8386" stopIfTrue="1" operator="equal">
      <formula>"Napkin Hs"</formula>
    </cfRule>
  </conditionalFormatting>
  <conditionalFormatting sqref="B77:C77">
    <cfRule type="cellIs" dxfId="6553" priority="8381" stopIfTrue="1" operator="equal">
      <formula>"Towel"</formula>
    </cfRule>
    <cfRule type="cellIs" dxfId="6552" priority="8382" stopIfTrue="1" operator="equal">
      <formula>"Napkin Hs"</formula>
    </cfRule>
  </conditionalFormatting>
  <conditionalFormatting sqref="C77">
    <cfRule type="cellIs" dxfId="6551" priority="8379" stopIfTrue="1" operator="equal">
      <formula>"Towel"</formula>
    </cfRule>
    <cfRule type="cellIs" dxfId="6550" priority="8380" stopIfTrue="1" operator="equal">
      <formula>"Napkin Hs"</formula>
    </cfRule>
  </conditionalFormatting>
  <conditionalFormatting sqref="C77">
    <cfRule type="cellIs" dxfId="6549" priority="8377" stopIfTrue="1" operator="equal">
      <formula>"Towel"</formula>
    </cfRule>
    <cfRule type="cellIs" dxfId="6548" priority="8378" stopIfTrue="1" operator="equal">
      <formula>"Napkin Hs"</formula>
    </cfRule>
  </conditionalFormatting>
  <conditionalFormatting sqref="B77:C77">
    <cfRule type="cellIs" dxfId="6547" priority="8376" stopIfTrue="1" operator="equal">
      <formula>"Napkin Hs"</formula>
    </cfRule>
  </conditionalFormatting>
  <conditionalFormatting sqref="B77:C77">
    <cfRule type="cellIs" dxfId="6546" priority="8375" stopIfTrue="1" operator="equal">
      <formula>"Towel"</formula>
    </cfRule>
  </conditionalFormatting>
  <conditionalFormatting sqref="C77">
    <cfRule type="cellIs" dxfId="6545" priority="8374" stopIfTrue="1" operator="equal">
      <formula>"Napkin Hs"</formula>
    </cfRule>
  </conditionalFormatting>
  <conditionalFormatting sqref="C77">
    <cfRule type="cellIs" dxfId="6544" priority="8373" stopIfTrue="1" operator="equal">
      <formula>"Towel"</formula>
    </cfRule>
  </conditionalFormatting>
  <conditionalFormatting sqref="C77">
    <cfRule type="cellIs" dxfId="6543" priority="8371" stopIfTrue="1" operator="equal">
      <formula>"Towel"</formula>
    </cfRule>
    <cfRule type="cellIs" dxfId="6542" priority="8372" stopIfTrue="1" operator="equal">
      <formula>"Napkin Hs"</formula>
    </cfRule>
  </conditionalFormatting>
  <conditionalFormatting sqref="C77">
    <cfRule type="cellIs" dxfId="6541" priority="8369" stopIfTrue="1" operator="equal">
      <formula>"Towel"</formula>
    </cfRule>
    <cfRule type="cellIs" dxfId="6540" priority="8370" stopIfTrue="1" operator="equal">
      <formula>"Napkin Hs"</formula>
    </cfRule>
  </conditionalFormatting>
  <conditionalFormatting sqref="C77">
    <cfRule type="cellIs" dxfId="6539" priority="8285" stopIfTrue="1" operator="equal">
      <formula>"Towel"</formula>
    </cfRule>
    <cfRule type="cellIs" dxfId="6538" priority="8286" stopIfTrue="1" operator="equal">
      <formula>"Napkin Hs"</formula>
    </cfRule>
  </conditionalFormatting>
  <conditionalFormatting sqref="C77">
    <cfRule type="cellIs" dxfId="6537" priority="8279" stopIfTrue="1" operator="equal">
      <formula>"Towel"</formula>
    </cfRule>
    <cfRule type="cellIs" dxfId="6536" priority="8280" stopIfTrue="1" operator="equal">
      <formula>"Napkin Hs"</formula>
    </cfRule>
  </conditionalFormatting>
  <conditionalFormatting sqref="C77">
    <cfRule type="cellIs" dxfId="6535" priority="8260" stopIfTrue="1" operator="equal">
      <formula>"Napkin Hs"</formula>
    </cfRule>
  </conditionalFormatting>
  <conditionalFormatting sqref="C77">
    <cfRule type="cellIs" dxfId="6534" priority="8259" stopIfTrue="1" operator="equal">
      <formula>"Towel"</formula>
    </cfRule>
  </conditionalFormatting>
  <conditionalFormatting sqref="C77">
    <cfRule type="cellIs" dxfId="6533" priority="8258" stopIfTrue="1" operator="equal">
      <formula>"Napkin Hs"</formula>
    </cfRule>
  </conditionalFormatting>
  <conditionalFormatting sqref="C77">
    <cfRule type="cellIs" dxfId="6532" priority="8255" stopIfTrue="1" operator="equal">
      <formula>"Towel"</formula>
    </cfRule>
    <cfRule type="cellIs" dxfId="6531" priority="8256" stopIfTrue="1" operator="equal">
      <formula>"Napkin Hs"</formula>
    </cfRule>
  </conditionalFormatting>
  <conditionalFormatting sqref="C77">
    <cfRule type="cellIs" dxfId="6530" priority="8257" stopIfTrue="1" operator="equal">
      <formula>"Towel"</formula>
    </cfRule>
  </conditionalFormatting>
  <conditionalFormatting sqref="C77">
    <cfRule type="cellIs" dxfId="6529" priority="8254" stopIfTrue="1" operator="equal">
      <formula>"Napkin Hs"</formula>
    </cfRule>
  </conditionalFormatting>
  <conditionalFormatting sqref="C77">
    <cfRule type="cellIs" dxfId="6528" priority="8253" stopIfTrue="1" operator="equal">
      <formula>"Towel"</formula>
    </cfRule>
  </conditionalFormatting>
  <conditionalFormatting sqref="C77">
    <cfRule type="cellIs" dxfId="6527" priority="8252" stopIfTrue="1" operator="equal">
      <formula>"Napkin Hs"</formula>
    </cfRule>
  </conditionalFormatting>
  <conditionalFormatting sqref="C77">
    <cfRule type="cellIs" dxfId="6526" priority="8249" stopIfTrue="1" operator="equal">
      <formula>"Towel"</formula>
    </cfRule>
    <cfRule type="cellIs" dxfId="6525" priority="8250" stopIfTrue="1" operator="equal">
      <formula>"Napkin Hs"</formula>
    </cfRule>
  </conditionalFormatting>
  <conditionalFormatting sqref="C77">
    <cfRule type="cellIs" dxfId="6524" priority="8251" stopIfTrue="1" operator="equal">
      <formula>"Towel"</formula>
    </cfRule>
  </conditionalFormatting>
  <conditionalFormatting sqref="C77">
    <cfRule type="cellIs" dxfId="6523" priority="8355" stopIfTrue="1" operator="equal">
      <formula>"Towel"</formula>
    </cfRule>
    <cfRule type="cellIs" dxfId="6522" priority="8356" stopIfTrue="1" operator="equal">
      <formula>"Napkin Hs"</formula>
    </cfRule>
  </conditionalFormatting>
  <conditionalFormatting sqref="C77">
    <cfRule type="cellIs" dxfId="6521" priority="8353" stopIfTrue="1" operator="equal">
      <formula>"Towel"</formula>
    </cfRule>
    <cfRule type="cellIs" dxfId="6520" priority="8354" stopIfTrue="1" operator="equal">
      <formula>"Napkin Hs"</formula>
    </cfRule>
  </conditionalFormatting>
  <conditionalFormatting sqref="C77">
    <cfRule type="cellIs" dxfId="6519" priority="8351" stopIfTrue="1" operator="equal">
      <formula>"Towel"</formula>
    </cfRule>
    <cfRule type="cellIs" dxfId="6518" priority="8352" stopIfTrue="1" operator="equal">
      <formula>"Napkin Hs"</formula>
    </cfRule>
  </conditionalFormatting>
  <conditionalFormatting sqref="C77">
    <cfRule type="cellIs" dxfId="6517" priority="8350" stopIfTrue="1" operator="equal">
      <formula>"Napkin Hs"</formula>
    </cfRule>
  </conditionalFormatting>
  <conditionalFormatting sqref="C77">
    <cfRule type="cellIs" dxfId="6516" priority="8349" stopIfTrue="1" operator="equal">
      <formula>"Towel"</formula>
    </cfRule>
  </conditionalFormatting>
  <conditionalFormatting sqref="C77">
    <cfRule type="cellIs" dxfId="6515" priority="8348" stopIfTrue="1" operator="equal">
      <formula>"Napkin Hs"</formula>
    </cfRule>
  </conditionalFormatting>
  <conditionalFormatting sqref="C77">
    <cfRule type="cellIs" dxfId="6514" priority="8347" stopIfTrue="1" operator="equal">
      <formula>"Towel"</formula>
    </cfRule>
  </conditionalFormatting>
  <conditionalFormatting sqref="C77">
    <cfRule type="cellIs" dxfId="6513" priority="8345" stopIfTrue="1" operator="equal">
      <formula>"Towel"</formula>
    </cfRule>
    <cfRule type="cellIs" dxfId="6512" priority="8346" stopIfTrue="1" operator="equal">
      <formula>"Napkin Hs"</formula>
    </cfRule>
  </conditionalFormatting>
  <conditionalFormatting sqref="C77">
    <cfRule type="cellIs" dxfId="6511" priority="8343" stopIfTrue="1" operator="equal">
      <formula>"Towel"</formula>
    </cfRule>
    <cfRule type="cellIs" dxfId="6510" priority="8344" stopIfTrue="1" operator="equal">
      <formula>"Napkin Hs"</formula>
    </cfRule>
  </conditionalFormatting>
  <conditionalFormatting sqref="C77">
    <cfRule type="cellIs" dxfId="6509" priority="8339" stopIfTrue="1" operator="equal">
      <formula>"Towel"</formula>
    </cfRule>
    <cfRule type="cellIs" dxfId="6508" priority="8340" stopIfTrue="1" operator="equal">
      <formula>"Napkin Hs"</formula>
    </cfRule>
  </conditionalFormatting>
  <conditionalFormatting sqref="C77">
    <cfRule type="cellIs" dxfId="6507" priority="8341" stopIfTrue="1" operator="equal">
      <formula>"Towel"</formula>
    </cfRule>
    <cfRule type="cellIs" dxfId="6506" priority="8342" stopIfTrue="1" operator="equal">
      <formula>"Napkin Hs"</formula>
    </cfRule>
  </conditionalFormatting>
  <conditionalFormatting sqref="C77">
    <cfRule type="cellIs" dxfId="6505" priority="8333" stopIfTrue="1" operator="equal">
      <formula>"Towel"</formula>
    </cfRule>
    <cfRule type="cellIs" dxfId="6504" priority="8334" stopIfTrue="1" operator="equal">
      <formula>"Napkin Hs"</formula>
    </cfRule>
  </conditionalFormatting>
  <conditionalFormatting sqref="C77">
    <cfRule type="cellIs" dxfId="6503" priority="8331" stopIfTrue="1" operator="equal">
      <formula>"Towel"</formula>
    </cfRule>
    <cfRule type="cellIs" dxfId="6502" priority="8332" stopIfTrue="1" operator="equal">
      <formula>"Napkin Hs"</formula>
    </cfRule>
  </conditionalFormatting>
  <conditionalFormatting sqref="C77">
    <cfRule type="cellIs" dxfId="6501" priority="8329" stopIfTrue="1" operator="equal">
      <formula>"Towel"</formula>
    </cfRule>
    <cfRule type="cellIs" dxfId="6500" priority="8330" stopIfTrue="1" operator="equal">
      <formula>"Napkin Hs"</formula>
    </cfRule>
  </conditionalFormatting>
  <conditionalFormatting sqref="C77">
    <cfRule type="cellIs" dxfId="6499" priority="8327" stopIfTrue="1" operator="equal">
      <formula>"Towel"</formula>
    </cfRule>
    <cfRule type="cellIs" dxfId="6498" priority="8328" stopIfTrue="1" operator="equal">
      <formula>"Napkin Hs"</formula>
    </cfRule>
  </conditionalFormatting>
  <conditionalFormatting sqref="C77">
    <cfRule type="cellIs" dxfId="6497" priority="8325" stopIfTrue="1" operator="equal">
      <formula>"Towel"</formula>
    </cfRule>
    <cfRule type="cellIs" dxfId="6496" priority="8326" stopIfTrue="1" operator="equal">
      <formula>"Napkin Hs"</formula>
    </cfRule>
  </conditionalFormatting>
  <conditionalFormatting sqref="C77">
    <cfRule type="cellIs" dxfId="6495" priority="8323" stopIfTrue="1" operator="equal">
      <formula>"Towel"</formula>
    </cfRule>
    <cfRule type="cellIs" dxfId="6494" priority="8324" stopIfTrue="1" operator="equal">
      <formula>"Napkin Hs"</formula>
    </cfRule>
  </conditionalFormatting>
  <conditionalFormatting sqref="C77">
    <cfRule type="cellIs" dxfId="6493" priority="8321" stopIfTrue="1" operator="equal">
      <formula>"Towel"</formula>
    </cfRule>
    <cfRule type="cellIs" dxfId="6492" priority="8322" stopIfTrue="1" operator="equal">
      <formula>"Napkin Hs"</formula>
    </cfRule>
  </conditionalFormatting>
  <conditionalFormatting sqref="C77">
    <cfRule type="cellIs" dxfId="6491" priority="8319" stopIfTrue="1" operator="equal">
      <formula>"Towel"</formula>
    </cfRule>
    <cfRule type="cellIs" dxfId="6490" priority="8320" stopIfTrue="1" operator="equal">
      <formula>"Napkin Hs"</formula>
    </cfRule>
  </conditionalFormatting>
  <conditionalFormatting sqref="C77">
    <cfRule type="cellIs" dxfId="6489" priority="8317" stopIfTrue="1" operator="equal">
      <formula>"Towel"</formula>
    </cfRule>
    <cfRule type="cellIs" dxfId="6488" priority="8318" stopIfTrue="1" operator="equal">
      <formula>"Napkin Hs"</formula>
    </cfRule>
  </conditionalFormatting>
  <conditionalFormatting sqref="C77">
    <cfRule type="cellIs" dxfId="6487" priority="8315" stopIfTrue="1" operator="equal">
      <formula>"Towel"</formula>
    </cfRule>
    <cfRule type="cellIs" dxfId="6486" priority="8316" stopIfTrue="1" operator="equal">
      <formula>"Napkin Hs"</formula>
    </cfRule>
  </conditionalFormatting>
  <conditionalFormatting sqref="C77">
    <cfRule type="cellIs" dxfId="6485" priority="8309" stopIfTrue="1" operator="equal">
      <formula>"Towel"</formula>
    </cfRule>
    <cfRule type="cellIs" dxfId="6484" priority="8310" stopIfTrue="1" operator="equal">
      <formula>"Napkin Hs"</formula>
    </cfRule>
  </conditionalFormatting>
  <conditionalFormatting sqref="C77">
    <cfRule type="cellIs" dxfId="6483" priority="8303" stopIfTrue="1" operator="equal">
      <formula>"Towel"</formula>
    </cfRule>
    <cfRule type="cellIs" dxfId="6482" priority="8304" stopIfTrue="1" operator="equal">
      <formula>"Napkin Hs"</formula>
    </cfRule>
  </conditionalFormatting>
  <conditionalFormatting sqref="C77">
    <cfRule type="cellIs" dxfId="6481" priority="8297" stopIfTrue="1" operator="equal">
      <formula>"Towel"</formula>
    </cfRule>
    <cfRule type="cellIs" dxfId="6480" priority="8298" stopIfTrue="1" operator="equal">
      <formula>"Napkin Hs"</formula>
    </cfRule>
  </conditionalFormatting>
  <conditionalFormatting sqref="C77">
    <cfRule type="cellIs" dxfId="6479" priority="8296" stopIfTrue="1" operator="equal">
      <formula>"Napkin Hs"</formula>
    </cfRule>
  </conditionalFormatting>
  <conditionalFormatting sqref="C77">
    <cfRule type="cellIs" dxfId="6478" priority="8295" stopIfTrue="1" operator="equal">
      <formula>"Towel"</formula>
    </cfRule>
  </conditionalFormatting>
  <conditionalFormatting sqref="C77">
    <cfRule type="cellIs" dxfId="6477" priority="8294" stopIfTrue="1" operator="equal">
      <formula>"Napkin Hs"</formula>
    </cfRule>
  </conditionalFormatting>
  <conditionalFormatting sqref="C77">
    <cfRule type="cellIs" dxfId="6476" priority="8293" stopIfTrue="1" operator="equal">
      <formula>"Towel"</formula>
    </cfRule>
  </conditionalFormatting>
  <conditionalFormatting sqref="C77">
    <cfRule type="cellIs" dxfId="6475" priority="8291" stopIfTrue="1" operator="equal">
      <formula>"Towel"</formula>
    </cfRule>
    <cfRule type="cellIs" dxfId="6474" priority="8292" stopIfTrue="1" operator="equal">
      <formula>"Napkin Hs"</formula>
    </cfRule>
  </conditionalFormatting>
  <conditionalFormatting sqref="C77">
    <cfRule type="cellIs" dxfId="6473" priority="8289" stopIfTrue="1" operator="equal">
      <formula>"Towel"</formula>
    </cfRule>
    <cfRule type="cellIs" dxfId="6472" priority="8290" stopIfTrue="1" operator="equal">
      <formula>"Napkin Hs"</formula>
    </cfRule>
  </conditionalFormatting>
  <conditionalFormatting sqref="C77">
    <cfRule type="cellIs" dxfId="6471" priority="8287" stopIfTrue="1" operator="equal">
      <formula>"Towel"</formula>
    </cfRule>
    <cfRule type="cellIs" dxfId="6470" priority="8288" stopIfTrue="1" operator="equal">
      <formula>"Napkin Hs"</formula>
    </cfRule>
  </conditionalFormatting>
  <conditionalFormatting sqref="C77">
    <cfRule type="cellIs" dxfId="6469" priority="8277" stopIfTrue="1" operator="equal">
      <formula>"Towel"</formula>
    </cfRule>
    <cfRule type="cellIs" dxfId="6468" priority="8278" stopIfTrue="1" operator="equal">
      <formula>"Napkin Hs"</formula>
    </cfRule>
  </conditionalFormatting>
  <conditionalFormatting sqref="C77">
    <cfRule type="cellIs" dxfId="6467" priority="8275" stopIfTrue="1" operator="equal">
      <formula>"Towel"</formula>
    </cfRule>
    <cfRule type="cellIs" dxfId="6466" priority="8276" stopIfTrue="1" operator="equal">
      <formula>"Napkin Hs"</formula>
    </cfRule>
  </conditionalFormatting>
  <conditionalFormatting sqref="C77">
    <cfRule type="cellIs" dxfId="6465" priority="8273" stopIfTrue="1" operator="equal">
      <formula>"Towel"</formula>
    </cfRule>
    <cfRule type="cellIs" dxfId="6464" priority="8274" stopIfTrue="1" operator="equal">
      <formula>"Napkin Hs"</formula>
    </cfRule>
  </conditionalFormatting>
  <conditionalFormatting sqref="C77">
    <cfRule type="cellIs" dxfId="6463" priority="8271" stopIfTrue="1" operator="equal">
      <formula>"Towel"</formula>
    </cfRule>
    <cfRule type="cellIs" dxfId="6462" priority="8272" stopIfTrue="1" operator="equal">
      <formula>"Napkin Hs"</formula>
    </cfRule>
  </conditionalFormatting>
  <conditionalFormatting sqref="C77">
    <cfRule type="cellIs" dxfId="6461" priority="8269" stopIfTrue="1" operator="equal">
      <formula>"Towel"</formula>
    </cfRule>
    <cfRule type="cellIs" dxfId="6460" priority="8270" stopIfTrue="1" operator="equal">
      <formula>"Napkin Hs"</formula>
    </cfRule>
  </conditionalFormatting>
  <conditionalFormatting sqref="C77">
    <cfRule type="cellIs" dxfId="6459" priority="8267" stopIfTrue="1" operator="equal">
      <formula>"Towel"</formula>
    </cfRule>
    <cfRule type="cellIs" dxfId="6458" priority="8268" stopIfTrue="1" operator="equal">
      <formula>"Napkin Hs"</formula>
    </cfRule>
  </conditionalFormatting>
  <conditionalFormatting sqref="C77">
    <cfRule type="cellIs" dxfId="6457" priority="8265" stopIfTrue="1" operator="equal">
      <formula>"Towel"</formula>
    </cfRule>
    <cfRule type="cellIs" dxfId="6456" priority="8266" stopIfTrue="1" operator="equal">
      <formula>"Napkin Hs"</formula>
    </cfRule>
  </conditionalFormatting>
  <conditionalFormatting sqref="C77">
    <cfRule type="cellIs" dxfId="6455" priority="8263" stopIfTrue="1" operator="equal">
      <formula>"Towel"</formula>
    </cfRule>
    <cfRule type="cellIs" dxfId="6454" priority="8264" stopIfTrue="1" operator="equal">
      <formula>"Napkin Hs"</formula>
    </cfRule>
  </conditionalFormatting>
  <conditionalFormatting sqref="C77">
    <cfRule type="cellIs" dxfId="6453" priority="8261" stopIfTrue="1" operator="equal">
      <formula>"Towel"</formula>
    </cfRule>
    <cfRule type="cellIs" dxfId="6452" priority="8262" stopIfTrue="1" operator="equal">
      <formula>"Napkin Hs"</formula>
    </cfRule>
  </conditionalFormatting>
  <conditionalFormatting sqref="C77">
    <cfRule type="cellIs" dxfId="6451" priority="8248" stopIfTrue="1" operator="equal">
      <formula>"Napkin Hs"</formula>
    </cfRule>
  </conditionalFormatting>
  <conditionalFormatting sqref="C77">
    <cfRule type="cellIs" dxfId="6450" priority="8247" stopIfTrue="1" operator="equal">
      <formula>"Towel"</formula>
    </cfRule>
  </conditionalFormatting>
  <conditionalFormatting sqref="C77">
    <cfRule type="cellIs" dxfId="6449" priority="8246" stopIfTrue="1" operator="equal">
      <formula>"Napkin Hs"</formula>
    </cfRule>
  </conditionalFormatting>
  <conditionalFormatting sqref="C77">
    <cfRule type="cellIs" dxfId="6448" priority="8243" stopIfTrue="1" operator="equal">
      <formula>"Towel"</formula>
    </cfRule>
    <cfRule type="cellIs" dxfId="6447" priority="8244" stopIfTrue="1" operator="equal">
      <formula>"Napkin Hs"</formula>
    </cfRule>
  </conditionalFormatting>
  <conditionalFormatting sqref="C77">
    <cfRule type="cellIs" dxfId="6446" priority="8245" stopIfTrue="1" operator="equal">
      <formula>"Towel"</formula>
    </cfRule>
  </conditionalFormatting>
  <conditionalFormatting sqref="C77">
    <cfRule type="cellIs" dxfId="6445" priority="8363" stopIfTrue="1" operator="equal">
      <formula>"Towel"</formula>
    </cfRule>
    <cfRule type="cellIs" dxfId="6444" priority="8364" stopIfTrue="1" operator="equal">
      <formula>"Napkin Hs"</formula>
    </cfRule>
  </conditionalFormatting>
  <conditionalFormatting sqref="C77">
    <cfRule type="cellIs" dxfId="6443" priority="8362" stopIfTrue="1" operator="equal">
      <formula>"Napkin Hs"</formula>
    </cfRule>
  </conditionalFormatting>
  <conditionalFormatting sqref="C77">
    <cfRule type="cellIs" dxfId="6442" priority="8361" stopIfTrue="1" operator="equal">
      <formula>"Towel"</formula>
    </cfRule>
  </conditionalFormatting>
  <conditionalFormatting sqref="C77">
    <cfRule type="cellIs" dxfId="6441" priority="8360" stopIfTrue="1" operator="equal">
      <formula>"Napkin Hs"</formula>
    </cfRule>
  </conditionalFormatting>
  <conditionalFormatting sqref="C77">
    <cfRule type="cellIs" dxfId="6440" priority="8357" stopIfTrue="1" operator="equal">
      <formula>"Towel"</formula>
    </cfRule>
    <cfRule type="cellIs" dxfId="6439" priority="8358" stopIfTrue="1" operator="equal">
      <formula>"Napkin Hs"</formula>
    </cfRule>
  </conditionalFormatting>
  <conditionalFormatting sqref="C77">
    <cfRule type="cellIs" dxfId="6438" priority="8359" stopIfTrue="1" operator="equal">
      <formula>"Towel"</formula>
    </cfRule>
  </conditionalFormatting>
  <conditionalFormatting sqref="C77">
    <cfRule type="cellIs" dxfId="6437" priority="8367" stopIfTrue="1" operator="equal">
      <formula>"Towel"</formula>
    </cfRule>
    <cfRule type="cellIs" dxfId="6436" priority="8368" stopIfTrue="1" operator="equal">
      <formula>"Napkin Hs"</formula>
    </cfRule>
  </conditionalFormatting>
  <conditionalFormatting sqref="C77">
    <cfRule type="cellIs" dxfId="6435" priority="8365" stopIfTrue="1" operator="equal">
      <formula>"Towel"</formula>
    </cfRule>
    <cfRule type="cellIs" dxfId="6434" priority="8366" stopIfTrue="1" operator="equal">
      <formula>"Napkin Hs"</formula>
    </cfRule>
  </conditionalFormatting>
  <conditionalFormatting sqref="C77">
    <cfRule type="cellIs" dxfId="6433" priority="8337" stopIfTrue="1" operator="equal">
      <formula>"Towel"</formula>
    </cfRule>
    <cfRule type="cellIs" dxfId="6432" priority="8338" stopIfTrue="1" operator="equal">
      <formula>"Napkin Hs"</formula>
    </cfRule>
  </conditionalFormatting>
  <conditionalFormatting sqref="C77">
    <cfRule type="cellIs" dxfId="6431" priority="8335" stopIfTrue="1" operator="equal">
      <formula>"Towel"</formula>
    </cfRule>
    <cfRule type="cellIs" dxfId="6430" priority="8336" stopIfTrue="1" operator="equal">
      <formula>"Napkin Hs"</formula>
    </cfRule>
  </conditionalFormatting>
  <conditionalFormatting sqref="C77">
    <cfRule type="cellIs" dxfId="6429" priority="8314" stopIfTrue="1" operator="equal">
      <formula>"Napkin Hs"</formula>
    </cfRule>
  </conditionalFormatting>
  <conditionalFormatting sqref="C77">
    <cfRule type="cellIs" dxfId="6428" priority="8313" stopIfTrue="1" operator="equal">
      <formula>"Towel"</formula>
    </cfRule>
  </conditionalFormatting>
  <conditionalFormatting sqref="C77">
    <cfRule type="cellIs" dxfId="6427" priority="8312" stopIfTrue="1" operator="equal">
      <formula>"Napkin Hs"</formula>
    </cfRule>
  </conditionalFormatting>
  <conditionalFormatting sqref="C77">
    <cfRule type="cellIs" dxfId="6426" priority="8311" stopIfTrue="1" operator="equal">
      <formula>"Towel"</formula>
    </cfRule>
  </conditionalFormatting>
  <conditionalFormatting sqref="C77">
    <cfRule type="cellIs" dxfId="6425" priority="8308" stopIfTrue="1" operator="equal">
      <formula>"Napkin Hs"</formula>
    </cfRule>
  </conditionalFormatting>
  <conditionalFormatting sqref="C77">
    <cfRule type="cellIs" dxfId="6424" priority="8307" stopIfTrue="1" operator="equal">
      <formula>"Towel"</formula>
    </cfRule>
  </conditionalFormatting>
  <conditionalFormatting sqref="C77">
    <cfRule type="cellIs" dxfId="6423" priority="8306" stopIfTrue="1" operator="equal">
      <formula>"Napkin Hs"</formula>
    </cfRule>
  </conditionalFormatting>
  <conditionalFormatting sqref="C77">
    <cfRule type="cellIs" dxfId="6422" priority="8305" stopIfTrue="1" operator="equal">
      <formula>"Towel"</formula>
    </cfRule>
  </conditionalFormatting>
  <conditionalFormatting sqref="C77">
    <cfRule type="cellIs" dxfId="6421" priority="8301" stopIfTrue="1" operator="equal">
      <formula>"Towel"</formula>
    </cfRule>
    <cfRule type="cellIs" dxfId="6420" priority="8302" stopIfTrue="1" operator="equal">
      <formula>"Napkin Hs"</formula>
    </cfRule>
  </conditionalFormatting>
  <conditionalFormatting sqref="C77">
    <cfRule type="cellIs" dxfId="6419" priority="8299" stopIfTrue="1" operator="equal">
      <formula>"Towel"</formula>
    </cfRule>
    <cfRule type="cellIs" dxfId="6418" priority="8300" stopIfTrue="1" operator="equal">
      <formula>"Napkin Hs"</formula>
    </cfRule>
  </conditionalFormatting>
  <conditionalFormatting sqref="C77">
    <cfRule type="cellIs" dxfId="6417" priority="8283" stopIfTrue="1" operator="equal">
      <formula>"Towel"</formula>
    </cfRule>
    <cfRule type="cellIs" dxfId="6416" priority="8284" stopIfTrue="1" operator="equal">
      <formula>"Napkin Hs"</formula>
    </cfRule>
  </conditionalFormatting>
  <conditionalFormatting sqref="C77">
    <cfRule type="cellIs" dxfId="6415" priority="8281" stopIfTrue="1" operator="equal">
      <formula>"Towel"</formula>
    </cfRule>
    <cfRule type="cellIs" dxfId="6414" priority="8282" stopIfTrue="1" operator="equal">
      <formula>"Napkin Hs"</formula>
    </cfRule>
  </conditionalFormatting>
  <conditionalFormatting sqref="B77:C77">
    <cfRule type="cellIs" dxfId="6413" priority="8242" stopIfTrue="1" operator="equal">
      <formula>"Napkin Hs"</formula>
    </cfRule>
  </conditionalFormatting>
  <conditionalFormatting sqref="B77:C77">
    <cfRule type="cellIs" dxfId="6412" priority="8241" stopIfTrue="1" operator="equal">
      <formula>"Towel"</formula>
    </cfRule>
  </conditionalFormatting>
  <conditionalFormatting sqref="C77">
    <cfRule type="cellIs" dxfId="6411" priority="8240" stopIfTrue="1" operator="equal">
      <formula>"Napkin Hs"</formula>
    </cfRule>
  </conditionalFormatting>
  <conditionalFormatting sqref="C77">
    <cfRule type="cellIs" dxfId="6410" priority="8237" stopIfTrue="1" operator="equal">
      <formula>"Towel"</formula>
    </cfRule>
    <cfRule type="cellIs" dxfId="6409" priority="8238" stopIfTrue="1" operator="equal">
      <formula>"Napkin Hs"</formula>
    </cfRule>
  </conditionalFormatting>
  <conditionalFormatting sqref="C77">
    <cfRule type="cellIs" dxfId="6408" priority="8239" stopIfTrue="1" operator="equal">
      <formula>"Towel"</formula>
    </cfRule>
  </conditionalFormatting>
  <conditionalFormatting sqref="B74:C74">
    <cfRule type="cellIs" dxfId="6407" priority="8236" stopIfTrue="1" operator="equal">
      <formula>"Napkin Hs"</formula>
    </cfRule>
  </conditionalFormatting>
  <conditionalFormatting sqref="B74:C74">
    <cfRule type="cellIs" dxfId="6406" priority="8235" stopIfTrue="1" operator="equal">
      <formula>"Towel"</formula>
    </cfRule>
  </conditionalFormatting>
  <conditionalFormatting sqref="C74">
    <cfRule type="cellIs" dxfId="6405" priority="8234" stopIfTrue="1" operator="equal">
      <formula>"Napkin Hs"</formula>
    </cfRule>
  </conditionalFormatting>
  <conditionalFormatting sqref="C74">
    <cfRule type="cellIs" dxfId="6404" priority="8233" stopIfTrue="1" operator="equal">
      <formula>"Towel"</formula>
    </cfRule>
  </conditionalFormatting>
  <conditionalFormatting sqref="C74">
    <cfRule type="cellIs" dxfId="6403" priority="8231" stopIfTrue="1" operator="equal">
      <formula>"Towel"</formula>
    </cfRule>
    <cfRule type="cellIs" dxfId="6402" priority="8232" stopIfTrue="1" operator="equal">
      <formula>"Napkin Hs"</formula>
    </cfRule>
  </conditionalFormatting>
  <conditionalFormatting sqref="C74">
    <cfRule type="cellIs" dxfId="6401" priority="8147" stopIfTrue="1" operator="equal">
      <formula>"Towel"</formula>
    </cfRule>
    <cfRule type="cellIs" dxfId="6400" priority="8148" stopIfTrue="1" operator="equal">
      <formula>"Napkin Hs"</formula>
    </cfRule>
  </conditionalFormatting>
  <conditionalFormatting sqref="C74">
    <cfRule type="cellIs" dxfId="6399" priority="8141" stopIfTrue="1" operator="equal">
      <formula>"Towel"</formula>
    </cfRule>
    <cfRule type="cellIs" dxfId="6398" priority="8142" stopIfTrue="1" operator="equal">
      <formula>"Napkin Hs"</formula>
    </cfRule>
  </conditionalFormatting>
  <conditionalFormatting sqref="C74">
    <cfRule type="cellIs" dxfId="6397" priority="8122" stopIfTrue="1" operator="equal">
      <formula>"Napkin Hs"</formula>
    </cfRule>
  </conditionalFormatting>
  <conditionalFormatting sqref="C74">
    <cfRule type="cellIs" dxfId="6396" priority="8121" stopIfTrue="1" operator="equal">
      <formula>"Towel"</formula>
    </cfRule>
  </conditionalFormatting>
  <conditionalFormatting sqref="C74">
    <cfRule type="cellIs" dxfId="6395" priority="8120" stopIfTrue="1" operator="equal">
      <formula>"Napkin Hs"</formula>
    </cfRule>
  </conditionalFormatting>
  <conditionalFormatting sqref="C74">
    <cfRule type="cellIs" dxfId="6394" priority="8117" stopIfTrue="1" operator="equal">
      <formula>"Towel"</formula>
    </cfRule>
    <cfRule type="cellIs" dxfId="6393" priority="8118" stopIfTrue="1" operator="equal">
      <formula>"Napkin Hs"</formula>
    </cfRule>
  </conditionalFormatting>
  <conditionalFormatting sqref="C74">
    <cfRule type="cellIs" dxfId="6392" priority="8119" stopIfTrue="1" operator="equal">
      <formula>"Towel"</formula>
    </cfRule>
  </conditionalFormatting>
  <conditionalFormatting sqref="C74">
    <cfRule type="cellIs" dxfId="6391" priority="8116" stopIfTrue="1" operator="equal">
      <formula>"Napkin Hs"</formula>
    </cfRule>
  </conditionalFormatting>
  <conditionalFormatting sqref="C74">
    <cfRule type="cellIs" dxfId="6390" priority="8115" stopIfTrue="1" operator="equal">
      <formula>"Towel"</formula>
    </cfRule>
  </conditionalFormatting>
  <conditionalFormatting sqref="C74">
    <cfRule type="cellIs" dxfId="6389" priority="8114" stopIfTrue="1" operator="equal">
      <formula>"Napkin Hs"</formula>
    </cfRule>
  </conditionalFormatting>
  <conditionalFormatting sqref="C74">
    <cfRule type="cellIs" dxfId="6388" priority="8111" stopIfTrue="1" operator="equal">
      <formula>"Towel"</formula>
    </cfRule>
    <cfRule type="cellIs" dxfId="6387" priority="8112" stopIfTrue="1" operator="equal">
      <formula>"Napkin Hs"</formula>
    </cfRule>
  </conditionalFormatting>
  <conditionalFormatting sqref="C74">
    <cfRule type="cellIs" dxfId="6386" priority="8113" stopIfTrue="1" operator="equal">
      <formula>"Towel"</formula>
    </cfRule>
  </conditionalFormatting>
  <conditionalFormatting sqref="C74">
    <cfRule type="cellIs" dxfId="6385" priority="8217" stopIfTrue="1" operator="equal">
      <formula>"Towel"</formula>
    </cfRule>
    <cfRule type="cellIs" dxfId="6384" priority="8218" stopIfTrue="1" operator="equal">
      <formula>"Napkin Hs"</formula>
    </cfRule>
  </conditionalFormatting>
  <conditionalFormatting sqref="C74">
    <cfRule type="cellIs" dxfId="6383" priority="8215" stopIfTrue="1" operator="equal">
      <formula>"Towel"</formula>
    </cfRule>
    <cfRule type="cellIs" dxfId="6382" priority="8216" stopIfTrue="1" operator="equal">
      <formula>"Napkin Hs"</formula>
    </cfRule>
  </conditionalFormatting>
  <conditionalFormatting sqref="C74">
    <cfRule type="cellIs" dxfId="6381" priority="8213" stopIfTrue="1" operator="equal">
      <formula>"Towel"</formula>
    </cfRule>
    <cfRule type="cellIs" dxfId="6380" priority="8214" stopIfTrue="1" operator="equal">
      <formula>"Napkin Hs"</formula>
    </cfRule>
  </conditionalFormatting>
  <conditionalFormatting sqref="C74">
    <cfRule type="cellIs" dxfId="6379" priority="8212" stopIfTrue="1" operator="equal">
      <formula>"Napkin Hs"</formula>
    </cfRule>
  </conditionalFormatting>
  <conditionalFormatting sqref="C74">
    <cfRule type="cellIs" dxfId="6378" priority="8211" stopIfTrue="1" operator="equal">
      <formula>"Towel"</formula>
    </cfRule>
  </conditionalFormatting>
  <conditionalFormatting sqref="C74">
    <cfRule type="cellIs" dxfId="6377" priority="8210" stopIfTrue="1" operator="equal">
      <formula>"Napkin Hs"</formula>
    </cfRule>
  </conditionalFormatting>
  <conditionalFormatting sqref="C74">
    <cfRule type="cellIs" dxfId="6376" priority="8209" stopIfTrue="1" operator="equal">
      <formula>"Towel"</formula>
    </cfRule>
  </conditionalFormatting>
  <conditionalFormatting sqref="C74">
    <cfRule type="cellIs" dxfId="6375" priority="8207" stopIfTrue="1" operator="equal">
      <formula>"Towel"</formula>
    </cfRule>
    <cfRule type="cellIs" dxfId="6374" priority="8208" stopIfTrue="1" operator="equal">
      <formula>"Napkin Hs"</formula>
    </cfRule>
  </conditionalFormatting>
  <conditionalFormatting sqref="C74">
    <cfRule type="cellIs" dxfId="6373" priority="8205" stopIfTrue="1" operator="equal">
      <formula>"Towel"</formula>
    </cfRule>
    <cfRule type="cellIs" dxfId="6372" priority="8206" stopIfTrue="1" operator="equal">
      <formula>"Napkin Hs"</formula>
    </cfRule>
  </conditionalFormatting>
  <conditionalFormatting sqref="C74">
    <cfRule type="cellIs" dxfId="6371" priority="8201" stopIfTrue="1" operator="equal">
      <formula>"Towel"</formula>
    </cfRule>
    <cfRule type="cellIs" dxfId="6370" priority="8202" stopIfTrue="1" operator="equal">
      <formula>"Napkin Hs"</formula>
    </cfRule>
  </conditionalFormatting>
  <conditionalFormatting sqref="C74">
    <cfRule type="cellIs" dxfId="6369" priority="8203" stopIfTrue="1" operator="equal">
      <formula>"Towel"</formula>
    </cfRule>
    <cfRule type="cellIs" dxfId="6368" priority="8204" stopIfTrue="1" operator="equal">
      <formula>"Napkin Hs"</formula>
    </cfRule>
  </conditionalFormatting>
  <conditionalFormatting sqref="C74">
    <cfRule type="cellIs" dxfId="6367" priority="8195" stopIfTrue="1" operator="equal">
      <formula>"Towel"</formula>
    </cfRule>
    <cfRule type="cellIs" dxfId="6366" priority="8196" stopIfTrue="1" operator="equal">
      <formula>"Napkin Hs"</formula>
    </cfRule>
  </conditionalFormatting>
  <conditionalFormatting sqref="C74">
    <cfRule type="cellIs" dxfId="6365" priority="8193" stopIfTrue="1" operator="equal">
      <formula>"Towel"</formula>
    </cfRule>
    <cfRule type="cellIs" dxfId="6364" priority="8194" stopIfTrue="1" operator="equal">
      <formula>"Napkin Hs"</formula>
    </cfRule>
  </conditionalFormatting>
  <conditionalFormatting sqref="C74">
    <cfRule type="cellIs" dxfId="6363" priority="8191" stopIfTrue="1" operator="equal">
      <formula>"Towel"</formula>
    </cfRule>
    <cfRule type="cellIs" dxfId="6362" priority="8192" stopIfTrue="1" operator="equal">
      <formula>"Napkin Hs"</formula>
    </cfRule>
  </conditionalFormatting>
  <conditionalFormatting sqref="C74">
    <cfRule type="cellIs" dxfId="6361" priority="8189" stopIfTrue="1" operator="equal">
      <formula>"Towel"</formula>
    </cfRule>
    <cfRule type="cellIs" dxfId="6360" priority="8190" stopIfTrue="1" operator="equal">
      <formula>"Napkin Hs"</formula>
    </cfRule>
  </conditionalFormatting>
  <conditionalFormatting sqref="C74">
    <cfRule type="cellIs" dxfId="6359" priority="8187" stopIfTrue="1" operator="equal">
      <formula>"Towel"</formula>
    </cfRule>
    <cfRule type="cellIs" dxfId="6358" priority="8188" stopIfTrue="1" operator="equal">
      <formula>"Napkin Hs"</formula>
    </cfRule>
  </conditionalFormatting>
  <conditionalFormatting sqref="C74">
    <cfRule type="cellIs" dxfId="6357" priority="8185" stopIfTrue="1" operator="equal">
      <formula>"Towel"</formula>
    </cfRule>
    <cfRule type="cellIs" dxfId="6356" priority="8186" stopIfTrue="1" operator="equal">
      <formula>"Napkin Hs"</formula>
    </cfRule>
  </conditionalFormatting>
  <conditionalFormatting sqref="C74">
    <cfRule type="cellIs" dxfId="6355" priority="8183" stopIfTrue="1" operator="equal">
      <formula>"Towel"</formula>
    </cfRule>
    <cfRule type="cellIs" dxfId="6354" priority="8184" stopIfTrue="1" operator="equal">
      <formula>"Napkin Hs"</formula>
    </cfRule>
  </conditionalFormatting>
  <conditionalFormatting sqref="C74">
    <cfRule type="cellIs" dxfId="6353" priority="8181" stopIfTrue="1" operator="equal">
      <formula>"Towel"</formula>
    </cfRule>
    <cfRule type="cellIs" dxfId="6352" priority="8182" stopIfTrue="1" operator="equal">
      <formula>"Napkin Hs"</formula>
    </cfRule>
  </conditionalFormatting>
  <conditionalFormatting sqref="C74">
    <cfRule type="cellIs" dxfId="6351" priority="8179" stopIfTrue="1" operator="equal">
      <formula>"Towel"</formula>
    </cfRule>
    <cfRule type="cellIs" dxfId="6350" priority="8180" stopIfTrue="1" operator="equal">
      <formula>"Napkin Hs"</formula>
    </cfRule>
  </conditionalFormatting>
  <conditionalFormatting sqref="C74">
    <cfRule type="cellIs" dxfId="6349" priority="8177" stopIfTrue="1" operator="equal">
      <formula>"Towel"</formula>
    </cfRule>
    <cfRule type="cellIs" dxfId="6348" priority="8178" stopIfTrue="1" operator="equal">
      <formula>"Napkin Hs"</formula>
    </cfRule>
  </conditionalFormatting>
  <conditionalFormatting sqref="C74">
    <cfRule type="cellIs" dxfId="6347" priority="8171" stopIfTrue="1" operator="equal">
      <formula>"Towel"</formula>
    </cfRule>
    <cfRule type="cellIs" dxfId="6346" priority="8172" stopIfTrue="1" operator="equal">
      <formula>"Napkin Hs"</formula>
    </cfRule>
  </conditionalFormatting>
  <conditionalFormatting sqref="C74">
    <cfRule type="cellIs" dxfId="6345" priority="8165" stopIfTrue="1" operator="equal">
      <formula>"Towel"</formula>
    </cfRule>
    <cfRule type="cellIs" dxfId="6344" priority="8166" stopIfTrue="1" operator="equal">
      <formula>"Napkin Hs"</formula>
    </cfRule>
  </conditionalFormatting>
  <conditionalFormatting sqref="C74">
    <cfRule type="cellIs" dxfId="6343" priority="8159" stopIfTrue="1" operator="equal">
      <formula>"Towel"</formula>
    </cfRule>
    <cfRule type="cellIs" dxfId="6342" priority="8160" stopIfTrue="1" operator="equal">
      <formula>"Napkin Hs"</formula>
    </cfRule>
  </conditionalFormatting>
  <conditionalFormatting sqref="C74">
    <cfRule type="cellIs" dxfId="6341" priority="8158" stopIfTrue="1" operator="equal">
      <formula>"Napkin Hs"</formula>
    </cfRule>
  </conditionalFormatting>
  <conditionalFormatting sqref="C74">
    <cfRule type="cellIs" dxfId="6340" priority="8157" stopIfTrue="1" operator="equal">
      <formula>"Towel"</formula>
    </cfRule>
  </conditionalFormatting>
  <conditionalFormatting sqref="C74">
    <cfRule type="cellIs" dxfId="6339" priority="8156" stopIfTrue="1" operator="equal">
      <formula>"Napkin Hs"</formula>
    </cfRule>
  </conditionalFormatting>
  <conditionalFormatting sqref="C74">
    <cfRule type="cellIs" dxfId="6338" priority="8155" stopIfTrue="1" operator="equal">
      <formula>"Towel"</formula>
    </cfRule>
  </conditionalFormatting>
  <conditionalFormatting sqref="C74">
    <cfRule type="cellIs" dxfId="6337" priority="8153" stopIfTrue="1" operator="equal">
      <formula>"Towel"</formula>
    </cfRule>
    <cfRule type="cellIs" dxfId="6336" priority="8154" stopIfTrue="1" operator="equal">
      <formula>"Napkin Hs"</formula>
    </cfRule>
  </conditionalFormatting>
  <conditionalFormatting sqref="C74">
    <cfRule type="cellIs" dxfId="6335" priority="8151" stopIfTrue="1" operator="equal">
      <formula>"Towel"</formula>
    </cfRule>
    <cfRule type="cellIs" dxfId="6334" priority="8152" stopIfTrue="1" operator="equal">
      <formula>"Napkin Hs"</formula>
    </cfRule>
  </conditionalFormatting>
  <conditionalFormatting sqref="C74">
    <cfRule type="cellIs" dxfId="6333" priority="8149" stopIfTrue="1" operator="equal">
      <formula>"Towel"</formula>
    </cfRule>
    <cfRule type="cellIs" dxfId="6332" priority="8150" stopIfTrue="1" operator="equal">
      <formula>"Napkin Hs"</formula>
    </cfRule>
  </conditionalFormatting>
  <conditionalFormatting sqref="C74">
    <cfRule type="cellIs" dxfId="6331" priority="8139" stopIfTrue="1" operator="equal">
      <formula>"Towel"</formula>
    </cfRule>
    <cfRule type="cellIs" dxfId="6330" priority="8140" stopIfTrue="1" operator="equal">
      <formula>"Napkin Hs"</formula>
    </cfRule>
  </conditionalFormatting>
  <conditionalFormatting sqref="C74">
    <cfRule type="cellIs" dxfId="6329" priority="8137" stopIfTrue="1" operator="equal">
      <formula>"Towel"</formula>
    </cfRule>
    <cfRule type="cellIs" dxfId="6328" priority="8138" stopIfTrue="1" operator="equal">
      <formula>"Napkin Hs"</formula>
    </cfRule>
  </conditionalFormatting>
  <conditionalFormatting sqref="C74">
    <cfRule type="cellIs" dxfId="6327" priority="8135" stopIfTrue="1" operator="equal">
      <formula>"Towel"</formula>
    </cfRule>
    <cfRule type="cellIs" dxfId="6326" priority="8136" stopIfTrue="1" operator="equal">
      <formula>"Napkin Hs"</formula>
    </cfRule>
  </conditionalFormatting>
  <conditionalFormatting sqref="C74">
    <cfRule type="cellIs" dxfId="6325" priority="8133" stopIfTrue="1" operator="equal">
      <formula>"Towel"</formula>
    </cfRule>
    <cfRule type="cellIs" dxfId="6324" priority="8134" stopIfTrue="1" operator="equal">
      <formula>"Napkin Hs"</formula>
    </cfRule>
  </conditionalFormatting>
  <conditionalFormatting sqref="C74">
    <cfRule type="cellIs" dxfId="6323" priority="8131" stopIfTrue="1" operator="equal">
      <formula>"Towel"</formula>
    </cfRule>
    <cfRule type="cellIs" dxfId="6322" priority="8132" stopIfTrue="1" operator="equal">
      <formula>"Napkin Hs"</formula>
    </cfRule>
  </conditionalFormatting>
  <conditionalFormatting sqref="C74">
    <cfRule type="cellIs" dxfId="6321" priority="8129" stopIfTrue="1" operator="equal">
      <formula>"Towel"</formula>
    </cfRule>
    <cfRule type="cellIs" dxfId="6320" priority="8130" stopIfTrue="1" operator="equal">
      <formula>"Napkin Hs"</formula>
    </cfRule>
  </conditionalFormatting>
  <conditionalFormatting sqref="C74">
    <cfRule type="cellIs" dxfId="6319" priority="8127" stopIfTrue="1" operator="equal">
      <formula>"Towel"</formula>
    </cfRule>
    <cfRule type="cellIs" dxfId="6318" priority="8128" stopIfTrue="1" operator="equal">
      <formula>"Napkin Hs"</formula>
    </cfRule>
  </conditionalFormatting>
  <conditionalFormatting sqref="C74">
    <cfRule type="cellIs" dxfId="6317" priority="8125" stopIfTrue="1" operator="equal">
      <formula>"Towel"</formula>
    </cfRule>
    <cfRule type="cellIs" dxfId="6316" priority="8126" stopIfTrue="1" operator="equal">
      <formula>"Napkin Hs"</formula>
    </cfRule>
  </conditionalFormatting>
  <conditionalFormatting sqref="C74">
    <cfRule type="cellIs" dxfId="6315" priority="8123" stopIfTrue="1" operator="equal">
      <formula>"Towel"</formula>
    </cfRule>
    <cfRule type="cellIs" dxfId="6314" priority="8124" stopIfTrue="1" operator="equal">
      <formula>"Napkin Hs"</formula>
    </cfRule>
  </conditionalFormatting>
  <conditionalFormatting sqref="C74">
    <cfRule type="cellIs" dxfId="6313" priority="8110" stopIfTrue="1" operator="equal">
      <formula>"Napkin Hs"</formula>
    </cfRule>
  </conditionalFormatting>
  <conditionalFormatting sqref="C74">
    <cfRule type="cellIs" dxfId="6312" priority="8109" stopIfTrue="1" operator="equal">
      <formula>"Towel"</formula>
    </cfRule>
  </conditionalFormatting>
  <conditionalFormatting sqref="C74">
    <cfRule type="cellIs" dxfId="6311" priority="8108" stopIfTrue="1" operator="equal">
      <formula>"Napkin Hs"</formula>
    </cfRule>
  </conditionalFormatting>
  <conditionalFormatting sqref="C74">
    <cfRule type="cellIs" dxfId="6310" priority="8105" stopIfTrue="1" operator="equal">
      <formula>"Towel"</formula>
    </cfRule>
    <cfRule type="cellIs" dxfId="6309" priority="8106" stopIfTrue="1" operator="equal">
      <formula>"Napkin Hs"</formula>
    </cfRule>
  </conditionalFormatting>
  <conditionalFormatting sqref="C74">
    <cfRule type="cellIs" dxfId="6308" priority="8107" stopIfTrue="1" operator="equal">
      <formula>"Towel"</formula>
    </cfRule>
  </conditionalFormatting>
  <conditionalFormatting sqref="C74">
    <cfRule type="cellIs" dxfId="6307" priority="8225" stopIfTrue="1" operator="equal">
      <formula>"Towel"</formula>
    </cfRule>
    <cfRule type="cellIs" dxfId="6306" priority="8226" stopIfTrue="1" operator="equal">
      <formula>"Napkin Hs"</formula>
    </cfRule>
  </conditionalFormatting>
  <conditionalFormatting sqref="C74">
    <cfRule type="cellIs" dxfId="6305" priority="8224" stopIfTrue="1" operator="equal">
      <formula>"Napkin Hs"</formula>
    </cfRule>
  </conditionalFormatting>
  <conditionalFormatting sqref="C74">
    <cfRule type="cellIs" dxfId="6304" priority="8223" stopIfTrue="1" operator="equal">
      <formula>"Towel"</formula>
    </cfRule>
  </conditionalFormatting>
  <conditionalFormatting sqref="C74">
    <cfRule type="cellIs" dxfId="6303" priority="8222" stopIfTrue="1" operator="equal">
      <formula>"Napkin Hs"</formula>
    </cfRule>
  </conditionalFormatting>
  <conditionalFormatting sqref="C74">
    <cfRule type="cellIs" dxfId="6302" priority="8219" stopIfTrue="1" operator="equal">
      <formula>"Towel"</formula>
    </cfRule>
    <cfRule type="cellIs" dxfId="6301" priority="8220" stopIfTrue="1" operator="equal">
      <formula>"Napkin Hs"</formula>
    </cfRule>
  </conditionalFormatting>
  <conditionalFormatting sqref="C74">
    <cfRule type="cellIs" dxfId="6300" priority="8221" stopIfTrue="1" operator="equal">
      <formula>"Towel"</formula>
    </cfRule>
  </conditionalFormatting>
  <conditionalFormatting sqref="C74">
    <cfRule type="cellIs" dxfId="6299" priority="8229" stopIfTrue="1" operator="equal">
      <formula>"Towel"</formula>
    </cfRule>
    <cfRule type="cellIs" dxfId="6298" priority="8230" stopIfTrue="1" operator="equal">
      <formula>"Napkin Hs"</formula>
    </cfRule>
  </conditionalFormatting>
  <conditionalFormatting sqref="C74">
    <cfRule type="cellIs" dxfId="6297" priority="8227" stopIfTrue="1" operator="equal">
      <formula>"Towel"</formula>
    </cfRule>
    <cfRule type="cellIs" dxfId="6296" priority="8228" stopIfTrue="1" operator="equal">
      <formula>"Napkin Hs"</formula>
    </cfRule>
  </conditionalFormatting>
  <conditionalFormatting sqref="C74">
    <cfRule type="cellIs" dxfId="6295" priority="8199" stopIfTrue="1" operator="equal">
      <formula>"Towel"</formula>
    </cfRule>
    <cfRule type="cellIs" dxfId="6294" priority="8200" stopIfTrue="1" operator="equal">
      <formula>"Napkin Hs"</formula>
    </cfRule>
  </conditionalFormatting>
  <conditionalFormatting sqref="C74">
    <cfRule type="cellIs" dxfId="6293" priority="8197" stopIfTrue="1" operator="equal">
      <formula>"Towel"</formula>
    </cfRule>
    <cfRule type="cellIs" dxfId="6292" priority="8198" stopIfTrue="1" operator="equal">
      <formula>"Napkin Hs"</formula>
    </cfRule>
  </conditionalFormatting>
  <conditionalFormatting sqref="C74">
    <cfRule type="cellIs" dxfId="6291" priority="8176" stopIfTrue="1" operator="equal">
      <formula>"Napkin Hs"</formula>
    </cfRule>
  </conditionalFormatting>
  <conditionalFormatting sqref="C74">
    <cfRule type="cellIs" dxfId="6290" priority="8175" stopIfTrue="1" operator="equal">
      <formula>"Towel"</formula>
    </cfRule>
  </conditionalFormatting>
  <conditionalFormatting sqref="C74">
    <cfRule type="cellIs" dxfId="6289" priority="8174" stopIfTrue="1" operator="equal">
      <formula>"Napkin Hs"</formula>
    </cfRule>
  </conditionalFormatting>
  <conditionalFormatting sqref="C74">
    <cfRule type="cellIs" dxfId="6288" priority="8173" stopIfTrue="1" operator="equal">
      <formula>"Towel"</formula>
    </cfRule>
  </conditionalFormatting>
  <conditionalFormatting sqref="C74">
    <cfRule type="cellIs" dxfId="6287" priority="8170" stopIfTrue="1" operator="equal">
      <formula>"Napkin Hs"</formula>
    </cfRule>
  </conditionalFormatting>
  <conditionalFormatting sqref="C74">
    <cfRule type="cellIs" dxfId="6286" priority="8169" stopIfTrue="1" operator="equal">
      <formula>"Towel"</formula>
    </cfRule>
  </conditionalFormatting>
  <conditionalFormatting sqref="C74">
    <cfRule type="cellIs" dxfId="6285" priority="8168" stopIfTrue="1" operator="equal">
      <formula>"Napkin Hs"</formula>
    </cfRule>
  </conditionalFormatting>
  <conditionalFormatting sqref="C74">
    <cfRule type="cellIs" dxfId="6284" priority="8167" stopIfTrue="1" operator="equal">
      <formula>"Towel"</formula>
    </cfRule>
  </conditionalFormatting>
  <conditionalFormatting sqref="C74">
    <cfRule type="cellIs" dxfId="6283" priority="8163" stopIfTrue="1" operator="equal">
      <formula>"Towel"</formula>
    </cfRule>
    <cfRule type="cellIs" dxfId="6282" priority="8164" stopIfTrue="1" operator="equal">
      <formula>"Napkin Hs"</formula>
    </cfRule>
  </conditionalFormatting>
  <conditionalFormatting sqref="C74">
    <cfRule type="cellIs" dxfId="6281" priority="8161" stopIfTrue="1" operator="equal">
      <formula>"Towel"</formula>
    </cfRule>
    <cfRule type="cellIs" dxfId="6280" priority="8162" stopIfTrue="1" operator="equal">
      <formula>"Napkin Hs"</formula>
    </cfRule>
  </conditionalFormatting>
  <conditionalFormatting sqref="C74">
    <cfRule type="cellIs" dxfId="6279" priority="8145" stopIfTrue="1" operator="equal">
      <formula>"Towel"</formula>
    </cfRule>
    <cfRule type="cellIs" dxfId="6278" priority="8146" stopIfTrue="1" operator="equal">
      <formula>"Napkin Hs"</formula>
    </cfRule>
  </conditionalFormatting>
  <conditionalFormatting sqref="C74">
    <cfRule type="cellIs" dxfId="6277" priority="8143" stopIfTrue="1" operator="equal">
      <formula>"Towel"</formula>
    </cfRule>
    <cfRule type="cellIs" dxfId="6276" priority="8144" stopIfTrue="1" operator="equal">
      <formula>"Napkin Hs"</formula>
    </cfRule>
  </conditionalFormatting>
  <conditionalFormatting sqref="B74:C74">
    <cfRule type="cellIs" dxfId="6275" priority="8104" stopIfTrue="1" operator="equal">
      <formula>"Napkin Hs"</formula>
    </cfRule>
  </conditionalFormatting>
  <conditionalFormatting sqref="B74:C74">
    <cfRule type="cellIs" dxfId="6274" priority="8103" stopIfTrue="1" operator="equal">
      <formula>"Towel"</formula>
    </cfRule>
  </conditionalFormatting>
  <conditionalFormatting sqref="C74">
    <cfRule type="cellIs" dxfId="6273" priority="8102" stopIfTrue="1" operator="equal">
      <formula>"Napkin Hs"</formula>
    </cfRule>
  </conditionalFormatting>
  <conditionalFormatting sqref="C74">
    <cfRule type="cellIs" dxfId="6272" priority="8099" stopIfTrue="1" operator="equal">
      <formula>"Towel"</formula>
    </cfRule>
    <cfRule type="cellIs" dxfId="6271" priority="8100" stopIfTrue="1" operator="equal">
      <formula>"Napkin Hs"</formula>
    </cfRule>
  </conditionalFormatting>
  <conditionalFormatting sqref="C74">
    <cfRule type="cellIs" dxfId="6270" priority="8101" stopIfTrue="1" operator="equal">
      <formula>"Towel"</formula>
    </cfRule>
  </conditionalFormatting>
  <conditionalFormatting sqref="B82:C82">
    <cfRule type="cellIs" dxfId="6269" priority="8055" stopIfTrue="1" operator="equal">
      <formula>"Towel"</formula>
    </cfRule>
    <cfRule type="cellIs" dxfId="6268" priority="8056" stopIfTrue="1" operator="equal">
      <formula>"Napkin Hs"</formula>
    </cfRule>
  </conditionalFormatting>
  <conditionalFormatting sqref="C82">
    <cfRule type="cellIs" dxfId="6267" priority="8051" stopIfTrue="1" operator="equal">
      <formula>"Towel"</formula>
    </cfRule>
    <cfRule type="cellIs" dxfId="6266" priority="8052" stopIfTrue="1" operator="equal">
      <formula>"Napkin Hs"</formula>
    </cfRule>
  </conditionalFormatting>
  <conditionalFormatting sqref="C82">
    <cfRule type="cellIs" dxfId="6265" priority="8053" stopIfTrue="1" operator="equal">
      <formula>"Towel"</formula>
    </cfRule>
    <cfRule type="cellIs" dxfId="6264" priority="8054" stopIfTrue="1" operator="equal">
      <formula>"Napkin Hs"</formula>
    </cfRule>
  </conditionalFormatting>
  <conditionalFormatting sqref="B82:C82">
    <cfRule type="cellIs" dxfId="6263" priority="8049" stopIfTrue="1" operator="equal">
      <formula>"Towel"</formula>
    </cfRule>
    <cfRule type="cellIs" dxfId="6262" priority="8050" stopIfTrue="1" operator="equal">
      <formula>"Napkin Hs"</formula>
    </cfRule>
  </conditionalFormatting>
  <conditionalFormatting sqref="C82">
    <cfRule type="cellIs" dxfId="6261" priority="8045" stopIfTrue="1" operator="equal">
      <formula>"Towel"</formula>
    </cfRule>
    <cfRule type="cellIs" dxfId="6260" priority="8046" stopIfTrue="1" operator="equal">
      <formula>"Napkin Hs"</formula>
    </cfRule>
  </conditionalFormatting>
  <conditionalFormatting sqref="C82">
    <cfRule type="cellIs" dxfId="6259" priority="8047" stopIfTrue="1" operator="equal">
      <formula>"Towel"</formula>
    </cfRule>
    <cfRule type="cellIs" dxfId="6258" priority="8048" stopIfTrue="1" operator="equal">
      <formula>"Napkin Hs"</formula>
    </cfRule>
  </conditionalFormatting>
  <conditionalFormatting sqref="B82:C82">
    <cfRule type="cellIs" dxfId="6257" priority="8043" stopIfTrue="1" operator="equal">
      <formula>"Towel"</formula>
    </cfRule>
    <cfRule type="cellIs" dxfId="6256" priority="8044" stopIfTrue="1" operator="equal">
      <formula>"Napkin Hs"</formula>
    </cfRule>
  </conditionalFormatting>
  <conditionalFormatting sqref="C82">
    <cfRule type="cellIs" dxfId="6255" priority="8041" stopIfTrue="1" operator="equal">
      <formula>"Towel"</formula>
    </cfRule>
    <cfRule type="cellIs" dxfId="6254" priority="8042" stopIfTrue="1" operator="equal">
      <formula>"Napkin Hs"</formula>
    </cfRule>
  </conditionalFormatting>
  <conditionalFormatting sqref="C82">
    <cfRule type="cellIs" dxfId="6253" priority="8039" stopIfTrue="1" operator="equal">
      <formula>"Towel"</formula>
    </cfRule>
    <cfRule type="cellIs" dxfId="6252" priority="8040" stopIfTrue="1" operator="equal">
      <formula>"Napkin Hs"</formula>
    </cfRule>
  </conditionalFormatting>
  <conditionalFormatting sqref="B82:C82">
    <cfRule type="cellIs" dxfId="6251" priority="8037" stopIfTrue="1" operator="equal">
      <formula>"Towel"</formula>
    </cfRule>
    <cfRule type="cellIs" dxfId="6250" priority="8038" stopIfTrue="1" operator="equal">
      <formula>"Napkin Hs"</formula>
    </cfRule>
  </conditionalFormatting>
  <conditionalFormatting sqref="C82">
    <cfRule type="cellIs" dxfId="6249" priority="8035" stopIfTrue="1" operator="equal">
      <formula>"Towel"</formula>
    </cfRule>
    <cfRule type="cellIs" dxfId="6248" priority="8036" stopIfTrue="1" operator="equal">
      <formula>"Napkin Hs"</formula>
    </cfRule>
  </conditionalFormatting>
  <conditionalFormatting sqref="C82">
    <cfRule type="cellIs" dxfId="6247" priority="8033" stopIfTrue="1" operator="equal">
      <formula>"Towel"</formula>
    </cfRule>
    <cfRule type="cellIs" dxfId="6246" priority="8034" stopIfTrue="1" operator="equal">
      <formula>"Napkin Hs"</formula>
    </cfRule>
  </conditionalFormatting>
  <conditionalFormatting sqref="B82:C82">
    <cfRule type="cellIs" dxfId="6245" priority="8031" stopIfTrue="1" operator="equal">
      <formula>"Towel"</formula>
    </cfRule>
    <cfRule type="cellIs" dxfId="6244" priority="8032" stopIfTrue="1" operator="equal">
      <formula>"Napkin Hs"</formula>
    </cfRule>
  </conditionalFormatting>
  <conditionalFormatting sqref="C82">
    <cfRule type="cellIs" dxfId="6243" priority="8029" stopIfTrue="1" operator="equal">
      <formula>"Towel"</formula>
    </cfRule>
    <cfRule type="cellIs" dxfId="6242" priority="8030" stopIfTrue="1" operator="equal">
      <formula>"Napkin Hs"</formula>
    </cfRule>
  </conditionalFormatting>
  <conditionalFormatting sqref="C82">
    <cfRule type="cellIs" dxfId="6241" priority="8027" stopIfTrue="1" operator="equal">
      <formula>"Towel"</formula>
    </cfRule>
    <cfRule type="cellIs" dxfId="6240" priority="8028" stopIfTrue="1" operator="equal">
      <formula>"Napkin Hs"</formula>
    </cfRule>
  </conditionalFormatting>
  <conditionalFormatting sqref="B82:C82">
    <cfRule type="cellIs" dxfId="6239" priority="8026" stopIfTrue="1" operator="equal">
      <formula>"Napkin Hs"</formula>
    </cfRule>
  </conditionalFormatting>
  <conditionalFormatting sqref="B82:C82">
    <cfRule type="cellIs" dxfId="6238" priority="8025" stopIfTrue="1" operator="equal">
      <formula>"Towel"</formula>
    </cfRule>
  </conditionalFormatting>
  <conditionalFormatting sqref="C82">
    <cfRule type="cellIs" dxfId="6237" priority="8024" stopIfTrue="1" operator="equal">
      <formula>"Napkin Hs"</formula>
    </cfRule>
  </conditionalFormatting>
  <conditionalFormatting sqref="C82">
    <cfRule type="cellIs" dxfId="6236" priority="8021" stopIfTrue="1" operator="equal">
      <formula>"Towel"</formula>
    </cfRule>
    <cfRule type="cellIs" dxfId="6235" priority="8022" stopIfTrue="1" operator="equal">
      <formula>"Napkin Hs"</formula>
    </cfRule>
  </conditionalFormatting>
  <conditionalFormatting sqref="C82">
    <cfRule type="cellIs" dxfId="6234" priority="8023" stopIfTrue="1" operator="equal">
      <formula>"Towel"</formula>
    </cfRule>
  </conditionalFormatting>
  <conditionalFormatting sqref="B81:C81">
    <cfRule type="cellIs" dxfId="6233" priority="8019" stopIfTrue="1" operator="equal">
      <formula>"Towel"</formula>
    </cfRule>
    <cfRule type="cellIs" dxfId="6232" priority="8020" stopIfTrue="1" operator="equal">
      <formula>"Napkin Hs"</formula>
    </cfRule>
  </conditionalFormatting>
  <conditionalFormatting sqref="C81">
    <cfRule type="cellIs" dxfId="6231" priority="8015" stopIfTrue="1" operator="equal">
      <formula>"Towel"</formula>
    </cfRule>
    <cfRule type="cellIs" dxfId="6230" priority="8016" stopIfTrue="1" operator="equal">
      <formula>"Napkin Hs"</formula>
    </cfRule>
  </conditionalFormatting>
  <conditionalFormatting sqref="C81">
    <cfRule type="cellIs" dxfId="6229" priority="8017" stopIfTrue="1" operator="equal">
      <formula>"Towel"</formula>
    </cfRule>
    <cfRule type="cellIs" dxfId="6228" priority="8018" stopIfTrue="1" operator="equal">
      <formula>"Napkin Hs"</formula>
    </cfRule>
  </conditionalFormatting>
  <conditionalFormatting sqref="B81:C81">
    <cfRule type="cellIs" dxfId="6227" priority="8014" stopIfTrue="1" operator="equal">
      <formula>"Napkin Hs"</formula>
    </cfRule>
  </conditionalFormatting>
  <conditionalFormatting sqref="B81:C81">
    <cfRule type="cellIs" dxfId="6226" priority="8013" stopIfTrue="1" operator="equal">
      <formula>"Towel"</formula>
    </cfRule>
  </conditionalFormatting>
  <conditionalFormatting sqref="C81">
    <cfRule type="cellIs" dxfId="6225" priority="8012" stopIfTrue="1" operator="equal">
      <formula>"Napkin Hs"</formula>
    </cfRule>
  </conditionalFormatting>
  <conditionalFormatting sqref="C81">
    <cfRule type="cellIs" dxfId="6224" priority="8011" stopIfTrue="1" operator="equal">
      <formula>"Towel"</formula>
    </cfRule>
  </conditionalFormatting>
  <conditionalFormatting sqref="C81">
    <cfRule type="cellIs" dxfId="6223" priority="8009" stopIfTrue="1" operator="equal">
      <formula>"Towel"</formula>
    </cfRule>
    <cfRule type="cellIs" dxfId="6222" priority="8010" stopIfTrue="1" operator="equal">
      <formula>"Napkin Hs"</formula>
    </cfRule>
  </conditionalFormatting>
  <conditionalFormatting sqref="B81:C81">
    <cfRule type="cellIs" dxfId="6221" priority="8007" stopIfTrue="1" operator="equal">
      <formula>"Towel"</formula>
    </cfRule>
    <cfRule type="cellIs" dxfId="6220" priority="8008" stopIfTrue="1" operator="equal">
      <formula>"Napkin Hs"</formula>
    </cfRule>
  </conditionalFormatting>
  <conditionalFormatting sqref="C81">
    <cfRule type="cellIs" dxfId="6219" priority="8005" stopIfTrue="1" operator="equal">
      <formula>"Towel"</formula>
    </cfRule>
    <cfRule type="cellIs" dxfId="6218" priority="8006" stopIfTrue="1" operator="equal">
      <formula>"Napkin Hs"</formula>
    </cfRule>
  </conditionalFormatting>
  <conditionalFormatting sqref="C81">
    <cfRule type="cellIs" dxfId="6217" priority="8003" stopIfTrue="1" operator="equal">
      <formula>"Towel"</formula>
    </cfRule>
    <cfRule type="cellIs" dxfId="6216" priority="8004" stopIfTrue="1" operator="equal">
      <formula>"Napkin Hs"</formula>
    </cfRule>
  </conditionalFormatting>
  <conditionalFormatting sqref="B81:C81">
    <cfRule type="cellIs" dxfId="6215" priority="8001" stopIfTrue="1" operator="equal">
      <formula>"Towel"</formula>
    </cfRule>
    <cfRule type="cellIs" dxfId="6214" priority="8002" stopIfTrue="1" operator="equal">
      <formula>"Napkin Hs"</formula>
    </cfRule>
  </conditionalFormatting>
  <conditionalFormatting sqref="C81">
    <cfRule type="cellIs" dxfId="6213" priority="7999" stopIfTrue="1" operator="equal">
      <formula>"Towel"</formula>
    </cfRule>
    <cfRule type="cellIs" dxfId="6212" priority="8000" stopIfTrue="1" operator="equal">
      <formula>"Napkin Hs"</formula>
    </cfRule>
  </conditionalFormatting>
  <conditionalFormatting sqref="C81">
    <cfRule type="cellIs" dxfId="6211" priority="7997" stopIfTrue="1" operator="equal">
      <formula>"Towel"</formula>
    </cfRule>
    <cfRule type="cellIs" dxfId="6210" priority="7998" stopIfTrue="1" operator="equal">
      <formula>"Napkin Hs"</formula>
    </cfRule>
  </conditionalFormatting>
  <conditionalFormatting sqref="B81:C81">
    <cfRule type="cellIs" dxfId="6209" priority="7995" stopIfTrue="1" operator="equal">
      <formula>"Towel"</formula>
    </cfRule>
    <cfRule type="cellIs" dxfId="6208" priority="7996" stopIfTrue="1" operator="equal">
      <formula>"Napkin Hs"</formula>
    </cfRule>
  </conditionalFormatting>
  <conditionalFormatting sqref="C81">
    <cfRule type="cellIs" dxfId="6207" priority="7993" stopIfTrue="1" operator="equal">
      <formula>"Towel"</formula>
    </cfRule>
    <cfRule type="cellIs" dxfId="6206" priority="7994" stopIfTrue="1" operator="equal">
      <formula>"Napkin Hs"</formula>
    </cfRule>
  </conditionalFormatting>
  <conditionalFormatting sqref="C81">
    <cfRule type="cellIs" dxfId="6205" priority="7991" stopIfTrue="1" operator="equal">
      <formula>"Towel"</formula>
    </cfRule>
    <cfRule type="cellIs" dxfId="6204" priority="7992" stopIfTrue="1" operator="equal">
      <formula>"Napkin Hs"</formula>
    </cfRule>
  </conditionalFormatting>
  <conditionalFormatting sqref="B81:C81">
    <cfRule type="cellIs" dxfId="6203" priority="7989" stopIfTrue="1" operator="equal">
      <formula>"Towel"</formula>
    </cfRule>
    <cfRule type="cellIs" dxfId="6202" priority="7990" stopIfTrue="1" operator="equal">
      <formula>"Napkin Hs"</formula>
    </cfRule>
  </conditionalFormatting>
  <conditionalFormatting sqref="C81">
    <cfRule type="cellIs" dxfId="6201" priority="7987" stopIfTrue="1" operator="equal">
      <formula>"Towel"</formula>
    </cfRule>
    <cfRule type="cellIs" dxfId="6200" priority="7988" stopIfTrue="1" operator="equal">
      <formula>"Napkin Hs"</formula>
    </cfRule>
  </conditionalFormatting>
  <conditionalFormatting sqref="C81">
    <cfRule type="cellIs" dxfId="6199" priority="7985" stopIfTrue="1" operator="equal">
      <formula>"Towel"</formula>
    </cfRule>
    <cfRule type="cellIs" dxfId="6198" priority="7986" stopIfTrue="1" operator="equal">
      <formula>"Napkin Hs"</formula>
    </cfRule>
  </conditionalFormatting>
  <conditionalFormatting sqref="B81:C81">
    <cfRule type="cellIs" dxfId="6197" priority="7983" stopIfTrue="1" operator="equal">
      <formula>"Towel"</formula>
    </cfRule>
    <cfRule type="cellIs" dxfId="6196" priority="7984" stopIfTrue="1" operator="equal">
      <formula>"Napkin Hs"</formula>
    </cfRule>
  </conditionalFormatting>
  <conditionalFormatting sqref="C81">
    <cfRule type="cellIs" dxfId="6195" priority="7981" stopIfTrue="1" operator="equal">
      <formula>"Towel"</formula>
    </cfRule>
    <cfRule type="cellIs" dxfId="6194" priority="7982" stopIfTrue="1" operator="equal">
      <formula>"Napkin Hs"</formula>
    </cfRule>
  </conditionalFormatting>
  <conditionalFormatting sqref="C81">
    <cfRule type="cellIs" dxfId="6193" priority="7979" stopIfTrue="1" operator="equal">
      <formula>"Towel"</formula>
    </cfRule>
    <cfRule type="cellIs" dxfId="6192" priority="7980" stopIfTrue="1" operator="equal">
      <formula>"Napkin Hs"</formula>
    </cfRule>
  </conditionalFormatting>
  <conditionalFormatting sqref="B81:C81">
    <cfRule type="cellIs" dxfId="6191" priority="7978" stopIfTrue="1" operator="equal">
      <formula>"Napkin Hs"</formula>
    </cfRule>
  </conditionalFormatting>
  <conditionalFormatting sqref="B81:C81">
    <cfRule type="cellIs" dxfId="6190" priority="7977" stopIfTrue="1" operator="equal">
      <formula>"Towel"</formula>
    </cfRule>
  </conditionalFormatting>
  <conditionalFormatting sqref="C81">
    <cfRule type="cellIs" dxfId="6189" priority="7976" stopIfTrue="1" operator="equal">
      <formula>"Napkin Hs"</formula>
    </cfRule>
  </conditionalFormatting>
  <conditionalFormatting sqref="C81">
    <cfRule type="cellIs" dxfId="6188" priority="7973" stopIfTrue="1" operator="equal">
      <formula>"Towel"</formula>
    </cfRule>
    <cfRule type="cellIs" dxfId="6187" priority="7974" stopIfTrue="1" operator="equal">
      <formula>"Napkin Hs"</formula>
    </cfRule>
  </conditionalFormatting>
  <conditionalFormatting sqref="C81">
    <cfRule type="cellIs" dxfId="6186" priority="7975" stopIfTrue="1" operator="equal">
      <formula>"Towel"</formula>
    </cfRule>
  </conditionalFormatting>
  <conditionalFormatting sqref="B80:C80">
    <cfRule type="cellIs" dxfId="6185" priority="7971" stopIfTrue="1" operator="equal">
      <formula>"Towel"</formula>
    </cfRule>
    <cfRule type="cellIs" dxfId="6184" priority="7972" stopIfTrue="1" operator="equal">
      <formula>"Napkin Hs"</formula>
    </cfRule>
  </conditionalFormatting>
  <conditionalFormatting sqref="C80">
    <cfRule type="cellIs" dxfId="6183" priority="7967" stopIfTrue="1" operator="equal">
      <formula>"Towel"</formula>
    </cfRule>
    <cfRule type="cellIs" dxfId="6182" priority="7968" stopIfTrue="1" operator="equal">
      <formula>"Napkin Hs"</formula>
    </cfRule>
  </conditionalFormatting>
  <conditionalFormatting sqref="C80">
    <cfRule type="cellIs" dxfId="6181" priority="7969" stopIfTrue="1" operator="equal">
      <formula>"Towel"</formula>
    </cfRule>
    <cfRule type="cellIs" dxfId="6180" priority="7970" stopIfTrue="1" operator="equal">
      <formula>"Napkin Hs"</formula>
    </cfRule>
  </conditionalFormatting>
  <conditionalFormatting sqref="B80:C80">
    <cfRule type="cellIs" dxfId="6179" priority="7966" stopIfTrue="1" operator="equal">
      <formula>"Napkin Hs"</formula>
    </cfRule>
  </conditionalFormatting>
  <conditionalFormatting sqref="B80:C80">
    <cfRule type="cellIs" dxfId="6178" priority="7965" stopIfTrue="1" operator="equal">
      <formula>"Towel"</formula>
    </cfRule>
  </conditionalFormatting>
  <conditionalFormatting sqref="C80">
    <cfRule type="cellIs" dxfId="6177" priority="7964" stopIfTrue="1" operator="equal">
      <formula>"Napkin Hs"</formula>
    </cfRule>
  </conditionalFormatting>
  <conditionalFormatting sqref="C80">
    <cfRule type="cellIs" dxfId="6176" priority="7963" stopIfTrue="1" operator="equal">
      <formula>"Towel"</formula>
    </cfRule>
  </conditionalFormatting>
  <conditionalFormatting sqref="C80">
    <cfRule type="cellIs" dxfId="6175" priority="7961" stopIfTrue="1" operator="equal">
      <formula>"Towel"</formula>
    </cfRule>
    <cfRule type="cellIs" dxfId="6174" priority="7962" stopIfTrue="1" operator="equal">
      <formula>"Napkin Hs"</formula>
    </cfRule>
  </conditionalFormatting>
  <conditionalFormatting sqref="B80:C80">
    <cfRule type="cellIs" dxfId="6173" priority="7959" stopIfTrue="1" operator="equal">
      <formula>"Towel"</formula>
    </cfRule>
    <cfRule type="cellIs" dxfId="6172" priority="7960" stopIfTrue="1" operator="equal">
      <formula>"Napkin Hs"</formula>
    </cfRule>
  </conditionalFormatting>
  <conditionalFormatting sqref="C80">
    <cfRule type="cellIs" dxfId="6171" priority="7957" stopIfTrue="1" operator="equal">
      <formula>"Towel"</formula>
    </cfRule>
    <cfRule type="cellIs" dxfId="6170" priority="7958" stopIfTrue="1" operator="equal">
      <formula>"Napkin Hs"</formula>
    </cfRule>
  </conditionalFormatting>
  <conditionalFormatting sqref="C80">
    <cfRule type="cellIs" dxfId="6169" priority="7955" stopIfTrue="1" operator="equal">
      <formula>"Towel"</formula>
    </cfRule>
    <cfRule type="cellIs" dxfId="6168" priority="7956" stopIfTrue="1" operator="equal">
      <formula>"Napkin Hs"</formula>
    </cfRule>
  </conditionalFormatting>
  <conditionalFormatting sqref="B80:C80">
    <cfRule type="cellIs" dxfId="6167" priority="7953" stopIfTrue="1" operator="equal">
      <formula>"Towel"</formula>
    </cfRule>
    <cfRule type="cellIs" dxfId="6166" priority="7954" stopIfTrue="1" operator="equal">
      <formula>"Napkin Hs"</formula>
    </cfRule>
  </conditionalFormatting>
  <conditionalFormatting sqref="C80">
    <cfRule type="cellIs" dxfId="6165" priority="7951" stopIfTrue="1" operator="equal">
      <formula>"Towel"</formula>
    </cfRule>
    <cfRule type="cellIs" dxfId="6164" priority="7952" stopIfTrue="1" operator="equal">
      <formula>"Napkin Hs"</formula>
    </cfRule>
  </conditionalFormatting>
  <conditionalFormatting sqref="C80">
    <cfRule type="cellIs" dxfId="6163" priority="7949" stopIfTrue="1" operator="equal">
      <formula>"Towel"</formula>
    </cfRule>
    <cfRule type="cellIs" dxfId="6162" priority="7950" stopIfTrue="1" operator="equal">
      <formula>"Napkin Hs"</formula>
    </cfRule>
  </conditionalFormatting>
  <conditionalFormatting sqref="B80:C80">
    <cfRule type="cellIs" dxfId="6161" priority="7947" stopIfTrue="1" operator="equal">
      <formula>"Towel"</formula>
    </cfRule>
    <cfRule type="cellIs" dxfId="6160" priority="7948" stopIfTrue="1" operator="equal">
      <formula>"Napkin Hs"</formula>
    </cfRule>
  </conditionalFormatting>
  <conditionalFormatting sqref="C80">
    <cfRule type="cellIs" dxfId="6159" priority="7945" stopIfTrue="1" operator="equal">
      <formula>"Towel"</formula>
    </cfRule>
    <cfRule type="cellIs" dxfId="6158" priority="7946" stopIfTrue="1" operator="equal">
      <formula>"Napkin Hs"</formula>
    </cfRule>
  </conditionalFormatting>
  <conditionalFormatting sqref="C80">
    <cfRule type="cellIs" dxfId="6157" priority="7943" stopIfTrue="1" operator="equal">
      <formula>"Towel"</formula>
    </cfRule>
    <cfRule type="cellIs" dxfId="6156" priority="7944" stopIfTrue="1" operator="equal">
      <formula>"Napkin Hs"</formula>
    </cfRule>
  </conditionalFormatting>
  <conditionalFormatting sqref="B80:C80">
    <cfRule type="cellIs" dxfId="6155" priority="7941" stopIfTrue="1" operator="equal">
      <formula>"Towel"</formula>
    </cfRule>
    <cfRule type="cellIs" dxfId="6154" priority="7942" stopIfTrue="1" operator="equal">
      <formula>"Napkin Hs"</formula>
    </cfRule>
  </conditionalFormatting>
  <conditionalFormatting sqref="C80">
    <cfRule type="cellIs" dxfId="6153" priority="7939" stopIfTrue="1" operator="equal">
      <formula>"Towel"</formula>
    </cfRule>
    <cfRule type="cellIs" dxfId="6152" priority="7940" stopIfTrue="1" operator="equal">
      <formula>"Napkin Hs"</formula>
    </cfRule>
  </conditionalFormatting>
  <conditionalFormatting sqref="C80">
    <cfRule type="cellIs" dxfId="6151" priority="7937" stopIfTrue="1" operator="equal">
      <formula>"Towel"</formula>
    </cfRule>
    <cfRule type="cellIs" dxfId="6150" priority="7938" stopIfTrue="1" operator="equal">
      <formula>"Napkin Hs"</formula>
    </cfRule>
  </conditionalFormatting>
  <conditionalFormatting sqref="B80:C80">
    <cfRule type="cellIs" dxfId="6149" priority="7935" stopIfTrue="1" operator="equal">
      <formula>"Towel"</formula>
    </cfRule>
    <cfRule type="cellIs" dxfId="6148" priority="7936" stopIfTrue="1" operator="equal">
      <formula>"Napkin Hs"</formula>
    </cfRule>
  </conditionalFormatting>
  <conditionalFormatting sqref="C80">
    <cfRule type="cellIs" dxfId="6147" priority="7933" stopIfTrue="1" operator="equal">
      <formula>"Towel"</formula>
    </cfRule>
    <cfRule type="cellIs" dxfId="6146" priority="7934" stopIfTrue="1" operator="equal">
      <formula>"Napkin Hs"</formula>
    </cfRule>
  </conditionalFormatting>
  <conditionalFormatting sqref="C80">
    <cfRule type="cellIs" dxfId="6145" priority="7931" stopIfTrue="1" operator="equal">
      <formula>"Towel"</formula>
    </cfRule>
    <cfRule type="cellIs" dxfId="6144" priority="7932" stopIfTrue="1" operator="equal">
      <formula>"Napkin Hs"</formula>
    </cfRule>
  </conditionalFormatting>
  <conditionalFormatting sqref="B80:C80">
    <cfRule type="cellIs" dxfId="6143" priority="7930" stopIfTrue="1" operator="equal">
      <formula>"Napkin Hs"</formula>
    </cfRule>
  </conditionalFormatting>
  <conditionalFormatting sqref="B80:C80">
    <cfRule type="cellIs" dxfId="6142" priority="7929" stopIfTrue="1" operator="equal">
      <formula>"Towel"</formula>
    </cfRule>
  </conditionalFormatting>
  <conditionalFormatting sqref="C80">
    <cfRule type="cellIs" dxfId="6141" priority="7928" stopIfTrue="1" operator="equal">
      <formula>"Napkin Hs"</formula>
    </cfRule>
  </conditionalFormatting>
  <conditionalFormatting sqref="C80">
    <cfRule type="cellIs" dxfId="6140" priority="7925" stopIfTrue="1" operator="equal">
      <formula>"Towel"</formula>
    </cfRule>
    <cfRule type="cellIs" dxfId="6139" priority="7926" stopIfTrue="1" operator="equal">
      <formula>"Napkin Hs"</formula>
    </cfRule>
  </conditionalFormatting>
  <conditionalFormatting sqref="C80">
    <cfRule type="cellIs" dxfId="6138" priority="7927" stopIfTrue="1" operator="equal">
      <formula>"Towel"</formula>
    </cfRule>
  </conditionalFormatting>
  <conditionalFormatting sqref="C80">
    <cfRule type="cellIs" dxfId="6137" priority="7729" stopIfTrue="1" operator="equal">
      <formula>"Towel"</formula>
    </cfRule>
    <cfRule type="cellIs" dxfId="6136" priority="7730" stopIfTrue="1" operator="equal">
      <formula>"Napkin Hs"</formula>
    </cfRule>
  </conditionalFormatting>
  <conditionalFormatting sqref="B80:C80">
    <cfRule type="cellIs" dxfId="6135" priority="7727" stopIfTrue="1" operator="equal">
      <formula>"Towel"</formula>
    </cfRule>
    <cfRule type="cellIs" dxfId="6134" priority="7728" stopIfTrue="1" operator="equal">
      <formula>"Napkin Hs"</formula>
    </cfRule>
  </conditionalFormatting>
  <conditionalFormatting sqref="C80">
    <cfRule type="cellIs" dxfId="6133" priority="7725" stopIfTrue="1" operator="equal">
      <formula>"Towel"</formula>
    </cfRule>
    <cfRule type="cellIs" dxfId="6132" priority="7726" stopIfTrue="1" operator="equal">
      <formula>"Napkin Hs"</formula>
    </cfRule>
  </conditionalFormatting>
  <conditionalFormatting sqref="C80">
    <cfRule type="cellIs" dxfId="6131" priority="7717" stopIfTrue="1" operator="equal">
      <formula>"Towel"</formula>
    </cfRule>
    <cfRule type="cellIs" dxfId="6130" priority="7718" stopIfTrue="1" operator="equal">
      <formula>"Napkin Hs"</formula>
    </cfRule>
  </conditionalFormatting>
  <conditionalFormatting sqref="B82:C82">
    <cfRule type="cellIs" dxfId="6129" priority="7799" stopIfTrue="1" operator="equal">
      <formula>"Towel"</formula>
    </cfRule>
    <cfRule type="cellIs" dxfId="6128" priority="7800" stopIfTrue="1" operator="equal">
      <formula>"Napkin Hs"</formula>
    </cfRule>
  </conditionalFormatting>
  <conditionalFormatting sqref="C82">
    <cfRule type="cellIs" dxfId="6127" priority="7795" stopIfTrue="1" operator="equal">
      <formula>"Towel"</formula>
    </cfRule>
    <cfRule type="cellIs" dxfId="6126" priority="7796" stopIfTrue="1" operator="equal">
      <formula>"Napkin Hs"</formula>
    </cfRule>
  </conditionalFormatting>
  <conditionalFormatting sqref="C82">
    <cfRule type="cellIs" dxfId="6125" priority="7797" stopIfTrue="1" operator="equal">
      <formula>"Towel"</formula>
    </cfRule>
    <cfRule type="cellIs" dxfId="6124" priority="7798" stopIfTrue="1" operator="equal">
      <formula>"Napkin Hs"</formula>
    </cfRule>
  </conditionalFormatting>
  <conditionalFormatting sqref="B82:C82">
    <cfRule type="cellIs" dxfId="6123" priority="7793" stopIfTrue="1" operator="equal">
      <formula>"Towel"</formula>
    </cfRule>
    <cfRule type="cellIs" dxfId="6122" priority="7794" stopIfTrue="1" operator="equal">
      <formula>"Napkin Hs"</formula>
    </cfRule>
  </conditionalFormatting>
  <conditionalFormatting sqref="C82">
    <cfRule type="cellIs" dxfId="6121" priority="7789" stopIfTrue="1" operator="equal">
      <formula>"Towel"</formula>
    </cfRule>
    <cfRule type="cellIs" dxfId="6120" priority="7790" stopIfTrue="1" operator="equal">
      <formula>"Napkin Hs"</formula>
    </cfRule>
  </conditionalFormatting>
  <conditionalFormatting sqref="C82">
    <cfRule type="cellIs" dxfId="6119" priority="7791" stopIfTrue="1" operator="equal">
      <formula>"Towel"</formula>
    </cfRule>
    <cfRule type="cellIs" dxfId="6118" priority="7792" stopIfTrue="1" operator="equal">
      <formula>"Napkin Hs"</formula>
    </cfRule>
  </conditionalFormatting>
  <conditionalFormatting sqref="B82:C82">
    <cfRule type="cellIs" dxfId="6117" priority="7787" stopIfTrue="1" operator="equal">
      <formula>"Towel"</formula>
    </cfRule>
    <cfRule type="cellIs" dxfId="6116" priority="7788" stopIfTrue="1" operator="equal">
      <formula>"Napkin Hs"</formula>
    </cfRule>
  </conditionalFormatting>
  <conditionalFormatting sqref="C82">
    <cfRule type="cellIs" dxfId="6115" priority="7785" stopIfTrue="1" operator="equal">
      <formula>"Towel"</formula>
    </cfRule>
    <cfRule type="cellIs" dxfId="6114" priority="7786" stopIfTrue="1" operator="equal">
      <formula>"Napkin Hs"</formula>
    </cfRule>
  </conditionalFormatting>
  <conditionalFormatting sqref="C82">
    <cfRule type="cellIs" dxfId="6113" priority="7783" stopIfTrue="1" operator="equal">
      <formula>"Towel"</formula>
    </cfRule>
    <cfRule type="cellIs" dxfId="6112" priority="7784" stopIfTrue="1" operator="equal">
      <formula>"Napkin Hs"</formula>
    </cfRule>
  </conditionalFormatting>
  <conditionalFormatting sqref="B82:C82">
    <cfRule type="cellIs" dxfId="6111" priority="7781" stopIfTrue="1" operator="equal">
      <formula>"Towel"</formula>
    </cfRule>
    <cfRule type="cellIs" dxfId="6110" priority="7782" stopIfTrue="1" operator="equal">
      <formula>"Napkin Hs"</formula>
    </cfRule>
  </conditionalFormatting>
  <conditionalFormatting sqref="C82">
    <cfRule type="cellIs" dxfId="6109" priority="7779" stopIfTrue="1" operator="equal">
      <formula>"Towel"</formula>
    </cfRule>
    <cfRule type="cellIs" dxfId="6108" priority="7780" stopIfTrue="1" operator="equal">
      <formula>"Napkin Hs"</formula>
    </cfRule>
  </conditionalFormatting>
  <conditionalFormatting sqref="C82">
    <cfRule type="cellIs" dxfId="6107" priority="7777" stopIfTrue="1" operator="equal">
      <formula>"Towel"</formula>
    </cfRule>
    <cfRule type="cellIs" dxfId="6106" priority="7778" stopIfTrue="1" operator="equal">
      <formula>"Napkin Hs"</formula>
    </cfRule>
  </conditionalFormatting>
  <conditionalFormatting sqref="B82:C82">
    <cfRule type="cellIs" dxfId="6105" priority="7775" stopIfTrue="1" operator="equal">
      <formula>"Towel"</formula>
    </cfRule>
    <cfRule type="cellIs" dxfId="6104" priority="7776" stopIfTrue="1" operator="equal">
      <formula>"Napkin Hs"</formula>
    </cfRule>
  </conditionalFormatting>
  <conditionalFormatting sqref="C82">
    <cfRule type="cellIs" dxfId="6103" priority="7773" stopIfTrue="1" operator="equal">
      <formula>"Towel"</formula>
    </cfRule>
    <cfRule type="cellIs" dxfId="6102" priority="7774" stopIfTrue="1" operator="equal">
      <formula>"Napkin Hs"</formula>
    </cfRule>
  </conditionalFormatting>
  <conditionalFormatting sqref="C82">
    <cfRule type="cellIs" dxfId="6101" priority="7771" stopIfTrue="1" operator="equal">
      <formula>"Towel"</formula>
    </cfRule>
    <cfRule type="cellIs" dxfId="6100" priority="7772" stopIfTrue="1" operator="equal">
      <formula>"Napkin Hs"</formula>
    </cfRule>
  </conditionalFormatting>
  <conditionalFormatting sqref="B82:C82">
    <cfRule type="cellIs" dxfId="6099" priority="7770" stopIfTrue="1" operator="equal">
      <formula>"Napkin Hs"</formula>
    </cfRule>
  </conditionalFormatting>
  <conditionalFormatting sqref="B82:C82">
    <cfRule type="cellIs" dxfId="6098" priority="7769" stopIfTrue="1" operator="equal">
      <formula>"Towel"</formula>
    </cfRule>
  </conditionalFormatting>
  <conditionalFormatting sqref="C82">
    <cfRule type="cellIs" dxfId="6097" priority="7768" stopIfTrue="1" operator="equal">
      <formula>"Napkin Hs"</formula>
    </cfRule>
  </conditionalFormatting>
  <conditionalFormatting sqref="C82">
    <cfRule type="cellIs" dxfId="6096" priority="7765" stopIfTrue="1" operator="equal">
      <formula>"Towel"</formula>
    </cfRule>
    <cfRule type="cellIs" dxfId="6095" priority="7766" stopIfTrue="1" operator="equal">
      <formula>"Napkin Hs"</formula>
    </cfRule>
  </conditionalFormatting>
  <conditionalFormatting sqref="C82">
    <cfRule type="cellIs" dxfId="6094" priority="7767" stopIfTrue="1" operator="equal">
      <formula>"Towel"</formula>
    </cfRule>
  </conditionalFormatting>
  <conditionalFormatting sqref="B80:C80">
    <cfRule type="cellIs" dxfId="6093" priority="7758" stopIfTrue="1" operator="equal">
      <formula>"Napkin Hs"</formula>
    </cfRule>
  </conditionalFormatting>
  <conditionalFormatting sqref="B80:C80">
    <cfRule type="cellIs" dxfId="6092" priority="7757" stopIfTrue="1" operator="equal">
      <formula>"Towel"</formula>
    </cfRule>
  </conditionalFormatting>
  <conditionalFormatting sqref="C80">
    <cfRule type="cellIs" dxfId="6091" priority="7756" stopIfTrue="1" operator="equal">
      <formula>"Napkin Hs"</formula>
    </cfRule>
  </conditionalFormatting>
  <conditionalFormatting sqref="C80">
    <cfRule type="cellIs" dxfId="6090" priority="7755" stopIfTrue="1" operator="equal">
      <formula>"Towel"</formula>
    </cfRule>
  </conditionalFormatting>
  <conditionalFormatting sqref="C80">
    <cfRule type="cellIs" dxfId="6089" priority="7753" stopIfTrue="1" operator="equal">
      <formula>"Towel"</formula>
    </cfRule>
    <cfRule type="cellIs" dxfId="6088" priority="7754" stopIfTrue="1" operator="equal">
      <formula>"Napkin Hs"</formula>
    </cfRule>
  </conditionalFormatting>
  <conditionalFormatting sqref="B80:C80">
    <cfRule type="cellIs" dxfId="6087" priority="7751" stopIfTrue="1" operator="equal">
      <formula>"Towel"</formula>
    </cfRule>
    <cfRule type="cellIs" dxfId="6086" priority="7752" stopIfTrue="1" operator="equal">
      <formula>"Napkin Hs"</formula>
    </cfRule>
  </conditionalFormatting>
  <conditionalFormatting sqref="C80">
    <cfRule type="cellIs" dxfId="6085" priority="7749" stopIfTrue="1" operator="equal">
      <formula>"Towel"</formula>
    </cfRule>
    <cfRule type="cellIs" dxfId="6084" priority="7750" stopIfTrue="1" operator="equal">
      <formula>"Napkin Hs"</formula>
    </cfRule>
  </conditionalFormatting>
  <conditionalFormatting sqref="C80">
    <cfRule type="cellIs" dxfId="6083" priority="7747" stopIfTrue="1" operator="equal">
      <formula>"Towel"</formula>
    </cfRule>
    <cfRule type="cellIs" dxfId="6082" priority="7748" stopIfTrue="1" operator="equal">
      <formula>"Napkin Hs"</formula>
    </cfRule>
  </conditionalFormatting>
  <conditionalFormatting sqref="B80:C80">
    <cfRule type="cellIs" dxfId="6081" priority="7745" stopIfTrue="1" operator="equal">
      <formula>"Towel"</formula>
    </cfRule>
    <cfRule type="cellIs" dxfId="6080" priority="7746" stopIfTrue="1" operator="equal">
      <formula>"Napkin Hs"</formula>
    </cfRule>
  </conditionalFormatting>
  <conditionalFormatting sqref="C80">
    <cfRule type="cellIs" dxfId="6079" priority="7743" stopIfTrue="1" operator="equal">
      <formula>"Towel"</formula>
    </cfRule>
    <cfRule type="cellIs" dxfId="6078" priority="7744" stopIfTrue="1" operator="equal">
      <formula>"Napkin Hs"</formula>
    </cfRule>
  </conditionalFormatting>
  <conditionalFormatting sqref="C80">
    <cfRule type="cellIs" dxfId="6077" priority="7741" stopIfTrue="1" operator="equal">
      <formula>"Towel"</formula>
    </cfRule>
    <cfRule type="cellIs" dxfId="6076" priority="7742" stopIfTrue="1" operator="equal">
      <formula>"Napkin Hs"</formula>
    </cfRule>
  </conditionalFormatting>
  <conditionalFormatting sqref="B80:C80">
    <cfRule type="cellIs" dxfId="6075" priority="7739" stopIfTrue="1" operator="equal">
      <formula>"Towel"</formula>
    </cfRule>
    <cfRule type="cellIs" dxfId="6074" priority="7740" stopIfTrue="1" operator="equal">
      <formula>"Napkin Hs"</formula>
    </cfRule>
  </conditionalFormatting>
  <conditionalFormatting sqref="C80">
    <cfRule type="cellIs" dxfId="6073" priority="7737" stopIfTrue="1" operator="equal">
      <formula>"Towel"</formula>
    </cfRule>
    <cfRule type="cellIs" dxfId="6072" priority="7738" stopIfTrue="1" operator="equal">
      <formula>"Napkin Hs"</formula>
    </cfRule>
  </conditionalFormatting>
  <conditionalFormatting sqref="C80">
    <cfRule type="cellIs" dxfId="6071" priority="7735" stopIfTrue="1" operator="equal">
      <formula>"Towel"</formula>
    </cfRule>
    <cfRule type="cellIs" dxfId="6070" priority="7736" stopIfTrue="1" operator="equal">
      <formula>"Napkin Hs"</formula>
    </cfRule>
  </conditionalFormatting>
  <conditionalFormatting sqref="B80:C80">
    <cfRule type="cellIs" dxfId="6069" priority="7733" stopIfTrue="1" operator="equal">
      <formula>"Towel"</formula>
    </cfRule>
    <cfRule type="cellIs" dxfId="6068" priority="7734" stopIfTrue="1" operator="equal">
      <formula>"Napkin Hs"</formula>
    </cfRule>
  </conditionalFormatting>
  <conditionalFormatting sqref="C80">
    <cfRule type="cellIs" dxfId="6067" priority="7731" stopIfTrue="1" operator="equal">
      <formula>"Towel"</formula>
    </cfRule>
    <cfRule type="cellIs" dxfId="6066" priority="7732" stopIfTrue="1" operator="equal">
      <formula>"Napkin Hs"</formula>
    </cfRule>
  </conditionalFormatting>
  <conditionalFormatting sqref="C80">
    <cfRule type="cellIs" dxfId="6065" priority="7723" stopIfTrue="1" operator="equal">
      <formula>"Towel"</formula>
    </cfRule>
    <cfRule type="cellIs" dxfId="6064" priority="7724" stopIfTrue="1" operator="equal">
      <formula>"Napkin Hs"</formula>
    </cfRule>
  </conditionalFormatting>
  <conditionalFormatting sqref="B80:C80">
    <cfRule type="cellIs" dxfId="6063" priority="7722" stopIfTrue="1" operator="equal">
      <formula>"Napkin Hs"</formula>
    </cfRule>
  </conditionalFormatting>
  <conditionalFormatting sqref="B80:C80">
    <cfRule type="cellIs" dxfId="6062" priority="7721" stopIfTrue="1" operator="equal">
      <formula>"Towel"</formula>
    </cfRule>
  </conditionalFormatting>
  <conditionalFormatting sqref="C80">
    <cfRule type="cellIs" dxfId="6061" priority="7720" stopIfTrue="1" operator="equal">
      <formula>"Napkin Hs"</formula>
    </cfRule>
  </conditionalFormatting>
  <conditionalFormatting sqref="C80">
    <cfRule type="cellIs" dxfId="6060" priority="7719" stopIfTrue="1" operator="equal">
      <formula>"Towel"</formula>
    </cfRule>
  </conditionalFormatting>
  <conditionalFormatting sqref="B80:C80">
    <cfRule type="cellIs" dxfId="6059" priority="7763" stopIfTrue="1" operator="equal">
      <formula>"Towel"</formula>
    </cfRule>
    <cfRule type="cellIs" dxfId="6058" priority="7764" stopIfTrue="1" operator="equal">
      <formula>"Napkin Hs"</formula>
    </cfRule>
  </conditionalFormatting>
  <conditionalFormatting sqref="C80">
    <cfRule type="cellIs" dxfId="6057" priority="7759" stopIfTrue="1" operator="equal">
      <formula>"Towel"</formula>
    </cfRule>
    <cfRule type="cellIs" dxfId="6056" priority="7760" stopIfTrue="1" operator="equal">
      <formula>"Napkin Hs"</formula>
    </cfRule>
  </conditionalFormatting>
  <conditionalFormatting sqref="C80">
    <cfRule type="cellIs" dxfId="6055" priority="7761" stopIfTrue="1" operator="equal">
      <formula>"Towel"</formula>
    </cfRule>
    <cfRule type="cellIs" dxfId="6054" priority="7762" stopIfTrue="1" operator="equal">
      <formula>"Napkin Hs"</formula>
    </cfRule>
  </conditionalFormatting>
  <conditionalFormatting sqref="B81:C81">
    <cfRule type="cellIs" dxfId="6053" priority="7715" stopIfTrue="1" operator="equal">
      <formula>"Towel"</formula>
    </cfRule>
    <cfRule type="cellIs" dxfId="6052" priority="7716" stopIfTrue="1" operator="equal">
      <formula>"Napkin Hs"</formula>
    </cfRule>
  </conditionalFormatting>
  <conditionalFormatting sqref="C81">
    <cfRule type="cellIs" dxfId="6051" priority="7711" stopIfTrue="1" operator="equal">
      <formula>"Towel"</formula>
    </cfRule>
    <cfRule type="cellIs" dxfId="6050" priority="7712" stopIfTrue="1" operator="equal">
      <formula>"Napkin Hs"</formula>
    </cfRule>
  </conditionalFormatting>
  <conditionalFormatting sqref="C81">
    <cfRule type="cellIs" dxfId="6049" priority="7713" stopIfTrue="1" operator="equal">
      <formula>"Towel"</formula>
    </cfRule>
    <cfRule type="cellIs" dxfId="6048" priority="7714" stopIfTrue="1" operator="equal">
      <formula>"Napkin Hs"</formula>
    </cfRule>
  </conditionalFormatting>
  <conditionalFormatting sqref="B81:C81">
    <cfRule type="cellIs" dxfId="6047" priority="7710" stopIfTrue="1" operator="equal">
      <formula>"Napkin Hs"</formula>
    </cfRule>
  </conditionalFormatting>
  <conditionalFormatting sqref="B81:C81">
    <cfRule type="cellIs" dxfId="6046" priority="7709" stopIfTrue="1" operator="equal">
      <formula>"Towel"</formula>
    </cfRule>
  </conditionalFormatting>
  <conditionalFormatting sqref="C81">
    <cfRule type="cellIs" dxfId="6045" priority="7708" stopIfTrue="1" operator="equal">
      <formula>"Napkin Hs"</formula>
    </cfRule>
  </conditionalFormatting>
  <conditionalFormatting sqref="C81">
    <cfRule type="cellIs" dxfId="6044" priority="7707" stopIfTrue="1" operator="equal">
      <formula>"Towel"</formula>
    </cfRule>
  </conditionalFormatting>
  <conditionalFormatting sqref="C81">
    <cfRule type="cellIs" dxfId="6043" priority="7705" stopIfTrue="1" operator="equal">
      <formula>"Towel"</formula>
    </cfRule>
    <cfRule type="cellIs" dxfId="6042" priority="7706" stopIfTrue="1" operator="equal">
      <formula>"Napkin Hs"</formula>
    </cfRule>
  </conditionalFormatting>
  <conditionalFormatting sqref="B81:C81">
    <cfRule type="cellIs" dxfId="6041" priority="7703" stopIfTrue="1" operator="equal">
      <formula>"Towel"</formula>
    </cfRule>
    <cfRule type="cellIs" dxfId="6040" priority="7704" stopIfTrue="1" operator="equal">
      <formula>"Napkin Hs"</formula>
    </cfRule>
  </conditionalFormatting>
  <conditionalFormatting sqref="C81">
    <cfRule type="cellIs" dxfId="6039" priority="7701" stopIfTrue="1" operator="equal">
      <formula>"Towel"</formula>
    </cfRule>
    <cfRule type="cellIs" dxfId="6038" priority="7702" stopIfTrue="1" operator="equal">
      <formula>"Napkin Hs"</formula>
    </cfRule>
  </conditionalFormatting>
  <conditionalFormatting sqref="C81">
    <cfRule type="cellIs" dxfId="6037" priority="7699" stopIfTrue="1" operator="equal">
      <formula>"Towel"</formula>
    </cfRule>
    <cfRule type="cellIs" dxfId="6036" priority="7700" stopIfTrue="1" operator="equal">
      <formula>"Napkin Hs"</formula>
    </cfRule>
  </conditionalFormatting>
  <conditionalFormatting sqref="B81:C81">
    <cfRule type="cellIs" dxfId="6035" priority="7697" stopIfTrue="1" operator="equal">
      <formula>"Towel"</formula>
    </cfRule>
    <cfRule type="cellIs" dxfId="6034" priority="7698" stopIfTrue="1" operator="equal">
      <formula>"Napkin Hs"</formula>
    </cfRule>
  </conditionalFormatting>
  <conditionalFormatting sqref="C81">
    <cfRule type="cellIs" dxfId="6033" priority="7695" stopIfTrue="1" operator="equal">
      <formula>"Towel"</formula>
    </cfRule>
    <cfRule type="cellIs" dxfId="6032" priority="7696" stopIfTrue="1" operator="equal">
      <formula>"Napkin Hs"</formula>
    </cfRule>
  </conditionalFormatting>
  <conditionalFormatting sqref="C81">
    <cfRule type="cellIs" dxfId="6031" priority="7693" stopIfTrue="1" operator="equal">
      <formula>"Towel"</formula>
    </cfRule>
    <cfRule type="cellIs" dxfId="6030" priority="7694" stopIfTrue="1" operator="equal">
      <formula>"Napkin Hs"</formula>
    </cfRule>
  </conditionalFormatting>
  <conditionalFormatting sqref="B81:C81">
    <cfRule type="cellIs" dxfId="6029" priority="7691" stopIfTrue="1" operator="equal">
      <formula>"Towel"</formula>
    </cfRule>
    <cfRule type="cellIs" dxfId="6028" priority="7692" stopIfTrue="1" operator="equal">
      <formula>"Napkin Hs"</formula>
    </cfRule>
  </conditionalFormatting>
  <conditionalFormatting sqref="C81">
    <cfRule type="cellIs" dxfId="6027" priority="7689" stopIfTrue="1" operator="equal">
      <formula>"Towel"</formula>
    </cfRule>
    <cfRule type="cellIs" dxfId="6026" priority="7690" stopIfTrue="1" operator="equal">
      <formula>"Napkin Hs"</formula>
    </cfRule>
  </conditionalFormatting>
  <conditionalFormatting sqref="C81">
    <cfRule type="cellIs" dxfId="6025" priority="7687" stopIfTrue="1" operator="equal">
      <formula>"Towel"</formula>
    </cfRule>
    <cfRule type="cellIs" dxfId="6024" priority="7688" stopIfTrue="1" operator="equal">
      <formula>"Napkin Hs"</formula>
    </cfRule>
  </conditionalFormatting>
  <conditionalFormatting sqref="B81:C81">
    <cfRule type="cellIs" dxfId="6023" priority="7685" stopIfTrue="1" operator="equal">
      <formula>"Towel"</formula>
    </cfRule>
    <cfRule type="cellIs" dxfId="6022" priority="7686" stopIfTrue="1" operator="equal">
      <formula>"Napkin Hs"</formula>
    </cfRule>
  </conditionalFormatting>
  <conditionalFormatting sqref="C81">
    <cfRule type="cellIs" dxfId="6021" priority="7683" stopIfTrue="1" operator="equal">
      <formula>"Towel"</formula>
    </cfRule>
    <cfRule type="cellIs" dxfId="6020" priority="7684" stopIfTrue="1" operator="equal">
      <formula>"Napkin Hs"</formula>
    </cfRule>
  </conditionalFormatting>
  <conditionalFormatting sqref="C81">
    <cfRule type="cellIs" dxfId="6019" priority="7681" stopIfTrue="1" operator="equal">
      <formula>"Towel"</formula>
    </cfRule>
    <cfRule type="cellIs" dxfId="6018" priority="7682" stopIfTrue="1" operator="equal">
      <formula>"Napkin Hs"</formula>
    </cfRule>
  </conditionalFormatting>
  <conditionalFormatting sqref="B81:C81">
    <cfRule type="cellIs" dxfId="6017" priority="7679" stopIfTrue="1" operator="equal">
      <formula>"Towel"</formula>
    </cfRule>
    <cfRule type="cellIs" dxfId="6016" priority="7680" stopIfTrue="1" operator="equal">
      <formula>"Napkin Hs"</formula>
    </cfRule>
  </conditionalFormatting>
  <conditionalFormatting sqref="C81">
    <cfRule type="cellIs" dxfId="6015" priority="7677" stopIfTrue="1" operator="equal">
      <formula>"Towel"</formula>
    </cfRule>
    <cfRule type="cellIs" dxfId="6014" priority="7678" stopIfTrue="1" operator="equal">
      <formula>"Napkin Hs"</formula>
    </cfRule>
  </conditionalFormatting>
  <conditionalFormatting sqref="C81">
    <cfRule type="cellIs" dxfId="6013" priority="7675" stopIfTrue="1" operator="equal">
      <formula>"Towel"</formula>
    </cfRule>
    <cfRule type="cellIs" dxfId="6012" priority="7676" stopIfTrue="1" operator="equal">
      <formula>"Napkin Hs"</formula>
    </cfRule>
  </conditionalFormatting>
  <conditionalFormatting sqref="B81:C81">
    <cfRule type="cellIs" dxfId="6011" priority="7674" stopIfTrue="1" operator="equal">
      <formula>"Napkin Hs"</formula>
    </cfRule>
  </conditionalFormatting>
  <conditionalFormatting sqref="B81:C81">
    <cfRule type="cellIs" dxfId="6010" priority="7673" stopIfTrue="1" operator="equal">
      <formula>"Towel"</formula>
    </cfRule>
  </conditionalFormatting>
  <conditionalFormatting sqref="C81">
    <cfRule type="cellIs" dxfId="6009" priority="7672" stopIfTrue="1" operator="equal">
      <formula>"Napkin Hs"</formula>
    </cfRule>
  </conditionalFormatting>
  <conditionalFormatting sqref="C81">
    <cfRule type="cellIs" dxfId="6008" priority="7669" stopIfTrue="1" operator="equal">
      <formula>"Towel"</formula>
    </cfRule>
    <cfRule type="cellIs" dxfId="6007" priority="7670" stopIfTrue="1" operator="equal">
      <formula>"Napkin Hs"</formula>
    </cfRule>
  </conditionalFormatting>
  <conditionalFormatting sqref="C81">
    <cfRule type="cellIs" dxfId="6006" priority="7671" stopIfTrue="1" operator="equal">
      <formula>"Towel"</formula>
    </cfRule>
  </conditionalFormatting>
  <conditionalFormatting sqref="C82">
    <cfRule type="cellIs" dxfId="6005" priority="7633" stopIfTrue="1" operator="equal">
      <formula>"Towel"</formula>
    </cfRule>
    <cfRule type="cellIs" dxfId="6004" priority="7634" stopIfTrue="1" operator="equal">
      <formula>"Napkin Hs"</formula>
    </cfRule>
  </conditionalFormatting>
  <conditionalFormatting sqref="B82:C82">
    <cfRule type="cellIs" dxfId="6003" priority="7631" stopIfTrue="1" operator="equal">
      <formula>"Towel"</formula>
    </cfRule>
    <cfRule type="cellIs" dxfId="6002" priority="7632" stopIfTrue="1" operator="equal">
      <formula>"Napkin Hs"</formula>
    </cfRule>
  </conditionalFormatting>
  <conditionalFormatting sqref="C82">
    <cfRule type="cellIs" dxfId="6001" priority="7629" stopIfTrue="1" operator="equal">
      <formula>"Towel"</formula>
    </cfRule>
    <cfRule type="cellIs" dxfId="6000" priority="7630" stopIfTrue="1" operator="equal">
      <formula>"Napkin Hs"</formula>
    </cfRule>
  </conditionalFormatting>
  <conditionalFormatting sqref="C82">
    <cfRule type="cellIs" dxfId="5999" priority="7621" stopIfTrue="1" operator="equal">
      <formula>"Towel"</formula>
    </cfRule>
    <cfRule type="cellIs" dxfId="5998" priority="7622" stopIfTrue="1" operator="equal">
      <formula>"Napkin Hs"</formula>
    </cfRule>
  </conditionalFormatting>
  <conditionalFormatting sqref="B82:C82">
    <cfRule type="cellIs" dxfId="5997" priority="7667" stopIfTrue="1" operator="equal">
      <formula>"Towel"</formula>
    </cfRule>
    <cfRule type="cellIs" dxfId="5996" priority="7668" stopIfTrue="1" operator="equal">
      <formula>"Napkin Hs"</formula>
    </cfRule>
  </conditionalFormatting>
  <conditionalFormatting sqref="C82">
    <cfRule type="cellIs" dxfId="5995" priority="7663" stopIfTrue="1" operator="equal">
      <formula>"Towel"</formula>
    </cfRule>
    <cfRule type="cellIs" dxfId="5994" priority="7664" stopIfTrue="1" operator="equal">
      <formula>"Napkin Hs"</formula>
    </cfRule>
  </conditionalFormatting>
  <conditionalFormatting sqref="C82">
    <cfRule type="cellIs" dxfId="5993" priority="7665" stopIfTrue="1" operator="equal">
      <formula>"Towel"</formula>
    </cfRule>
    <cfRule type="cellIs" dxfId="5992" priority="7666" stopIfTrue="1" operator="equal">
      <formula>"Napkin Hs"</formula>
    </cfRule>
  </conditionalFormatting>
  <conditionalFormatting sqref="B82:C82">
    <cfRule type="cellIs" dxfId="5991" priority="7662" stopIfTrue="1" operator="equal">
      <formula>"Napkin Hs"</formula>
    </cfRule>
  </conditionalFormatting>
  <conditionalFormatting sqref="B82:C82">
    <cfRule type="cellIs" dxfId="5990" priority="7661" stopIfTrue="1" operator="equal">
      <formula>"Towel"</formula>
    </cfRule>
  </conditionalFormatting>
  <conditionalFormatting sqref="C82">
    <cfRule type="cellIs" dxfId="5989" priority="7660" stopIfTrue="1" operator="equal">
      <formula>"Napkin Hs"</formula>
    </cfRule>
  </conditionalFormatting>
  <conditionalFormatting sqref="C82">
    <cfRule type="cellIs" dxfId="5988" priority="7659" stopIfTrue="1" operator="equal">
      <formula>"Towel"</formula>
    </cfRule>
  </conditionalFormatting>
  <conditionalFormatting sqref="C82">
    <cfRule type="cellIs" dxfId="5987" priority="7657" stopIfTrue="1" operator="equal">
      <formula>"Towel"</formula>
    </cfRule>
    <cfRule type="cellIs" dxfId="5986" priority="7658" stopIfTrue="1" operator="equal">
      <formula>"Napkin Hs"</formula>
    </cfRule>
  </conditionalFormatting>
  <conditionalFormatting sqref="B82:C82">
    <cfRule type="cellIs" dxfId="5985" priority="7655" stopIfTrue="1" operator="equal">
      <formula>"Towel"</formula>
    </cfRule>
    <cfRule type="cellIs" dxfId="5984" priority="7656" stopIfTrue="1" operator="equal">
      <formula>"Napkin Hs"</formula>
    </cfRule>
  </conditionalFormatting>
  <conditionalFormatting sqref="C82">
    <cfRule type="cellIs" dxfId="5983" priority="7653" stopIfTrue="1" operator="equal">
      <formula>"Towel"</formula>
    </cfRule>
    <cfRule type="cellIs" dxfId="5982" priority="7654" stopIfTrue="1" operator="equal">
      <formula>"Napkin Hs"</formula>
    </cfRule>
  </conditionalFormatting>
  <conditionalFormatting sqref="C82">
    <cfRule type="cellIs" dxfId="5981" priority="7651" stopIfTrue="1" operator="equal">
      <formula>"Towel"</formula>
    </cfRule>
    <cfRule type="cellIs" dxfId="5980" priority="7652" stopIfTrue="1" operator="equal">
      <formula>"Napkin Hs"</formula>
    </cfRule>
  </conditionalFormatting>
  <conditionalFormatting sqref="B82:C82">
    <cfRule type="cellIs" dxfId="5979" priority="7649" stopIfTrue="1" operator="equal">
      <formula>"Towel"</formula>
    </cfRule>
    <cfRule type="cellIs" dxfId="5978" priority="7650" stopIfTrue="1" operator="equal">
      <formula>"Napkin Hs"</formula>
    </cfRule>
  </conditionalFormatting>
  <conditionalFormatting sqref="C82">
    <cfRule type="cellIs" dxfId="5977" priority="7647" stopIfTrue="1" operator="equal">
      <formula>"Towel"</formula>
    </cfRule>
    <cfRule type="cellIs" dxfId="5976" priority="7648" stopIfTrue="1" operator="equal">
      <formula>"Napkin Hs"</formula>
    </cfRule>
  </conditionalFormatting>
  <conditionalFormatting sqref="C82">
    <cfRule type="cellIs" dxfId="5975" priority="7645" stopIfTrue="1" operator="equal">
      <formula>"Towel"</formula>
    </cfRule>
    <cfRule type="cellIs" dxfId="5974" priority="7646" stopIfTrue="1" operator="equal">
      <formula>"Napkin Hs"</formula>
    </cfRule>
  </conditionalFormatting>
  <conditionalFormatting sqref="B82:C82">
    <cfRule type="cellIs" dxfId="5973" priority="7643" stopIfTrue="1" operator="equal">
      <formula>"Towel"</formula>
    </cfRule>
    <cfRule type="cellIs" dxfId="5972" priority="7644" stopIfTrue="1" operator="equal">
      <formula>"Napkin Hs"</formula>
    </cfRule>
  </conditionalFormatting>
  <conditionalFormatting sqref="C82">
    <cfRule type="cellIs" dxfId="5971" priority="7641" stopIfTrue="1" operator="equal">
      <formula>"Towel"</formula>
    </cfRule>
    <cfRule type="cellIs" dxfId="5970" priority="7642" stopIfTrue="1" operator="equal">
      <formula>"Napkin Hs"</formula>
    </cfRule>
  </conditionalFormatting>
  <conditionalFormatting sqref="C82">
    <cfRule type="cellIs" dxfId="5969" priority="7639" stopIfTrue="1" operator="equal">
      <formula>"Towel"</formula>
    </cfRule>
    <cfRule type="cellIs" dxfId="5968" priority="7640" stopIfTrue="1" operator="equal">
      <formula>"Napkin Hs"</formula>
    </cfRule>
  </conditionalFormatting>
  <conditionalFormatting sqref="B82:C82">
    <cfRule type="cellIs" dxfId="5967" priority="7637" stopIfTrue="1" operator="equal">
      <formula>"Towel"</formula>
    </cfRule>
    <cfRule type="cellIs" dxfId="5966" priority="7638" stopIfTrue="1" operator="equal">
      <formula>"Napkin Hs"</formula>
    </cfRule>
  </conditionalFormatting>
  <conditionalFormatting sqref="C82">
    <cfRule type="cellIs" dxfId="5965" priority="7635" stopIfTrue="1" operator="equal">
      <formula>"Towel"</formula>
    </cfRule>
    <cfRule type="cellIs" dxfId="5964" priority="7636" stopIfTrue="1" operator="equal">
      <formula>"Napkin Hs"</formula>
    </cfRule>
  </conditionalFormatting>
  <conditionalFormatting sqref="C82">
    <cfRule type="cellIs" dxfId="5963" priority="7627" stopIfTrue="1" operator="equal">
      <formula>"Towel"</formula>
    </cfRule>
    <cfRule type="cellIs" dxfId="5962" priority="7628" stopIfTrue="1" operator="equal">
      <formula>"Napkin Hs"</formula>
    </cfRule>
  </conditionalFormatting>
  <conditionalFormatting sqref="B82:C82">
    <cfRule type="cellIs" dxfId="5961" priority="7626" stopIfTrue="1" operator="equal">
      <formula>"Napkin Hs"</formula>
    </cfRule>
  </conditionalFormatting>
  <conditionalFormatting sqref="B82:C82">
    <cfRule type="cellIs" dxfId="5960" priority="7625" stopIfTrue="1" operator="equal">
      <formula>"Towel"</formula>
    </cfRule>
  </conditionalFormatting>
  <conditionalFormatting sqref="C82">
    <cfRule type="cellIs" dxfId="5959" priority="7624" stopIfTrue="1" operator="equal">
      <formula>"Napkin Hs"</formula>
    </cfRule>
  </conditionalFormatting>
  <conditionalFormatting sqref="C82">
    <cfRule type="cellIs" dxfId="5958" priority="7623" stopIfTrue="1" operator="equal">
      <formula>"Towel"</formula>
    </cfRule>
  </conditionalFormatting>
  <conditionalFormatting sqref="C81">
    <cfRule type="cellIs" dxfId="5957" priority="7543" stopIfTrue="1" operator="equal">
      <formula>"Towel"</formula>
    </cfRule>
    <cfRule type="cellIs" dxfId="5956" priority="7544" stopIfTrue="1" operator="equal">
      <formula>"Napkin Hs"</formula>
    </cfRule>
  </conditionalFormatting>
  <conditionalFormatting sqref="B81:C81">
    <cfRule type="cellIs" dxfId="5955" priority="7541" stopIfTrue="1" operator="equal">
      <formula>"Towel"</formula>
    </cfRule>
    <cfRule type="cellIs" dxfId="5954" priority="7542" stopIfTrue="1" operator="equal">
      <formula>"Napkin Hs"</formula>
    </cfRule>
  </conditionalFormatting>
  <conditionalFormatting sqref="C81">
    <cfRule type="cellIs" dxfId="5953" priority="7539" stopIfTrue="1" operator="equal">
      <formula>"Towel"</formula>
    </cfRule>
    <cfRule type="cellIs" dxfId="5952" priority="7540" stopIfTrue="1" operator="equal">
      <formula>"Napkin Hs"</formula>
    </cfRule>
  </conditionalFormatting>
  <conditionalFormatting sqref="C81">
    <cfRule type="cellIs" dxfId="5951" priority="7531" stopIfTrue="1" operator="equal">
      <formula>"Towel"</formula>
    </cfRule>
    <cfRule type="cellIs" dxfId="5950" priority="7532" stopIfTrue="1" operator="equal">
      <formula>"Napkin Hs"</formula>
    </cfRule>
  </conditionalFormatting>
  <conditionalFormatting sqref="B81:C81">
    <cfRule type="cellIs" dxfId="5949" priority="7577" stopIfTrue="1" operator="equal">
      <formula>"Towel"</formula>
    </cfRule>
    <cfRule type="cellIs" dxfId="5948" priority="7578" stopIfTrue="1" operator="equal">
      <formula>"Napkin Hs"</formula>
    </cfRule>
  </conditionalFormatting>
  <conditionalFormatting sqref="C81">
    <cfRule type="cellIs" dxfId="5947" priority="7573" stopIfTrue="1" operator="equal">
      <formula>"Towel"</formula>
    </cfRule>
    <cfRule type="cellIs" dxfId="5946" priority="7574" stopIfTrue="1" operator="equal">
      <formula>"Napkin Hs"</formula>
    </cfRule>
  </conditionalFormatting>
  <conditionalFormatting sqref="C81">
    <cfRule type="cellIs" dxfId="5945" priority="7575" stopIfTrue="1" operator="equal">
      <formula>"Towel"</formula>
    </cfRule>
    <cfRule type="cellIs" dxfId="5944" priority="7576" stopIfTrue="1" operator="equal">
      <formula>"Napkin Hs"</formula>
    </cfRule>
  </conditionalFormatting>
  <conditionalFormatting sqref="B81:C81">
    <cfRule type="cellIs" dxfId="5943" priority="7572" stopIfTrue="1" operator="equal">
      <formula>"Napkin Hs"</formula>
    </cfRule>
  </conditionalFormatting>
  <conditionalFormatting sqref="B81:C81">
    <cfRule type="cellIs" dxfId="5942" priority="7571" stopIfTrue="1" operator="equal">
      <formula>"Towel"</formula>
    </cfRule>
  </conditionalFormatting>
  <conditionalFormatting sqref="C81">
    <cfRule type="cellIs" dxfId="5941" priority="7570" stopIfTrue="1" operator="equal">
      <formula>"Napkin Hs"</formula>
    </cfRule>
  </conditionalFormatting>
  <conditionalFormatting sqref="C81">
    <cfRule type="cellIs" dxfId="5940" priority="7569" stopIfTrue="1" operator="equal">
      <formula>"Towel"</formula>
    </cfRule>
  </conditionalFormatting>
  <conditionalFormatting sqref="C81">
    <cfRule type="cellIs" dxfId="5939" priority="7567" stopIfTrue="1" operator="equal">
      <formula>"Towel"</formula>
    </cfRule>
    <cfRule type="cellIs" dxfId="5938" priority="7568" stopIfTrue="1" operator="equal">
      <formula>"Napkin Hs"</formula>
    </cfRule>
  </conditionalFormatting>
  <conditionalFormatting sqref="B81:C81">
    <cfRule type="cellIs" dxfId="5937" priority="7565" stopIfTrue="1" operator="equal">
      <formula>"Towel"</formula>
    </cfRule>
    <cfRule type="cellIs" dxfId="5936" priority="7566" stopIfTrue="1" operator="equal">
      <formula>"Napkin Hs"</formula>
    </cfRule>
  </conditionalFormatting>
  <conditionalFormatting sqref="C81">
    <cfRule type="cellIs" dxfId="5935" priority="7563" stopIfTrue="1" operator="equal">
      <formula>"Towel"</formula>
    </cfRule>
    <cfRule type="cellIs" dxfId="5934" priority="7564" stopIfTrue="1" operator="equal">
      <formula>"Napkin Hs"</formula>
    </cfRule>
  </conditionalFormatting>
  <conditionalFormatting sqref="C81">
    <cfRule type="cellIs" dxfId="5933" priority="7561" stopIfTrue="1" operator="equal">
      <formula>"Towel"</formula>
    </cfRule>
    <cfRule type="cellIs" dxfId="5932" priority="7562" stopIfTrue="1" operator="equal">
      <formula>"Napkin Hs"</formula>
    </cfRule>
  </conditionalFormatting>
  <conditionalFormatting sqref="B81:C81">
    <cfRule type="cellIs" dxfId="5931" priority="7559" stopIfTrue="1" operator="equal">
      <formula>"Towel"</formula>
    </cfRule>
    <cfRule type="cellIs" dxfId="5930" priority="7560" stopIfTrue="1" operator="equal">
      <formula>"Napkin Hs"</formula>
    </cfRule>
  </conditionalFormatting>
  <conditionalFormatting sqref="C81">
    <cfRule type="cellIs" dxfId="5929" priority="7557" stopIfTrue="1" operator="equal">
      <formula>"Towel"</formula>
    </cfRule>
    <cfRule type="cellIs" dxfId="5928" priority="7558" stopIfTrue="1" operator="equal">
      <formula>"Napkin Hs"</formula>
    </cfRule>
  </conditionalFormatting>
  <conditionalFormatting sqref="C81">
    <cfRule type="cellIs" dxfId="5927" priority="7555" stopIfTrue="1" operator="equal">
      <formula>"Towel"</formula>
    </cfRule>
    <cfRule type="cellIs" dxfId="5926" priority="7556" stopIfTrue="1" operator="equal">
      <formula>"Napkin Hs"</formula>
    </cfRule>
  </conditionalFormatting>
  <conditionalFormatting sqref="B81:C81">
    <cfRule type="cellIs" dxfId="5925" priority="7553" stopIfTrue="1" operator="equal">
      <formula>"Towel"</formula>
    </cfRule>
    <cfRule type="cellIs" dxfId="5924" priority="7554" stopIfTrue="1" operator="equal">
      <formula>"Napkin Hs"</formula>
    </cfRule>
  </conditionalFormatting>
  <conditionalFormatting sqref="C81">
    <cfRule type="cellIs" dxfId="5923" priority="7551" stopIfTrue="1" operator="equal">
      <formula>"Towel"</formula>
    </cfRule>
    <cfRule type="cellIs" dxfId="5922" priority="7552" stopIfTrue="1" operator="equal">
      <formula>"Napkin Hs"</formula>
    </cfRule>
  </conditionalFormatting>
  <conditionalFormatting sqref="C81">
    <cfRule type="cellIs" dxfId="5921" priority="7549" stopIfTrue="1" operator="equal">
      <formula>"Towel"</formula>
    </cfRule>
    <cfRule type="cellIs" dxfId="5920" priority="7550" stopIfTrue="1" operator="equal">
      <formula>"Napkin Hs"</formula>
    </cfRule>
  </conditionalFormatting>
  <conditionalFormatting sqref="B81:C81">
    <cfRule type="cellIs" dxfId="5919" priority="7547" stopIfTrue="1" operator="equal">
      <formula>"Towel"</formula>
    </cfRule>
    <cfRule type="cellIs" dxfId="5918" priority="7548" stopIfTrue="1" operator="equal">
      <formula>"Napkin Hs"</formula>
    </cfRule>
  </conditionalFormatting>
  <conditionalFormatting sqref="C81">
    <cfRule type="cellIs" dxfId="5917" priority="7545" stopIfTrue="1" operator="equal">
      <formula>"Towel"</formula>
    </cfRule>
    <cfRule type="cellIs" dxfId="5916" priority="7546" stopIfTrue="1" operator="equal">
      <formula>"Napkin Hs"</formula>
    </cfRule>
  </conditionalFormatting>
  <conditionalFormatting sqref="C81">
    <cfRule type="cellIs" dxfId="5915" priority="7537" stopIfTrue="1" operator="equal">
      <formula>"Towel"</formula>
    </cfRule>
    <cfRule type="cellIs" dxfId="5914" priority="7538" stopIfTrue="1" operator="equal">
      <formula>"Napkin Hs"</formula>
    </cfRule>
  </conditionalFormatting>
  <conditionalFormatting sqref="B81:C81">
    <cfRule type="cellIs" dxfId="5913" priority="7536" stopIfTrue="1" operator="equal">
      <formula>"Napkin Hs"</formula>
    </cfRule>
  </conditionalFormatting>
  <conditionalFormatting sqref="B81:C81">
    <cfRule type="cellIs" dxfId="5912" priority="7535" stopIfTrue="1" operator="equal">
      <formula>"Towel"</formula>
    </cfRule>
  </conditionalFormatting>
  <conditionalFormatting sqref="C81">
    <cfRule type="cellIs" dxfId="5911" priority="7534" stopIfTrue="1" operator="equal">
      <formula>"Napkin Hs"</formula>
    </cfRule>
  </conditionalFormatting>
  <conditionalFormatting sqref="C81">
    <cfRule type="cellIs" dxfId="5910" priority="7533" stopIfTrue="1" operator="equal">
      <formula>"Towel"</formula>
    </cfRule>
  </conditionalFormatting>
  <conditionalFormatting sqref="B80:C80">
    <cfRule type="cellIs" dxfId="5909" priority="7529" stopIfTrue="1" operator="equal">
      <formula>"Towel"</formula>
    </cfRule>
    <cfRule type="cellIs" dxfId="5908" priority="7530" stopIfTrue="1" operator="equal">
      <formula>"Napkin Hs"</formula>
    </cfRule>
  </conditionalFormatting>
  <conditionalFormatting sqref="C80">
    <cfRule type="cellIs" dxfId="5907" priority="7525" stopIfTrue="1" operator="equal">
      <formula>"Towel"</formula>
    </cfRule>
    <cfRule type="cellIs" dxfId="5906" priority="7526" stopIfTrue="1" operator="equal">
      <formula>"Napkin Hs"</formula>
    </cfRule>
  </conditionalFormatting>
  <conditionalFormatting sqref="C80">
    <cfRule type="cellIs" dxfId="5905" priority="7527" stopIfTrue="1" operator="equal">
      <formula>"Towel"</formula>
    </cfRule>
    <cfRule type="cellIs" dxfId="5904" priority="7528" stopIfTrue="1" operator="equal">
      <formula>"Napkin Hs"</formula>
    </cfRule>
  </conditionalFormatting>
  <conditionalFormatting sqref="B80:C80">
    <cfRule type="cellIs" dxfId="5903" priority="7524" stopIfTrue="1" operator="equal">
      <formula>"Napkin Hs"</formula>
    </cfRule>
  </conditionalFormatting>
  <conditionalFormatting sqref="B80:C80">
    <cfRule type="cellIs" dxfId="5902" priority="7523" stopIfTrue="1" operator="equal">
      <formula>"Towel"</formula>
    </cfRule>
  </conditionalFormatting>
  <conditionalFormatting sqref="C80">
    <cfRule type="cellIs" dxfId="5901" priority="7522" stopIfTrue="1" operator="equal">
      <formula>"Napkin Hs"</formula>
    </cfRule>
  </conditionalFormatting>
  <conditionalFormatting sqref="C80">
    <cfRule type="cellIs" dxfId="5900" priority="7521" stopIfTrue="1" operator="equal">
      <formula>"Towel"</formula>
    </cfRule>
  </conditionalFormatting>
  <conditionalFormatting sqref="C80">
    <cfRule type="cellIs" dxfId="5899" priority="7519" stopIfTrue="1" operator="equal">
      <formula>"Towel"</formula>
    </cfRule>
    <cfRule type="cellIs" dxfId="5898" priority="7520" stopIfTrue="1" operator="equal">
      <formula>"Napkin Hs"</formula>
    </cfRule>
  </conditionalFormatting>
  <conditionalFormatting sqref="B80:C80">
    <cfRule type="cellIs" dxfId="5897" priority="7517" stopIfTrue="1" operator="equal">
      <formula>"Towel"</formula>
    </cfRule>
    <cfRule type="cellIs" dxfId="5896" priority="7518" stopIfTrue="1" operator="equal">
      <formula>"Napkin Hs"</formula>
    </cfRule>
  </conditionalFormatting>
  <conditionalFormatting sqref="C80">
    <cfRule type="cellIs" dxfId="5895" priority="7515" stopIfTrue="1" operator="equal">
      <formula>"Towel"</formula>
    </cfRule>
    <cfRule type="cellIs" dxfId="5894" priority="7516" stopIfTrue="1" operator="equal">
      <formula>"Napkin Hs"</formula>
    </cfRule>
  </conditionalFormatting>
  <conditionalFormatting sqref="C80">
    <cfRule type="cellIs" dxfId="5893" priority="7513" stopIfTrue="1" operator="equal">
      <formula>"Towel"</formula>
    </cfRule>
    <cfRule type="cellIs" dxfId="5892" priority="7514" stopIfTrue="1" operator="equal">
      <formula>"Napkin Hs"</formula>
    </cfRule>
  </conditionalFormatting>
  <conditionalFormatting sqref="B80:C80">
    <cfRule type="cellIs" dxfId="5891" priority="7511" stopIfTrue="1" operator="equal">
      <formula>"Towel"</formula>
    </cfRule>
    <cfRule type="cellIs" dxfId="5890" priority="7512" stopIfTrue="1" operator="equal">
      <formula>"Napkin Hs"</formula>
    </cfRule>
  </conditionalFormatting>
  <conditionalFormatting sqref="C80">
    <cfRule type="cellIs" dxfId="5889" priority="7509" stopIfTrue="1" operator="equal">
      <formula>"Towel"</formula>
    </cfRule>
    <cfRule type="cellIs" dxfId="5888" priority="7510" stopIfTrue="1" operator="equal">
      <formula>"Napkin Hs"</formula>
    </cfRule>
  </conditionalFormatting>
  <conditionalFormatting sqref="C80">
    <cfRule type="cellIs" dxfId="5887" priority="7507" stopIfTrue="1" operator="equal">
      <formula>"Towel"</formula>
    </cfRule>
    <cfRule type="cellIs" dxfId="5886" priority="7508" stopIfTrue="1" operator="equal">
      <formula>"Napkin Hs"</formula>
    </cfRule>
  </conditionalFormatting>
  <conditionalFormatting sqref="B80:C80">
    <cfRule type="cellIs" dxfId="5885" priority="7505" stopIfTrue="1" operator="equal">
      <formula>"Towel"</formula>
    </cfRule>
    <cfRule type="cellIs" dxfId="5884" priority="7506" stopIfTrue="1" operator="equal">
      <formula>"Napkin Hs"</formula>
    </cfRule>
  </conditionalFormatting>
  <conditionalFormatting sqref="C80">
    <cfRule type="cellIs" dxfId="5883" priority="7503" stopIfTrue="1" operator="equal">
      <formula>"Towel"</formula>
    </cfRule>
    <cfRule type="cellIs" dxfId="5882" priority="7504" stopIfTrue="1" operator="equal">
      <formula>"Napkin Hs"</formula>
    </cfRule>
  </conditionalFormatting>
  <conditionalFormatting sqref="C80">
    <cfRule type="cellIs" dxfId="5881" priority="7501" stopIfTrue="1" operator="equal">
      <formula>"Towel"</formula>
    </cfRule>
    <cfRule type="cellIs" dxfId="5880" priority="7502" stopIfTrue="1" operator="equal">
      <formula>"Napkin Hs"</formula>
    </cfRule>
  </conditionalFormatting>
  <conditionalFormatting sqref="B80:C80">
    <cfRule type="cellIs" dxfId="5879" priority="7499" stopIfTrue="1" operator="equal">
      <formula>"Towel"</formula>
    </cfRule>
    <cfRule type="cellIs" dxfId="5878" priority="7500" stopIfTrue="1" operator="equal">
      <formula>"Napkin Hs"</formula>
    </cfRule>
  </conditionalFormatting>
  <conditionalFormatting sqref="C80">
    <cfRule type="cellIs" dxfId="5877" priority="7497" stopIfTrue="1" operator="equal">
      <formula>"Towel"</formula>
    </cfRule>
    <cfRule type="cellIs" dxfId="5876" priority="7498" stopIfTrue="1" operator="equal">
      <formula>"Napkin Hs"</formula>
    </cfRule>
  </conditionalFormatting>
  <conditionalFormatting sqref="C80">
    <cfRule type="cellIs" dxfId="5875" priority="7495" stopIfTrue="1" operator="equal">
      <formula>"Towel"</formula>
    </cfRule>
    <cfRule type="cellIs" dxfId="5874" priority="7496" stopIfTrue="1" operator="equal">
      <formula>"Napkin Hs"</formula>
    </cfRule>
  </conditionalFormatting>
  <conditionalFormatting sqref="B80:C80">
    <cfRule type="cellIs" dxfId="5873" priority="7493" stopIfTrue="1" operator="equal">
      <formula>"Towel"</formula>
    </cfRule>
    <cfRule type="cellIs" dxfId="5872" priority="7494" stopIfTrue="1" operator="equal">
      <formula>"Napkin Hs"</formula>
    </cfRule>
  </conditionalFormatting>
  <conditionalFormatting sqref="C80">
    <cfRule type="cellIs" dxfId="5871" priority="7491" stopIfTrue="1" operator="equal">
      <formula>"Towel"</formula>
    </cfRule>
    <cfRule type="cellIs" dxfId="5870" priority="7492" stopIfTrue="1" operator="equal">
      <formula>"Napkin Hs"</formula>
    </cfRule>
  </conditionalFormatting>
  <conditionalFormatting sqref="C80">
    <cfRule type="cellIs" dxfId="5869" priority="7489" stopIfTrue="1" operator="equal">
      <formula>"Towel"</formula>
    </cfRule>
    <cfRule type="cellIs" dxfId="5868" priority="7490" stopIfTrue="1" operator="equal">
      <formula>"Napkin Hs"</formula>
    </cfRule>
  </conditionalFormatting>
  <conditionalFormatting sqref="B80:C80">
    <cfRule type="cellIs" dxfId="5867" priority="7488" stopIfTrue="1" operator="equal">
      <formula>"Napkin Hs"</formula>
    </cfRule>
  </conditionalFormatting>
  <conditionalFormatting sqref="B80:C80">
    <cfRule type="cellIs" dxfId="5866" priority="7487" stopIfTrue="1" operator="equal">
      <formula>"Towel"</formula>
    </cfRule>
  </conditionalFormatting>
  <conditionalFormatting sqref="C80">
    <cfRule type="cellIs" dxfId="5865" priority="7486" stopIfTrue="1" operator="equal">
      <formula>"Napkin Hs"</formula>
    </cfRule>
  </conditionalFormatting>
  <conditionalFormatting sqref="C80">
    <cfRule type="cellIs" dxfId="5864" priority="7483" stopIfTrue="1" operator="equal">
      <formula>"Towel"</formula>
    </cfRule>
    <cfRule type="cellIs" dxfId="5863" priority="7484" stopIfTrue="1" operator="equal">
      <formula>"Napkin Hs"</formula>
    </cfRule>
  </conditionalFormatting>
  <conditionalFormatting sqref="C80">
    <cfRule type="cellIs" dxfId="5862" priority="7485" stopIfTrue="1" operator="equal">
      <formula>"Towel"</formula>
    </cfRule>
  </conditionalFormatting>
  <conditionalFormatting sqref="C80">
    <cfRule type="cellIs" dxfId="5861" priority="7475" stopIfTrue="1" operator="equal">
      <formula>"Towel"</formula>
    </cfRule>
    <cfRule type="cellIs" dxfId="5860" priority="7476" stopIfTrue="1" operator="equal">
      <formula>"Napkin Hs"</formula>
    </cfRule>
  </conditionalFormatting>
  <conditionalFormatting sqref="C81">
    <cfRule type="cellIs" dxfId="5859" priority="7437" stopIfTrue="1" operator="equal">
      <formula>"Towel"</formula>
    </cfRule>
    <cfRule type="cellIs" dxfId="5858" priority="7438" stopIfTrue="1" operator="equal">
      <formula>"Napkin Hs"</formula>
    </cfRule>
  </conditionalFormatting>
  <conditionalFormatting sqref="B81:C81">
    <cfRule type="cellIs" dxfId="5857" priority="7435" stopIfTrue="1" operator="equal">
      <formula>"Towel"</formula>
    </cfRule>
    <cfRule type="cellIs" dxfId="5856" priority="7436" stopIfTrue="1" operator="equal">
      <formula>"Napkin Hs"</formula>
    </cfRule>
  </conditionalFormatting>
  <conditionalFormatting sqref="C81">
    <cfRule type="cellIs" dxfId="5855" priority="7433" stopIfTrue="1" operator="equal">
      <formula>"Towel"</formula>
    </cfRule>
    <cfRule type="cellIs" dxfId="5854" priority="7434" stopIfTrue="1" operator="equal">
      <formula>"Napkin Hs"</formula>
    </cfRule>
  </conditionalFormatting>
  <conditionalFormatting sqref="C81">
    <cfRule type="cellIs" dxfId="5853" priority="7425" stopIfTrue="1" operator="equal">
      <formula>"Towel"</formula>
    </cfRule>
    <cfRule type="cellIs" dxfId="5852" priority="7426" stopIfTrue="1" operator="equal">
      <formula>"Napkin Hs"</formula>
    </cfRule>
  </conditionalFormatting>
  <conditionalFormatting sqref="B81:C81">
    <cfRule type="cellIs" dxfId="5851" priority="7471" stopIfTrue="1" operator="equal">
      <formula>"Towel"</formula>
    </cfRule>
    <cfRule type="cellIs" dxfId="5850" priority="7472" stopIfTrue="1" operator="equal">
      <formula>"Napkin Hs"</formula>
    </cfRule>
  </conditionalFormatting>
  <conditionalFormatting sqref="C81">
    <cfRule type="cellIs" dxfId="5849" priority="7467" stopIfTrue="1" operator="equal">
      <formula>"Towel"</formula>
    </cfRule>
    <cfRule type="cellIs" dxfId="5848" priority="7468" stopIfTrue="1" operator="equal">
      <formula>"Napkin Hs"</formula>
    </cfRule>
  </conditionalFormatting>
  <conditionalFormatting sqref="C81">
    <cfRule type="cellIs" dxfId="5847" priority="7469" stopIfTrue="1" operator="equal">
      <formula>"Towel"</formula>
    </cfRule>
    <cfRule type="cellIs" dxfId="5846" priority="7470" stopIfTrue="1" operator="equal">
      <formula>"Napkin Hs"</formula>
    </cfRule>
  </conditionalFormatting>
  <conditionalFormatting sqref="B81:C81">
    <cfRule type="cellIs" dxfId="5845" priority="7466" stopIfTrue="1" operator="equal">
      <formula>"Napkin Hs"</formula>
    </cfRule>
  </conditionalFormatting>
  <conditionalFormatting sqref="B81:C81">
    <cfRule type="cellIs" dxfId="5844" priority="7465" stopIfTrue="1" operator="equal">
      <formula>"Towel"</formula>
    </cfRule>
  </conditionalFormatting>
  <conditionalFormatting sqref="C81">
    <cfRule type="cellIs" dxfId="5843" priority="7464" stopIfTrue="1" operator="equal">
      <formula>"Napkin Hs"</formula>
    </cfRule>
  </conditionalFormatting>
  <conditionalFormatting sqref="C81">
    <cfRule type="cellIs" dxfId="5842" priority="7463" stopIfTrue="1" operator="equal">
      <formula>"Towel"</formula>
    </cfRule>
  </conditionalFormatting>
  <conditionalFormatting sqref="C81">
    <cfRule type="cellIs" dxfId="5841" priority="7461" stopIfTrue="1" operator="equal">
      <formula>"Towel"</formula>
    </cfRule>
    <cfRule type="cellIs" dxfId="5840" priority="7462" stopIfTrue="1" operator="equal">
      <formula>"Napkin Hs"</formula>
    </cfRule>
  </conditionalFormatting>
  <conditionalFormatting sqref="B81:C81">
    <cfRule type="cellIs" dxfId="5839" priority="7459" stopIfTrue="1" operator="equal">
      <formula>"Towel"</formula>
    </cfRule>
    <cfRule type="cellIs" dxfId="5838" priority="7460" stopIfTrue="1" operator="equal">
      <formula>"Napkin Hs"</formula>
    </cfRule>
  </conditionalFormatting>
  <conditionalFormatting sqref="C81">
    <cfRule type="cellIs" dxfId="5837" priority="7457" stopIfTrue="1" operator="equal">
      <formula>"Towel"</formula>
    </cfRule>
    <cfRule type="cellIs" dxfId="5836" priority="7458" stopIfTrue="1" operator="equal">
      <formula>"Napkin Hs"</formula>
    </cfRule>
  </conditionalFormatting>
  <conditionalFormatting sqref="C81">
    <cfRule type="cellIs" dxfId="5835" priority="7455" stopIfTrue="1" operator="equal">
      <formula>"Towel"</formula>
    </cfRule>
    <cfRule type="cellIs" dxfId="5834" priority="7456" stopIfTrue="1" operator="equal">
      <formula>"Napkin Hs"</formula>
    </cfRule>
  </conditionalFormatting>
  <conditionalFormatting sqref="B81:C81">
    <cfRule type="cellIs" dxfId="5833" priority="7453" stopIfTrue="1" operator="equal">
      <formula>"Towel"</formula>
    </cfRule>
    <cfRule type="cellIs" dxfId="5832" priority="7454" stopIfTrue="1" operator="equal">
      <formula>"Napkin Hs"</formula>
    </cfRule>
  </conditionalFormatting>
  <conditionalFormatting sqref="C81">
    <cfRule type="cellIs" dxfId="5831" priority="7451" stopIfTrue="1" operator="equal">
      <formula>"Towel"</formula>
    </cfRule>
    <cfRule type="cellIs" dxfId="5830" priority="7452" stopIfTrue="1" operator="equal">
      <formula>"Napkin Hs"</formula>
    </cfRule>
  </conditionalFormatting>
  <conditionalFormatting sqref="C81">
    <cfRule type="cellIs" dxfId="5829" priority="7449" stopIfTrue="1" operator="equal">
      <formula>"Towel"</formula>
    </cfRule>
    <cfRule type="cellIs" dxfId="5828" priority="7450" stopIfTrue="1" operator="equal">
      <formula>"Napkin Hs"</formula>
    </cfRule>
  </conditionalFormatting>
  <conditionalFormatting sqref="B81:C81">
    <cfRule type="cellIs" dxfId="5827" priority="7447" stopIfTrue="1" operator="equal">
      <formula>"Towel"</formula>
    </cfRule>
    <cfRule type="cellIs" dxfId="5826" priority="7448" stopIfTrue="1" operator="equal">
      <formula>"Napkin Hs"</formula>
    </cfRule>
  </conditionalFormatting>
  <conditionalFormatting sqref="C81">
    <cfRule type="cellIs" dxfId="5825" priority="7445" stopIfTrue="1" operator="equal">
      <formula>"Towel"</formula>
    </cfRule>
    <cfRule type="cellIs" dxfId="5824" priority="7446" stopIfTrue="1" operator="equal">
      <formula>"Napkin Hs"</formula>
    </cfRule>
  </conditionalFormatting>
  <conditionalFormatting sqref="C81">
    <cfRule type="cellIs" dxfId="5823" priority="7443" stopIfTrue="1" operator="equal">
      <formula>"Towel"</formula>
    </cfRule>
    <cfRule type="cellIs" dxfId="5822" priority="7444" stopIfTrue="1" operator="equal">
      <formula>"Napkin Hs"</formula>
    </cfRule>
  </conditionalFormatting>
  <conditionalFormatting sqref="B81:C81">
    <cfRule type="cellIs" dxfId="5821" priority="7441" stopIfTrue="1" operator="equal">
      <formula>"Towel"</formula>
    </cfRule>
    <cfRule type="cellIs" dxfId="5820" priority="7442" stopIfTrue="1" operator="equal">
      <formula>"Napkin Hs"</formula>
    </cfRule>
  </conditionalFormatting>
  <conditionalFormatting sqref="C81">
    <cfRule type="cellIs" dxfId="5819" priority="7439" stopIfTrue="1" operator="equal">
      <formula>"Towel"</formula>
    </cfRule>
    <cfRule type="cellIs" dxfId="5818" priority="7440" stopIfTrue="1" operator="equal">
      <formula>"Napkin Hs"</formula>
    </cfRule>
  </conditionalFormatting>
  <conditionalFormatting sqref="C81">
    <cfRule type="cellIs" dxfId="5817" priority="7431" stopIfTrue="1" operator="equal">
      <formula>"Towel"</formula>
    </cfRule>
    <cfRule type="cellIs" dxfId="5816" priority="7432" stopIfTrue="1" operator="equal">
      <formula>"Napkin Hs"</formula>
    </cfRule>
  </conditionalFormatting>
  <conditionalFormatting sqref="B81:C81">
    <cfRule type="cellIs" dxfId="5815" priority="7430" stopIfTrue="1" operator="equal">
      <formula>"Napkin Hs"</formula>
    </cfRule>
  </conditionalFormatting>
  <conditionalFormatting sqref="B81:C81">
    <cfRule type="cellIs" dxfId="5814" priority="7429" stopIfTrue="1" operator="equal">
      <formula>"Towel"</formula>
    </cfRule>
  </conditionalFormatting>
  <conditionalFormatting sqref="C81">
    <cfRule type="cellIs" dxfId="5813" priority="7428" stopIfTrue="1" operator="equal">
      <formula>"Napkin Hs"</formula>
    </cfRule>
  </conditionalFormatting>
  <conditionalFormatting sqref="C81">
    <cfRule type="cellIs" dxfId="5812" priority="7427" stopIfTrue="1" operator="equal">
      <formula>"Towel"</formula>
    </cfRule>
  </conditionalFormatting>
  <conditionalFormatting sqref="B80:C80">
    <cfRule type="cellIs" dxfId="5811" priority="7423" stopIfTrue="1" operator="equal">
      <formula>"Towel"</formula>
    </cfRule>
    <cfRule type="cellIs" dxfId="5810" priority="7424" stopIfTrue="1" operator="equal">
      <formula>"Napkin Hs"</formula>
    </cfRule>
  </conditionalFormatting>
  <conditionalFormatting sqref="C80">
    <cfRule type="cellIs" dxfId="5809" priority="7419" stopIfTrue="1" operator="equal">
      <formula>"Towel"</formula>
    </cfRule>
    <cfRule type="cellIs" dxfId="5808" priority="7420" stopIfTrue="1" operator="equal">
      <formula>"Napkin Hs"</formula>
    </cfRule>
  </conditionalFormatting>
  <conditionalFormatting sqref="C80">
    <cfRule type="cellIs" dxfId="5807" priority="7421" stopIfTrue="1" operator="equal">
      <formula>"Towel"</formula>
    </cfRule>
    <cfRule type="cellIs" dxfId="5806" priority="7422" stopIfTrue="1" operator="equal">
      <formula>"Napkin Hs"</formula>
    </cfRule>
  </conditionalFormatting>
  <conditionalFormatting sqref="B80:C80">
    <cfRule type="cellIs" dxfId="5805" priority="7418" stopIfTrue="1" operator="equal">
      <formula>"Napkin Hs"</formula>
    </cfRule>
  </conditionalFormatting>
  <conditionalFormatting sqref="B80:C80">
    <cfRule type="cellIs" dxfId="5804" priority="7417" stopIfTrue="1" operator="equal">
      <formula>"Towel"</formula>
    </cfRule>
  </conditionalFormatting>
  <conditionalFormatting sqref="C80">
    <cfRule type="cellIs" dxfId="5803" priority="7416" stopIfTrue="1" operator="equal">
      <formula>"Napkin Hs"</formula>
    </cfRule>
  </conditionalFormatting>
  <conditionalFormatting sqref="C80">
    <cfRule type="cellIs" dxfId="5802" priority="7415" stopIfTrue="1" operator="equal">
      <formula>"Towel"</formula>
    </cfRule>
  </conditionalFormatting>
  <conditionalFormatting sqref="C80">
    <cfRule type="cellIs" dxfId="5801" priority="7413" stopIfTrue="1" operator="equal">
      <formula>"Towel"</formula>
    </cfRule>
    <cfRule type="cellIs" dxfId="5800" priority="7414" stopIfTrue="1" operator="equal">
      <formula>"Napkin Hs"</formula>
    </cfRule>
  </conditionalFormatting>
  <conditionalFormatting sqref="B80:C80">
    <cfRule type="cellIs" dxfId="5799" priority="7411" stopIfTrue="1" operator="equal">
      <formula>"Towel"</formula>
    </cfRule>
    <cfRule type="cellIs" dxfId="5798" priority="7412" stopIfTrue="1" operator="equal">
      <formula>"Napkin Hs"</formula>
    </cfRule>
  </conditionalFormatting>
  <conditionalFormatting sqref="C80">
    <cfRule type="cellIs" dxfId="5797" priority="7409" stopIfTrue="1" operator="equal">
      <formula>"Towel"</formula>
    </cfRule>
    <cfRule type="cellIs" dxfId="5796" priority="7410" stopIfTrue="1" operator="equal">
      <formula>"Napkin Hs"</formula>
    </cfRule>
  </conditionalFormatting>
  <conditionalFormatting sqref="C80">
    <cfRule type="cellIs" dxfId="5795" priority="7407" stopIfTrue="1" operator="equal">
      <formula>"Towel"</formula>
    </cfRule>
    <cfRule type="cellIs" dxfId="5794" priority="7408" stopIfTrue="1" operator="equal">
      <formula>"Napkin Hs"</formula>
    </cfRule>
  </conditionalFormatting>
  <conditionalFormatting sqref="B80:C80">
    <cfRule type="cellIs" dxfId="5793" priority="7405" stopIfTrue="1" operator="equal">
      <formula>"Towel"</formula>
    </cfRule>
    <cfRule type="cellIs" dxfId="5792" priority="7406" stopIfTrue="1" operator="equal">
      <formula>"Napkin Hs"</formula>
    </cfRule>
  </conditionalFormatting>
  <conditionalFormatting sqref="C80">
    <cfRule type="cellIs" dxfId="5791" priority="7403" stopIfTrue="1" operator="equal">
      <formula>"Towel"</formula>
    </cfRule>
    <cfRule type="cellIs" dxfId="5790" priority="7404" stopIfTrue="1" operator="equal">
      <formula>"Napkin Hs"</formula>
    </cfRule>
  </conditionalFormatting>
  <conditionalFormatting sqref="C80">
    <cfRule type="cellIs" dxfId="5789" priority="7401" stopIfTrue="1" operator="equal">
      <formula>"Towel"</formula>
    </cfRule>
    <cfRule type="cellIs" dxfId="5788" priority="7402" stopIfTrue="1" operator="equal">
      <formula>"Napkin Hs"</formula>
    </cfRule>
  </conditionalFormatting>
  <conditionalFormatting sqref="B80:C80">
    <cfRule type="cellIs" dxfId="5787" priority="7399" stopIfTrue="1" operator="equal">
      <formula>"Towel"</formula>
    </cfRule>
    <cfRule type="cellIs" dxfId="5786" priority="7400" stopIfTrue="1" operator="equal">
      <formula>"Napkin Hs"</formula>
    </cfRule>
  </conditionalFormatting>
  <conditionalFormatting sqref="C80">
    <cfRule type="cellIs" dxfId="5785" priority="7397" stopIfTrue="1" operator="equal">
      <formula>"Towel"</formula>
    </cfRule>
    <cfRule type="cellIs" dxfId="5784" priority="7398" stopIfTrue="1" operator="equal">
      <formula>"Napkin Hs"</formula>
    </cfRule>
  </conditionalFormatting>
  <conditionalFormatting sqref="C80">
    <cfRule type="cellIs" dxfId="5783" priority="7395" stopIfTrue="1" operator="equal">
      <formula>"Towel"</formula>
    </cfRule>
    <cfRule type="cellIs" dxfId="5782" priority="7396" stopIfTrue="1" operator="equal">
      <formula>"Napkin Hs"</formula>
    </cfRule>
  </conditionalFormatting>
  <conditionalFormatting sqref="B80:C80">
    <cfRule type="cellIs" dxfId="5781" priority="7393" stopIfTrue="1" operator="equal">
      <formula>"Towel"</formula>
    </cfRule>
    <cfRule type="cellIs" dxfId="5780" priority="7394" stopIfTrue="1" operator="equal">
      <formula>"Napkin Hs"</formula>
    </cfRule>
  </conditionalFormatting>
  <conditionalFormatting sqref="C80">
    <cfRule type="cellIs" dxfId="5779" priority="7391" stopIfTrue="1" operator="equal">
      <formula>"Towel"</formula>
    </cfRule>
    <cfRule type="cellIs" dxfId="5778" priority="7392" stopIfTrue="1" operator="equal">
      <formula>"Napkin Hs"</formula>
    </cfRule>
  </conditionalFormatting>
  <conditionalFormatting sqref="C80">
    <cfRule type="cellIs" dxfId="5777" priority="7389" stopIfTrue="1" operator="equal">
      <formula>"Towel"</formula>
    </cfRule>
    <cfRule type="cellIs" dxfId="5776" priority="7390" stopIfTrue="1" operator="equal">
      <formula>"Napkin Hs"</formula>
    </cfRule>
  </conditionalFormatting>
  <conditionalFormatting sqref="B80:C80">
    <cfRule type="cellIs" dxfId="5775" priority="7387" stopIfTrue="1" operator="equal">
      <formula>"Towel"</formula>
    </cfRule>
    <cfRule type="cellIs" dxfId="5774" priority="7388" stopIfTrue="1" operator="equal">
      <formula>"Napkin Hs"</formula>
    </cfRule>
  </conditionalFormatting>
  <conditionalFormatting sqref="C80">
    <cfRule type="cellIs" dxfId="5773" priority="7385" stopIfTrue="1" operator="equal">
      <formula>"Towel"</formula>
    </cfRule>
    <cfRule type="cellIs" dxfId="5772" priority="7386" stopIfTrue="1" operator="equal">
      <formula>"Napkin Hs"</formula>
    </cfRule>
  </conditionalFormatting>
  <conditionalFormatting sqref="C80">
    <cfRule type="cellIs" dxfId="5771" priority="7383" stopIfTrue="1" operator="equal">
      <formula>"Towel"</formula>
    </cfRule>
    <cfRule type="cellIs" dxfId="5770" priority="7384" stopIfTrue="1" operator="equal">
      <formula>"Napkin Hs"</formula>
    </cfRule>
  </conditionalFormatting>
  <conditionalFormatting sqref="B80:C80">
    <cfRule type="cellIs" dxfId="5769" priority="7382" stopIfTrue="1" operator="equal">
      <formula>"Napkin Hs"</formula>
    </cfRule>
  </conditionalFormatting>
  <conditionalFormatting sqref="B80:C80">
    <cfRule type="cellIs" dxfId="5768" priority="7381" stopIfTrue="1" operator="equal">
      <formula>"Towel"</formula>
    </cfRule>
  </conditionalFormatting>
  <conditionalFormatting sqref="C80">
    <cfRule type="cellIs" dxfId="5767" priority="7380" stopIfTrue="1" operator="equal">
      <formula>"Napkin Hs"</formula>
    </cfRule>
  </conditionalFormatting>
  <conditionalFormatting sqref="C80">
    <cfRule type="cellIs" dxfId="5766" priority="7377" stopIfTrue="1" operator="equal">
      <formula>"Towel"</formula>
    </cfRule>
    <cfRule type="cellIs" dxfId="5765" priority="7378" stopIfTrue="1" operator="equal">
      <formula>"Napkin Hs"</formula>
    </cfRule>
  </conditionalFormatting>
  <conditionalFormatting sqref="C80">
    <cfRule type="cellIs" dxfId="5764" priority="7379" stopIfTrue="1" operator="equal">
      <formula>"Towel"</formula>
    </cfRule>
  </conditionalFormatting>
  <conditionalFormatting sqref="B81:C81">
    <cfRule type="cellIs" dxfId="5763" priority="7375" stopIfTrue="1" operator="equal">
      <formula>"Towel"</formula>
    </cfRule>
    <cfRule type="cellIs" dxfId="5762" priority="7376" stopIfTrue="1" operator="equal">
      <formula>"Napkin Hs"</formula>
    </cfRule>
  </conditionalFormatting>
  <conditionalFormatting sqref="C81">
    <cfRule type="cellIs" dxfId="5761" priority="7371" stopIfTrue="1" operator="equal">
      <formula>"Towel"</formula>
    </cfRule>
    <cfRule type="cellIs" dxfId="5760" priority="7372" stopIfTrue="1" operator="equal">
      <formula>"Napkin Hs"</formula>
    </cfRule>
  </conditionalFormatting>
  <conditionalFormatting sqref="C81">
    <cfRule type="cellIs" dxfId="5759" priority="7373" stopIfTrue="1" operator="equal">
      <formula>"Towel"</formula>
    </cfRule>
    <cfRule type="cellIs" dxfId="5758" priority="7374" stopIfTrue="1" operator="equal">
      <formula>"Napkin Hs"</formula>
    </cfRule>
  </conditionalFormatting>
  <conditionalFormatting sqref="B80:C80">
    <cfRule type="cellIs" dxfId="5757" priority="7369" stopIfTrue="1" operator="equal">
      <formula>"Towel"</formula>
    </cfRule>
    <cfRule type="cellIs" dxfId="5756" priority="7370" stopIfTrue="1" operator="equal">
      <formula>"Napkin Hs"</formula>
    </cfRule>
  </conditionalFormatting>
  <conditionalFormatting sqref="C80">
    <cfRule type="cellIs" dxfId="5755" priority="7365" stopIfTrue="1" operator="equal">
      <formula>"Towel"</formula>
    </cfRule>
    <cfRule type="cellIs" dxfId="5754" priority="7366" stopIfTrue="1" operator="equal">
      <formula>"Napkin Hs"</formula>
    </cfRule>
  </conditionalFormatting>
  <conditionalFormatting sqref="C80">
    <cfRule type="cellIs" dxfId="5753" priority="7367" stopIfTrue="1" operator="equal">
      <formula>"Towel"</formula>
    </cfRule>
    <cfRule type="cellIs" dxfId="5752" priority="7368" stopIfTrue="1" operator="equal">
      <formula>"Napkin Hs"</formula>
    </cfRule>
  </conditionalFormatting>
  <conditionalFormatting sqref="B80:C80">
    <cfRule type="cellIs" dxfId="5751" priority="7363" stopIfTrue="1" operator="equal">
      <formula>"Towel"</formula>
    </cfRule>
    <cfRule type="cellIs" dxfId="5750" priority="7364" stopIfTrue="1" operator="equal">
      <formula>"Napkin Hs"</formula>
    </cfRule>
  </conditionalFormatting>
  <conditionalFormatting sqref="C80">
    <cfRule type="cellIs" dxfId="5749" priority="7359" stopIfTrue="1" operator="equal">
      <formula>"Towel"</formula>
    </cfRule>
    <cfRule type="cellIs" dxfId="5748" priority="7360" stopIfTrue="1" operator="equal">
      <formula>"Napkin Hs"</formula>
    </cfRule>
  </conditionalFormatting>
  <conditionalFormatting sqref="C80">
    <cfRule type="cellIs" dxfId="5747" priority="7361" stopIfTrue="1" operator="equal">
      <formula>"Towel"</formula>
    </cfRule>
    <cfRule type="cellIs" dxfId="5746" priority="7362" stopIfTrue="1" operator="equal">
      <formula>"Napkin Hs"</formula>
    </cfRule>
  </conditionalFormatting>
  <conditionalFormatting sqref="B80:C80">
    <cfRule type="cellIs" dxfId="5745" priority="7357" stopIfTrue="1" operator="equal">
      <formula>"Towel"</formula>
    </cfRule>
    <cfRule type="cellIs" dxfId="5744" priority="7358" stopIfTrue="1" operator="equal">
      <formula>"Napkin Hs"</formula>
    </cfRule>
  </conditionalFormatting>
  <conditionalFormatting sqref="C80">
    <cfRule type="cellIs" dxfId="5743" priority="7355" stopIfTrue="1" operator="equal">
      <formula>"Towel"</formula>
    </cfRule>
    <cfRule type="cellIs" dxfId="5742" priority="7356" stopIfTrue="1" operator="equal">
      <formula>"Napkin Hs"</formula>
    </cfRule>
  </conditionalFormatting>
  <conditionalFormatting sqref="C80">
    <cfRule type="cellIs" dxfId="5741" priority="7353" stopIfTrue="1" operator="equal">
      <formula>"Towel"</formula>
    </cfRule>
    <cfRule type="cellIs" dxfId="5740" priority="7354" stopIfTrue="1" operator="equal">
      <formula>"Napkin Hs"</formula>
    </cfRule>
  </conditionalFormatting>
  <conditionalFormatting sqref="B80:C80">
    <cfRule type="cellIs" dxfId="5739" priority="7352" stopIfTrue="1" operator="equal">
      <formula>"Napkin Hs"</formula>
    </cfRule>
  </conditionalFormatting>
  <conditionalFormatting sqref="B80:C80">
    <cfRule type="cellIs" dxfId="5738" priority="7351" stopIfTrue="1" operator="equal">
      <formula>"Towel"</formula>
    </cfRule>
  </conditionalFormatting>
  <conditionalFormatting sqref="C80">
    <cfRule type="cellIs" dxfId="5737" priority="7350" stopIfTrue="1" operator="equal">
      <formula>"Napkin Hs"</formula>
    </cfRule>
  </conditionalFormatting>
  <conditionalFormatting sqref="C80">
    <cfRule type="cellIs" dxfId="5736" priority="7349" stopIfTrue="1" operator="equal">
      <formula>"Towel"</formula>
    </cfRule>
  </conditionalFormatting>
  <conditionalFormatting sqref="C80">
    <cfRule type="cellIs" dxfId="5735" priority="7347" stopIfTrue="1" operator="equal">
      <formula>"Towel"</formula>
    </cfRule>
    <cfRule type="cellIs" dxfId="5734" priority="7348" stopIfTrue="1" operator="equal">
      <formula>"Napkin Hs"</formula>
    </cfRule>
  </conditionalFormatting>
  <conditionalFormatting sqref="C80">
    <cfRule type="cellIs" dxfId="5733" priority="7345" stopIfTrue="1" operator="equal">
      <formula>"Towel"</formula>
    </cfRule>
    <cfRule type="cellIs" dxfId="5732" priority="7346" stopIfTrue="1" operator="equal">
      <formula>"Napkin Hs"</formula>
    </cfRule>
  </conditionalFormatting>
  <conditionalFormatting sqref="C80">
    <cfRule type="cellIs" dxfId="5731" priority="7261" stopIfTrue="1" operator="equal">
      <formula>"Towel"</formula>
    </cfRule>
    <cfRule type="cellIs" dxfId="5730" priority="7262" stopIfTrue="1" operator="equal">
      <formula>"Napkin Hs"</formula>
    </cfRule>
  </conditionalFormatting>
  <conditionalFormatting sqref="C80">
    <cfRule type="cellIs" dxfId="5729" priority="7255" stopIfTrue="1" operator="equal">
      <formula>"Towel"</formula>
    </cfRule>
    <cfRule type="cellIs" dxfId="5728" priority="7256" stopIfTrue="1" operator="equal">
      <formula>"Napkin Hs"</formula>
    </cfRule>
  </conditionalFormatting>
  <conditionalFormatting sqref="C80">
    <cfRule type="cellIs" dxfId="5727" priority="7236" stopIfTrue="1" operator="equal">
      <formula>"Napkin Hs"</formula>
    </cfRule>
  </conditionalFormatting>
  <conditionalFormatting sqref="C80">
    <cfRule type="cellIs" dxfId="5726" priority="7235" stopIfTrue="1" operator="equal">
      <formula>"Towel"</formula>
    </cfRule>
  </conditionalFormatting>
  <conditionalFormatting sqref="C80">
    <cfRule type="cellIs" dxfId="5725" priority="7234" stopIfTrue="1" operator="equal">
      <formula>"Napkin Hs"</formula>
    </cfRule>
  </conditionalFormatting>
  <conditionalFormatting sqref="C80">
    <cfRule type="cellIs" dxfId="5724" priority="7231" stopIfTrue="1" operator="equal">
      <formula>"Towel"</formula>
    </cfRule>
    <cfRule type="cellIs" dxfId="5723" priority="7232" stopIfTrue="1" operator="equal">
      <formula>"Napkin Hs"</formula>
    </cfRule>
  </conditionalFormatting>
  <conditionalFormatting sqref="C80">
    <cfRule type="cellIs" dxfId="5722" priority="7233" stopIfTrue="1" operator="equal">
      <formula>"Towel"</formula>
    </cfRule>
  </conditionalFormatting>
  <conditionalFormatting sqref="C80">
    <cfRule type="cellIs" dxfId="5721" priority="7230" stopIfTrue="1" operator="equal">
      <formula>"Napkin Hs"</formula>
    </cfRule>
  </conditionalFormatting>
  <conditionalFormatting sqref="C80">
    <cfRule type="cellIs" dxfId="5720" priority="7229" stopIfTrue="1" operator="equal">
      <formula>"Towel"</formula>
    </cfRule>
  </conditionalFormatting>
  <conditionalFormatting sqref="C80">
    <cfRule type="cellIs" dxfId="5719" priority="7228" stopIfTrue="1" operator="equal">
      <formula>"Napkin Hs"</formula>
    </cfRule>
  </conditionalFormatting>
  <conditionalFormatting sqref="C80">
    <cfRule type="cellIs" dxfId="5718" priority="7225" stopIfTrue="1" operator="equal">
      <formula>"Towel"</formula>
    </cfRule>
    <cfRule type="cellIs" dxfId="5717" priority="7226" stopIfTrue="1" operator="equal">
      <formula>"Napkin Hs"</formula>
    </cfRule>
  </conditionalFormatting>
  <conditionalFormatting sqref="C80">
    <cfRule type="cellIs" dxfId="5716" priority="7227" stopIfTrue="1" operator="equal">
      <formula>"Towel"</formula>
    </cfRule>
  </conditionalFormatting>
  <conditionalFormatting sqref="C80">
    <cfRule type="cellIs" dxfId="5715" priority="7331" stopIfTrue="1" operator="equal">
      <formula>"Towel"</formula>
    </cfRule>
    <cfRule type="cellIs" dxfId="5714" priority="7332" stopIfTrue="1" operator="equal">
      <formula>"Napkin Hs"</formula>
    </cfRule>
  </conditionalFormatting>
  <conditionalFormatting sqref="C80">
    <cfRule type="cellIs" dxfId="5713" priority="7329" stopIfTrue="1" operator="equal">
      <formula>"Towel"</formula>
    </cfRule>
    <cfRule type="cellIs" dxfId="5712" priority="7330" stopIfTrue="1" operator="equal">
      <formula>"Napkin Hs"</formula>
    </cfRule>
  </conditionalFormatting>
  <conditionalFormatting sqref="C80">
    <cfRule type="cellIs" dxfId="5711" priority="7327" stopIfTrue="1" operator="equal">
      <formula>"Towel"</formula>
    </cfRule>
    <cfRule type="cellIs" dxfId="5710" priority="7328" stopIfTrue="1" operator="equal">
      <formula>"Napkin Hs"</formula>
    </cfRule>
  </conditionalFormatting>
  <conditionalFormatting sqref="C80">
    <cfRule type="cellIs" dxfId="5709" priority="7326" stopIfTrue="1" operator="equal">
      <formula>"Napkin Hs"</formula>
    </cfRule>
  </conditionalFormatting>
  <conditionalFormatting sqref="C80">
    <cfRule type="cellIs" dxfId="5708" priority="7325" stopIfTrue="1" operator="equal">
      <formula>"Towel"</formula>
    </cfRule>
  </conditionalFormatting>
  <conditionalFormatting sqref="C80">
    <cfRule type="cellIs" dxfId="5707" priority="7324" stopIfTrue="1" operator="equal">
      <formula>"Napkin Hs"</formula>
    </cfRule>
  </conditionalFormatting>
  <conditionalFormatting sqref="C80">
    <cfRule type="cellIs" dxfId="5706" priority="7323" stopIfTrue="1" operator="equal">
      <formula>"Towel"</formula>
    </cfRule>
  </conditionalFormatting>
  <conditionalFormatting sqref="C80">
    <cfRule type="cellIs" dxfId="5705" priority="7321" stopIfTrue="1" operator="equal">
      <formula>"Towel"</formula>
    </cfRule>
    <cfRule type="cellIs" dxfId="5704" priority="7322" stopIfTrue="1" operator="equal">
      <formula>"Napkin Hs"</formula>
    </cfRule>
  </conditionalFormatting>
  <conditionalFormatting sqref="C80">
    <cfRule type="cellIs" dxfId="5703" priority="7319" stopIfTrue="1" operator="equal">
      <formula>"Towel"</formula>
    </cfRule>
    <cfRule type="cellIs" dxfId="5702" priority="7320" stopIfTrue="1" operator="equal">
      <formula>"Napkin Hs"</formula>
    </cfRule>
  </conditionalFormatting>
  <conditionalFormatting sqref="C80">
    <cfRule type="cellIs" dxfId="5701" priority="7315" stopIfTrue="1" operator="equal">
      <formula>"Towel"</formula>
    </cfRule>
    <cfRule type="cellIs" dxfId="5700" priority="7316" stopIfTrue="1" operator="equal">
      <formula>"Napkin Hs"</formula>
    </cfRule>
  </conditionalFormatting>
  <conditionalFormatting sqref="C80">
    <cfRule type="cellIs" dxfId="5699" priority="7317" stopIfTrue="1" operator="equal">
      <formula>"Towel"</formula>
    </cfRule>
    <cfRule type="cellIs" dxfId="5698" priority="7318" stopIfTrue="1" operator="equal">
      <formula>"Napkin Hs"</formula>
    </cfRule>
  </conditionalFormatting>
  <conditionalFormatting sqref="C80">
    <cfRule type="cellIs" dxfId="5697" priority="7309" stopIfTrue="1" operator="equal">
      <formula>"Towel"</formula>
    </cfRule>
    <cfRule type="cellIs" dxfId="5696" priority="7310" stopIfTrue="1" operator="equal">
      <formula>"Napkin Hs"</formula>
    </cfRule>
  </conditionalFormatting>
  <conditionalFormatting sqref="C80">
    <cfRule type="cellIs" dxfId="5695" priority="7307" stopIfTrue="1" operator="equal">
      <formula>"Towel"</formula>
    </cfRule>
    <cfRule type="cellIs" dxfId="5694" priority="7308" stopIfTrue="1" operator="equal">
      <formula>"Napkin Hs"</formula>
    </cfRule>
  </conditionalFormatting>
  <conditionalFormatting sqref="C80">
    <cfRule type="cellIs" dxfId="5693" priority="7305" stopIfTrue="1" operator="equal">
      <formula>"Towel"</formula>
    </cfRule>
    <cfRule type="cellIs" dxfId="5692" priority="7306" stopIfTrue="1" operator="equal">
      <formula>"Napkin Hs"</formula>
    </cfRule>
  </conditionalFormatting>
  <conditionalFormatting sqref="C80">
    <cfRule type="cellIs" dxfId="5691" priority="7303" stopIfTrue="1" operator="equal">
      <formula>"Towel"</formula>
    </cfRule>
    <cfRule type="cellIs" dxfId="5690" priority="7304" stopIfTrue="1" operator="equal">
      <formula>"Napkin Hs"</formula>
    </cfRule>
  </conditionalFormatting>
  <conditionalFormatting sqref="C80">
    <cfRule type="cellIs" dxfId="5689" priority="7301" stopIfTrue="1" operator="equal">
      <formula>"Towel"</formula>
    </cfRule>
    <cfRule type="cellIs" dxfId="5688" priority="7302" stopIfTrue="1" operator="equal">
      <formula>"Napkin Hs"</formula>
    </cfRule>
  </conditionalFormatting>
  <conditionalFormatting sqref="C80">
    <cfRule type="cellIs" dxfId="5687" priority="7299" stopIfTrue="1" operator="equal">
      <formula>"Towel"</formula>
    </cfRule>
    <cfRule type="cellIs" dxfId="5686" priority="7300" stopIfTrue="1" operator="equal">
      <formula>"Napkin Hs"</formula>
    </cfRule>
  </conditionalFormatting>
  <conditionalFormatting sqref="C80">
    <cfRule type="cellIs" dxfId="5685" priority="7297" stopIfTrue="1" operator="equal">
      <formula>"Towel"</formula>
    </cfRule>
    <cfRule type="cellIs" dxfId="5684" priority="7298" stopIfTrue="1" operator="equal">
      <formula>"Napkin Hs"</formula>
    </cfRule>
  </conditionalFormatting>
  <conditionalFormatting sqref="C80">
    <cfRule type="cellIs" dxfId="5683" priority="7295" stopIfTrue="1" operator="equal">
      <formula>"Towel"</formula>
    </cfRule>
    <cfRule type="cellIs" dxfId="5682" priority="7296" stopIfTrue="1" operator="equal">
      <formula>"Napkin Hs"</formula>
    </cfRule>
  </conditionalFormatting>
  <conditionalFormatting sqref="C80">
    <cfRule type="cellIs" dxfId="5681" priority="7293" stopIfTrue="1" operator="equal">
      <formula>"Towel"</formula>
    </cfRule>
    <cfRule type="cellIs" dxfId="5680" priority="7294" stopIfTrue="1" operator="equal">
      <formula>"Napkin Hs"</formula>
    </cfRule>
  </conditionalFormatting>
  <conditionalFormatting sqref="C80">
    <cfRule type="cellIs" dxfId="5679" priority="7291" stopIfTrue="1" operator="equal">
      <formula>"Towel"</formula>
    </cfRule>
    <cfRule type="cellIs" dxfId="5678" priority="7292" stopIfTrue="1" operator="equal">
      <formula>"Napkin Hs"</formula>
    </cfRule>
  </conditionalFormatting>
  <conditionalFormatting sqref="C80">
    <cfRule type="cellIs" dxfId="5677" priority="7285" stopIfTrue="1" operator="equal">
      <formula>"Towel"</formula>
    </cfRule>
    <cfRule type="cellIs" dxfId="5676" priority="7286" stopIfTrue="1" operator="equal">
      <formula>"Napkin Hs"</formula>
    </cfRule>
  </conditionalFormatting>
  <conditionalFormatting sqref="C80">
    <cfRule type="cellIs" dxfId="5675" priority="7279" stopIfTrue="1" operator="equal">
      <formula>"Towel"</formula>
    </cfRule>
    <cfRule type="cellIs" dxfId="5674" priority="7280" stopIfTrue="1" operator="equal">
      <formula>"Napkin Hs"</formula>
    </cfRule>
  </conditionalFormatting>
  <conditionalFormatting sqref="C80">
    <cfRule type="cellIs" dxfId="5673" priority="7273" stopIfTrue="1" operator="equal">
      <formula>"Towel"</formula>
    </cfRule>
    <cfRule type="cellIs" dxfId="5672" priority="7274" stopIfTrue="1" operator="equal">
      <formula>"Napkin Hs"</formula>
    </cfRule>
  </conditionalFormatting>
  <conditionalFormatting sqref="C80">
    <cfRule type="cellIs" dxfId="5671" priority="7272" stopIfTrue="1" operator="equal">
      <formula>"Napkin Hs"</formula>
    </cfRule>
  </conditionalFormatting>
  <conditionalFormatting sqref="C80">
    <cfRule type="cellIs" dxfId="5670" priority="7271" stopIfTrue="1" operator="equal">
      <formula>"Towel"</formula>
    </cfRule>
  </conditionalFormatting>
  <conditionalFormatting sqref="C80">
    <cfRule type="cellIs" dxfId="5669" priority="7270" stopIfTrue="1" operator="equal">
      <formula>"Napkin Hs"</formula>
    </cfRule>
  </conditionalFormatting>
  <conditionalFormatting sqref="C80">
    <cfRule type="cellIs" dxfId="5668" priority="7269" stopIfTrue="1" operator="equal">
      <formula>"Towel"</formula>
    </cfRule>
  </conditionalFormatting>
  <conditionalFormatting sqref="C80">
    <cfRule type="cellIs" dxfId="5667" priority="7267" stopIfTrue="1" operator="equal">
      <formula>"Towel"</formula>
    </cfRule>
    <cfRule type="cellIs" dxfId="5666" priority="7268" stopIfTrue="1" operator="equal">
      <formula>"Napkin Hs"</formula>
    </cfRule>
  </conditionalFormatting>
  <conditionalFormatting sqref="C80">
    <cfRule type="cellIs" dxfId="5665" priority="7265" stopIfTrue="1" operator="equal">
      <formula>"Towel"</formula>
    </cfRule>
    <cfRule type="cellIs" dxfId="5664" priority="7266" stopIfTrue="1" operator="equal">
      <formula>"Napkin Hs"</formula>
    </cfRule>
  </conditionalFormatting>
  <conditionalFormatting sqref="C80">
    <cfRule type="cellIs" dxfId="5663" priority="7263" stopIfTrue="1" operator="equal">
      <formula>"Towel"</formula>
    </cfRule>
    <cfRule type="cellIs" dxfId="5662" priority="7264" stopIfTrue="1" operator="equal">
      <formula>"Napkin Hs"</formula>
    </cfRule>
  </conditionalFormatting>
  <conditionalFormatting sqref="C80">
    <cfRule type="cellIs" dxfId="5661" priority="7253" stopIfTrue="1" operator="equal">
      <formula>"Towel"</formula>
    </cfRule>
    <cfRule type="cellIs" dxfId="5660" priority="7254" stopIfTrue="1" operator="equal">
      <formula>"Napkin Hs"</formula>
    </cfRule>
  </conditionalFormatting>
  <conditionalFormatting sqref="C80">
    <cfRule type="cellIs" dxfId="5659" priority="7251" stopIfTrue="1" operator="equal">
      <formula>"Towel"</formula>
    </cfRule>
    <cfRule type="cellIs" dxfId="5658" priority="7252" stopIfTrue="1" operator="equal">
      <formula>"Napkin Hs"</formula>
    </cfRule>
  </conditionalFormatting>
  <conditionalFormatting sqref="C80">
    <cfRule type="cellIs" dxfId="5657" priority="7249" stopIfTrue="1" operator="equal">
      <formula>"Towel"</formula>
    </cfRule>
    <cfRule type="cellIs" dxfId="5656" priority="7250" stopIfTrue="1" operator="equal">
      <formula>"Napkin Hs"</formula>
    </cfRule>
  </conditionalFormatting>
  <conditionalFormatting sqref="C80">
    <cfRule type="cellIs" dxfId="5655" priority="7247" stopIfTrue="1" operator="equal">
      <formula>"Towel"</formula>
    </cfRule>
    <cfRule type="cellIs" dxfId="5654" priority="7248" stopIfTrue="1" operator="equal">
      <formula>"Napkin Hs"</formula>
    </cfRule>
  </conditionalFormatting>
  <conditionalFormatting sqref="C80">
    <cfRule type="cellIs" dxfId="5653" priority="7245" stopIfTrue="1" operator="equal">
      <formula>"Towel"</formula>
    </cfRule>
    <cfRule type="cellIs" dxfId="5652" priority="7246" stopIfTrue="1" operator="equal">
      <formula>"Napkin Hs"</formula>
    </cfRule>
  </conditionalFormatting>
  <conditionalFormatting sqref="C80">
    <cfRule type="cellIs" dxfId="5651" priority="7243" stopIfTrue="1" operator="equal">
      <formula>"Towel"</formula>
    </cfRule>
    <cfRule type="cellIs" dxfId="5650" priority="7244" stopIfTrue="1" operator="equal">
      <formula>"Napkin Hs"</formula>
    </cfRule>
  </conditionalFormatting>
  <conditionalFormatting sqref="C80">
    <cfRule type="cellIs" dxfId="5649" priority="7241" stopIfTrue="1" operator="equal">
      <formula>"Towel"</formula>
    </cfRule>
    <cfRule type="cellIs" dxfId="5648" priority="7242" stopIfTrue="1" operator="equal">
      <formula>"Napkin Hs"</formula>
    </cfRule>
  </conditionalFormatting>
  <conditionalFormatting sqref="C80">
    <cfRule type="cellIs" dxfId="5647" priority="7239" stopIfTrue="1" operator="equal">
      <formula>"Towel"</formula>
    </cfRule>
    <cfRule type="cellIs" dxfId="5646" priority="7240" stopIfTrue="1" operator="equal">
      <formula>"Napkin Hs"</formula>
    </cfRule>
  </conditionalFormatting>
  <conditionalFormatting sqref="C80">
    <cfRule type="cellIs" dxfId="5645" priority="7237" stopIfTrue="1" operator="equal">
      <formula>"Towel"</formula>
    </cfRule>
    <cfRule type="cellIs" dxfId="5644" priority="7238" stopIfTrue="1" operator="equal">
      <formula>"Napkin Hs"</formula>
    </cfRule>
  </conditionalFormatting>
  <conditionalFormatting sqref="C80">
    <cfRule type="cellIs" dxfId="5643" priority="7224" stopIfTrue="1" operator="equal">
      <formula>"Napkin Hs"</formula>
    </cfRule>
  </conditionalFormatting>
  <conditionalFormatting sqref="C80">
    <cfRule type="cellIs" dxfId="5642" priority="7223" stopIfTrue="1" operator="equal">
      <formula>"Towel"</formula>
    </cfRule>
  </conditionalFormatting>
  <conditionalFormatting sqref="C80">
    <cfRule type="cellIs" dxfId="5641" priority="7222" stopIfTrue="1" operator="equal">
      <formula>"Napkin Hs"</formula>
    </cfRule>
  </conditionalFormatting>
  <conditionalFormatting sqref="C80">
    <cfRule type="cellIs" dxfId="5640" priority="7219" stopIfTrue="1" operator="equal">
      <formula>"Towel"</formula>
    </cfRule>
    <cfRule type="cellIs" dxfId="5639" priority="7220" stopIfTrue="1" operator="equal">
      <formula>"Napkin Hs"</formula>
    </cfRule>
  </conditionalFormatting>
  <conditionalFormatting sqref="C80">
    <cfRule type="cellIs" dxfId="5638" priority="7221" stopIfTrue="1" operator="equal">
      <formula>"Towel"</formula>
    </cfRule>
  </conditionalFormatting>
  <conditionalFormatting sqref="C80">
    <cfRule type="cellIs" dxfId="5637" priority="7339" stopIfTrue="1" operator="equal">
      <formula>"Towel"</formula>
    </cfRule>
    <cfRule type="cellIs" dxfId="5636" priority="7340" stopIfTrue="1" operator="equal">
      <formula>"Napkin Hs"</formula>
    </cfRule>
  </conditionalFormatting>
  <conditionalFormatting sqref="C80">
    <cfRule type="cellIs" dxfId="5635" priority="7338" stopIfTrue="1" operator="equal">
      <formula>"Napkin Hs"</formula>
    </cfRule>
  </conditionalFormatting>
  <conditionalFormatting sqref="C80">
    <cfRule type="cellIs" dxfId="5634" priority="7337" stopIfTrue="1" operator="equal">
      <formula>"Towel"</formula>
    </cfRule>
  </conditionalFormatting>
  <conditionalFormatting sqref="C80">
    <cfRule type="cellIs" dxfId="5633" priority="7336" stopIfTrue="1" operator="equal">
      <formula>"Napkin Hs"</formula>
    </cfRule>
  </conditionalFormatting>
  <conditionalFormatting sqref="C80">
    <cfRule type="cellIs" dxfId="5632" priority="7333" stopIfTrue="1" operator="equal">
      <formula>"Towel"</formula>
    </cfRule>
    <cfRule type="cellIs" dxfId="5631" priority="7334" stopIfTrue="1" operator="equal">
      <formula>"Napkin Hs"</formula>
    </cfRule>
  </conditionalFormatting>
  <conditionalFormatting sqref="C80">
    <cfRule type="cellIs" dxfId="5630" priority="7335" stopIfTrue="1" operator="equal">
      <formula>"Towel"</formula>
    </cfRule>
  </conditionalFormatting>
  <conditionalFormatting sqref="C80">
    <cfRule type="cellIs" dxfId="5629" priority="7343" stopIfTrue="1" operator="equal">
      <formula>"Towel"</formula>
    </cfRule>
    <cfRule type="cellIs" dxfId="5628" priority="7344" stopIfTrue="1" operator="equal">
      <formula>"Napkin Hs"</formula>
    </cfRule>
  </conditionalFormatting>
  <conditionalFormatting sqref="C80">
    <cfRule type="cellIs" dxfId="5627" priority="7341" stopIfTrue="1" operator="equal">
      <formula>"Towel"</formula>
    </cfRule>
    <cfRule type="cellIs" dxfId="5626" priority="7342" stopIfTrue="1" operator="equal">
      <formula>"Napkin Hs"</formula>
    </cfRule>
  </conditionalFormatting>
  <conditionalFormatting sqref="C80">
    <cfRule type="cellIs" dxfId="5625" priority="7313" stopIfTrue="1" operator="equal">
      <formula>"Towel"</formula>
    </cfRule>
    <cfRule type="cellIs" dxfId="5624" priority="7314" stopIfTrue="1" operator="equal">
      <formula>"Napkin Hs"</formula>
    </cfRule>
  </conditionalFormatting>
  <conditionalFormatting sqref="C80">
    <cfRule type="cellIs" dxfId="5623" priority="7311" stopIfTrue="1" operator="equal">
      <formula>"Towel"</formula>
    </cfRule>
    <cfRule type="cellIs" dxfId="5622" priority="7312" stopIfTrue="1" operator="equal">
      <formula>"Napkin Hs"</formula>
    </cfRule>
  </conditionalFormatting>
  <conditionalFormatting sqref="C80">
    <cfRule type="cellIs" dxfId="5621" priority="7290" stopIfTrue="1" operator="equal">
      <formula>"Napkin Hs"</formula>
    </cfRule>
  </conditionalFormatting>
  <conditionalFormatting sqref="C80">
    <cfRule type="cellIs" dxfId="5620" priority="7289" stopIfTrue="1" operator="equal">
      <formula>"Towel"</formula>
    </cfRule>
  </conditionalFormatting>
  <conditionalFormatting sqref="C80">
    <cfRule type="cellIs" dxfId="5619" priority="7288" stopIfTrue="1" operator="equal">
      <formula>"Napkin Hs"</formula>
    </cfRule>
  </conditionalFormatting>
  <conditionalFormatting sqref="C80">
    <cfRule type="cellIs" dxfId="5618" priority="7287" stopIfTrue="1" operator="equal">
      <formula>"Towel"</formula>
    </cfRule>
  </conditionalFormatting>
  <conditionalFormatting sqref="C80">
    <cfRule type="cellIs" dxfId="5617" priority="7284" stopIfTrue="1" operator="equal">
      <formula>"Napkin Hs"</formula>
    </cfRule>
  </conditionalFormatting>
  <conditionalFormatting sqref="C80">
    <cfRule type="cellIs" dxfId="5616" priority="7283" stopIfTrue="1" operator="equal">
      <formula>"Towel"</formula>
    </cfRule>
  </conditionalFormatting>
  <conditionalFormatting sqref="C80">
    <cfRule type="cellIs" dxfId="5615" priority="7282" stopIfTrue="1" operator="equal">
      <formula>"Napkin Hs"</formula>
    </cfRule>
  </conditionalFormatting>
  <conditionalFormatting sqref="C80">
    <cfRule type="cellIs" dxfId="5614" priority="7281" stopIfTrue="1" operator="equal">
      <formula>"Towel"</formula>
    </cfRule>
  </conditionalFormatting>
  <conditionalFormatting sqref="C80">
    <cfRule type="cellIs" dxfId="5613" priority="7277" stopIfTrue="1" operator="equal">
      <formula>"Towel"</formula>
    </cfRule>
    <cfRule type="cellIs" dxfId="5612" priority="7278" stopIfTrue="1" operator="equal">
      <formula>"Napkin Hs"</formula>
    </cfRule>
  </conditionalFormatting>
  <conditionalFormatting sqref="C80">
    <cfRule type="cellIs" dxfId="5611" priority="7275" stopIfTrue="1" operator="equal">
      <formula>"Towel"</formula>
    </cfRule>
    <cfRule type="cellIs" dxfId="5610" priority="7276" stopIfTrue="1" operator="equal">
      <formula>"Napkin Hs"</formula>
    </cfRule>
  </conditionalFormatting>
  <conditionalFormatting sqref="C80">
    <cfRule type="cellIs" dxfId="5609" priority="7259" stopIfTrue="1" operator="equal">
      <formula>"Towel"</formula>
    </cfRule>
    <cfRule type="cellIs" dxfId="5608" priority="7260" stopIfTrue="1" operator="equal">
      <formula>"Napkin Hs"</formula>
    </cfRule>
  </conditionalFormatting>
  <conditionalFormatting sqref="C80">
    <cfRule type="cellIs" dxfId="5607" priority="7257" stopIfTrue="1" operator="equal">
      <formula>"Towel"</formula>
    </cfRule>
    <cfRule type="cellIs" dxfId="5606" priority="7258" stopIfTrue="1" operator="equal">
      <formula>"Napkin Hs"</formula>
    </cfRule>
  </conditionalFormatting>
  <conditionalFormatting sqref="B80:C80">
    <cfRule type="cellIs" dxfId="5605" priority="7218" stopIfTrue="1" operator="equal">
      <formula>"Napkin Hs"</formula>
    </cfRule>
  </conditionalFormatting>
  <conditionalFormatting sqref="B80:C80">
    <cfRule type="cellIs" dxfId="5604" priority="7217" stopIfTrue="1" operator="equal">
      <formula>"Towel"</formula>
    </cfRule>
  </conditionalFormatting>
  <conditionalFormatting sqref="C80">
    <cfRule type="cellIs" dxfId="5603" priority="7216" stopIfTrue="1" operator="equal">
      <formula>"Napkin Hs"</formula>
    </cfRule>
  </conditionalFormatting>
  <conditionalFormatting sqref="C80">
    <cfRule type="cellIs" dxfId="5602" priority="7213" stopIfTrue="1" operator="equal">
      <formula>"Towel"</formula>
    </cfRule>
    <cfRule type="cellIs" dxfId="5601" priority="7214" stopIfTrue="1" operator="equal">
      <formula>"Napkin Hs"</formula>
    </cfRule>
  </conditionalFormatting>
  <conditionalFormatting sqref="C80">
    <cfRule type="cellIs" dxfId="5600" priority="7215" stopIfTrue="1" operator="equal">
      <formula>"Towel"</formula>
    </cfRule>
  </conditionalFormatting>
  <conditionalFormatting sqref="C80">
    <cfRule type="cellIs" dxfId="5599" priority="7129" stopIfTrue="1" operator="equal">
      <formula>"Towel"</formula>
    </cfRule>
    <cfRule type="cellIs" dxfId="5598" priority="7130" stopIfTrue="1" operator="equal">
      <formula>"Napkin Hs"</formula>
    </cfRule>
  </conditionalFormatting>
  <conditionalFormatting sqref="C80">
    <cfRule type="cellIs" dxfId="5597" priority="7123" stopIfTrue="1" operator="equal">
      <formula>"Towel"</formula>
    </cfRule>
    <cfRule type="cellIs" dxfId="5596" priority="7124" stopIfTrue="1" operator="equal">
      <formula>"Napkin Hs"</formula>
    </cfRule>
  </conditionalFormatting>
  <conditionalFormatting sqref="C80">
    <cfRule type="cellIs" dxfId="5595" priority="7104" stopIfTrue="1" operator="equal">
      <formula>"Napkin Hs"</formula>
    </cfRule>
  </conditionalFormatting>
  <conditionalFormatting sqref="C80">
    <cfRule type="cellIs" dxfId="5594" priority="7103" stopIfTrue="1" operator="equal">
      <formula>"Towel"</formula>
    </cfRule>
  </conditionalFormatting>
  <conditionalFormatting sqref="C80">
    <cfRule type="cellIs" dxfId="5593" priority="7102" stopIfTrue="1" operator="equal">
      <formula>"Napkin Hs"</formula>
    </cfRule>
  </conditionalFormatting>
  <conditionalFormatting sqref="C80">
    <cfRule type="cellIs" dxfId="5592" priority="7099" stopIfTrue="1" operator="equal">
      <formula>"Towel"</formula>
    </cfRule>
    <cfRule type="cellIs" dxfId="5591" priority="7100" stopIfTrue="1" operator="equal">
      <formula>"Napkin Hs"</formula>
    </cfRule>
  </conditionalFormatting>
  <conditionalFormatting sqref="C80">
    <cfRule type="cellIs" dxfId="5590" priority="7101" stopIfTrue="1" operator="equal">
      <formula>"Towel"</formula>
    </cfRule>
  </conditionalFormatting>
  <conditionalFormatting sqref="C80">
    <cfRule type="cellIs" dxfId="5589" priority="7098" stopIfTrue="1" operator="equal">
      <formula>"Napkin Hs"</formula>
    </cfRule>
  </conditionalFormatting>
  <conditionalFormatting sqref="C80">
    <cfRule type="cellIs" dxfId="5588" priority="7097" stopIfTrue="1" operator="equal">
      <formula>"Towel"</formula>
    </cfRule>
  </conditionalFormatting>
  <conditionalFormatting sqref="C80">
    <cfRule type="cellIs" dxfId="5587" priority="7096" stopIfTrue="1" operator="equal">
      <formula>"Napkin Hs"</formula>
    </cfRule>
  </conditionalFormatting>
  <conditionalFormatting sqref="C80">
    <cfRule type="cellIs" dxfId="5586" priority="7093" stopIfTrue="1" operator="equal">
      <formula>"Towel"</formula>
    </cfRule>
    <cfRule type="cellIs" dxfId="5585" priority="7094" stopIfTrue="1" operator="equal">
      <formula>"Napkin Hs"</formula>
    </cfRule>
  </conditionalFormatting>
  <conditionalFormatting sqref="C80">
    <cfRule type="cellIs" dxfId="5584" priority="7095" stopIfTrue="1" operator="equal">
      <formula>"Towel"</formula>
    </cfRule>
  </conditionalFormatting>
  <conditionalFormatting sqref="C80">
    <cfRule type="cellIs" dxfId="5583" priority="7199" stopIfTrue="1" operator="equal">
      <formula>"Towel"</formula>
    </cfRule>
    <cfRule type="cellIs" dxfId="5582" priority="7200" stopIfTrue="1" operator="equal">
      <formula>"Napkin Hs"</formula>
    </cfRule>
  </conditionalFormatting>
  <conditionalFormatting sqref="C80">
    <cfRule type="cellIs" dxfId="5581" priority="7197" stopIfTrue="1" operator="equal">
      <formula>"Towel"</formula>
    </cfRule>
    <cfRule type="cellIs" dxfId="5580" priority="7198" stopIfTrue="1" operator="equal">
      <formula>"Napkin Hs"</formula>
    </cfRule>
  </conditionalFormatting>
  <conditionalFormatting sqref="C80">
    <cfRule type="cellIs" dxfId="5579" priority="7195" stopIfTrue="1" operator="equal">
      <formula>"Towel"</formula>
    </cfRule>
    <cfRule type="cellIs" dxfId="5578" priority="7196" stopIfTrue="1" operator="equal">
      <formula>"Napkin Hs"</formula>
    </cfRule>
  </conditionalFormatting>
  <conditionalFormatting sqref="C80">
    <cfRule type="cellIs" dxfId="5577" priority="7194" stopIfTrue="1" operator="equal">
      <formula>"Napkin Hs"</formula>
    </cfRule>
  </conditionalFormatting>
  <conditionalFormatting sqref="C80">
    <cfRule type="cellIs" dxfId="5576" priority="7193" stopIfTrue="1" operator="equal">
      <formula>"Towel"</formula>
    </cfRule>
  </conditionalFormatting>
  <conditionalFormatting sqref="C80">
    <cfRule type="cellIs" dxfId="5575" priority="7192" stopIfTrue="1" operator="equal">
      <formula>"Napkin Hs"</formula>
    </cfRule>
  </conditionalFormatting>
  <conditionalFormatting sqref="C80">
    <cfRule type="cellIs" dxfId="5574" priority="7191" stopIfTrue="1" operator="equal">
      <formula>"Towel"</formula>
    </cfRule>
  </conditionalFormatting>
  <conditionalFormatting sqref="C80">
    <cfRule type="cellIs" dxfId="5573" priority="7189" stopIfTrue="1" operator="equal">
      <formula>"Towel"</formula>
    </cfRule>
    <cfRule type="cellIs" dxfId="5572" priority="7190" stopIfTrue="1" operator="equal">
      <formula>"Napkin Hs"</formula>
    </cfRule>
  </conditionalFormatting>
  <conditionalFormatting sqref="C80">
    <cfRule type="cellIs" dxfId="5571" priority="7187" stopIfTrue="1" operator="equal">
      <formula>"Towel"</formula>
    </cfRule>
    <cfRule type="cellIs" dxfId="5570" priority="7188" stopIfTrue="1" operator="equal">
      <formula>"Napkin Hs"</formula>
    </cfRule>
  </conditionalFormatting>
  <conditionalFormatting sqref="C80">
    <cfRule type="cellIs" dxfId="5569" priority="7183" stopIfTrue="1" operator="equal">
      <formula>"Towel"</formula>
    </cfRule>
    <cfRule type="cellIs" dxfId="5568" priority="7184" stopIfTrue="1" operator="equal">
      <formula>"Napkin Hs"</formula>
    </cfRule>
  </conditionalFormatting>
  <conditionalFormatting sqref="C80">
    <cfRule type="cellIs" dxfId="5567" priority="7185" stopIfTrue="1" operator="equal">
      <formula>"Towel"</formula>
    </cfRule>
    <cfRule type="cellIs" dxfId="5566" priority="7186" stopIfTrue="1" operator="equal">
      <formula>"Napkin Hs"</formula>
    </cfRule>
  </conditionalFormatting>
  <conditionalFormatting sqref="C80">
    <cfRule type="cellIs" dxfId="5565" priority="7177" stopIfTrue="1" operator="equal">
      <formula>"Towel"</formula>
    </cfRule>
    <cfRule type="cellIs" dxfId="5564" priority="7178" stopIfTrue="1" operator="equal">
      <formula>"Napkin Hs"</formula>
    </cfRule>
  </conditionalFormatting>
  <conditionalFormatting sqref="C80">
    <cfRule type="cellIs" dxfId="5563" priority="7175" stopIfTrue="1" operator="equal">
      <formula>"Towel"</formula>
    </cfRule>
    <cfRule type="cellIs" dxfId="5562" priority="7176" stopIfTrue="1" operator="equal">
      <formula>"Napkin Hs"</formula>
    </cfRule>
  </conditionalFormatting>
  <conditionalFormatting sqref="C80">
    <cfRule type="cellIs" dxfId="5561" priority="7173" stopIfTrue="1" operator="equal">
      <formula>"Towel"</formula>
    </cfRule>
    <cfRule type="cellIs" dxfId="5560" priority="7174" stopIfTrue="1" operator="equal">
      <formula>"Napkin Hs"</formula>
    </cfRule>
  </conditionalFormatting>
  <conditionalFormatting sqref="C80">
    <cfRule type="cellIs" dxfId="5559" priority="7171" stopIfTrue="1" operator="equal">
      <formula>"Towel"</formula>
    </cfRule>
    <cfRule type="cellIs" dxfId="5558" priority="7172" stopIfTrue="1" operator="equal">
      <formula>"Napkin Hs"</formula>
    </cfRule>
  </conditionalFormatting>
  <conditionalFormatting sqref="C80">
    <cfRule type="cellIs" dxfId="5557" priority="7169" stopIfTrue="1" operator="equal">
      <formula>"Towel"</formula>
    </cfRule>
    <cfRule type="cellIs" dxfId="5556" priority="7170" stopIfTrue="1" operator="equal">
      <formula>"Napkin Hs"</formula>
    </cfRule>
  </conditionalFormatting>
  <conditionalFormatting sqref="C80">
    <cfRule type="cellIs" dxfId="5555" priority="7167" stopIfTrue="1" operator="equal">
      <formula>"Towel"</formula>
    </cfRule>
    <cfRule type="cellIs" dxfId="5554" priority="7168" stopIfTrue="1" operator="equal">
      <formula>"Napkin Hs"</formula>
    </cfRule>
  </conditionalFormatting>
  <conditionalFormatting sqref="C80">
    <cfRule type="cellIs" dxfId="5553" priority="7165" stopIfTrue="1" operator="equal">
      <formula>"Towel"</formula>
    </cfRule>
    <cfRule type="cellIs" dxfId="5552" priority="7166" stopIfTrue="1" operator="equal">
      <formula>"Napkin Hs"</formula>
    </cfRule>
  </conditionalFormatting>
  <conditionalFormatting sqref="C80">
    <cfRule type="cellIs" dxfId="5551" priority="7163" stopIfTrue="1" operator="equal">
      <formula>"Towel"</formula>
    </cfRule>
    <cfRule type="cellIs" dxfId="5550" priority="7164" stopIfTrue="1" operator="equal">
      <formula>"Napkin Hs"</formula>
    </cfRule>
  </conditionalFormatting>
  <conditionalFormatting sqref="C80">
    <cfRule type="cellIs" dxfId="5549" priority="7161" stopIfTrue="1" operator="equal">
      <formula>"Towel"</formula>
    </cfRule>
    <cfRule type="cellIs" dxfId="5548" priority="7162" stopIfTrue="1" operator="equal">
      <formula>"Napkin Hs"</formula>
    </cfRule>
  </conditionalFormatting>
  <conditionalFormatting sqref="C80">
    <cfRule type="cellIs" dxfId="5547" priority="7159" stopIfTrue="1" operator="equal">
      <formula>"Towel"</formula>
    </cfRule>
    <cfRule type="cellIs" dxfId="5546" priority="7160" stopIfTrue="1" operator="equal">
      <formula>"Napkin Hs"</formula>
    </cfRule>
  </conditionalFormatting>
  <conditionalFormatting sqref="C80">
    <cfRule type="cellIs" dxfId="5545" priority="7153" stopIfTrue="1" operator="equal">
      <formula>"Towel"</formula>
    </cfRule>
    <cfRule type="cellIs" dxfId="5544" priority="7154" stopIfTrue="1" operator="equal">
      <formula>"Napkin Hs"</formula>
    </cfRule>
  </conditionalFormatting>
  <conditionalFormatting sqref="C80">
    <cfRule type="cellIs" dxfId="5543" priority="7147" stopIfTrue="1" operator="equal">
      <formula>"Towel"</formula>
    </cfRule>
    <cfRule type="cellIs" dxfId="5542" priority="7148" stopIfTrue="1" operator="equal">
      <formula>"Napkin Hs"</formula>
    </cfRule>
  </conditionalFormatting>
  <conditionalFormatting sqref="C80">
    <cfRule type="cellIs" dxfId="5541" priority="7141" stopIfTrue="1" operator="equal">
      <formula>"Towel"</formula>
    </cfRule>
    <cfRule type="cellIs" dxfId="5540" priority="7142" stopIfTrue="1" operator="equal">
      <formula>"Napkin Hs"</formula>
    </cfRule>
  </conditionalFormatting>
  <conditionalFormatting sqref="C80">
    <cfRule type="cellIs" dxfId="5539" priority="7140" stopIfTrue="1" operator="equal">
      <formula>"Napkin Hs"</formula>
    </cfRule>
  </conditionalFormatting>
  <conditionalFormatting sqref="C80">
    <cfRule type="cellIs" dxfId="5538" priority="7139" stopIfTrue="1" operator="equal">
      <formula>"Towel"</formula>
    </cfRule>
  </conditionalFormatting>
  <conditionalFormatting sqref="C80">
    <cfRule type="cellIs" dxfId="5537" priority="7138" stopIfTrue="1" operator="equal">
      <formula>"Napkin Hs"</formula>
    </cfRule>
  </conditionalFormatting>
  <conditionalFormatting sqref="C80">
    <cfRule type="cellIs" dxfId="5536" priority="7137" stopIfTrue="1" operator="equal">
      <formula>"Towel"</formula>
    </cfRule>
  </conditionalFormatting>
  <conditionalFormatting sqref="C80">
    <cfRule type="cellIs" dxfId="5535" priority="7135" stopIfTrue="1" operator="equal">
      <formula>"Towel"</formula>
    </cfRule>
    <cfRule type="cellIs" dxfId="5534" priority="7136" stopIfTrue="1" operator="equal">
      <formula>"Napkin Hs"</formula>
    </cfRule>
  </conditionalFormatting>
  <conditionalFormatting sqref="C80">
    <cfRule type="cellIs" dxfId="5533" priority="7133" stopIfTrue="1" operator="equal">
      <formula>"Towel"</formula>
    </cfRule>
    <cfRule type="cellIs" dxfId="5532" priority="7134" stopIfTrue="1" operator="equal">
      <formula>"Napkin Hs"</formula>
    </cfRule>
  </conditionalFormatting>
  <conditionalFormatting sqref="C80">
    <cfRule type="cellIs" dxfId="5531" priority="7131" stopIfTrue="1" operator="equal">
      <formula>"Towel"</formula>
    </cfRule>
    <cfRule type="cellIs" dxfId="5530" priority="7132" stopIfTrue="1" operator="equal">
      <formula>"Napkin Hs"</formula>
    </cfRule>
  </conditionalFormatting>
  <conditionalFormatting sqref="C80">
    <cfRule type="cellIs" dxfId="5529" priority="7121" stopIfTrue="1" operator="equal">
      <formula>"Towel"</formula>
    </cfRule>
    <cfRule type="cellIs" dxfId="5528" priority="7122" stopIfTrue="1" operator="equal">
      <formula>"Napkin Hs"</formula>
    </cfRule>
  </conditionalFormatting>
  <conditionalFormatting sqref="C80">
    <cfRule type="cellIs" dxfId="5527" priority="7119" stopIfTrue="1" operator="equal">
      <formula>"Towel"</formula>
    </cfRule>
    <cfRule type="cellIs" dxfId="5526" priority="7120" stopIfTrue="1" operator="equal">
      <formula>"Napkin Hs"</formula>
    </cfRule>
  </conditionalFormatting>
  <conditionalFormatting sqref="C80">
    <cfRule type="cellIs" dxfId="5525" priority="7117" stopIfTrue="1" operator="equal">
      <formula>"Towel"</formula>
    </cfRule>
    <cfRule type="cellIs" dxfId="5524" priority="7118" stopIfTrue="1" operator="equal">
      <formula>"Napkin Hs"</formula>
    </cfRule>
  </conditionalFormatting>
  <conditionalFormatting sqref="C80">
    <cfRule type="cellIs" dxfId="5523" priority="7115" stopIfTrue="1" operator="equal">
      <formula>"Towel"</formula>
    </cfRule>
    <cfRule type="cellIs" dxfId="5522" priority="7116" stopIfTrue="1" operator="equal">
      <formula>"Napkin Hs"</formula>
    </cfRule>
  </conditionalFormatting>
  <conditionalFormatting sqref="C80">
    <cfRule type="cellIs" dxfId="5521" priority="7113" stopIfTrue="1" operator="equal">
      <formula>"Towel"</formula>
    </cfRule>
    <cfRule type="cellIs" dxfId="5520" priority="7114" stopIfTrue="1" operator="equal">
      <formula>"Napkin Hs"</formula>
    </cfRule>
  </conditionalFormatting>
  <conditionalFormatting sqref="C80">
    <cfRule type="cellIs" dxfId="5519" priority="7111" stopIfTrue="1" operator="equal">
      <formula>"Towel"</formula>
    </cfRule>
    <cfRule type="cellIs" dxfId="5518" priority="7112" stopIfTrue="1" operator="equal">
      <formula>"Napkin Hs"</formula>
    </cfRule>
  </conditionalFormatting>
  <conditionalFormatting sqref="C80">
    <cfRule type="cellIs" dxfId="5517" priority="7109" stopIfTrue="1" operator="equal">
      <formula>"Towel"</formula>
    </cfRule>
    <cfRule type="cellIs" dxfId="5516" priority="7110" stopIfTrue="1" operator="equal">
      <formula>"Napkin Hs"</formula>
    </cfRule>
  </conditionalFormatting>
  <conditionalFormatting sqref="C80">
    <cfRule type="cellIs" dxfId="5515" priority="7107" stopIfTrue="1" operator="equal">
      <formula>"Towel"</formula>
    </cfRule>
    <cfRule type="cellIs" dxfId="5514" priority="7108" stopIfTrue="1" operator="equal">
      <formula>"Napkin Hs"</formula>
    </cfRule>
  </conditionalFormatting>
  <conditionalFormatting sqref="C80">
    <cfRule type="cellIs" dxfId="5513" priority="7105" stopIfTrue="1" operator="equal">
      <formula>"Towel"</formula>
    </cfRule>
    <cfRule type="cellIs" dxfId="5512" priority="7106" stopIfTrue="1" operator="equal">
      <formula>"Napkin Hs"</formula>
    </cfRule>
  </conditionalFormatting>
  <conditionalFormatting sqref="C80">
    <cfRule type="cellIs" dxfId="5511" priority="7092" stopIfTrue="1" operator="equal">
      <formula>"Napkin Hs"</formula>
    </cfRule>
  </conditionalFormatting>
  <conditionalFormatting sqref="C80">
    <cfRule type="cellIs" dxfId="5510" priority="7091" stopIfTrue="1" operator="equal">
      <formula>"Towel"</formula>
    </cfRule>
  </conditionalFormatting>
  <conditionalFormatting sqref="C80">
    <cfRule type="cellIs" dxfId="5509" priority="7090" stopIfTrue="1" operator="equal">
      <formula>"Napkin Hs"</formula>
    </cfRule>
  </conditionalFormatting>
  <conditionalFormatting sqref="C80">
    <cfRule type="cellIs" dxfId="5508" priority="7087" stopIfTrue="1" operator="equal">
      <formula>"Towel"</formula>
    </cfRule>
    <cfRule type="cellIs" dxfId="5507" priority="7088" stopIfTrue="1" operator="equal">
      <formula>"Napkin Hs"</formula>
    </cfRule>
  </conditionalFormatting>
  <conditionalFormatting sqref="C80">
    <cfRule type="cellIs" dxfId="5506" priority="7089" stopIfTrue="1" operator="equal">
      <formula>"Towel"</formula>
    </cfRule>
  </conditionalFormatting>
  <conditionalFormatting sqref="C80">
    <cfRule type="cellIs" dxfId="5505" priority="7207" stopIfTrue="1" operator="equal">
      <formula>"Towel"</formula>
    </cfRule>
    <cfRule type="cellIs" dxfId="5504" priority="7208" stopIfTrue="1" operator="equal">
      <formula>"Napkin Hs"</formula>
    </cfRule>
  </conditionalFormatting>
  <conditionalFormatting sqref="C80">
    <cfRule type="cellIs" dxfId="5503" priority="7206" stopIfTrue="1" operator="equal">
      <formula>"Napkin Hs"</formula>
    </cfRule>
  </conditionalFormatting>
  <conditionalFormatting sqref="C80">
    <cfRule type="cellIs" dxfId="5502" priority="7205" stopIfTrue="1" operator="equal">
      <formula>"Towel"</formula>
    </cfRule>
  </conditionalFormatting>
  <conditionalFormatting sqref="C80">
    <cfRule type="cellIs" dxfId="5501" priority="7204" stopIfTrue="1" operator="equal">
      <formula>"Napkin Hs"</formula>
    </cfRule>
  </conditionalFormatting>
  <conditionalFormatting sqref="C80">
    <cfRule type="cellIs" dxfId="5500" priority="7201" stopIfTrue="1" operator="equal">
      <formula>"Towel"</formula>
    </cfRule>
    <cfRule type="cellIs" dxfId="5499" priority="7202" stopIfTrue="1" operator="equal">
      <formula>"Napkin Hs"</formula>
    </cfRule>
  </conditionalFormatting>
  <conditionalFormatting sqref="C80">
    <cfRule type="cellIs" dxfId="5498" priority="7203" stopIfTrue="1" operator="equal">
      <formula>"Towel"</formula>
    </cfRule>
  </conditionalFormatting>
  <conditionalFormatting sqref="C80">
    <cfRule type="cellIs" dxfId="5497" priority="7211" stopIfTrue="1" operator="equal">
      <formula>"Towel"</formula>
    </cfRule>
    <cfRule type="cellIs" dxfId="5496" priority="7212" stopIfTrue="1" operator="equal">
      <formula>"Napkin Hs"</formula>
    </cfRule>
  </conditionalFormatting>
  <conditionalFormatting sqref="C80">
    <cfRule type="cellIs" dxfId="5495" priority="7209" stopIfTrue="1" operator="equal">
      <formula>"Towel"</formula>
    </cfRule>
    <cfRule type="cellIs" dxfId="5494" priority="7210" stopIfTrue="1" operator="equal">
      <formula>"Napkin Hs"</formula>
    </cfRule>
  </conditionalFormatting>
  <conditionalFormatting sqref="C80">
    <cfRule type="cellIs" dxfId="5493" priority="7181" stopIfTrue="1" operator="equal">
      <formula>"Towel"</formula>
    </cfRule>
    <cfRule type="cellIs" dxfId="5492" priority="7182" stopIfTrue="1" operator="equal">
      <formula>"Napkin Hs"</formula>
    </cfRule>
  </conditionalFormatting>
  <conditionalFormatting sqref="C80">
    <cfRule type="cellIs" dxfId="5491" priority="7179" stopIfTrue="1" operator="equal">
      <formula>"Towel"</formula>
    </cfRule>
    <cfRule type="cellIs" dxfId="5490" priority="7180" stopIfTrue="1" operator="equal">
      <formula>"Napkin Hs"</formula>
    </cfRule>
  </conditionalFormatting>
  <conditionalFormatting sqref="C80">
    <cfRule type="cellIs" dxfId="5489" priority="7158" stopIfTrue="1" operator="equal">
      <formula>"Napkin Hs"</formula>
    </cfRule>
  </conditionalFormatting>
  <conditionalFormatting sqref="C80">
    <cfRule type="cellIs" dxfId="5488" priority="7157" stopIfTrue="1" operator="equal">
      <formula>"Towel"</formula>
    </cfRule>
  </conditionalFormatting>
  <conditionalFormatting sqref="C80">
    <cfRule type="cellIs" dxfId="5487" priority="7156" stopIfTrue="1" operator="equal">
      <formula>"Napkin Hs"</formula>
    </cfRule>
  </conditionalFormatting>
  <conditionalFormatting sqref="C80">
    <cfRule type="cellIs" dxfId="5486" priority="7155" stopIfTrue="1" operator="equal">
      <formula>"Towel"</formula>
    </cfRule>
  </conditionalFormatting>
  <conditionalFormatting sqref="C80">
    <cfRule type="cellIs" dxfId="5485" priority="7152" stopIfTrue="1" operator="equal">
      <formula>"Napkin Hs"</formula>
    </cfRule>
  </conditionalFormatting>
  <conditionalFormatting sqref="C80">
    <cfRule type="cellIs" dxfId="5484" priority="7151" stopIfTrue="1" operator="equal">
      <formula>"Towel"</formula>
    </cfRule>
  </conditionalFormatting>
  <conditionalFormatting sqref="C80">
    <cfRule type="cellIs" dxfId="5483" priority="7150" stopIfTrue="1" operator="equal">
      <formula>"Napkin Hs"</formula>
    </cfRule>
  </conditionalFormatting>
  <conditionalFormatting sqref="C80">
    <cfRule type="cellIs" dxfId="5482" priority="7149" stopIfTrue="1" operator="equal">
      <formula>"Towel"</formula>
    </cfRule>
  </conditionalFormatting>
  <conditionalFormatting sqref="C80">
    <cfRule type="cellIs" dxfId="5481" priority="7145" stopIfTrue="1" operator="equal">
      <formula>"Towel"</formula>
    </cfRule>
    <cfRule type="cellIs" dxfId="5480" priority="7146" stopIfTrue="1" operator="equal">
      <formula>"Napkin Hs"</formula>
    </cfRule>
  </conditionalFormatting>
  <conditionalFormatting sqref="C80">
    <cfRule type="cellIs" dxfId="5479" priority="7143" stopIfTrue="1" operator="equal">
      <formula>"Towel"</formula>
    </cfRule>
    <cfRule type="cellIs" dxfId="5478" priority="7144" stopIfTrue="1" operator="equal">
      <formula>"Napkin Hs"</formula>
    </cfRule>
  </conditionalFormatting>
  <conditionalFormatting sqref="C80">
    <cfRule type="cellIs" dxfId="5477" priority="7127" stopIfTrue="1" operator="equal">
      <formula>"Towel"</formula>
    </cfRule>
    <cfRule type="cellIs" dxfId="5476" priority="7128" stopIfTrue="1" operator="equal">
      <formula>"Napkin Hs"</formula>
    </cfRule>
  </conditionalFormatting>
  <conditionalFormatting sqref="C80">
    <cfRule type="cellIs" dxfId="5475" priority="7125" stopIfTrue="1" operator="equal">
      <formula>"Towel"</formula>
    </cfRule>
    <cfRule type="cellIs" dxfId="5474" priority="7126" stopIfTrue="1" operator="equal">
      <formula>"Napkin Hs"</formula>
    </cfRule>
  </conditionalFormatting>
  <conditionalFormatting sqref="B80:C80">
    <cfRule type="cellIs" dxfId="5473" priority="7086" stopIfTrue="1" operator="equal">
      <formula>"Napkin Hs"</formula>
    </cfRule>
  </conditionalFormatting>
  <conditionalFormatting sqref="B80:C80">
    <cfRule type="cellIs" dxfId="5472" priority="7085" stopIfTrue="1" operator="equal">
      <formula>"Towel"</formula>
    </cfRule>
  </conditionalFormatting>
  <conditionalFormatting sqref="C80">
    <cfRule type="cellIs" dxfId="5471" priority="7084" stopIfTrue="1" operator="equal">
      <formula>"Napkin Hs"</formula>
    </cfRule>
  </conditionalFormatting>
  <conditionalFormatting sqref="C80">
    <cfRule type="cellIs" dxfId="5470" priority="7081" stopIfTrue="1" operator="equal">
      <formula>"Towel"</formula>
    </cfRule>
    <cfRule type="cellIs" dxfId="5469" priority="7082" stopIfTrue="1" operator="equal">
      <formula>"Napkin Hs"</formula>
    </cfRule>
  </conditionalFormatting>
  <conditionalFormatting sqref="C80">
    <cfRule type="cellIs" dxfId="5468" priority="7083" stopIfTrue="1" operator="equal">
      <formula>"Towel"</formula>
    </cfRule>
  </conditionalFormatting>
  <conditionalFormatting sqref="B80:C80">
    <cfRule type="cellIs" dxfId="5467" priority="7080" stopIfTrue="1" operator="equal">
      <formula>"Napkin Hs"</formula>
    </cfRule>
  </conditionalFormatting>
  <conditionalFormatting sqref="B80:C80">
    <cfRule type="cellIs" dxfId="5466" priority="7079" stopIfTrue="1" operator="equal">
      <formula>"Towel"</formula>
    </cfRule>
  </conditionalFormatting>
  <conditionalFormatting sqref="C80">
    <cfRule type="cellIs" dxfId="5465" priority="7078" stopIfTrue="1" operator="equal">
      <formula>"Napkin Hs"</formula>
    </cfRule>
  </conditionalFormatting>
  <conditionalFormatting sqref="C80">
    <cfRule type="cellIs" dxfId="5464" priority="7077" stopIfTrue="1" operator="equal">
      <formula>"Towel"</formula>
    </cfRule>
  </conditionalFormatting>
  <conditionalFormatting sqref="B81:C81">
    <cfRule type="cellIs" dxfId="5463" priority="7071" stopIfTrue="1" operator="equal">
      <formula>"Towel"</formula>
    </cfRule>
    <cfRule type="cellIs" dxfId="5462" priority="7072" stopIfTrue="1" operator="equal">
      <formula>"Napkin Hs"</formula>
    </cfRule>
  </conditionalFormatting>
  <conditionalFormatting sqref="C81">
    <cfRule type="cellIs" dxfId="5461" priority="7067" stopIfTrue="1" operator="equal">
      <formula>"Towel"</formula>
    </cfRule>
    <cfRule type="cellIs" dxfId="5460" priority="7068" stopIfTrue="1" operator="equal">
      <formula>"Napkin Hs"</formula>
    </cfRule>
  </conditionalFormatting>
  <conditionalFormatting sqref="C81">
    <cfRule type="cellIs" dxfId="5459" priority="7069" stopIfTrue="1" operator="equal">
      <formula>"Towel"</formula>
    </cfRule>
    <cfRule type="cellIs" dxfId="5458" priority="7070" stopIfTrue="1" operator="equal">
      <formula>"Napkin Hs"</formula>
    </cfRule>
  </conditionalFormatting>
  <conditionalFormatting sqref="B81:C81">
    <cfRule type="cellIs" dxfId="5457" priority="7066" stopIfTrue="1" operator="equal">
      <formula>"Napkin Hs"</formula>
    </cfRule>
  </conditionalFormatting>
  <conditionalFormatting sqref="B81:C81">
    <cfRule type="cellIs" dxfId="5456" priority="7065" stopIfTrue="1" operator="equal">
      <formula>"Towel"</formula>
    </cfRule>
  </conditionalFormatting>
  <conditionalFormatting sqref="C81">
    <cfRule type="cellIs" dxfId="5455" priority="7064" stopIfTrue="1" operator="equal">
      <formula>"Napkin Hs"</formula>
    </cfRule>
  </conditionalFormatting>
  <conditionalFormatting sqref="C81">
    <cfRule type="cellIs" dxfId="5454" priority="7063" stopIfTrue="1" operator="equal">
      <formula>"Towel"</formula>
    </cfRule>
  </conditionalFormatting>
  <conditionalFormatting sqref="C81">
    <cfRule type="cellIs" dxfId="5453" priority="7061" stopIfTrue="1" operator="equal">
      <formula>"Towel"</formula>
    </cfRule>
    <cfRule type="cellIs" dxfId="5452" priority="7062" stopIfTrue="1" operator="equal">
      <formula>"Napkin Hs"</formula>
    </cfRule>
  </conditionalFormatting>
  <conditionalFormatting sqref="B81:C81">
    <cfRule type="cellIs" dxfId="5451" priority="7059" stopIfTrue="1" operator="equal">
      <formula>"Towel"</formula>
    </cfRule>
    <cfRule type="cellIs" dxfId="5450" priority="7060" stopIfTrue="1" operator="equal">
      <formula>"Napkin Hs"</formula>
    </cfRule>
  </conditionalFormatting>
  <conditionalFormatting sqref="C81">
    <cfRule type="cellIs" dxfId="5449" priority="7057" stopIfTrue="1" operator="equal">
      <formula>"Towel"</formula>
    </cfRule>
    <cfRule type="cellIs" dxfId="5448" priority="7058" stopIfTrue="1" operator="equal">
      <formula>"Napkin Hs"</formula>
    </cfRule>
  </conditionalFormatting>
  <conditionalFormatting sqref="C81">
    <cfRule type="cellIs" dxfId="5447" priority="7055" stopIfTrue="1" operator="equal">
      <formula>"Towel"</formula>
    </cfRule>
    <cfRule type="cellIs" dxfId="5446" priority="7056" stopIfTrue="1" operator="equal">
      <formula>"Napkin Hs"</formula>
    </cfRule>
  </conditionalFormatting>
  <conditionalFormatting sqref="B81:C81">
    <cfRule type="cellIs" dxfId="5445" priority="7053" stopIfTrue="1" operator="equal">
      <formula>"Towel"</formula>
    </cfRule>
    <cfRule type="cellIs" dxfId="5444" priority="7054" stopIfTrue="1" operator="equal">
      <formula>"Napkin Hs"</formula>
    </cfRule>
  </conditionalFormatting>
  <conditionalFormatting sqref="C81">
    <cfRule type="cellIs" dxfId="5443" priority="7051" stopIfTrue="1" operator="equal">
      <formula>"Towel"</formula>
    </cfRule>
    <cfRule type="cellIs" dxfId="5442" priority="7052" stopIfTrue="1" operator="equal">
      <formula>"Napkin Hs"</formula>
    </cfRule>
  </conditionalFormatting>
  <conditionalFormatting sqref="C81">
    <cfRule type="cellIs" dxfId="5441" priority="7049" stopIfTrue="1" operator="equal">
      <formula>"Towel"</formula>
    </cfRule>
    <cfRule type="cellIs" dxfId="5440" priority="7050" stopIfTrue="1" operator="equal">
      <formula>"Napkin Hs"</formula>
    </cfRule>
  </conditionalFormatting>
  <conditionalFormatting sqref="B81:C81">
    <cfRule type="cellIs" dxfId="5439" priority="7047" stopIfTrue="1" operator="equal">
      <formula>"Towel"</formula>
    </cfRule>
    <cfRule type="cellIs" dxfId="5438" priority="7048" stopIfTrue="1" operator="equal">
      <formula>"Napkin Hs"</formula>
    </cfRule>
  </conditionalFormatting>
  <conditionalFormatting sqref="C81">
    <cfRule type="cellIs" dxfId="5437" priority="7045" stopIfTrue="1" operator="equal">
      <formula>"Towel"</formula>
    </cfRule>
    <cfRule type="cellIs" dxfId="5436" priority="7046" stopIfTrue="1" operator="equal">
      <formula>"Napkin Hs"</formula>
    </cfRule>
  </conditionalFormatting>
  <conditionalFormatting sqref="C81">
    <cfRule type="cellIs" dxfId="5435" priority="7043" stopIfTrue="1" operator="equal">
      <formula>"Towel"</formula>
    </cfRule>
    <cfRule type="cellIs" dxfId="5434" priority="7044" stopIfTrue="1" operator="equal">
      <formula>"Napkin Hs"</formula>
    </cfRule>
  </conditionalFormatting>
  <conditionalFormatting sqref="B81:C81">
    <cfRule type="cellIs" dxfId="5433" priority="7041" stopIfTrue="1" operator="equal">
      <formula>"Towel"</formula>
    </cfRule>
    <cfRule type="cellIs" dxfId="5432" priority="7042" stopIfTrue="1" operator="equal">
      <formula>"Napkin Hs"</formula>
    </cfRule>
  </conditionalFormatting>
  <conditionalFormatting sqref="C81">
    <cfRule type="cellIs" dxfId="5431" priority="7039" stopIfTrue="1" operator="equal">
      <formula>"Towel"</formula>
    </cfRule>
    <cfRule type="cellIs" dxfId="5430" priority="7040" stopIfTrue="1" operator="equal">
      <formula>"Napkin Hs"</formula>
    </cfRule>
  </conditionalFormatting>
  <conditionalFormatting sqref="C81">
    <cfRule type="cellIs" dxfId="5429" priority="7037" stopIfTrue="1" operator="equal">
      <formula>"Towel"</formula>
    </cfRule>
    <cfRule type="cellIs" dxfId="5428" priority="7038" stopIfTrue="1" operator="equal">
      <formula>"Napkin Hs"</formula>
    </cfRule>
  </conditionalFormatting>
  <conditionalFormatting sqref="B81:C81">
    <cfRule type="cellIs" dxfId="5427" priority="7035" stopIfTrue="1" operator="equal">
      <formula>"Towel"</formula>
    </cfRule>
    <cfRule type="cellIs" dxfId="5426" priority="7036" stopIfTrue="1" operator="equal">
      <formula>"Napkin Hs"</formula>
    </cfRule>
  </conditionalFormatting>
  <conditionalFormatting sqref="C81">
    <cfRule type="cellIs" dxfId="5425" priority="7033" stopIfTrue="1" operator="equal">
      <formula>"Towel"</formula>
    </cfRule>
    <cfRule type="cellIs" dxfId="5424" priority="7034" stopIfTrue="1" operator="equal">
      <formula>"Napkin Hs"</formula>
    </cfRule>
  </conditionalFormatting>
  <conditionalFormatting sqref="C81">
    <cfRule type="cellIs" dxfId="5423" priority="7031" stopIfTrue="1" operator="equal">
      <formula>"Towel"</formula>
    </cfRule>
    <cfRule type="cellIs" dxfId="5422" priority="7032" stopIfTrue="1" operator="equal">
      <formula>"Napkin Hs"</formula>
    </cfRule>
  </conditionalFormatting>
  <conditionalFormatting sqref="B81:C81">
    <cfRule type="cellIs" dxfId="5421" priority="7030" stopIfTrue="1" operator="equal">
      <formula>"Napkin Hs"</formula>
    </cfRule>
  </conditionalFormatting>
  <conditionalFormatting sqref="B81:C81">
    <cfRule type="cellIs" dxfId="5420" priority="7029" stopIfTrue="1" operator="equal">
      <formula>"Towel"</formula>
    </cfRule>
  </conditionalFormatting>
  <conditionalFormatting sqref="C81">
    <cfRule type="cellIs" dxfId="5419" priority="7028" stopIfTrue="1" operator="equal">
      <formula>"Napkin Hs"</formula>
    </cfRule>
  </conditionalFormatting>
  <conditionalFormatting sqref="C81">
    <cfRule type="cellIs" dxfId="5418" priority="7025" stopIfTrue="1" operator="equal">
      <formula>"Towel"</formula>
    </cfRule>
    <cfRule type="cellIs" dxfId="5417" priority="7026" stopIfTrue="1" operator="equal">
      <formula>"Napkin Hs"</formula>
    </cfRule>
  </conditionalFormatting>
  <conditionalFormatting sqref="C81">
    <cfRule type="cellIs" dxfId="5416" priority="7027" stopIfTrue="1" operator="equal">
      <formula>"Towel"</formula>
    </cfRule>
  </conditionalFormatting>
  <conditionalFormatting sqref="B81:C81">
    <cfRule type="cellIs" dxfId="5415" priority="7023" stopIfTrue="1" operator="equal">
      <formula>"Towel"</formula>
    </cfRule>
    <cfRule type="cellIs" dxfId="5414" priority="7024" stopIfTrue="1" operator="equal">
      <formula>"Napkin Hs"</formula>
    </cfRule>
  </conditionalFormatting>
  <conditionalFormatting sqref="C81">
    <cfRule type="cellIs" dxfId="5413" priority="7019" stopIfTrue="1" operator="equal">
      <formula>"Towel"</formula>
    </cfRule>
    <cfRule type="cellIs" dxfId="5412" priority="7020" stopIfTrue="1" operator="equal">
      <formula>"Napkin Hs"</formula>
    </cfRule>
  </conditionalFormatting>
  <conditionalFormatting sqref="C81">
    <cfRule type="cellIs" dxfId="5411" priority="7021" stopIfTrue="1" operator="equal">
      <formula>"Towel"</formula>
    </cfRule>
    <cfRule type="cellIs" dxfId="5410" priority="7022" stopIfTrue="1" operator="equal">
      <formula>"Napkin Hs"</formula>
    </cfRule>
  </conditionalFormatting>
  <conditionalFormatting sqref="B81:C81">
    <cfRule type="cellIs" dxfId="5409" priority="7017" stopIfTrue="1" operator="equal">
      <formula>"Towel"</formula>
    </cfRule>
    <cfRule type="cellIs" dxfId="5408" priority="7018" stopIfTrue="1" operator="equal">
      <formula>"Napkin Hs"</formula>
    </cfRule>
  </conditionalFormatting>
  <conditionalFormatting sqref="C81">
    <cfRule type="cellIs" dxfId="5407" priority="7013" stopIfTrue="1" operator="equal">
      <formula>"Towel"</formula>
    </cfRule>
    <cfRule type="cellIs" dxfId="5406" priority="7014" stopIfTrue="1" operator="equal">
      <formula>"Napkin Hs"</formula>
    </cfRule>
  </conditionalFormatting>
  <conditionalFormatting sqref="C81">
    <cfRule type="cellIs" dxfId="5405" priority="7015" stopIfTrue="1" operator="equal">
      <formula>"Towel"</formula>
    </cfRule>
    <cfRule type="cellIs" dxfId="5404" priority="7016" stopIfTrue="1" operator="equal">
      <formula>"Napkin Hs"</formula>
    </cfRule>
  </conditionalFormatting>
  <conditionalFormatting sqref="B81:C81">
    <cfRule type="cellIs" dxfId="5403" priority="7011" stopIfTrue="1" operator="equal">
      <formula>"Towel"</formula>
    </cfRule>
    <cfRule type="cellIs" dxfId="5402" priority="7012" stopIfTrue="1" operator="equal">
      <formula>"Napkin Hs"</formula>
    </cfRule>
  </conditionalFormatting>
  <conditionalFormatting sqref="C81">
    <cfRule type="cellIs" dxfId="5401" priority="7009" stopIfTrue="1" operator="equal">
      <formula>"Towel"</formula>
    </cfRule>
    <cfRule type="cellIs" dxfId="5400" priority="7010" stopIfTrue="1" operator="equal">
      <formula>"Napkin Hs"</formula>
    </cfRule>
  </conditionalFormatting>
  <conditionalFormatting sqref="C81">
    <cfRule type="cellIs" dxfId="5399" priority="7007" stopIfTrue="1" operator="equal">
      <formula>"Towel"</formula>
    </cfRule>
    <cfRule type="cellIs" dxfId="5398" priority="7008" stopIfTrue="1" operator="equal">
      <formula>"Napkin Hs"</formula>
    </cfRule>
  </conditionalFormatting>
  <conditionalFormatting sqref="B81:C81">
    <cfRule type="cellIs" dxfId="5397" priority="7006" stopIfTrue="1" operator="equal">
      <formula>"Napkin Hs"</formula>
    </cfRule>
  </conditionalFormatting>
  <conditionalFormatting sqref="B81:C81">
    <cfRule type="cellIs" dxfId="5396" priority="7005" stopIfTrue="1" operator="equal">
      <formula>"Towel"</formula>
    </cfRule>
  </conditionalFormatting>
  <conditionalFormatting sqref="C81">
    <cfRule type="cellIs" dxfId="5395" priority="7004" stopIfTrue="1" operator="equal">
      <formula>"Napkin Hs"</formula>
    </cfRule>
  </conditionalFormatting>
  <conditionalFormatting sqref="C81">
    <cfRule type="cellIs" dxfId="5394" priority="7003" stopIfTrue="1" operator="equal">
      <formula>"Towel"</formula>
    </cfRule>
  </conditionalFormatting>
  <conditionalFormatting sqref="C81">
    <cfRule type="cellIs" dxfId="5393" priority="7001" stopIfTrue="1" operator="equal">
      <formula>"Towel"</formula>
    </cfRule>
    <cfRule type="cellIs" dxfId="5392" priority="7002" stopIfTrue="1" operator="equal">
      <formula>"Napkin Hs"</formula>
    </cfRule>
  </conditionalFormatting>
  <conditionalFormatting sqref="C81">
    <cfRule type="cellIs" dxfId="5391" priority="6999" stopIfTrue="1" operator="equal">
      <formula>"Towel"</formula>
    </cfRule>
    <cfRule type="cellIs" dxfId="5390" priority="7000" stopIfTrue="1" operator="equal">
      <formula>"Napkin Hs"</formula>
    </cfRule>
  </conditionalFormatting>
  <conditionalFormatting sqref="C81">
    <cfRule type="cellIs" dxfId="5389" priority="6915" stopIfTrue="1" operator="equal">
      <formula>"Towel"</formula>
    </cfRule>
    <cfRule type="cellIs" dxfId="5388" priority="6916" stopIfTrue="1" operator="equal">
      <formula>"Napkin Hs"</formula>
    </cfRule>
  </conditionalFormatting>
  <conditionalFormatting sqref="C81">
    <cfRule type="cellIs" dxfId="5387" priority="6909" stopIfTrue="1" operator="equal">
      <formula>"Towel"</formula>
    </cfRule>
    <cfRule type="cellIs" dxfId="5386" priority="6910" stopIfTrue="1" operator="equal">
      <formula>"Napkin Hs"</formula>
    </cfRule>
  </conditionalFormatting>
  <conditionalFormatting sqref="C81">
    <cfRule type="cellIs" dxfId="5385" priority="6890" stopIfTrue="1" operator="equal">
      <formula>"Napkin Hs"</formula>
    </cfRule>
  </conditionalFormatting>
  <conditionalFormatting sqref="C81">
    <cfRule type="cellIs" dxfId="5384" priority="6889" stopIfTrue="1" operator="equal">
      <formula>"Towel"</formula>
    </cfRule>
  </conditionalFormatting>
  <conditionalFormatting sqref="C81">
    <cfRule type="cellIs" dxfId="5383" priority="6888" stopIfTrue="1" operator="equal">
      <formula>"Napkin Hs"</formula>
    </cfRule>
  </conditionalFormatting>
  <conditionalFormatting sqref="C81">
    <cfRule type="cellIs" dxfId="5382" priority="6885" stopIfTrue="1" operator="equal">
      <formula>"Towel"</formula>
    </cfRule>
    <cfRule type="cellIs" dxfId="5381" priority="6886" stopIfTrue="1" operator="equal">
      <formula>"Napkin Hs"</formula>
    </cfRule>
  </conditionalFormatting>
  <conditionalFormatting sqref="C81">
    <cfRule type="cellIs" dxfId="5380" priority="6887" stopIfTrue="1" operator="equal">
      <formula>"Towel"</formula>
    </cfRule>
  </conditionalFormatting>
  <conditionalFormatting sqref="C81">
    <cfRule type="cellIs" dxfId="5379" priority="6884" stopIfTrue="1" operator="equal">
      <formula>"Napkin Hs"</formula>
    </cfRule>
  </conditionalFormatting>
  <conditionalFormatting sqref="C81">
    <cfRule type="cellIs" dxfId="5378" priority="6883" stopIfTrue="1" operator="equal">
      <formula>"Towel"</formula>
    </cfRule>
  </conditionalFormatting>
  <conditionalFormatting sqref="C81">
    <cfRule type="cellIs" dxfId="5377" priority="6882" stopIfTrue="1" operator="equal">
      <formula>"Napkin Hs"</formula>
    </cfRule>
  </conditionalFormatting>
  <conditionalFormatting sqref="C81">
    <cfRule type="cellIs" dxfId="5376" priority="6879" stopIfTrue="1" operator="equal">
      <formula>"Towel"</formula>
    </cfRule>
    <cfRule type="cellIs" dxfId="5375" priority="6880" stopIfTrue="1" operator="equal">
      <formula>"Napkin Hs"</formula>
    </cfRule>
  </conditionalFormatting>
  <conditionalFormatting sqref="C81">
    <cfRule type="cellIs" dxfId="5374" priority="6881" stopIfTrue="1" operator="equal">
      <formula>"Towel"</formula>
    </cfRule>
  </conditionalFormatting>
  <conditionalFormatting sqref="C81">
    <cfRule type="cellIs" dxfId="5373" priority="6985" stopIfTrue="1" operator="equal">
      <formula>"Towel"</formula>
    </cfRule>
    <cfRule type="cellIs" dxfId="5372" priority="6986" stopIfTrue="1" operator="equal">
      <formula>"Napkin Hs"</formula>
    </cfRule>
  </conditionalFormatting>
  <conditionalFormatting sqref="C81">
    <cfRule type="cellIs" dxfId="5371" priority="6983" stopIfTrue="1" operator="equal">
      <formula>"Towel"</formula>
    </cfRule>
    <cfRule type="cellIs" dxfId="5370" priority="6984" stopIfTrue="1" operator="equal">
      <formula>"Napkin Hs"</formula>
    </cfRule>
  </conditionalFormatting>
  <conditionalFormatting sqref="C81">
    <cfRule type="cellIs" dxfId="5369" priority="6981" stopIfTrue="1" operator="equal">
      <formula>"Towel"</formula>
    </cfRule>
    <cfRule type="cellIs" dxfId="5368" priority="6982" stopIfTrue="1" operator="equal">
      <formula>"Napkin Hs"</formula>
    </cfRule>
  </conditionalFormatting>
  <conditionalFormatting sqref="C81">
    <cfRule type="cellIs" dxfId="5367" priority="6980" stopIfTrue="1" operator="equal">
      <formula>"Napkin Hs"</formula>
    </cfRule>
  </conditionalFormatting>
  <conditionalFormatting sqref="C81">
    <cfRule type="cellIs" dxfId="5366" priority="6979" stopIfTrue="1" operator="equal">
      <formula>"Towel"</formula>
    </cfRule>
  </conditionalFormatting>
  <conditionalFormatting sqref="C81">
    <cfRule type="cellIs" dxfId="5365" priority="6978" stopIfTrue="1" operator="equal">
      <formula>"Napkin Hs"</formula>
    </cfRule>
  </conditionalFormatting>
  <conditionalFormatting sqref="C81">
    <cfRule type="cellIs" dxfId="5364" priority="6977" stopIfTrue="1" operator="equal">
      <formula>"Towel"</formula>
    </cfRule>
  </conditionalFormatting>
  <conditionalFormatting sqref="C81">
    <cfRule type="cellIs" dxfId="5363" priority="6975" stopIfTrue="1" operator="equal">
      <formula>"Towel"</formula>
    </cfRule>
    <cfRule type="cellIs" dxfId="5362" priority="6976" stopIfTrue="1" operator="equal">
      <formula>"Napkin Hs"</formula>
    </cfRule>
  </conditionalFormatting>
  <conditionalFormatting sqref="C81">
    <cfRule type="cellIs" dxfId="5361" priority="6973" stopIfTrue="1" operator="equal">
      <formula>"Towel"</formula>
    </cfRule>
    <cfRule type="cellIs" dxfId="5360" priority="6974" stopIfTrue="1" operator="equal">
      <formula>"Napkin Hs"</formula>
    </cfRule>
  </conditionalFormatting>
  <conditionalFormatting sqref="C81">
    <cfRule type="cellIs" dxfId="5359" priority="6969" stopIfTrue="1" operator="equal">
      <formula>"Towel"</formula>
    </cfRule>
    <cfRule type="cellIs" dxfId="5358" priority="6970" stopIfTrue="1" operator="equal">
      <formula>"Napkin Hs"</formula>
    </cfRule>
  </conditionalFormatting>
  <conditionalFormatting sqref="C81">
    <cfRule type="cellIs" dxfId="5357" priority="6971" stopIfTrue="1" operator="equal">
      <formula>"Towel"</formula>
    </cfRule>
    <cfRule type="cellIs" dxfId="5356" priority="6972" stopIfTrue="1" operator="equal">
      <formula>"Napkin Hs"</formula>
    </cfRule>
  </conditionalFormatting>
  <conditionalFormatting sqref="C81">
    <cfRule type="cellIs" dxfId="5355" priority="6963" stopIfTrue="1" operator="equal">
      <formula>"Towel"</formula>
    </cfRule>
    <cfRule type="cellIs" dxfId="5354" priority="6964" stopIfTrue="1" operator="equal">
      <formula>"Napkin Hs"</formula>
    </cfRule>
  </conditionalFormatting>
  <conditionalFormatting sqref="C81">
    <cfRule type="cellIs" dxfId="5353" priority="6961" stopIfTrue="1" operator="equal">
      <formula>"Towel"</formula>
    </cfRule>
    <cfRule type="cellIs" dxfId="5352" priority="6962" stopIfTrue="1" operator="equal">
      <formula>"Napkin Hs"</formula>
    </cfRule>
  </conditionalFormatting>
  <conditionalFormatting sqref="C81">
    <cfRule type="cellIs" dxfId="5351" priority="6959" stopIfTrue="1" operator="equal">
      <formula>"Towel"</formula>
    </cfRule>
    <cfRule type="cellIs" dxfId="5350" priority="6960" stopIfTrue="1" operator="equal">
      <formula>"Napkin Hs"</formula>
    </cfRule>
  </conditionalFormatting>
  <conditionalFormatting sqref="C81">
    <cfRule type="cellIs" dxfId="5349" priority="6957" stopIfTrue="1" operator="equal">
      <formula>"Towel"</formula>
    </cfRule>
    <cfRule type="cellIs" dxfId="5348" priority="6958" stopIfTrue="1" operator="equal">
      <formula>"Napkin Hs"</formula>
    </cfRule>
  </conditionalFormatting>
  <conditionalFormatting sqref="C81">
    <cfRule type="cellIs" dxfId="5347" priority="6955" stopIfTrue="1" operator="equal">
      <formula>"Towel"</formula>
    </cfRule>
    <cfRule type="cellIs" dxfId="5346" priority="6956" stopIfTrue="1" operator="equal">
      <formula>"Napkin Hs"</formula>
    </cfRule>
  </conditionalFormatting>
  <conditionalFormatting sqref="C81">
    <cfRule type="cellIs" dxfId="5345" priority="6953" stopIfTrue="1" operator="equal">
      <formula>"Towel"</formula>
    </cfRule>
    <cfRule type="cellIs" dxfId="5344" priority="6954" stopIfTrue="1" operator="equal">
      <formula>"Napkin Hs"</formula>
    </cfRule>
  </conditionalFormatting>
  <conditionalFormatting sqref="C81">
    <cfRule type="cellIs" dxfId="5343" priority="6951" stopIfTrue="1" operator="equal">
      <formula>"Towel"</formula>
    </cfRule>
    <cfRule type="cellIs" dxfId="5342" priority="6952" stopIfTrue="1" operator="equal">
      <formula>"Napkin Hs"</formula>
    </cfRule>
  </conditionalFormatting>
  <conditionalFormatting sqref="C81">
    <cfRule type="cellIs" dxfId="5341" priority="6949" stopIfTrue="1" operator="equal">
      <formula>"Towel"</formula>
    </cfRule>
    <cfRule type="cellIs" dxfId="5340" priority="6950" stopIfTrue="1" operator="equal">
      <formula>"Napkin Hs"</formula>
    </cfRule>
  </conditionalFormatting>
  <conditionalFormatting sqref="C81">
    <cfRule type="cellIs" dxfId="5339" priority="6947" stopIfTrue="1" operator="equal">
      <formula>"Towel"</formula>
    </cfRule>
    <cfRule type="cellIs" dxfId="5338" priority="6948" stopIfTrue="1" operator="equal">
      <formula>"Napkin Hs"</formula>
    </cfRule>
  </conditionalFormatting>
  <conditionalFormatting sqref="C81">
    <cfRule type="cellIs" dxfId="5337" priority="6945" stopIfTrue="1" operator="equal">
      <formula>"Towel"</formula>
    </cfRule>
    <cfRule type="cellIs" dxfId="5336" priority="6946" stopIfTrue="1" operator="equal">
      <formula>"Napkin Hs"</formula>
    </cfRule>
  </conditionalFormatting>
  <conditionalFormatting sqref="C81">
    <cfRule type="cellIs" dxfId="5335" priority="6939" stopIfTrue="1" operator="equal">
      <formula>"Towel"</formula>
    </cfRule>
    <cfRule type="cellIs" dxfId="5334" priority="6940" stopIfTrue="1" operator="equal">
      <formula>"Napkin Hs"</formula>
    </cfRule>
  </conditionalFormatting>
  <conditionalFormatting sqref="C81">
    <cfRule type="cellIs" dxfId="5333" priority="6933" stopIfTrue="1" operator="equal">
      <formula>"Towel"</formula>
    </cfRule>
    <cfRule type="cellIs" dxfId="5332" priority="6934" stopIfTrue="1" operator="equal">
      <formula>"Napkin Hs"</formula>
    </cfRule>
  </conditionalFormatting>
  <conditionalFormatting sqref="C81">
    <cfRule type="cellIs" dxfId="5331" priority="6927" stopIfTrue="1" operator="equal">
      <formula>"Towel"</formula>
    </cfRule>
    <cfRule type="cellIs" dxfId="5330" priority="6928" stopIfTrue="1" operator="equal">
      <formula>"Napkin Hs"</formula>
    </cfRule>
  </conditionalFormatting>
  <conditionalFormatting sqref="C81">
    <cfRule type="cellIs" dxfId="5329" priority="6926" stopIfTrue="1" operator="equal">
      <formula>"Napkin Hs"</formula>
    </cfRule>
  </conditionalFormatting>
  <conditionalFormatting sqref="C81">
    <cfRule type="cellIs" dxfId="5328" priority="6925" stopIfTrue="1" operator="equal">
      <formula>"Towel"</formula>
    </cfRule>
  </conditionalFormatting>
  <conditionalFormatting sqref="C81">
    <cfRule type="cellIs" dxfId="5327" priority="6924" stopIfTrue="1" operator="equal">
      <formula>"Napkin Hs"</formula>
    </cfRule>
  </conditionalFormatting>
  <conditionalFormatting sqref="C81">
    <cfRule type="cellIs" dxfId="5326" priority="6923" stopIfTrue="1" operator="equal">
      <formula>"Towel"</formula>
    </cfRule>
  </conditionalFormatting>
  <conditionalFormatting sqref="C81">
    <cfRule type="cellIs" dxfId="5325" priority="6921" stopIfTrue="1" operator="equal">
      <formula>"Towel"</formula>
    </cfRule>
    <cfRule type="cellIs" dxfId="5324" priority="6922" stopIfTrue="1" operator="equal">
      <formula>"Napkin Hs"</formula>
    </cfRule>
  </conditionalFormatting>
  <conditionalFormatting sqref="C81">
    <cfRule type="cellIs" dxfId="5323" priority="6919" stopIfTrue="1" operator="equal">
      <formula>"Towel"</formula>
    </cfRule>
    <cfRule type="cellIs" dxfId="5322" priority="6920" stopIfTrue="1" operator="equal">
      <formula>"Napkin Hs"</formula>
    </cfRule>
  </conditionalFormatting>
  <conditionalFormatting sqref="C81">
    <cfRule type="cellIs" dxfId="5321" priority="6917" stopIfTrue="1" operator="equal">
      <formula>"Towel"</formula>
    </cfRule>
    <cfRule type="cellIs" dxfId="5320" priority="6918" stopIfTrue="1" operator="equal">
      <formula>"Napkin Hs"</formula>
    </cfRule>
  </conditionalFormatting>
  <conditionalFormatting sqref="C81">
    <cfRule type="cellIs" dxfId="5319" priority="6907" stopIfTrue="1" operator="equal">
      <formula>"Towel"</formula>
    </cfRule>
    <cfRule type="cellIs" dxfId="5318" priority="6908" stopIfTrue="1" operator="equal">
      <formula>"Napkin Hs"</formula>
    </cfRule>
  </conditionalFormatting>
  <conditionalFormatting sqref="C81">
    <cfRule type="cellIs" dxfId="5317" priority="6905" stopIfTrue="1" operator="equal">
      <formula>"Towel"</formula>
    </cfRule>
    <cfRule type="cellIs" dxfId="5316" priority="6906" stopIfTrue="1" operator="equal">
      <formula>"Napkin Hs"</formula>
    </cfRule>
  </conditionalFormatting>
  <conditionalFormatting sqref="C81">
    <cfRule type="cellIs" dxfId="5315" priority="6903" stopIfTrue="1" operator="equal">
      <formula>"Towel"</formula>
    </cfRule>
    <cfRule type="cellIs" dxfId="5314" priority="6904" stopIfTrue="1" operator="equal">
      <formula>"Napkin Hs"</formula>
    </cfRule>
  </conditionalFormatting>
  <conditionalFormatting sqref="C81">
    <cfRule type="cellIs" dxfId="5313" priority="6901" stopIfTrue="1" operator="equal">
      <formula>"Towel"</formula>
    </cfRule>
    <cfRule type="cellIs" dxfId="5312" priority="6902" stopIfTrue="1" operator="equal">
      <formula>"Napkin Hs"</formula>
    </cfRule>
  </conditionalFormatting>
  <conditionalFormatting sqref="C81">
    <cfRule type="cellIs" dxfId="5311" priority="6899" stopIfTrue="1" operator="equal">
      <formula>"Towel"</formula>
    </cfRule>
    <cfRule type="cellIs" dxfId="5310" priority="6900" stopIfTrue="1" operator="equal">
      <formula>"Napkin Hs"</formula>
    </cfRule>
  </conditionalFormatting>
  <conditionalFormatting sqref="C81">
    <cfRule type="cellIs" dxfId="5309" priority="6897" stopIfTrue="1" operator="equal">
      <formula>"Towel"</formula>
    </cfRule>
    <cfRule type="cellIs" dxfId="5308" priority="6898" stopIfTrue="1" operator="equal">
      <formula>"Napkin Hs"</formula>
    </cfRule>
  </conditionalFormatting>
  <conditionalFormatting sqref="C81">
    <cfRule type="cellIs" dxfId="5307" priority="6895" stopIfTrue="1" operator="equal">
      <formula>"Towel"</formula>
    </cfRule>
    <cfRule type="cellIs" dxfId="5306" priority="6896" stopIfTrue="1" operator="equal">
      <formula>"Napkin Hs"</formula>
    </cfRule>
  </conditionalFormatting>
  <conditionalFormatting sqref="C81">
    <cfRule type="cellIs" dxfId="5305" priority="6893" stopIfTrue="1" operator="equal">
      <formula>"Towel"</formula>
    </cfRule>
    <cfRule type="cellIs" dxfId="5304" priority="6894" stopIfTrue="1" operator="equal">
      <formula>"Napkin Hs"</formula>
    </cfRule>
  </conditionalFormatting>
  <conditionalFormatting sqref="C81">
    <cfRule type="cellIs" dxfId="5303" priority="6891" stopIfTrue="1" operator="equal">
      <formula>"Towel"</formula>
    </cfRule>
    <cfRule type="cellIs" dxfId="5302" priority="6892" stopIfTrue="1" operator="equal">
      <formula>"Napkin Hs"</formula>
    </cfRule>
  </conditionalFormatting>
  <conditionalFormatting sqref="C81">
    <cfRule type="cellIs" dxfId="5301" priority="6878" stopIfTrue="1" operator="equal">
      <formula>"Napkin Hs"</formula>
    </cfRule>
  </conditionalFormatting>
  <conditionalFormatting sqref="C81">
    <cfRule type="cellIs" dxfId="5300" priority="6877" stopIfTrue="1" operator="equal">
      <formula>"Towel"</formula>
    </cfRule>
  </conditionalFormatting>
  <conditionalFormatting sqref="C81">
    <cfRule type="cellIs" dxfId="5299" priority="6876" stopIfTrue="1" operator="equal">
      <formula>"Napkin Hs"</formula>
    </cfRule>
  </conditionalFormatting>
  <conditionalFormatting sqref="C81">
    <cfRule type="cellIs" dxfId="5298" priority="6873" stopIfTrue="1" operator="equal">
      <formula>"Towel"</formula>
    </cfRule>
    <cfRule type="cellIs" dxfId="5297" priority="6874" stopIfTrue="1" operator="equal">
      <formula>"Napkin Hs"</formula>
    </cfRule>
  </conditionalFormatting>
  <conditionalFormatting sqref="C81">
    <cfRule type="cellIs" dxfId="5296" priority="6875" stopIfTrue="1" operator="equal">
      <formula>"Towel"</formula>
    </cfRule>
  </conditionalFormatting>
  <conditionalFormatting sqref="C81">
    <cfRule type="cellIs" dxfId="5295" priority="6993" stopIfTrue="1" operator="equal">
      <formula>"Towel"</formula>
    </cfRule>
    <cfRule type="cellIs" dxfId="5294" priority="6994" stopIfTrue="1" operator="equal">
      <formula>"Napkin Hs"</formula>
    </cfRule>
  </conditionalFormatting>
  <conditionalFormatting sqref="C81">
    <cfRule type="cellIs" dxfId="5293" priority="6992" stopIfTrue="1" operator="equal">
      <formula>"Napkin Hs"</formula>
    </cfRule>
  </conditionalFormatting>
  <conditionalFormatting sqref="C81">
    <cfRule type="cellIs" dxfId="5292" priority="6991" stopIfTrue="1" operator="equal">
      <formula>"Towel"</formula>
    </cfRule>
  </conditionalFormatting>
  <conditionalFormatting sqref="C81">
    <cfRule type="cellIs" dxfId="5291" priority="6990" stopIfTrue="1" operator="equal">
      <formula>"Napkin Hs"</formula>
    </cfRule>
  </conditionalFormatting>
  <conditionalFormatting sqref="C81">
    <cfRule type="cellIs" dxfId="5290" priority="6987" stopIfTrue="1" operator="equal">
      <formula>"Towel"</formula>
    </cfRule>
    <cfRule type="cellIs" dxfId="5289" priority="6988" stopIfTrue="1" operator="equal">
      <formula>"Napkin Hs"</formula>
    </cfRule>
  </conditionalFormatting>
  <conditionalFormatting sqref="C81">
    <cfRule type="cellIs" dxfId="5288" priority="6989" stopIfTrue="1" operator="equal">
      <formula>"Towel"</formula>
    </cfRule>
  </conditionalFormatting>
  <conditionalFormatting sqref="C81">
    <cfRule type="cellIs" dxfId="5287" priority="6997" stopIfTrue="1" operator="equal">
      <formula>"Towel"</formula>
    </cfRule>
    <cfRule type="cellIs" dxfId="5286" priority="6998" stopIfTrue="1" operator="equal">
      <formula>"Napkin Hs"</formula>
    </cfRule>
  </conditionalFormatting>
  <conditionalFormatting sqref="C81">
    <cfRule type="cellIs" dxfId="5285" priority="6995" stopIfTrue="1" operator="equal">
      <formula>"Towel"</formula>
    </cfRule>
    <cfRule type="cellIs" dxfId="5284" priority="6996" stopIfTrue="1" operator="equal">
      <formula>"Napkin Hs"</formula>
    </cfRule>
  </conditionalFormatting>
  <conditionalFormatting sqref="C81">
    <cfRule type="cellIs" dxfId="5283" priority="6967" stopIfTrue="1" operator="equal">
      <formula>"Towel"</formula>
    </cfRule>
    <cfRule type="cellIs" dxfId="5282" priority="6968" stopIfTrue="1" operator="equal">
      <formula>"Napkin Hs"</formula>
    </cfRule>
  </conditionalFormatting>
  <conditionalFormatting sqref="C81">
    <cfRule type="cellIs" dxfId="5281" priority="6965" stopIfTrue="1" operator="equal">
      <formula>"Towel"</formula>
    </cfRule>
    <cfRule type="cellIs" dxfId="5280" priority="6966" stopIfTrue="1" operator="equal">
      <formula>"Napkin Hs"</formula>
    </cfRule>
  </conditionalFormatting>
  <conditionalFormatting sqref="C81">
    <cfRule type="cellIs" dxfId="5279" priority="6944" stopIfTrue="1" operator="equal">
      <formula>"Napkin Hs"</formula>
    </cfRule>
  </conditionalFormatting>
  <conditionalFormatting sqref="C81">
    <cfRule type="cellIs" dxfId="5278" priority="6943" stopIfTrue="1" operator="equal">
      <formula>"Towel"</formula>
    </cfRule>
  </conditionalFormatting>
  <conditionalFormatting sqref="C81">
    <cfRule type="cellIs" dxfId="5277" priority="6942" stopIfTrue="1" operator="equal">
      <formula>"Napkin Hs"</formula>
    </cfRule>
  </conditionalFormatting>
  <conditionalFormatting sqref="C81">
    <cfRule type="cellIs" dxfId="5276" priority="6941" stopIfTrue="1" operator="equal">
      <formula>"Towel"</formula>
    </cfRule>
  </conditionalFormatting>
  <conditionalFormatting sqref="C81">
    <cfRule type="cellIs" dxfId="5275" priority="6938" stopIfTrue="1" operator="equal">
      <formula>"Napkin Hs"</formula>
    </cfRule>
  </conditionalFormatting>
  <conditionalFormatting sqref="C81">
    <cfRule type="cellIs" dxfId="5274" priority="6937" stopIfTrue="1" operator="equal">
      <formula>"Towel"</formula>
    </cfRule>
  </conditionalFormatting>
  <conditionalFormatting sqref="C81">
    <cfRule type="cellIs" dxfId="5273" priority="6936" stopIfTrue="1" operator="equal">
      <formula>"Napkin Hs"</formula>
    </cfRule>
  </conditionalFormatting>
  <conditionalFormatting sqref="C81">
    <cfRule type="cellIs" dxfId="5272" priority="6935" stopIfTrue="1" operator="equal">
      <formula>"Towel"</formula>
    </cfRule>
  </conditionalFormatting>
  <conditionalFormatting sqref="C81">
    <cfRule type="cellIs" dxfId="5271" priority="6931" stopIfTrue="1" operator="equal">
      <formula>"Towel"</formula>
    </cfRule>
    <cfRule type="cellIs" dxfId="5270" priority="6932" stopIfTrue="1" operator="equal">
      <formula>"Napkin Hs"</formula>
    </cfRule>
  </conditionalFormatting>
  <conditionalFormatting sqref="C81">
    <cfRule type="cellIs" dxfId="5269" priority="6929" stopIfTrue="1" operator="equal">
      <formula>"Towel"</formula>
    </cfRule>
    <cfRule type="cellIs" dxfId="5268" priority="6930" stopIfTrue="1" operator="equal">
      <formula>"Napkin Hs"</formula>
    </cfRule>
  </conditionalFormatting>
  <conditionalFormatting sqref="C81">
    <cfRule type="cellIs" dxfId="5267" priority="6913" stopIfTrue="1" operator="equal">
      <formula>"Towel"</formula>
    </cfRule>
    <cfRule type="cellIs" dxfId="5266" priority="6914" stopIfTrue="1" operator="equal">
      <formula>"Napkin Hs"</formula>
    </cfRule>
  </conditionalFormatting>
  <conditionalFormatting sqref="C81">
    <cfRule type="cellIs" dxfId="5265" priority="6911" stopIfTrue="1" operator="equal">
      <formula>"Towel"</formula>
    </cfRule>
    <cfRule type="cellIs" dxfId="5264" priority="6912" stopIfTrue="1" operator="equal">
      <formula>"Napkin Hs"</formula>
    </cfRule>
  </conditionalFormatting>
  <conditionalFormatting sqref="B81:C81">
    <cfRule type="cellIs" dxfId="5263" priority="6872" stopIfTrue="1" operator="equal">
      <formula>"Napkin Hs"</formula>
    </cfRule>
  </conditionalFormatting>
  <conditionalFormatting sqref="B81:C81">
    <cfRule type="cellIs" dxfId="5262" priority="6871" stopIfTrue="1" operator="equal">
      <formula>"Towel"</formula>
    </cfRule>
  </conditionalFormatting>
  <conditionalFormatting sqref="C81">
    <cfRule type="cellIs" dxfId="5261" priority="6870" stopIfTrue="1" operator="equal">
      <formula>"Napkin Hs"</formula>
    </cfRule>
  </conditionalFormatting>
  <conditionalFormatting sqref="C81">
    <cfRule type="cellIs" dxfId="5260" priority="6867" stopIfTrue="1" operator="equal">
      <formula>"Towel"</formula>
    </cfRule>
    <cfRule type="cellIs" dxfId="5259" priority="6868" stopIfTrue="1" operator="equal">
      <formula>"Napkin Hs"</formula>
    </cfRule>
  </conditionalFormatting>
  <conditionalFormatting sqref="C81">
    <cfRule type="cellIs" dxfId="5258" priority="6869" stopIfTrue="1" operator="equal">
      <formula>"Towel"</formula>
    </cfRule>
  </conditionalFormatting>
  <conditionalFormatting sqref="B78:C78">
    <cfRule type="cellIs" dxfId="5257" priority="6727" stopIfTrue="1" operator="equal">
      <formula>"Towel"</formula>
    </cfRule>
    <cfRule type="cellIs" dxfId="5256" priority="6728" stopIfTrue="1" operator="equal">
      <formula>"Napkin Hs"</formula>
    </cfRule>
  </conditionalFormatting>
  <conditionalFormatting sqref="C78">
    <cfRule type="cellIs" dxfId="5255" priority="6723" stopIfTrue="1" operator="equal">
      <formula>"Towel"</formula>
    </cfRule>
    <cfRule type="cellIs" dxfId="5254" priority="6724" stopIfTrue="1" operator="equal">
      <formula>"Napkin Hs"</formula>
    </cfRule>
  </conditionalFormatting>
  <conditionalFormatting sqref="C78">
    <cfRule type="cellIs" dxfId="5253" priority="6725" stopIfTrue="1" operator="equal">
      <formula>"Towel"</formula>
    </cfRule>
    <cfRule type="cellIs" dxfId="5252" priority="6726" stopIfTrue="1" operator="equal">
      <formula>"Napkin Hs"</formula>
    </cfRule>
  </conditionalFormatting>
  <conditionalFormatting sqref="B78:C78">
    <cfRule type="cellIs" dxfId="5251" priority="6721" stopIfTrue="1" operator="equal">
      <formula>"Towel"</formula>
    </cfRule>
    <cfRule type="cellIs" dxfId="5250" priority="6722" stopIfTrue="1" operator="equal">
      <formula>"Napkin Hs"</formula>
    </cfRule>
  </conditionalFormatting>
  <conditionalFormatting sqref="C78">
    <cfRule type="cellIs" dxfId="5249" priority="6717" stopIfTrue="1" operator="equal">
      <formula>"Towel"</formula>
    </cfRule>
    <cfRule type="cellIs" dxfId="5248" priority="6718" stopIfTrue="1" operator="equal">
      <formula>"Napkin Hs"</formula>
    </cfRule>
  </conditionalFormatting>
  <conditionalFormatting sqref="C78">
    <cfRule type="cellIs" dxfId="5247" priority="6719" stopIfTrue="1" operator="equal">
      <formula>"Towel"</formula>
    </cfRule>
    <cfRule type="cellIs" dxfId="5246" priority="6720" stopIfTrue="1" operator="equal">
      <formula>"Napkin Hs"</formula>
    </cfRule>
  </conditionalFormatting>
  <conditionalFormatting sqref="B78:C78">
    <cfRule type="cellIs" dxfId="5245" priority="6715" stopIfTrue="1" operator="equal">
      <formula>"Towel"</formula>
    </cfRule>
    <cfRule type="cellIs" dxfId="5244" priority="6716" stopIfTrue="1" operator="equal">
      <formula>"Napkin Hs"</formula>
    </cfRule>
  </conditionalFormatting>
  <conditionalFormatting sqref="C78">
    <cfRule type="cellIs" dxfId="5243" priority="6713" stopIfTrue="1" operator="equal">
      <formula>"Towel"</formula>
    </cfRule>
    <cfRule type="cellIs" dxfId="5242" priority="6714" stopIfTrue="1" operator="equal">
      <formula>"Napkin Hs"</formula>
    </cfRule>
  </conditionalFormatting>
  <conditionalFormatting sqref="C78">
    <cfRule type="cellIs" dxfId="5241" priority="6711" stopIfTrue="1" operator="equal">
      <formula>"Towel"</formula>
    </cfRule>
    <cfRule type="cellIs" dxfId="5240" priority="6712" stopIfTrue="1" operator="equal">
      <formula>"Napkin Hs"</formula>
    </cfRule>
  </conditionalFormatting>
  <conditionalFormatting sqref="B78:C78">
    <cfRule type="cellIs" dxfId="5239" priority="6709" stopIfTrue="1" operator="equal">
      <formula>"Towel"</formula>
    </cfRule>
    <cfRule type="cellIs" dxfId="5238" priority="6710" stopIfTrue="1" operator="equal">
      <formula>"Napkin Hs"</formula>
    </cfRule>
  </conditionalFormatting>
  <conditionalFormatting sqref="C78">
    <cfRule type="cellIs" dxfId="5237" priority="6707" stopIfTrue="1" operator="equal">
      <formula>"Towel"</formula>
    </cfRule>
    <cfRule type="cellIs" dxfId="5236" priority="6708" stopIfTrue="1" operator="equal">
      <formula>"Napkin Hs"</formula>
    </cfRule>
  </conditionalFormatting>
  <conditionalFormatting sqref="C78">
    <cfRule type="cellIs" dxfId="5235" priority="6705" stopIfTrue="1" operator="equal">
      <formula>"Towel"</formula>
    </cfRule>
    <cfRule type="cellIs" dxfId="5234" priority="6706" stopIfTrue="1" operator="equal">
      <formula>"Napkin Hs"</formula>
    </cfRule>
  </conditionalFormatting>
  <conditionalFormatting sqref="B78:C78">
    <cfRule type="cellIs" dxfId="5233" priority="6703" stopIfTrue="1" operator="equal">
      <formula>"Towel"</formula>
    </cfRule>
    <cfRule type="cellIs" dxfId="5232" priority="6704" stopIfTrue="1" operator="equal">
      <formula>"Napkin Hs"</formula>
    </cfRule>
  </conditionalFormatting>
  <conditionalFormatting sqref="C78">
    <cfRule type="cellIs" dxfId="5231" priority="6701" stopIfTrue="1" operator="equal">
      <formula>"Towel"</formula>
    </cfRule>
    <cfRule type="cellIs" dxfId="5230" priority="6702" stopIfTrue="1" operator="equal">
      <formula>"Napkin Hs"</formula>
    </cfRule>
  </conditionalFormatting>
  <conditionalFormatting sqref="C78">
    <cfRule type="cellIs" dxfId="5229" priority="6699" stopIfTrue="1" operator="equal">
      <formula>"Towel"</formula>
    </cfRule>
    <cfRule type="cellIs" dxfId="5228" priority="6700" stopIfTrue="1" operator="equal">
      <formula>"Napkin Hs"</formula>
    </cfRule>
  </conditionalFormatting>
  <conditionalFormatting sqref="B78:C78">
    <cfRule type="cellIs" dxfId="5227" priority="6698" stopIfTrue="1" operator="equal">
      <formula>"Napkin Hs"</formula>
    </cfRule>
  </conditionalFormatting>
  <conditionalFormatting sqref="B78:C78">
    <cfRule type="cellIs" dxfId="5226" priority="6697" stopIfTrue="1" operator="equal">
      <formula>"Towel"</formula>
    </cfRule>
  </conditionalFormatting>
  <conditionalFormatting sqref="C78">
    <cfRule type="cellIs" dxfId="5225" priority="6696" stopIfTrue="1" operator="equal">
      <formula>"Napkin Hs"</formula>
    </cfRule>
  </conditionalFormatting>
  <conditionalFormatting sqref="C78">
    <cfRule type="cellIs" dxfId="5224" priority="6693" stopIfTrue="1" operator="equal">
      <formula>"Towel"</formula>
    </cfRule>
    <cfRule type="cellIs" dxfId="5223" priority="6694" stopIfTrue="1" operator="equal">
      <formula>"Napkin Hs"</formula>
    </cfRule>
  </conditionalFormatting>
  <conditionalFormatting sqref="C78">
    <cfRule type="cellIs" dxfId="5222" priority="6695" stopIfTrue="1" operator="equal">
      <formula>"Towel"</formula>
    </cfRule>
  </conditionalFormatting>
  <conditionalFormatting sqref="C78">
    <cfRule type="cellIs" dxfId="5221" priority="6657" stopIfTrue="1" operator="equal">
      <formula>"Towel"</formula>
    </cfRule>
    <cfRule type="cellIs" dxfId="5220" priority="6658" stopIfTrue="1" operator="equal">
      <formula>"Napkin Hs"</formula>
    </cfRule>
  </conditionalFormatting>
  <conditionalFormatting sqref="B78:C78">
    <cfRule type="cellIs" dxfId="5219" priority="6655" stopIfTrue="1" operator="equal">
      <formula>"Towel"</formula>
    </cfRule>
    <cfRule type="cellIs" dxfId="5218" priority="6656" stopIfTrue="1" operator="equal">
      <formula>"Napkin Hs"</formula>
    </cfRule>
  </conditionalFormatting>
  <conditionalFormatting sqref="C78">
    <cfRule type="cellIs" dxfId="5217" priority="6653" stopIfTrue="1" operator="equal">
      <formula>"Towel"</formula>
    </cfRule>
    <cfRule type="cellIs" dxfId="5216" priority="6654" stopIfTrue="1" operator="equal">
      <formula>"Napkin Hs"</formula>
    </cfRule>
  </conditionalFormatting>
  <conditionalFormatting sqref="C78">
    <cfRule type="cellIs" dxfId="5215" priority="6645" stopIfTrue="1" operator="equal">
      <formula>"Towel"</formula>
    </cfRule>
    <cfRule type="cellIs" dxfId="5214" priority="6646" stopIfTrue="1" operator="equal">
      <formula>"Napkin Hs"</formula>
    </cfRule>
  </conditionalFormatting>
  <conditionalFormatting sqref="B78:C78">
    <cfRule type="cellIs" dxfId="5213" priority="6691" stopIfTrue="1" operator="equal">
      <formula>"Towel"</formula>
    </cfRule>
    <cfRule type="cellIs" dxfId="5212" priority="6692" stopIfTrue="1" operator="equal">
      <formula>"Napkin Hs"</formula>
    </cfRule>
  </conditionalFormatting>
  <conditionalFormatting sqref="C78">
    <cfRule type="cellIs" dxfId="5211" priority="6687" stopIfTrue="1" operator="equal">
      <formula>"Towel"</formula>
    </cfRule>
    <cfRule type="cellIs" dxfId="5210" priority="6688" stopIfTrue="1" operator="equal">
      <formula>"Napkin Hs"</formula>
    </cfRule>
  </conditionalFormatting>
  <conditionalFormatting sqref="C78">
    <cfRule type="cellIs" dxfId="5209" priority="6689" stopIfTrue="1" operator="equal">
      <formula>"Towel"</formula>
    </cfRule>
    <cfRule type="cellIs" dxfId="5208" priority="6690" stopIfTrue="1" operator="equal">
      <formula>"Napkin Hs"</formula>
    </cfRule>
  </conditionalFormatting>
  <conditionalFormatting sqref="B78:C78">
    <cfRule type="cellIs" dxfId="5207" priority="6686" stopIfTrue="1" operator="equal">
      <formula>"Napkin Hs"</formula>
    </cfRule>
  </conditionalFormatting>
  <conditionalFormatting sqref="B78:C78">
    <cfRule type="cellIs" dxfId="5206" priority="6685" stopIfTrue="1" operator="equal">
      <formula>"Towel"</formula>
    </cfRule>
  </conditionalFormatting>
  <conditionalFormatting sqref="C78">
    <cfRule type="cellIs" dxfId="5205" priority="6684" stopIfTrue="1" operator="equal">
      <formula>"Napkin Hs"</formula>
    </cfRule>
  </conditionalFormatting>
  <conditionalFormatting sqref="C78">
    <cfRule type="cellIs" dxfId="5204" priority="6683" stopIfTrue="1" operator="equal">
      <formula>"Towel"</formula>
    </cfRule>
  </conditionalFormatting>
  <conditionalFormatting sqref="C78">
    <cfRule type="cellIs" dxfId="5203" priority="6681" stopIfTrue="1" operator="equal">
      <formula>"Towel"</formula>
    </cfRule>
    <cfRule type="cellIs" dxfId="5202" priority="6682" stopIfTrue="1" operator="equal">
      <formula>"Napkin Hs"</formula>
    </cfRule>
  </conditionalFormatting>
  <conditionalFormatting sqref="B78:C78">
    <cfRule type="cellIs" dxfId="5201" priority="6679" stopIfTrue="1" operator="equal">
      <formula>"Towel"</formula>
    </cfRule>
    <cfRule type="cellIs" dxfId="5200" priority="6680" stopIfTrue="1" operator="equal">
      <formula>"Napkin Hs"</formula>
    </cfRule>
  </conditionalFormatting>
  <conditionalFormatting sqref="C78">
    <cfRule type="cellIs" dxfId="5199" priority="6677" stopIfTrue="1" operator="equal">
      <formula>"Towel"</formula>
    </cfRule>
    <cfRule type="cellIs" dxfId="5198" priority="6678" stopIfTrue="1" operator="equal">
      <formula>"Napkin Hs"</formula>
    </cfRule>
  </conditionalFormatting>
  <conditionalFormatting sqref="C78">
    <cfRule type="cellIs" dxfId="5197" priority="6675" stopIfTrue="1" operator="equal">
      <formula>"Towel"</formula>
    </cfRule>
    <cfRule type="cellIs" dxfId="5196" priority="6676" stopIfTrue="1" operator="equal">
      <formula>"Napkin Hs"</formula>
    </cfRule>
  </conditionalFormatting>
  <conditionalFormatting sqref="B78:C78">
    <cfRule type="cellIs" dxfId="5195" priority="6673" stopIfTrue="1" operator="equal">
      <formula>"Towel"</formula>
    </cfRule>
    <cfRule type="cellIs" dxfId="5194" priority="6674" stopIfTrue="1" operator="equal">
      <formula>"Napkin Hs"</formula>
    </cfRule>
  </conditionalFormatting>
  <conditionalFormatting sqref="C78">
    <cfRule type="cellIs" dxfId="5193" priority="6671" stopIfTrue="1" operator="equal">
      <formula>"Towel"</formula>
    </cfRule>
    <cfRule type="cellIs" dxfId="5192" priority="6672" stopIfTrue="1" operator="equal">
      <formula>"Napkin Hs"</formula>
    </cfRule>
  </conditionalFormatting>
  <conditionalFormatting sqref="C78">
    <cfRule type="cellIs" dxfId="5191" priority="6669" stopIfTrue="1" operator="equal">
      <formula>"Towel"</formula>
    </cfRule>
    <cfRule type="cellIs" dxfId="5190" priority="6670" stopIfTrue="1" operator="equal">
      <formula>"Napkin Hs"</formula>
    </cfRule>
  </conditionalFormatting>
  <conditionalFormatting sqref="B78:C78">
    <cfRule type="cellIs" dxfId="5189" priority="6667" stopIfTrue="1" operator="equal">
      <formula>"Towel"</formula>
    </cfRule>
    <cfRule type="cellIs" dxfId="5188" priority="6668" stopIfTrue="1" operator="equal">
      <formula>"Napkin Hs"</formula>
    </cfRule>
  </conditionalFormatting>
  <conditionalFormatting sqref="C78">
    <cfRule type="cellIs" dxfId="5187" priority="6665" stopIfTrue="1" operator="equal">
      <formula>"Towel"</formula>
    </cfRule>
    <cfRule type="cellIs" dxfId="5186" priority="6666" stopIfTrue="1" operator="equal">
      <formula>"Napkin Hs"</formula>
    </cfRule>
  </conditionalFormatting>
  <conditionalFormatting sqref="C78">
    <cfRule type="cellIs" dxfId="5185" priority="6663" stopIfTrue="1" operator="equal">
      <formula>"Towel"</formula>
    </cfRule>
    <cfRule type="cellIs" dxfId="5184" priority="6664" stopIfTrue="1" operator="equal">
      <formula>"Napkin Hs"</formula>
    </cfRule>
  </conditionalFormatting>
  <conditionalFormatting sqref="B78:C78">
    <cfRule type="cellIs" dxfId="5183" priority="6661" stopIfTrue="1" operator="equal">
      <formula>"Towel"</formula>
    </cfRule>
    <cfRule type="cellIs" dxfId="5182" priority="6662" stopIfTrue="1" operator="equal">
      <formula>"Napkin Hs"</formula>
    </cfRule>
  </conditionalFormatting>
  <conditionalFormatting sqref="C78">
    <cfRule type="cellIs" dxfId="5181" priority="6659" stopIfTrue="1" operator="equal">
      <formula>"Towel"</formula>
    </cfRule>
    <cfRule type="cellIs" dxfId="5180" priority="6660" stopIfTrue="1" operator="equal">
      <formula>"Napkin Hs"</formula>
    </cfRule>
  </conditionalFormatting>
  <conditionalFormatting sqref="C78">
    <cfRule type="cellIs" dxfId="5179" priority="6651" stopIfTrue="1" operator="equal">
      <formula>"Towel"</formula>
    </cfRule>
    <cfRule type="cellIs" dxfId="5178" priority="6652" stopIfTrue="1" operator="equal">
      <formula>"Napkin Hs"</formula>
    </cfRule>
  </conditionalFormatting>
  <conditionalFormatting sqref="B78:C78">
    <cfRule type="cellIs" dxfId="5177" priority="6650" stopIfTrue="1" operator="equal">
      <formula>"Napkin Hs"</formula>
    </cfRule>
  </conditionalFormatting>
  <conditionalFormatting sqref="B78:C78">
    <cfRule type="cellIs" dxfId="5176" priority="6649" stopIfTrue="1" operator="equal">
      <formula>"Towel"</formula>
    </cfRule>
  </conditionalFormatting>
  <conditionalFormatting sqref="C78">
    <cfRule type="cellIs" dxfId="5175" priority="6648" stopIfTrue="1" operator="equal">
      <formula>"Napkin Hs"</formula>
    </cfRule>
  </conditionalFormatting>
  <conditionalFormatting sqref="C78">
    <cfRule type="cellIs" dxfId="5174" priority="6647" stopIfTrue="1" operator="equal">
      <formula>"Towel"</formula>
    </cfRule>
  </conditionalFormatting>
  <conditionalFormatting sqref="B78:C78">
    <cfRule type="cellIs" dxfId="5173" priority="6643" stopIfTrue="1" operator="equal">
      <formula>"Towel"</formula>
    </cfRule>
    <cfRule type="cellIs" dxfId="5172" priority="6644" stopIfTrue="1" operator="equal">
      <formula>"Napkin Hs"</formula>
    </cfRule>
  </conditionalFormatting>
  <conditionalFormatting sqref="C78">
    <cfRule type="cellIs" dxfId="5171" priority="6639" stopIfTrue="1" operator="equal">
      <formula>"Towel"</formula>
    </cfRule>
    <cfRule type="cellIs" dxfId="5170" priority="6640" stopIfTrue="1" operator="equal">
      <formula>"Napkin Hs"</formula>
    </cfRule>
  </conditionalFormatting>
  <conditionalFormatting sqref="C78">
    <cfRule type="cellIs" dxfId="5169" priority="6641" stopIfTrue="1" operator="equal">
      <formula>"Towel"</formula>
    </cfRule>
    <cfRule type="cellIs" dxfId="5168" priority="6642" stopIfTrue="1" operator="equal">
      <formula>"Napkin Hs"</formula>
    </cfRule>
  </conditionalFormatting>
  <conditionalFormatting sqref="B78:C78">
    <cfRule type="cellIs" dxfId="5167" priority="6637" stopIfTrue="1" operator="equal">
      <formula>"Towel"</formula>
    </cfRule>
    <cfRule type="cellIs" dxfId="5166" priority="6638" stopIfTrue="1" operator="equal">
      <formula>"Napkin Hs"</formula>
    </cfRule>
  </conditionalFormatting>
  <conditionalFormatting sqref="C78">
    <cfRule type="cellIs" dxfId="5165" priority="6633" stopIfTrue="1" operator="equal">
      <formula>"Towel"</formula>
    </cfRule>
    <cfRule type="cellIs" dxfId="5164" priority="6634" stopIfTrue="1" operator="equal">
      <formula>"Napkin Hs"</formula>
    </cfRule>
  </conditionalFormatting>
  <conditionalFormatting sqref="C78">
    <cfRule type="cellIs" dxfId="5163" priority="6635" stopIfTrue="1" operator="equal">
      <formula>"Towel"</formula>
    </cfRule>
    <cfRule type="cellIs" dxfId="5162" priority="6636" stopIfTrue="1" operator="equal">
      <formula>"Napkin Hs"</formula>
    </cfRule>
  </conditionalFormatting>
  <conditionalFormatting sqref="B78:C78">
    <cfRule type="cellIs" dxfId="5161" priority="6631" stopIfTrue="1" operator="equal">
      <formula>"Towel"</formula>
    </cfRule>
    <cfRule type="cellIs" dxfId="5160" priority="6632" stopIfTrue="1" operator="equal">
      <formula>"Napkin Hs"</formula>
    </cfRule>
  </conditionalFormatting>
  <conditionalFormatting sqref="C78">
    <cfRule type="cellIs" dxfId="5159" priority="6629" stopIfTrue="1" operator="equal">
      <formula>"Towel"</formula>
    </cfRule>
    <cfRule type="cellIs" dxfId="5158" priority="6630" stopIfTrue="1" operator="equal">
      <formula>"Napkin Hs"</formula>
    </cfRule>
  </conditionalFormatting>
  <conditionalFormatting sqref="C78">
    <cfRule type="cellIs" dxfId="5157" priority="6627" stopIfTrue="1" operator="equal">
      <formula>"Towel"</formula>
    </cfRule>
    <cfRule type="cellIs" dxfId="5156" priority="6628" stopIfTrue="1" operator="equal">
      <formula>"Napkin Hs"</formula>
    </cfRule>
  </conditionalFormatting>
  <conditionalFormatting sqref="B78:C78">
    <cfRule type="cellIs" dxfId="5155" priority="6625" stopIfTrue="1" operator="equal">
      <formula>"Towel"</formula>
    </cfRule>
    <cfRule type="cellIs" dxfId="5154" priority="6626" stopIfTrue="1" operator="equal">
      <formula>"Napkin Hs"</formula>
    </cfRule>
  </conditionalFormatting>
  <conditionalFormatting sqref="C78">
    <cfRule type="cellIs" dxfId="5153" priority="6623" stopIfTrue="1" operator="equal">
      <formula>"Towel"</formula>
    </cfRule>
    <cfRule type="cellIs" dxfId="5152" priority="6624" stopIfTrue="1" operator="equal">
      <formula>"Napkin Hs"</formula>
    </cfRule>
  </conditionalFormatting>
  <conditionalFormatting sqref="C78">
    <cfRule type="cellIs" dxfId="5151" priority="6621" stopIfTrue="1" operator="equal">
      <formula>"Towel"</formula>
    </cfRule>
    <cfRule type="cellIs" dxfId="5150" priority="6622" stopIfTrue="1" operator="equal">
      <formula>"Napkin Hs"</formula>
    </cfRule>
  </conditionalFormatting>
  <conditionalFormatting sqref="B78:C78">
    <cfRule type="cellIs" dxfId="5149" priority="6619" stopIfTrue="1" operator="equal">
      <formula>"Towel"</formula>
    </cfRule>
    <cfRule type="cellIs" dxfId="5148" priority="6620" stopIfTrue="1" operator="equal">
      <formula>"Napkin Hs"</formula>
    </cfRule>
  </conditionalFormatting>
  <conditionalFormatting sqref="C78">
    <cfRule type="cellIs" dxfId="5147" priority="6617" stopIfTrue="1" operator="equal">
      <formula>"Towel"</formula>
    </cfRule>
    <cfRule type="cellIs" dxfId="5146" priority="6618" stopIfTrue="1" operator="equal">
      <formula>"Napkin Hs"</formula>
    </cfRule>
  </conditionalFormatting>
  <conditionalFormatting sqref="C78">
    <cfRule type="cellIs" dxfId="5145" priority="6615" stopIfTrue="1" operator="equal">
      <formula>"Towel"</formula>
    </cfRule>
    <cfRule type="cellIs" dxfId="5144" priority="6616" stopIfTrue="1" operator="equal">
      <formula>"Napkin Hs"</formula>
    </cfRule>
  </conditionalFormatting>
  <conditionalFormatting sqref="B78:C78">
    <cfRule type="cellIs" dxfId="5143" priority="6614" stopIfTrue="1" operator="equal">
      <formula>"Napkin Hs"</formula>
    </cfRule>
  </conditionalFormatting>
  <conditionalFormatting sqref="B78:C78">
    <cfRule type="cellIs" dxfId="5142" priority="6613" stopIfTrue="1" operator="equal">
      <formula>"Towel"</formula>
    </cfRule>
  </conditionalFormatting>
  <conditionalFormatting sqref="C78">
    <cfRule type="cellIs" dxfId="5141" priority="6612" stopIfTrue="1" operator="equal">
      <formula>"Napkin Hs"</formula>
    </cfRule>
  </conditionalFormatting>
  <conditionalFormatting sqref="C78">
    <cfRule type="cellIs" dxfId="5140" priority="6609" stopIfTrue="1" operator="equal">
      <formula>"Towel"</formula>
    </cfRule>
    <cfRule type="cellIs" dxfId="5139" priority="6610" stopIfTrue="1" operator="equal">
      <formula>"Napkin Hs"</formula>
    </cfRule>
  </conditionalFormatting>
  <conditionalFormatting sqref="C78">
    <cfRule type="cellIs" dxfId="5138" priority="6611" stopIfTrue="1" operator="equal">
      <formula>"Towel"</formula>
    </cfRule>
  </conditionalFormatting>
  <conditionalFormatting sqref="B78:C78">
    <cfRule type="cellIs" dxfId="5137" priority="6607" stopIfTrue="1" operator="equal">
      <formula>"Towel"</formula>
    </cfRule>
    <cfRule type="cellIs" dxfId="5136" priority="6608" stopIfTrue="1" operator="equal">
      <formula>"Napkin Hs"</formula>
    </cfRule>
  </conditionalFormatting>
  <conditionalFormatting sqref="C78">
    <cfRule type="cellIs" dxfId="5135" priority="6603" stopIfTrue="1" operator="equal">
      <formula>"Towel"</formula>
    </cfRule>
    <cfRule type="cellIs" dxfId="5134" priority="6604" stopIfTrue="1" operator="equal">
      <formula>"Napkin Hs"</formula>
    </cfRule>
  </conditionalFormatting>
  <conditionalFormatting sqref="C78">
    <cfRule type="cellIs" dxfId="5133" priority="6605" stopIfTrue="1" operator="equal">
      <formula>"Towel"</formula>
    </cfRule>
    <cfRule type="cellIs" dxfId="5132" priority="6606" stopIfTrue="1" operator="equal">
      <formula>"Napkin Hs"</formula>
    </cfRule>
  </conditionalFormatting>
  <conditionalFormatting sqref="B78:C78">
    <cfRule type="cellIs" dxfId="5131" priority="6601" stopIfTrue="1" operator="equal">
      <formula>"Towel"</formula>
    </cfRule>
    <cfRule type="cellIs" dxfId="5130" priority="6602" stopIfTrue="1" operator="equal">
      <formula>"Napkin Hs"</formula>
    </cfRule>
  </conditionalFormatting>
  <conditionalFormatting sqref="C78">
    <cfRule type="cellIs" dxfId="5129" priority="6597" stopIfTrue="1" operator="equal">
      <formula>"Towel"</formula>
    </cfRule>
    <cfRule type="cellIs" dxfId="5128" priority="6598" stopIfTrue="1" operator="equal">
      <formula>"Napkin Hs"</formula>
    </cfRule>
  </conditionalFormatting>
  <conditionalFormatting sqref="C78">
    <cfRule type="cellIs" dxfId="5127" priority="6599" stopIfTrue="1" operator="equal">
      <formula>"Towel"</formula>
    </cfRule>
    <cfRule type="cellIs" dxfId="5126" priority="6600" stopIfTrue="1" operator="equal">
      <formula>"Napkin Hs"</formula>
    </cfRule>
  </conditionalFormatting>
  <conditionalFormatting sqref="B78:C78">
    <cfRule type="cellIs" dxfId="5125" priority="6595" stopIfTrue="1" operator="equal">
      <formula>"Towel"</formula>
    </cfRule>
    <cfRule type="cellIs" dxfId="5124" priority="6596" stopIfTrue="1" operator="equal">
      <formula>"Napkin Hs"</formula>
    </cfRule>
  </conditionalFormatting>
  <conditionalFormatting sqref="C78">
    <cfRule type="cellIs" dxfId="5123" priority="6593" stopIfTrue="1" operator="equal">
      <formula>"Towel"</formula>
    </cfRule>
    <cfRule type="cellIs" dxfId="5122" priority="6594" stopIfTrue="1" operator="equal">
      <formula>"Napkin Hs"</formula>
    </cfRule>
  </conditionalFormatting>
  <conditionalFormatting sqref="C78">
    <cfRule type="cellIs" dxfId="5121" priority="6591" stopIfTrue="1" operator="equal">
      <formula>"Towel"</formula>
    </cfRule>
    <cfRule type="cellIs" dxfId="5120" priority="6592" stopIfTrue="1" operator="equal">
      <formula>"Napkin Hs"</formula>
    </cfRule>
  </conditionalFormatting>
  <conditionalFormatting sqref="B78:C78">
    <cfRule type="cellIs" dxfId="5119" priority="6589" stopIfTrue="1" operator="equal">
      <formula>"Towel"</formula>
    </cfRule>
    <cfRule type="cellIs" dxfId="5118" priority="6590" stopIfTrue="1" operator="equal">
      <formula>"Napkin Hs"</formula>
    </cfRule>
  </conditionalFormatting>
  <conditionalFormatting sqref="C78">
    <cfRule type="cellIs" dxfId="5117" priority="6587" stopIfTrue="1" operator="equal">
      <formula>"Towel"</formula>
    </cfRule>
    <cfRule type="cellIs" dxfId="5116" priority="6588" stopIfTrue="1" operator="equal">
      <formula>"Napkin Hs"</formula>
    </cfRule>
  </conditionalFormatting>
  <conditionalFormatting sqref="C78">
    <cfRule type="cellIs" dxfId="5115" priority="6585" stopIfTrue="1" operator="equal">
      <formula>"Towel"</formula>
    </cfRule>
    <cfRule type="cellIs" dxfId="5114" priority="6586" stopIfTrue="1" operator="equal">
      <formula>"Napkin Hs"</formula>
    </cfRule>
  </conditionalFormatting>
  <conditionalFormatting sqref="B78:C78">
    <cfRule type="cellIs" dxfId="5113" priority="6583" stopIfTrue="1" operator="equal">
      <formula>"Towel"</formula>
    </cfRule>
    <cfRule type="cellIs" dxfId="5112" priority="6584" stopIfTrue="1" operator="equal">
      <formula>"Napkin Hs"</formula>
    </cfRule>
  </conditionalFormatting>
  <conditionalFormatting sqref="C78">
    <cfRule type="cellIs" dxfId="5111" priority="6581" stopIfTrue="1" operator="equal">
      <formula>"Towel"</formula>
    </cfRule>
    <cfRule type="cellIs" dxfId="5110" priority="6582" stopIfTrue="1" operator="equal">
      <formula>"Napkin Hs"</formula>
    </cfRule>
  </conditionalFormatting>
  <conditionalFormatting sqref="C78">
    <cfRule type="cellIs" dxfId="5109" priority="6579" stopIfTrue="1" operator="equal">
      <formula>"Towel"</formula>
    </cfRule>
    <cfRule type="cellIs" dxfId="5108" priority="6580" stopIfTrue="1" operator="equal">
      <formula>"Napkin Hs"</formula>
    </cfRule>
  </conditionalFormatting>
  <conditionalFormatting sqref="B78:C78">
    <cfRule type="cellIs" dxfId="5107" priority="6578" stopIfTrue="1" operator="equal">
      <formula>"Napkin Hs"</formula>
    </cfRule>
  </conditionalFormatting>
  <conditionalFormatting sqref="B78:C78">
    <cfRule type="cellIs" dxfId="5106" priority="6577" stopIfTrue="1" operator="equal">
      <formula>"Towel"</formula>
    </cfRule>
  </conditionalFormatting>
  <conditionalFormatting sqref="C78">
    <cfRule type="cellIs" dxfId="5105" priority="6576" stopIfTrue="1" operator="equal">
      <formula>"Napkin Hs"</formula>
    </cfRule>
  </conditionalFormatting>
  <conditionalFormatting sqref="C78">
    <cfRule type="cellIs" dxfId="5104" priority="6573" stopIfTrue="1" operator="equal">
      <formula>"Towel"</formula>
    </cfRule>
    <cfRule type="cellIs" dxfId="5103" priority="6574" stopIfTrue="1" operator="equal">
      <formula>"Napkin Hs"</formula>
    </cfRule>
  </conditionalFormatting>
  <conditionalFormatting sqref="C78">
    <cfRule type="cellIs" dxfId="5102" priority="6575" stopIfTrue="1" operator="equal">
      <formula>"Towel"</formula>
    </cfRule>
  </conditionalFormatting>
  <conditionalFormatting sqref="B78:C78">
    <cfRule type="cellIs" dxfId="5101" priority="6571" stopIfTrue="1" operator="equal">
      <formula>"Towel"</formula>
    </cfRule>
    <cfRule type="cellIs" dxfId="5100" priority="6572" stopIfTrue="1" operator="equal">
      <formula>"Napkin Hs"</formula>
    </cfRule>
  </conditionalFormatting>
  <conditionalFormatting sqref="C78">
    <cfRule type="cellIs" dxfId="5099" priority="6567" stopIfTrue="1" operator="equal">
      <formula>"Towel"</formula>
    </cfRule>
    <cfRule type="cellIs" dxfId="5098" priority="6568" stopIfTrue="1" operator="equal">
      <formula>"Napkin Hs"</formula>
    </cfRule>
  </conditionalFormatting>
  <conditionalFormatting sqref="C78">
    <cfRule type="cellIs" dxfId="5097" priority="6569" stopIfTrue="1" operator="equal">
      <formula>"Towel"</formula>
    </cfRule>
    <cfRule type="cellIs" dxfId="5096" priority="6570" stopIfTrue="1" operator="equal">
      <formula>"Napkin Hs"</formula>
    </cfRule>
  </conditionalFormatting>
  <conditionalFormatting sqref="C78">
    <cfRule type="cellIs" dxfId="5095" priority="6483" stopIfTrue="1" operator="equal">
      <formula>"Towel"</formula>
    </cfRule>
    <cfRule type="cellIs" dxfId="5094" priority="6484" stopIfTrue="1" operator="equal">
      <formula>"Napkin Hs"</formula>
    </cfRule>
  </conditionalFormatting>
  <conditionalFormatting sqref="C78">
    <cfRule type="cellIs" dxfId="5093" priority="6477" stopIfTrue="1" operator="equal">
      <formula>"Towel"</formula>
    </cfRule>
    <cfRule type="cellIs" dxfId="5092" priority="6478" stopIfTrue="1" operator="equal">
      <formula>"Napkin Hs"</formula>
    </cfRule>
  </conditionalFormatting>
  <conditionalFormatting sqref="C78">
    <cfRule type="cellIs" dxfId="5091" priority="6458" stopIfTrue="1" operator="equal">
      <formula>"Napkin Hs"</formula>
    </cfRule>
  </conditionalFormatting>
  <conditionalFormatting sqref="C78">
    <cfRule type="cellIs" dxfId="5090" priority="6457" stopIfTrue="1" operator="equal">
      <formula>"Towel"</formula>
    </cfRule>
  </conditionalFormatting>
  <conditionalFormatting sqref="C78">
    <cfRule type="cellIs" dxfId="5089" priority="6456" stopIfTrue="1" operator="equal">
      <formula>"Napkin Hs"</formula>
    </cfRule>
  </conditionalFormatting>
  <conditionalFormatting sqref="C78">
    <cfRule type="cellIs" dxfId="5088" priority="6453" stopIfTrue="1" operator="equal">
      <formula>"Towel"</formula>
    </cfRule>
    <cfRule type="cellIs" dxfId="5087" priority="6454" stopIfTrue="1" operator="equal">
      <formula>"Napkin Hs"</formula>
    </cfRule>
  </conditionalFormatting>
  <conditionalFormatting sqref="C78">
    <cfRule type="cellIs" dxfId="5086" priority="6455" stopIfTrue="1" operator="equal">
      <formula>"Towel"</formula>
    </cfRule>
  </conditionalFormatting>
  <conditionalFormatting sqref="C78">
    <cfRule type="cellIs" dxfId="5085" priority="6452" stopIfTrue="1" operator="equal">
      <formula>"Napkin Hs"</formula>
    </cfRule>
  </conditionalFormatting>
  <conditionalFormatting sqref="C78">
    <cfRule type="cellIs" dxfId="5084" priority="6451" stopIfTrue="1" operator="equal">
      <formula>"Towel"</formula>
    </cfRule>
  </conditionalFormatting>
  <conditionalFormatting sqref="C78">
    <cfRule type="cellIs" dxfId="5083" priority="6450" stopIfTrue="1" operator="equal">
      <formula>"Napkin Hs"</formula>
    </cfRule>
  </conditionalFormatting>
  <conditionalFormatting sqref="C78">
    <cfRule type="cellIs" dxfId="5082" priority="6447" stopIfTrue="1" operator="equal">
      <formula>"Towel"</formula>
    </cfRule>
    <cfRule type="cellIs" dxfId="5081" priority="6448" stopIfTrue="1" operator="equal">
      <formula>"Napkin Hs"</formula>
    </cfRule>
  </conditionalFormatting>
  <conditionalFormatting sqref="C78">
    <cfRule type="cellIs" dxfId="5080" priority="6449" stopIfTrue="1" operator="equal">
      <formula>"Towel"</formula>
    </cfRule>
  </conditionalFormatting>
  <conditionalFormatting sqref="C78">
    <cfRule type="cellIs" dxfId="5079" priority="6553" stopIfTrue="1" operator="equal">
      <formula>"Towel"</formula>
    </cfRule>
    <cfRule type="cellIs" dxfId="5078" priority="6554" stopIfTrue="1" operator="equal">
      <formula>"Napkin Hs"</formula>
    </cfRule>
  </conditionalFormatting>
  <conditionalFormatting sqref="C78">
    <cfRule type="cellIs" dxfId="5077" priority="6551" stopIfTrue="1" operator="equal">
      <formula>"Towel"</formula>
    </cfRule>
    <cfRule type="cellIs" dxfId="5076" priority="6552" stopIfTrue="1" operator="equal">
      <formula>"Napkin Hs"</formula>
    </cfRule>
  </conditionalFormatting>
  <conditionalFormatting sqref="C78">
    <cfRule type="cellIs" dxfId="5075" priority="6549" stopIfTrue="1" operator="equal">
      <formula>"Towel"</formula>
    </cfRule>
    <cfRule type="cellIs" dxfId="5074" priority="6550" stopIfTrue="1" operator="equal">
      <formula>"Napkin Hs"</formula>
    </cfRule>
  </conditionalFormatting>
  <conditionalFormatting sqref="C78">
    <cfRule type="cellIs" dxfId="5073" priority="6548" stopIfTrue="1" operator="equal">
      <formula>"Napkin Hs"</formula>
    </cfRule>
  </conditionalFormatting>
  <conditionalFormatting sqref="C78">
    <cfRule type="cellIs" dxfId="5072" priority="6547" stopIfTrue="1" operator="equal">
      <formula>"Towel"</formula>
    </cfRule>
  </conditionalFormatting>
  <conditionalFormatting sqref="C78">
    <cfRule type="cellIs" dxfId="5071" priority="6546" stopIfTrue="1" operator="equal">
      <formula>"Napkin Hs"</formula>
    </cfRule>
  </conditionalFormatting>
  <conditionalFormatting sqref="C78">
    <cfRule type="cellIs" dxfId="5070" priority="6545" stopIfTrue="1" operator="equal">
      <formula>"Towel"</formula>
    </cfRule>
  </conditionalFormatting>
  <conditionalFormatting sqref="C78">
    <cfRule type="cellIs" dxfId="5069" priority="6543" stopIfTrue="1" operator="equal">
      <formula>"Towel"</formula>
    </cfRule>
    <cfRule type="cellIs" dxfId="5068" priority="6544" stopIfTrue="1" operator="equal">
      <formula>"Napkin Hs"</formula>
    </cfRule>
  </conditionalFormatting>
  <conditionalFormatting sqref="C78">
    <cfRule type="cellIs" dxfId="5067" priority="6541" stopIfTrue="1" operator="equal">
      <formula>"Towel"</formula>
    </cfRule>
    <cfRule type="cellIs" dxfId="5066" priority="6542" stopIfTrue="1" operator="equal">
      <formula>"Napkin Hs"</formula>
    </cfRule>
  </conditionalFormatting>
  <conditionalFormatting sqref="C78">
    <cfRule type="cellIs" dxfId="5065" priority="6537" stopIfTrue="1" operator="equal">
      <formula>"Towel"</formula>
    </cfRule>
    <cfRule type="cellIs" dxfId="5064" priority="6538" stopIfTrue="1" operator="equal">
      <formula>"Napkin Hs"</formula>
    </cfRule>
  </conditionalFormatting>
  <conditionalFormatting sqref="C78">
    <cfRule type="cellIs" dxfId="5063" priority="6539" stopIfTrue="1" operator="equal">
      <formula>"Towel"</formula>
    </cfRule>
    <cfRule type="cellIs" dxfId="5062" priority="6540" stopIfTrue="1" operator="equal">
      <formula>"Napkin Hs"</formula>
    </cfRule>
  </conditionalFormatting>
  <conditionalFormatting sqref="C78">
    <cfRule type="cellIs" dxfId="5061" priority="6531" stopIfTrue="1" operator="equal">
      <formula>"Towel"</formula>
    </cfRule>
    <cfRule type="cellIs" dxfId="5060" priority="6532" stopIfTrue="1" operator="equal">
      <formula>"Napkin Hs"</formula>
    </cfRule>
  </conditionalFormatting>
  <conditionalFormatting sqref="C78">
    <cfRule type="cellIs" dxfId="5059" priority="6529" stopIfTrue="1" operator="equal">
      <formula>"Towel"</formula>
    </cfRule>
    <cfRule type="cellIs" dxfId="5058" priority="6530" stopIfTrue="1" operator="equal">
      <formula>"Napkin Hs"</formula>
    </cfRule>
  </conditionalFormatting>
  <conditionalFormatting sqref="C78">
    <cfRule type="cellIs" dxfId="5057" priority="6527" stopIfTrue="1" operator="equal">
      <formula>"Towel"</formula>
    </cfRule>
    <cfRule type="cellIs" dxfId="5056" priority="6528" stopIfTrue="1" operator="equal">
      <formula>"Napkin Hs"</formula>
    </cfRule>
  </conditionalFormatting>
  <conditionalFormatting sqref="C78">
    <cfRule type="cellIs" dxfId="5055" priority="6525" stopIfTrue="1" operator="equal">
      <formula>"Towel"</formula>
    </cfRule>
    <cfRule type="cellIs" dxfId="5054" priority="6526" stopIfTrue="1" operator="equal">
      <formula>"Napkin Hs"</formula>
    </cfRule>
  </conditionalFormatting>
  <conditionalFormatting sqref="C78">
    <cfRule type="cellIs" dxfId="5053" priority="6523" stopIfTrue="1" operator="equal">
      <formula>"Towel"</formula>
    </cfRule>
    <cfRule type="cellIs" dxfId="5052" priority="6524" stopIfTrue="1" operator="equal">
      <formula>"Napkin Hs"</formula>
    </cfRule>
  </conditionalFormatting>
  <conditionalFormatting sqref="C78">
    <cfRule type="cellIs" dxfId="5051" priority="6521" stopIfTrue="1" operator="equal">
      <formula>"Towel"</formula>
    </cfRule>
    <cfRule type="cellIs" dxfId="5050" priority="6522" stopIfTrue="1" operator="equal">
      <formula>"Napkin Hs"</formula>
    </cfRule>
  </conditionalFormatting>
  <conditionalFormatting sqref="C78">
    <cfRule type="cellIs" dxfId="5049" priority="6519" stopIfTrue="1" operator="equal">
      <formula>"Towel"</formula>
    </cfRule>
    <cfRule type="cellIs" dxfId="5048" priority="6520" stopIfTrue="1" operator="equal">
      <formula>"Napkin Hs"</formula>
    </cfRule>
  </conditionalFormatting>
  <conditionalFormatting sqref="C78">
    <cfRule type="cellIs" dxfId="5047" priority="6517" stopIfTrue="1" operator="equal">
      <formula>"Towel"</formula>
    </cfRule>
    <cfRule type="cellIs" dxfId="5046" priority="6518" stopIfTrue="1" operator="equal">
      <formula>"Napkin Hs"</formula>
    </cfRule>
  </conditionalFormatting>
  <conditionalFormatting sqref="C78">
    <cfRule type="cellIs" dxfId="5045" priority="6515" stopIfTrue="1" operator="equal">
      <formula>"Towel"</formula>
    </cfRule>
    <cfRule type="cellIs" dxfId="5044" priority="6516" stopIfTrue="1" operator="equal">
      <formula>"Napkin Hs"</formula>
    </cfRule>
  </conditionalFormatting>
  <conditionalFormatting sqref="C78">
    <cfRule type="cellIs" dxfId="5043" priority="6513" stopIfTrue="1" operator="equal">
      <formula>"Towel"</formula>
    </cfRule>
    <cfRule type="cellIs" dxfId="5042" priority="6514" stopIfTrue="1" operator="equal">
      <formula>"Napkin Hs"</formula>
    </cfRule>
  </conditionalFormatting>
  <conditionalFormatting sqref="C78">
    <cfRule type="cellIs" dxfId="5041" priority="6507" stopIfTrue="1" operator="equal">
      <formula>"Towel"</formula>
    </cfRule>
    <cfRule type="cellIs" dxfId="5040" priority="6508" stopIfTrue="1" operator="equal">
      <formula>"Napkin Hs"</formula>
    </cfRule>
  </conditionalFormatting>
  <conditionalFormatting sqref="C78">
    <cfRule type="cellIs" dxfId="5039" priority="6501" stopIfTrue="1" operator="equal">
      <formula>"Towel"</formula>
    </cfRule>
    <cfRule type="cellIs" dxfId="5038" priority="6502" stopIfTrue="1" operator="equal">
      <formula>"Napkin Hs"</formula>
    </cfRule>
  </conditionalFormatting>
  <conditionalFormatting sqref="C78">
    <cfRule type="cellIs" dxfId="5037" priority="6495" stopIfTrue="1" operator="equal">
      <formula>"Towel"</formula>
    </cfRule>
    <cfRule type="cellIs" dxfId="5036" priority="6496" stopIfTrue="1" operator="equal">
      <formula>"Napkin Hs"</formula>
    </cfRule>
  </conditionalFormatting>
  <conditionalFormatting sqref="C78">
    <cfRule type="cellIs" dxfId="5035" priority="6494" stopIfTrue="1" operator="equal">
      <formula>"Napkin Hs"</formula>
    </cfRule>
  </conditionalFormatting>
  <conditionalFormatting sqref="C78">
    <cfRule type="cellIs" dxfId="5034" priority="6493" stopIfTrue="1" operator="equal">
      <formula>"Towel"</formula>
    </cfRule>
  </conditionalFormatting>
  <conditionalFormatting sqref="C78">
    <cfRule type="cellIs" dxfId="5033" priority="6492" stopIfTrue="1" operator="equal">
      <formula>"Napkin Hs"</formula>
    </cfRule>
  </conditionalFormatting>
  <conditionalFormatting sqref="C78">
    <cfRule type="cellIs" dxfId="5032" priority="6491" stopIfTrue="1" operator="equal">
      <formula>"Towel"</formula>
    </cfRule>
  </conditionalFormatting>
  <conditionalFormatting sqref="C78">
    <cfRule type="cellIs" dxfId="5031" priority="6489" stopIfTrue="1" operator="equal">
      <formula>"Towel"</formula>
    </cfRule>
    <cfRule type="cellIs" dxfId="5030" priority="6490" stopIfTrue="1" operator="equal">
      <formula>"Napkin Hs"</formula>
    </cfRule>
  </conditionalFormatting>
  <conditionalFormatting sqref="C78">
    <cfRule type="cellIs" dxfId="5029" priority="6487" stopIfTrue="1" operator="equal">
      <formula>"Towel"</formula>
    </cfRule>
    <cfRule type="cellIs" dxfId="5028" priority="6488" stopIfTrue="1" operator="equal">
      <formula>"Napkin Hs"</formula>
    </cfRule>
  </conditionalFormatting>
  <conditionalFormatting sqref="C78">
    <cfRule type="cellIs" dxfId="5027" priority="6485" stopIfTrue="1" operator="equal">
      <formula>"Towel"</formula>
    </cfRule>
    <cfRule type="cellIs" dxfId="5026" priority="6486" stopIfTrue="1" operator="equal">
      <formula>"Napkin Hs"</formula>
    </cfRule>
  </conditionalFormatting>
  <conditionalFormatting sqref="C78">
    <cfRule type="cellIs" dxfId="5025" priority="6475" stopIfTrue="1" operator="equal">
      <formula>"Towel"</formula>
    </cfRule>
    <cfRule type="cellIs" dxfId="5024" priority="6476" stopIfTrue="1" operator="equal">
      <formula>"Napkin Hs"</formula>
    </cfRule>
  </conditionalFormatting>
  <conditionalFormatting sqref="C78">
    <cfRule type="cellIs" dxfId="5023" priority="6473" stopIfTrue="1" operator="equal">
      <formula>"Towel"</formula>
    </cfRule>
    <cfRule type="cellIs" dxfId="5022" priority="6474" stopIfTrue="1" operator="equal">
      <formula>"Napkin Hs"</formula>
    </cfRule>
  </conditionalFormatting>
  <conditionalFormatting sqref="C78">
    <cfRule type="cellIs" dxfId="5021" priority="6471" stopIfTrue="1" operator="equal">
      <formula>"Towel"</formula>
    </cfRule>
    <cfRule type="cellIs" dxfId="5020" priority="6472" stopIfTrue="1" operator="equal">
      <formula>"Napkin Hs"</formula>
    </cfRule>
  </conditionalFormatting>
  <conditionalFormatting sqref="C78">
    <cfRule type="cellIs" dxfId="5019" priority="6469" stopIfTrue="1" operator="equal">
      <formula>"Towel"</formula>
    </cfRule>
    <cfRule type="cellIs" dxfId="5018" priority="6470" stopIfTrue="1" operator="equal">
      <formula>"Napkin Hs"</formula>
    </cfRule>
  </conditionalFormatting>
  <conditionalFormatting sqref="C78">
    <cfRule type="cellIs" dxfId="5017" priority="6467" stopIfTrue="1" operator="equal">
      <formula>"Towel"</formula>
    </cfRule>
    <cfRule type="cellIs" dxfId="5016" priority="6468" stopIfTrue="1" operator="equal">
      <formula>"Napkin Hs"</formula>
    </cfRule>
  </conditionalFormatting>
  <conditionalFormatting sqref="C78">
    <cfRule type="cellIs" dxfId="5015" priority="6465" stopIfTrue="1" operator="equal">
      <formula>"Towel"</formula>
    </cfRule>
    <cfRule type="cellIs" dxfId="5014" priority="6466" stopIfTrue="1" operator="equal">
      <formula>"Napkin Hs"</formula>
    </cfRule>
  </conditionalFormatting>
  <conditionalFormatting sqref="C78">
    <cfRule type="cellIs" dxfId="5013" priority="6463" stopIfTrue="1" operator="equal">
      <formula>"Towel"</formula>
    </cfRule>
    <cfRule type="cellIs" dxfId="5012" priority="6464" stopIfTrue="1" operator="equal">
      <formula>"Napkin Hs"</formula>
    </cfRule>
  </conditionalFormatting>
  <conditionalFormatting sqref="C78">
    <cfRule type="cellIs" dxfId="5011" priority="6461" stopIfTrue="1" operator="equal">
      <formula>"Towel"</formula>
    </cfRule>
    <cfRule type="cellIs" dxfId="5010" priority="6462" stopIfTrue="1" operator="equal">
      <formula>"Napkin Hs"</formula>
    </cfRule>
  </conditionalFormatting>
  <conditionalFormatting sqref="C78">
    <cfRule type="cellIs" dxfId="5009" priority="6459" stopIfTrue="1" operator="equal">
      <formula>"Towel"</formula>
    </cfRule>
    <cfRule type="cellIs" dxfId="5008" priority="6460" stopIfTrue="1" operator="equal">
      <formula>"Napkin Hs"</formula>
    </cfRule>
  </conditionalFormatting>
  <conditionalFormatting sqref="C78">
    <cfRule type="cellIs" dxfId="5007" priority="6446" stopIfTrue="1" operator="equal">
      <formula>"Napkin Hs"</formula>
    </cfRule>
  </conditionalFormatting>
  <conditionalFormatting sqref="C78">
    <cfRule type="cellIs" dxfId="5006" priority="6445" stopIfTrue="1" operator="equal">
      <formula>"Towel"</formula>
    </cfRule>
  </conditionalFormatting>
  <conditionalFormatting sqref="C78">
    <cfRule type="cellIs" dxfId="5005" priority="6444" stopIfTrue="1" operator="equal">
      <formula>"Napkin Hs"</formula>
    </cfRule>
  </conditionalFormatting>
  <conditionalFormatting sqref="C78">
    <cfRule type="cellIs" dxfId="5004" priority="6441" stopIfTrue="1" operator="equal">
      <formula>"Towel"</formula>
    </cfRule>
    <cfRule type="cellIs" dxfId="5003" priority="6442" stopIfTrue="1" operator="equal">
      <formula>"Napkin Hs"</formula>
    </cfRule>
  </conditionalFormatting>
  <conditionalFormatting sqref="C78">
    <cfRule type="cellIs" dxfId="5002" priority="6443" stopIfTrue="1" operator="equal">
      <formula>"Towel"</formula>
    </cfRule>
  </conditionalFormatting>
  <conditionalFormatting sqref="C78">
    <cfRule type="cellIs" dxfId="5001" priority="6561" stopIfTrue="1" operator="equal">
      <formula>"Towel"</formula>
    </cfRule>
    <cfRule type="cellIs" dxfId="5000" priority="6562" stopIfTrue="1" operator="equal">
      <formula>"Napkin Hs"</formula>
    </cfRule>
  </conditionalFormatting>
  <conditionalFormatting sqref="C78">
    <cfRule type="cellIs" dxfId="4999" priority="6560" stopIfTrue="1" operator="equal">
      <formula>"Napkin Hs"</formula>
    </cfRule>
  </conditionalFormatting>
  <conditionalFormatting sqref="C78">
    <cfRule type="cellIs" dxfId="4998" priority="6559" stopIfTrue="1" operator="equal">
      <formula>"Towel"</formula>
    </cfRule>
  </conditionalFormatting>
  <conditionalFormatting sqref="C78">
    <cfRule type="cellIs" dxfId="4997" priority="6558" stopIfTrue="1" operator="equal">
      <formula>"Napkin Hs"</formula>
    </cfRule>
  </conditionalFormatting>
  <conditionalFormatting sqref="C78">
    <cfRule type="cellIs" dxfId="4996" priority="6555" stopIfTrue="1" operator="equal">
      <formula>"Towel"</formula>
    </cfRule>
    <cfRule type="cellIs" dxfId="4995" priority="6556" stopIfTrue="1" operator="equal">
      <formula>"Napkin Hs"</formula>
    </cfRule>
  </conditionalFormatting>
  <conditionalFormatting sqref="C78">
    <cfRule type="cellIs" dxfId="4994" priority="6557" stopIfTrue="1" operator="equal">
      <formula>"Towel"</formula>
    </cfRule>
  </conditionalFormatting>
  <conditionalFormatting sqref="C78">
    <cfRule type="cellIs" dxfId="4993" priority="6565" stopIfTrue="1" operator="equal">
      <formula>"Towel"</formula>
    </cfRule>
    <cfRule type="cellIs" dxfId="4992" priority="6566" stopIfTrue="1" operator="equal">
      <formula>"Napkin Hs"</formula>
    </cfRule>
  </conditionalFormatting>
  <conditionalFormatting sqref="C78">
    <cfRule type="cellIs" dxfId="4991" priority="6563" stopIfTrue="1" operator="equal">
      <formula>"Towel"</formula>
    </cfRule>
    <cfRule type="cellIs" dxfId="4990" priority="6564" stopIfTrue="1" operator="equal">
      <formula>"Napkin Hs"</formula>
    </cfRule>
  </conditionalFormatting>
  <conditionalFormatting sqref="C78">
    <cfRule type="cellIs" dxfId="4989" priority="6535" stopIfTrue="1" operator="equal">
      <formula>"Towel"</formula>
    </cfRule>
    <cfRule type="cellIs" dxfId="4988" priority="6536" stopIfTrue="1" operator="equal">
      <formula>"Napkin Hs"</formula>
    </cfRule>
  </conditionalFormatting>
  <conditionalFormatting sqref="C78">
    <cfRule type="cellIs" dxfId="4987" priority="6533" stopIfTrue="1" operator="equal">
      <formula>"Towel"</formula>
    </cfRule>
    <cfRule type="cellIs" dxfId="4986" priority="6534" stopIfTrue="1" operator="equal">
      <formula>"Napkin Hs"</formula>
    </cfRule>
  </conditionalFormatting>
  <conditionalFormatting sqref="C78">
    <cfRule type="cellIs" dxfId="4985" priority="6512" stopIfTrue="1" operator="equal">
      <formula>"Napkin Hs"</formula>
    </cfRule>
  </conditionalFormatting>
  <conditionalFormatting sqref="C78">
    <cfRule type="cellIs" dxfId="4984" priority="6511" stopIfTrue="1" operator="equal">
      <formula>"Towel"</formula>
    </cfRule>
  </conditionalFormatting>
  <conditionalFormatting sqref="C78">
    <cfRule type="cellIs" dxfId="4983" priority="6510" stopIfTrue="1" operator="equal">
      <formula>"Napkin Hs"</formula>
    </cfRule>
  </conditionalFormatting>
  <conditionalFormatting sqref="C78">
    <cfRule type="cellIs" dxfId="4982" priority="6509" stopIfTrue="1" operator="equal">
      <formula>"Towel"</formula>
    </cfRule>
  </conditionalFormatting>
  <conditionalFormatting sqref="C78">
    <cfRule type="cellIs" dxfId="4981" priority="6506" stopIfTrue="1" operator="equal">
      <formula>"Napkin Hs"</formula>
    </cfRule>
  </conditionalFormatting>
  <conditionalFormatting sqref="C78">
    <cfRule type="cellIs" dxfId="4980" priority="6505" stopIfTrue="1" operator="equal">
      <formula>"Towel"</formula>
    </cfRule>
  </conditionalFormatting>
  <conditionalFormatting sqref="C78">
    <cfRule type="cellIs" dxfId="4979" priority="6504" stopIfTrue="1" operator="equal">
      <formula>"Napkin Hs"</formula>
    </cfRule>
  </conditionalFormatting>
  <conditionalFormatting sqref="C78">
    <cfRule type="cellIs" dxfId="4978" priority="6503" stopIfTrue="1" operator="equal">
      <formula>"Towel"</formula>
    </cfRule>
  </conditionalFormatting>
  <conditionalFormatting sqref="C78">
    <cfRule type="cellIs" dxfId="4977" priority="6499" stopIfTrue="1" operator="equal">
      <formula>"Towel"</formula>
    </cfRule>
    <cfRule type="cellIs" dxfId="4976" priority="6500" stopIfTrue="1" operator="equal">
      <formula>"Napkin Hs"</formula>
    </cfRule>
  </conditionalFormatting>
  <conditionalFormatting sqref="C78">
    <cfRule type="cellIs" dxfId="4975" priority="6497" stopIfTrue="1" operator="equal">
      <formula>"Towel"</formula>
    </cfRule>
    <cfRule type="cellIs" dxfId="4974" priority="6498" stopIfTrue="1" operator="equal">
      <formula>"Napkin Hs"</formula>
    </cfRule>
  </conditionalFormatting>
  <conditionalFormatting sqref="C78">
    <cfRule type="cellIs" dxfId="4973" priority="6481" stopIfTrue="1" operator="equal">
      <formula>"Towel"</formula>
    </cfRule>
    <cfRule type="cellIs" dxfId="4972" priority="6482" stopIfTrue="1" operator="equal">
      <formula>"Napkin Hs"</formula>
    </cfRule>
  </conditionalFormatting>
  <conditionalFormatting sqref="C78">
    <cfRule type="cellIs" dxfId="4971" priority="6479" stopIfTrue="1" operator="equal">
      <formula>"Towel"</formula>
    </cfRule>
    <cfRule type="cellIs" dxfId="4970" priority="6480" stopIfTrue="1" operator="equal">
      <formula>"Napkin Hs"</formula>
    </cfRule>
  </conditionalFormatting>
  <conditionalFormatting sqref="B78:C78">
    <cfRule type="cellIs" dxfId="4969" priority="6440" stopIfTrue="1" operator="equal">
      <formula>"Napkin Hs"</formula>
    </cfRule>
  </conditionalFormatting>
  <conditionalFormatting sqref="B78:C78">
    <cfRule type="cellIs" dxfId="4968" priority="6439" stopIfTrue="1" operator="equal">
      <formula>"Towel"</formula>
    </cfRule>
  </conditionalFormatting>
  <conditionalFormatting sqref="C78">
    <cfRule type="cellIs" dxfId="4967" priority="6438" stopIfTrue="1" operator="equal">
      <formula>"Napkin Hs"</formula>
    </cfRule>
  </conditionalFormatting>
  <conditionalFormatting sqref="C78">
    <cfRule type="cellIs" dxfId="4966" priority="6435" stopIfTrue="1" operator="equal">
      <formula>"Towel"</formula>
    </cfRule>
    <cfRule type="cellIs" dxfId="4965" priority="6436" stopIfTrue="1" operator="equal">
      <formula>"Napkin Hs"</formula>
    </cfRule>
  </conditionalFormatting>
  <conditionalFormatting sqref="C78">
    <cfRule type="cellIs" dxfId="4964" priority="6437" stopIfTrue="1" operator="equal">
      <formula>"Towel"</formula>
    </cfRule>
  </conditionalFormatting>
  <conditionalFormatting sqref="B78:C78">
    <cfRule type="cellIs" dxfId="4963" priority="6434" stopIfTrue="1" operator="equal">
      <formula>"Napkin Hs"</formula>
    </cfRule>
  </conditionalFormatting>
  <conditionalFormatting sqref="B78:C78">
    <cfRule type="cellIs" dxfId="4962" priority="6433" stopIfTrue="1" operator="equal">
      <formula>"Towel"</formula>
    </cfRule>
  </conditionalFormatting>
  <conditionalFormatting sqref="C78">
    <cfRule type="cellIs" dxfId="4961" priority="6432" stopIfTrue="1" operator="equal">
      <formula>"Napkin Hs"</formula>
    </cfRule>
  </conditionalFormatting>
  <conditionalFormatting sqref="C78">
    <cfRule type="cellIs" dxfId="4960" priority="6431" stopIfTrue="1" operator="equal">
      <formula>"Towel"</formula>
    </cfRule>
  </conditionalFormatting>
  <conditionalFormatting sqref="C78">
    <cfRule type="cellIs" dxfId="4959" priority="6429" stopIfTrue="1" operator="equal">
      <formula>"Towel"</formula>
    </cfRule>
    <cfRule type="cellIs" dxfId="4958" priority="6430" stopIfTrue="1" operator="equal">
      <formula>"Napkin Hs"</formula>
    </cfRule>
  </conditionalFormatting>
  <conditionalFormatting sqref="C78">
    <cfRule type="cellIs" dxfId="4957" priority="6345" stopIfTrue="1" operator="equal">
      <formula>"Towel"</formula>
    </cfRule>
    <cfRule type="cellIs" dxfId="4956" priority="6346" stopIfTrue="1" operator="equal">
      <formula>"Napkin Hs"</formula>
    </cfRule>
  </conditionalFormatting>
  <conditionalFormatting sqref="C78">
    <cfRule type="cellIs" dxfId="4955" priority="6339" stopIfTrue="1" operator="equal">
      <formula>"Towel"</formula>
    </cfRule>
    <cfRule type="cellIs" dxfId="4954" priority="6340" stopIfTrue="1" operator="equal">
      <formula>"Napkin Hs"</formula>
    </cfRule>
  </conditionalFormatting>
  <conditionalFormatting sqref="C78">
    <cfRule type="cellIs" dxfId="4953" priority="6320" stopIfTrue="1" operator="equal">
      <formula>"Napkin Hs"</formula>
    </cfRule>
  </conditionalFormatting>
  <conditionalFormatting sqref="C78">
    <cfRule type="cellIs" dxfId="4952" priority="6319" stopIfTrue="1" operator="equal">
      <formula>"Towel"</formula>
    </cfRule>
  </conditionalFormatting>
  <conditionalFormatting sqref="C78">
    <cfRule type="cellIs" dxfId="4951" priority="6318" stopIfTrue="1" operator="equal">
      <formula>"Napkin Hs"</formula>
    </cfRule>
  </conditionalFormatting>
  <conditionalFormatting sqref="C78">
    <cfRule type="cellIs" dxfId="4950" priority="6315" stopIfTrue="1" operator="equal">
      <formula>"Towel"</formula>
    </cfRule>
    <cfRule type="cellIs" dxfId="4949" priority="6316" stopIfTrue="1" operator="equal">
      <formula>"Napkin Hs"</formula>
    </cfRule>
  </conditionalFormatting>
  <conditionalFormatting sqref="C78">
    <cfRule type="cellIs" dxfId="4948" priority="6317" stopIfTrue="1" operator="equal">
      <formula>"Towel"</formula>
    </cfRule>
  </conditionalFormatting>
  <conditionalFormatting sqref="C78">
    <cfRule type="cellIs" dxfId="4947" priority="6314" stopIfTrue="1" operator="equal">
      <formula>"Napkin Hs"</formula>
    </cfRule>
  </conditionalFormatting>
  <conditionalFormatting sqref="C78">
    <cfRule type="cellIs" dxfId="4946" priority="6313" stopIfTrue="1" operator="equal">
      <formula>"Towel"</formula>
    </cfRule>
  </conditionalFormatting>
  <conditionalFormatting sqref="C78">
    <cfRule type="cellIs" dxfId="4945" priority="6312" stopIfTrue="1" operator="equal">
      <formula>"Napkin Hs"</formula>
    </cfRule>
  </conditionalFormatting>
  <conditionalFormatting sqref="C78">
    <cfRule type="cellIs" dxfId="4944" priority="6309" stopIfTrue="1" operator="equal">
      <formula>"Towel"</formula>
    </cfRule>
    <cfRule type="cellIs" dxfId="4943" priority="6310" stopIfTrue="1" operator="equal">
      <formula>"Napkin Hs"</formula>
    </cfRule>
  </conditionalFormatting>
  <conditionalFormatting sqref="C78">
    <cfRule type="cellIs" dxfId="4942" priority="6311" stopIfTrue="1" operator="equal">
      <formula>"Towel"</formula>
    </cfRule>
  </conditionalFormatting>
  <conditionalFormatting sqref="C78">
    <cfRule type="cellIs" dxfId="4941" priority="6415" stopIfTrue="1" operator="equal">
      <formula>"Towel"</formula>
    </cfRule>
    <cfRule type="cellIs" dxfId="4940" priority="6416" stopIfTrue="1" operator="equal">
      <formula>"Napkin Hs"</formula>
    </cfRule>
  </conditionalFormatting>
  <conditionalFormatting sqref="C78">
    <cfRule type="cellIs" dxfId="4939" priority="6413" stopIfTrue="1" operator="equal">
      <formula>"Towel"</formula>
    </cfRule>
    <cfRule type="cellIs" dxfId="4938" priority="6414" stopIfTrue="1" operator="equal">
      <formula>"Napkin Hs"</formula>
    </cfRule>
  </conditionalFormatting>
  <conditionalFormatting sqref="C78">
    <cfRule type="cellIs" dxfId="4937" priority="6411" stopIfTrue="1" operator="equal">
      <formula>"Towel"</formula>
    </cfRule>
    <cfRule type="cellIs" dxfId="4936" priority="6412" stopIfTrue="1" operator="equal">
      <formula>"Napkin Hs"</formula>
    </cfRule>
  </conditionalFormatting>
  <conditionalFormatting sqref="C78">
    <cfRule type="cellIs" dxfId="4935" priority="6410" stopIfTrue="1" operator="equal">
      <formula>"Napkin Hs"</formula>
    </cfRule>
  </conditionalFormatting>
  <conditionalFormatting sqref="C78">
    <cfRule type="cellIs" dxfId="4934" priority="6409" stopIfTrue="1" operator="equal">
      <formula>"Towel"</formula>
    </cfRule>
  </conditionalFormatting>
  <conditionalFormatting sqref="C78">
    <cfRule type="cellIs" dxfId="4933" priority="6408" stopIfTrue="1" operator="equal">
      <formula>"Napkin Hs"</formula>
    </cfRule>
  </conditionalFormatting>
  <conditionalFormatting sqref="C78">
    <cfRule type="cellIs" dxfId="4932" priority="6407" stopIfTrue="1" operator="equal">
      <formula>"Towel"</formula>
    </cfRule>
  </conditionalFormatting>
  <conditionalFormatting sqref="C78">
    <cfRule type="cellIs" dxfId="4931" priority="6405" stopIfTrue="1" operator="equal">
      <formula>"Towel"</formula>
    </cfRule>
    <cfRule type="cellIs" dxfId="4930" priority="6406" stopIfTrue="1" operator="equal">
      <formula>"Napkin Hs"</formula>
    </cfRule>
  </conditionalFormatting>
  <conditionalFormatting sqref="C78">
    <cfRule type="cellIs" dxfId="4929" priority="6403" stopIfTrue="1" operator="equal">
      <formula>"Towel"</formula>
    </cfRule>
    <cfRule type="cellIs" dxfId="4928" priority="6404" stopIfTrue="1" operator="equal">
      <formula>"Napkin Hs"</formula>
    </cfRule>
  </conditionalFormatting>
  <conditionalFormatting sqref="C78">
    <cfRule type="cellIs" dxfId="4927" priority="6399" stopIfTrue="1" operator="equal">
      <formula>"Towel"</formula>
    </cfRule>
    <cfRule type="cellIs" dxfId="4926" priority="6400" stopIfTrue="1" operator="equal">
      <formula>"Napkin Hs"</formula>
    </cfRule>
  </conditionalFormatting>
  <conditionalFormatting sqref="C78">
    <cfRule type="cellIs" dxfId="4925" priority="6401" stopIfTrue="1" operator="equal">
      <formula>"Towel"</formula>
    </cfRule>
    <cfRule type="cellIs" dxfId="4924" priority="6402" stopIfTrue="1" operator="equal">
      <formula>"Napkin Hs"</formula>
    </cfRule>
  </conditionalFormatting>
  <conditionalFormatting sqref="C78">
    <cfRule type="cellIs" dxfId="4923" priority="6393" stopIfTrue="1" operator="equal">
      <formula>"Towel"</formula>
    </cfRule>
    <cfRule type="cellIs" dxfId="4922" priority="6394" stopIfTrue="1" operator="equal">
      <formula>"Napkin Hs"</formula>
    </cfRule>
  </conditionalFormatting>
  <conditionalFormatting sqref="C78">
    <cfRule type="cellIs" dxfId="4921" priority="6391" stopIfTrue="1" operator="equal">
      <formula>"Towel"</formula>
    </cfRule>
    <cfRule type="cellIs" dxfId="4920" priority="6392" stopIfTrue="1" operator="equal">
      <formula>"Napkin Hs"</formula>
    </cfRule>
  </conditionalFormatting>
  <conditionalFormatting sqref="C78">
    <cfRule type="cellIs" dxfId="4919" priority="6389" stopIfTrue="1" operator="equal">
      <formula>"Towel"</formula>
    </cfRule>
    <cfRule type="cellIs" dxfId="4918" priority="6390" stopIfTrue="1" operator="equal">
      <formula>"Napkin Hs"</formula>
    </cfRule>
  </conditionalFormatting>
  <conditionalFormatting sqref="C78">
    <cfRule type="cellIs" dxfId="4917" priority="6387" stopIfTrue="1" operator="equal">
      <formula>"Towel"</formula>
    </cfRule>
    <cfRule type="cellIs" dxfId="4916" priority="6388" stopIfTrue="1" operator="equal">
      <formula>"Napkin Hs"</formula>
    </cfRule>
  </conditionalFormatting>
  <conditionalFormatting sqref="C78">
    <cfRule type="cellIs" dxfId="4915" priority="6385" stopIfTrue="1" operator="equal">
      <formula>"Towel"</formula>
    </cfRule>
    <cfRule type="cellIs" dxfId="4914" priority="6386" stopIfTrue="1" operator="equal">
      <formula>"Napkin Hs"</formula>
    </cfRule>
  </conditionalFormatting>
  <conditionalFormatting sqref="C78">
    <cfRule type="cellIs" dxfId="4913" priority="6383" stopIfTrue="1" operator="equal">
      <formula>"Towel"</formula>
    </cfRule>
    <cfRule type="cellIs" dxfId="4912" priority="6384" stopIfTrue="1" operator="equal">
      <formula>"Napkin Hs"</formula>
    </cfRule>
  </conditionalFormatting>
  <conditionalFormatting sqref="C78">
    <cfRule type="cellIs" dxfId="4911" priority="6381" stopIfTrue="1" operator="equal">
      <formula>"Towel"</formula>
    </cfRule>
    <cfRule type="cellIs" dxfId="4910" priority="6382" stopIfTrue="1" operator="equal">
      <formula>"Napkin Hs"</formula>
    </cfRule>
  </conditionalFormatting>
  <conditionalFormatting sqref="C78">
    <cfRule type="cellIs" dxfId="4909" priority="6379" stopIfTrue="1" operator="equal">
      <formula>"Towel"</formula>
    </cfRule>
    <cfRule type="cellIs" dxfId="4908" priority="6380" stopIfTrue="1" operator="equal">
      <formula>"Napkin Hs"</formula>
    </cfRule>
  </conditionalFormatting>
  <conditionalFormatting sqref="C78">
    <cfRule type="cellIs" dxfId="4907" priority="6377" stopIfTrue="1" operator="equal">
      <formula>"Towel"</formula>
    </cfRule>
    <cfRule type="cellIs" dxfId="4906" priority="6378" stopIfTrue="1" operator="equal">
      <formula>"Napkin Hs"</formula>
    </cfRule>
  </conditionalFormatting>
  <conditionalFormatting sqref="C78">
    <cfRule type="cellIs" dxfId="4905" priority="6375" stopIfTrue="1" operator="equal">
      <formula>"Towel"</formula>
    </cfRule>
    <cfRule type="cellIs" dxfId="4904" priority="6376" stopIfTrue="1" operator="equal">
      <formula>"Napkin Hs"</formula>
    </cfRule>
  </conditionalFormatting>
  <conditionalFormatting sqref="C78">
    <cfRule type="cellIs" dxfId="4903" priority="6369" stopIfTrue="1" operator="equal">
      <formula>"Towel"</formula>
    </cfRule>
    <cfRule type="cellIs" dxfId="4902" priority="6370" stopIfTrue="1" operator="equal">
      <formula>"Napkin Hs"</formula>
    </cfRule>
  </conditionalFormatting>
  <conditionalFormatting sqref="C78">
    <cfRule type="cellIs" dxfId="4901" priority="6363" stopIfTrue="1" operator="equal">
      <formula>"Towel"</formula>
    </cfRule>
    <cfRule type="cellIs" dxfId="4900" priority="6364" stopIfTrue="1" operator="equal">
      <formula>"Napkin Hs"</formula>
    </cfRule>
  </conditionalFormatting>
  <conditionalFormatting sqref="C78">
    <cfRule type="cellIs" dxfId="4899" priority="6357" stopIfTrue="1" operator="equal">
      <formula>"Towel"</formula>
    </cfRule>
    <cfRule type="cellIs" dxfId="4898" priority="6358" stopIfTrue="1" operator="equal">
      <formula>"Napkin Hs"</formula>
    </cfRule>
  </conditionalFormatting>
  <conditionalFormatting sqref="C78">
    <cfRule type="cellIs" dxfId="4897" priority="6356" stopIfTrue="1" operator="equal">
      <formula>"Napkin Hs"</formula>
    </cfRule>
  </conditionalFormatting>
  <conditionalFormatting sqref="C78">
    <cfRule type="cellIs" dxfId="4896" priority="6355" stopIfTrue="1" operator="equal">
      <formula>"Towel"</formula>
    </cfRule>
  </conditionalFormatting>
  <conditionalFormatting sqref="C78">
    <cfRule type="cellIs" dxfId="4895" priority="6354" stopIfTrue="1" operator="equal">
      <formula>"Napkin Hs"</formula>
    </cfRule>
  </conditionalFormatting>
  <conditionalFormatting sqref="C78">
    <cfRule type="cellIs" dxfId="4894" priority="6353" stopIfTrue="1" operator="equal">
      <formula>"Towel"</formula>
    </cfRule>
  </conditionalFormatting>
  <conditionalFormatting sqref="C78">
    <cfRule type="cellIs" dxfId="4893" priority="6351" stopIfTrue="1" operator="equal">
      <formula>"Towel"</formula>
    </cfRule>
    <cfRule type="cellIs" dxfId="4892" priority="6352" stopIfTrue="1" operator="equal">
      <formula>"Napkin Hs"</formula>
    </cfRule>
  </conditionalFormatting>
  <conditionalFormatting sqref="C78">
    <cfRule type="cellIs" dxfId="4891" priority="6349" stopIfTrue="1" operator="equal">
      <formula>"Towel"</formula>
    </cfRule>
    <cfRule type="cellIs" dxfId="4890" priority="6350" stopIfTrue="1" operator="equal">
      <formula>"Napkin Hs"</formula>
    </cfRule>
  </conditionalFormatting>
  <conditionalFormatting sqref="C78">
    <cfRule type="cellIs" dxfId="4889" priority="6347" stopIfTrue="1" operator="equal">
      <formula>"Towel"</formula>
    </cfRule>
    <cfRule type="cellIs" dxfId="4888" priority="6348" stopIfTrue="1" operator="equal">
      <formula>"Napkin Hs"</formula>
    </cfRule>
  </conditionalFormatting>
  <conditionalFormatting sqref="C78">
    <cfRule type="cellIs" dxfId="4887" priority="6337" stopIfTrue="1" operator="equal">
      <formula>"Towel"</formula>
    </cfRule>
    <cfRule type="cellIs" dxfId="4886" priority="6338" stopIfTrue="1" operator="equal">
      <formula>"Napkin Hs"</formula>
    </cfRule>
  </conditionalFormatting>
  <conditionalFormatting sqref="C78">
    <cfRule type="cellIs" dxfId="4885" priority="6335" stopIfTrue="1" operator="equal">
      <formula>"Towel"</formula>
    </cfRule>
    <cfRule type="cellIs" dxfId="4884" priority="6336" stopIfTrue="1" operator="equal">
      <formula>"Napkin Hs"</formula>
    </cfRule>
  </conditionalFormatting>
  <conditionalFormatting sqref="C78">
    <cfRule type="cellIs" dxfId="4883" priority="6333" stopIfTrue="1" operator="equal">
      <formula>"Towel"</formula>
    </cfRule>
    <cfRule type="cellIs" dxfId="4882" priority="6334" stopIfTrue="1" operator="equal">
      <formula>"Napkin Hs"</formula>
    </cfRule>
  </conditionalFormatting>
  <conditionalFormatting sqref="C78">
    <cfRule type="cellIs" dxfId="4881" priority="6331" stopIfTrue="1" operator="equal">
      <formula>"Towel"</formula>
    </cfRule>
    <cfRule type="cellIs" dxfId="4880" priority="6332" stopIfTrue="1" operator="equal">
      <formula>"Napkin Hs"</formula>
    </cfRule>
  </conditionalFormatting>
  <conditionalFormatting sqref="C78">
    <cfRule type="cellIs" dxfId="4879" priority="6329" stopIfTrue="1" operator="equal">
      <formula>"Towel"</formula>
    </cfRule>
    <cfRule type="cellIs" dxfId="4878" priority="6330" stopIfTrue="1" operator="equal">
      <formula>"Napkin Hs"</formula>
    </cfRule>
  </conditionalFormatting>
  <conditionalFormatting sqref="C78">
    <cfRule type="cellIs" dxfId="4877" priority="6327" stopIfTrue="1" operator="equal">
      <formula>"Towel"</formula>
    </cfRule>
    <cfRule type="cellIs" dxfId="4876" priority="6328" stopIfTrue="1" operator="equal">
      <formula>"Napkin Hs"</formula>
    </cfRule>
  </conditionalFormatting>
  <conditionalFormatting sqref="C78">
    <cfRule type="cellIs" dxfId="4875" priority="6325" stopIfTrue="1" operator="equal">
      <formula>"Towel"</formula>
    </cfRule>
    <cfRule type="cellIs" dxfId="4874" priority="6326" stopIfTrue="1" operator="equal">
      <formula>"Napkin Hs"</formula>
    </cfRule>
  </conditionalFormatting>
  <conditionalFormatting sqref="C78">
    <cfRule type="cellIs" dxfId="4873" priority="6323" stopIfTrue="1" operator="equal">
      <formula>"Towel"</formula>
    </cfRule>
    <cfRule type="cellIs" dxfId="4872" priority="6324" stopIfTrue="1" operator="equal">
      <formula>"Napkin Hs"</formula>
    </cfRule>
  </conditionalFormatting>
  <conditionalFormatting sqref="C78">
    <cfRule type="cellIs" dxfId="4871" priority="6321" stopIfTrue="1" operator="equal">
      <formula>"Towel"</formula>
    </cfRule>
    <cfRule type="cellIs" dxfId="4870" priority="6322" stopIfTrue="1" operator="equal">
      <formula>"Napkin Hs"</formula>
    </cfRule>
  </conditionalFormatting>
  <conditionalFormatting sqref="C78">
    <cfRule type="cellIs" dxfId="4869" priority="6308" stopIfTrue="1" operator="equal">
      <formula>"Napkin Hs"</formula>
    </cfRule>
  </conditionalFormatting>
  <conditionalFormatting sqref="C78">
    <cfRule type="cellIs" dxfId="4868" priority="6307" stopIfTrue="1" operator="equal">
      <formula>"Towel"</formula>
    </cfRule>
  </conditionalFormatting>
  <conditionalFormatting sqref="C78">
    <cfRule type="cellIs" dxfId="4867" priority="6306" stopIfTrue="1" operator="equal">
      <formula>"Napkin Hs"</formula>
    </cfRule>
  </conditionalFormatting>
  <conditionalFormatting sqref="C78">
    <cfRule type="cellIs" dxfId="4866" priority="6303" stopIfTrue="1" operator="equal">
      <formula>"Towel"</formula>
    </cfRule>
    <cfRule type="cellIs" dxfId="4865" priority="6304" stopIfTrue="1" operator="equal">
      <formula>"Napkin Hs"</formula>
    </cfRule>
  </conditionalFormatting>
  <conditionalFormatting sqref="C78">
    <cfRule type="cellIs" dxfId="4864" priority="6305" stopIfTrue="1" operator="equal">
      <formula>"Towel"</formula>
    </cfRule>
  </conditionalFormatting>
  <conditionalFormatting sqref="C78">
    <cfRule type="cellIs" dxfId="4863" priority="6423" stopIfTrue="1" operator="equal">
      <formula>"Towel"</formula>
    </cfRule>
    <cfRule type="cellIs" dxfId="4862" priority="6424" stopIfTrue="1" operator="equal">
      <formula>"Napkin Hs"</formula>
    </cfRule>
  </conditionalFormatting>
  <conditionalFormatting sqref="C78">
    <cfRule type="cellIs" dxfId="4861" priority="6422" stopIfTrue="1" operator="equal">
      <formula>"Napkin Hs"</formula>
    </cfRule>
  </conditionalFormatting>
  <conditionalFormatting sqref="C78">
    <cfRule type="cellIs" dxfId="4860" priority="6421" stopIfTrue="1" operator="equal">
      <formula>"Towel"</formula>
    </cfRule>
  </conditionalFormatting>
  <conditionalFormatting sqref="C78">
    <cfRule type="cellIs" dxfId="4859" priority="6420" stopIfTrue="1" operator="equal">
      <formula>"Napkin Hs"</formula>
    </cfRule>
  </conditionalFormatting>
  <conditionalFormatting sqref="C78">
    <cfRule type="cellIs" dxfId="4858" priority="6417" stopIfTrue="1" operator="equal">
      <formula>"Towel"</formula>
    </cfRule>
    <cfRule type="cellIs" dxfId="4857" priority="6418" stopIfTrue="1" operator="equal">
      <formula>"Napkin Hs"</formula>
    </cfRule>
  </conditionalFormatting>
  <conditionalFormatting sqref="C78">
    <cfRule type="cellIs" dxfId="4856" priority="6419" stopIfTrue="1" operator="equal">
      <formula>"Towel"</formula>
    </cfRule>
  </conditionalFormatting>
  <conditionalFormatting sqref="C78">
    <cfRule type="cellIs" dxfId="4855" priority="6427" stopIfTrue="1" operator="equal">
      <formula>"Towel"</formula>
    </cfRule>
    <cfRule type="cellIs" dxfId="4854" priority="6428" stopIfTrue="1" operator="equal">
      <formula>"Napkin Hs"</formula>
    </cfRule>
  </conditionalFormatting>
  <conditionalFormatting sqref="C78">
    <cfRule type="cellIs" dxfId="4853" priority="6425" stopIfTrue="1" operator="equal">
      <formula>"Towel"</formula>
    </cfRule>
    <cfRule type="cellIs" dxfId="4852" priority="6426" stopIfTrue="1" operator="equal">
      <formula>"Napkin Hs"</formula>
    </cfRule>
  </conditionalFormatting>
  <conditionalFormatting sqref="C78">
    <cfRule type="cellIs" dxfId="4851" priority="6397" stopIfTrue="1" operator="equal">
      <formula>"Towel"</formula>
    </cfRule>
    <cfRule type="cellIs" dxfId="4850" priority="6398" stopIfTrue="1" operator="equal">
      <formula>"Napkin Hs"</formula>
    </cfRule>
  </conditionalFormatting>
  <conditionalFormatting sqref="C78">
    <cfRule type="cellIs" dxfId="4849" priority="6395" stopIfTrue="1" operator="equal">
      <formula>"Towel"</formula>
    </cfRule>
    <cfRule type="cellIs" dxfId="4848" priority="6396" stopIfTrue="1" operator="equal">
      <formula>"Napkin Hs"</formula>
    </cfRule>
  </conditionalFormatting>
  <conditionalFormatting sqref="C78">
    <cfRule type="cellIs" dxfId="4847" priority="6374" stopIfTrue="1" operator="equal">
      <formula>"Napkin Hs"</formula>
    </cfRule>
  </conditionalFormatting>
  <conditionalFormatting sqref="C78">
    <cfRule type="cellIs" dxfId="4846" priority="6373" stopIfTrue="1" operator="equal">
      <formula>"Towel"</formula>
    </cfRule>
  </conditionalFormatting>
  <conditionalFormatting sqref="C78">
    <cfRule type="cellIs" dxfId="4845" priority="6372" stopIfTrue="1" operator="equal">
      <formula>"Napkin Hs"</formula>
    </cfRule>
  </conditionalFormatting>
  <conditionalFormatting sqref="C78">
    <cfRule type="cellIs" dxfId="4844" priority="6371" stopIfTrue="1" operator="equal">
      <formula>"Towel"</formula>
    </cfRule>
  </conditionalFormatting>
  <conditionalFormatting sqref="C78">
    <cfRule type="cellIs" dxfId="4843" priority="6368" stopIfTrue="1" operator="equal">
      <formula>"Napkin Hs"</formula>
    </cfRule>
  </conditionalFormatting>
  <conditionalFormatting sqref="C78">
    <cfRule type="cellIs" dxfId="4842" priority="6367" stopIfTrue="1" operator="equal">
      <formula>"Towel"</formula>
    </cfRule>
  </conditionalFormatting>
  <conditionalFormatting sqref="C78">
    <cfRule type="cellIs" dxfId="4841" priority="6366" stopIfTrue="1" operator="equal">
      <formula>"Napkin Hs"</formula>
    </cfRule>
  </conditionalFormatting>
  <conditionalFormatting sqref="C78">
    <cfRule type="cellIs" dxfId="4840" priority="6365" stopIfTrue="1" operator="equal">
      <formula>"Towel"</formula>
    </cfRule>
  </conditionalFormatting>
  <conditionalFormatting sqref="C78">
    <cfRule type="cellIs" dxfId="4839" priority="6361" stopIfTrue="1" operator="equal">
      <formula>"Towel"</formula>
    </cfRule>
    <cfRule type="cellIs" dxfId="4838" priority="6362" stopIfTrue="1" operator="equal">
      <formula>"Napkin Hs"</formula>
    </cfRule>
  </conditionalFormatting>
  <conditionalFormatting sqref="C78">
    <cfRule type="cellIs" dxfId="4837" priority="6359" stopIfTrue="1" operator="equal">
      <formula>"Towel"</formula>
    </cfRule>
    <cfRule type="cellIs" dxfId="4836" priority="6360" stopIfTrue="1" operator="equal">
      <formula>"Napkin Hs"</formula>
    </cfRule>
  </conditionalFormatting>
  <conditionalFormatting sqref="C78">
    <cfRule type="cellIs" dxfId="4835" priority="6343" stopIfTrue="1" operator="equal">
      <formula>"Towel"</formula>
    </cfRule>
    <cfRule type="cellIs" dxfId="4834" priority="6344" stopIfTrue="1" operator="equal">
      <formula>"Napkin Hs"</formula>
    </cfRule>
  </conditionalFormatting>
  <conditionalFormatting sqref="C78">
    <cfRule type="cellIs" dxfId="4833" priority="6341" stopIfTrue="1" operator="equal">
      <formula>"Towel"</formula>
    </cfRule>
    <cfRule type="cellIs" dxfId="4832" priority="6342" stopIfTrue="1" operator="equal">
      <formula>"Napkin Hs"</formula>
    </cfRule>
  </conditionalFormatting>
  <conditionalFormatting sqref="B78:C78">
    <cfRule type="cellIs" dxfId="4831" priority="6302" stopIfTrue="1" operator="equal">
      <formula>"Napkin Hs"</formula>
    </cfRule>
  </conditionalFormatting>
  <conditionalFormatting sqref="B78:C78">
    <cfRule type="cellIs" dxfId="4830" priority="6301" stopIfTrue="1" operator="equal">
      <formula>"Towel"</formula>
    </cfRule>
  </conditionalFormatting>
  <conditionalFormatting sqref="C78">
    <cfRule type="cellIs" dxfId="4829" priority="6300" stopIfTrue="1" operator="equal">
      <formula>"Napkin Hs"</formula>
    </cfRule>
  </conditionalFormatting>
  <conditionalFormatting sqref="C78">
    <cfRule type="cellIs" dxfId="4828" priority="6297" stopIfTrue="1" operator="equal">
      <formula>"Towel"</formula>
    </cfRule>
    <cfRule type="cellIs" dxfId="4827" priority="6298" stopIfTrue="1" operator="equal">
      <formula>"Napkin Hs"</formula>
    </cfRule>
  </conditionalFormatting>
  <conditionalFormatting sqref="C78">
    <cfRule type="cellIs" dxfId="4826" priority="6299" stopIfTrue="1" operator="equal">
      <formula>"Towel"</formula>
    </cfRule>
  </conditionalFormatting>
  <conditionalFormatting sqref="B79:C79">
    <cfRule type="cellIs" dxfId="4825" priority="6295" stopIfTrue="1" operator="equal">
      <formula>"Towel"</formula>
    </cfRule>
    <cfRule type="cellIs" dxfId="4824" priority="6296" stopIfTrue="1" operator="equal">
      <formula>"Napkin Hs"</formula>
    </cfRule>
  </conditionalFormatting>
  <conditionalFormatting sqref="C79">
    <cfRule type="cellIs" dxfId="4823" priority="6291" stopIfTrue="1" operator="equal">
      <formula>"Towel"</formula>
    </cfRule>
    <cfRule type="cellIs" dxfId="4822" priority="6292" stopIfTrue="1" operator="equal">
      <formula>"Napkin Hs"</formula>
    </cfRule>
  </conditionalFormatting>
  <conditionalFormatting sqref="C79">
    <cfRule type="cellIs" dxfId="4821" priority="6293" stopIfTrue="1" operator="equal">
      <formula>"Towel"</formula>
    </cfRule>
    <cfRule type="cellIs" dxfId="4820" priority="6294" stopIfTrue="1" operator="equal">
      <formula>"Napkin Hs"</formula>
    </cfRule>
  </conditionalFormatting>
  <conditionalFormatting sqref="B79:C79">
    <cfRule type="cellIs" dxfId="4819" priority="6289" stopIfTrue="1" operator="equal">
      <formula>"Towel"</formula>
    </cfRule>
    <cfRule type="cellIs" dxfId="4818" priority="6290" stopIfTrue="1" operator="equal">
      <formula>"Napkin Hs"</formula>
    </cfRule>
  </conditionalFormatting>
  <conditionalFormatting sqref="C79">
    <cfRule type="cellIs" dxfId="4817" priority="6285" stopIfTrue="1" operator="equal">
      <formula>"Towel"</formula>
    </cfRule>
    <cfRule type="cellIs" dxfId="4816" priority="6286" stopIfTrue="1" operator="equal">
      <formula>"Napkin Hs"</formula>
    </cfRule>
  </conditionalFormatting>
  <conditionalFormatting sqref="C79">
    <cfRule type="cellIs" dxfId="4815" priority="6287" stopIfTrue="1" operator="equal">
      <formula>"Towel"</formula>
    </cfRule>
    <cfRule type="cellIs" dxfId="4814" priority="6288" stopIfTrue="1" operator="equal">
      <formula>"Napkin Hs"</formula>
    </cfRule>
  </conditionalFormatting>
  <conditionalFormatting sqref="B79:C79">
    <cfRule type="cellIs" dxfId="4813" priority="6283" stopIfTrue="1" operator="equal">
      <formula>"Towel"</formula>
    </cfRule>
    <cfRule type="cellIs" dxfId="4812" priority="6284" stopIfTrue="1" operator="equal">
      <formula>"Napkin Hs"</formula>
    </cfRule>
  </conditionalFormatting>
  <conditionalFormatting sqref="C79">
    <cfRule type="cellIs" dxfId="4811" priority="6281" stopIfTrue="1" operator="equal">
      <formula>"Towel"</formula>
    </cfRule>
    <cfRule type="cellIs" dxfId="4810" priority="6282" stopIfTrue="1" operator="equal">
      <formula>"Napkin Hs"</formula>
    </cfRule>
  </conditionalFormatting>
  <conditionalFormatting sqref="C79">
    <cfRule type="cellIs" dxfId="4809" priority="6279" stopIfTrue="1" operator="equal">
      <formula>"Towel"</formula>
    </cfRule>
    <cfRule type="cellIs" dxfId="4808" priority="6280" stopIfTrue="1" operator="equal">
      <formula>"Napkin Hs"</formula>
    </cfRule>
  </conditionalFormatting>
  <conditionalFormatting sqref="B79:C79">
    <cfRule type="cellIs" dxfId="4807" priority="6277" stopIfTrue="1" operator="equal">
      <formula>"Towel"</formula>
    </cfRule>
    <cfRule type="cellIs" dxfId="4806" priority="6278" stopIfTrue="1" operator="equal">
      <formula>"Napkin Hs"</formula>
    </cfRule>
  </conditionalFormatting>
  <conditionalFormatting sqref="C79">
    <cfRule type="cellIs" dxfId="4805" priority="6275" stopIfTrue="1" operator="equal">
      <formula>"Towel"</formula>
    </cfRule>
    <cfRule type="cellIs" dxfId="4804" priority="6276" stopIfTrue="1" operator="equal">
      <formula>"Napkin Hs"</formula>
    </cfRule>
  </conditionalFormatting>
  <conditionalFormatting sqref="C79">
    <cfRule type="cellIs" dxfId="4803" priority="6273" stopIfTrue="1" operator="equal">
      <formula>"Towel"</formula>
    </cfRule>
    <cfRule type="cellIs" dxfId="4802" priority="6274" stopIfTrue="1" operator="equal">
      <formula>"Napkin Hs"</formula>
    </cfRule>
  </conditionalFormatting>
  <conditionalFormatting sqref="B79:C79">
    <cfRule type="cellIs" dxfId="4801" priority="6271" stopIfTrue="1" operator="equal">
      <formula>"Towel"</formula>
    </cfRule>
    <cfRule type="cellIs" dxfId="4800" priority="6272" stopIfTrue="1" operator="equal">
      <formula>"Napkin Hs"</formula>
    </cfRule>
  </conditionalFormatting>
  <conditionalFormatting sqref="C79">
    <cfRule type="cellIs" dxfId="4799" priority="6269" stopIfTrue="1" operator="equal">
      <formula>"Towel"</formula>
    </cfRule>
    <cfRule type="cellIs" dxfId="4798" priority="6270" stopIfTrue="1" operator="equal">
      <formula>"Napkin Hs"</formula>
    </cfRule>
  </conditionalFormatting>
  <conditionalFormatting sqref="C79">
    <cfRule type="cellIs" dxfId="4797" priority="6267" stopIfTrue="1" operator="equal">
      <formula>"Towel"</formula>
    </cfRule>
    <cfRule type="cellIs" dxfId="4796" priority="6268" stopIfTrue="1" operator="equal">
      <formula>"Napkin Hs"</formula>
    </cfRule>
  </conditionalFormatting>
  <conditionalFormatting sqref="B79:C79">
    <cfRule type="cellIs" dxfId="4795" priority="6266" stopIfTrue="1" operator="equal">
      <formula>"Napkin Hs"</formula>
    </cfRule>
  </conditionalFormatting>
  <conditionalFormatting sqref="B79:C79">
    <cfRule type="cellIs" dxfId="4794" priority="6265" stopIfTrue="1" operator="equal">
      <formula>"Towel"</formula>
    </cfRule>
  </conditionalFormatting>
  <conditionalFormatting sqref="C79">
    <cfRule type="cellIs" dxfId="4793" priority="6264" stopIfTrue="1" operator="equal">
      <formula>"Napkin Hs"</formula>
    </cfRule>
  </conditionalFormatting>
  <conditionalFormatting sqref="C79">
    <cfRule type="cellIs" dxfId="4792" priority="6261" stopIfTrue="1" operator="equal">
      <formula>"Towel"</formula>
    </cfRule>
    <cfRule type="cellIs" dxfId="4791" priority="6262" stopIfTrue="1" operator="equal">
      <formula>"Napkin Hs"</formula>
    </cfRule>
  </conditionalFormatting>
  <conditionalFormatting sqref="C79">
    <cfRule type="cellIs" dxfId="4790" priority="6263" stopIfTrue="1" operator="equal">
      <formula>"Towel"</formula>
    </cfRule>
  </conditionalFormatting>
  <conditionalFormatting sqref="C79">
    <cfRule type="cellIs" dxfId="4789" priority="6225" stopIfTrue="1" operator="equal">
      <formula>"Towel"</formula>
    </cfRule>
    <cfRule type="cellIs" dxfId="4788" priority="6226" stopIfTrue="1" operator="equal">
      <formula>"Napkin Hs"</formula>
    </cfRule>
  </conditionalFormatting>
  <conditionalFormatting sqref="B79:C79">
    <cfRule type="cellIs" dxfId="4787" priority="6223" stopIfTrue="1" operator="equal">
      <formula>"Towel"</formula>
    </cfRule>
    <cfRule type="cellIs" dxfId="4786" priority="6224" stopIfTrue="1" operator="equal">
      <formula>"Napkin Hs"</formula>
    </cfRule>
  </conditionalFormatting>
  <conditionalFormatting sqref="C79">
    <cfRule type="cellIs" dxfId="4785" priority="6221" stopIfTrue="1" operator="equal">
      <formula>"Towel"</formula>
    </cfRule>
    <cfRule type="cellIs" dxfId="4784" priority="6222" stopIfTrue="1" operator="equal">
      <formula>"Napkin Hs"</formula>
    </cfRule>
  </conditionalFormatting>
  <conditionalFormatting sqref="C79">
    <cfRule type="cellIs" dxfId="4783" priority="6213" stopIfTrue="1" operator="equal">
      <formula>"Towel"</formula>
    </cfRule>
    <cfRule type="cellIs" dxfId="4782" priority="6214" stopIfTrue="1" operator="equal">
      <formula>"Napkin Hs"</formula>
    </cfRule>
  </conditionalFormatting>
  <conditionalFormatting sqref="B79:C79">
    <cfRule type="cellIs" dxfId="4781" priority="6259" stopIfTrue="1" operator="equal">
      <formula>"Towel"</formula>
    </cfRule>
    <cfRule type="cellIs" dxfId="4780" priority="6260" stopIfTrue="1" operator="equal">
      <formula>"Napkin Hs"</formula>
    </cfRule>
  </conditionalFormatting>
  <conditionalFormatting sqref="C79">
    <cfRule type="cellIs" dxfId="4779" priority="6255" stopIfTrue="1" operator="equal">
      <formula>"Towel"</formula>
    </cfRule>
    <cfRule type="cellIs" dxfId="4778" priority="6256" stopIfTrue="1" operator="equal">
      <formula>"Napkin Hs"</formula>
    </cfRule>
  </conditionalFormatting>
  <conditionalFormatting sqref="C79">
    <cfRule type="cellIs" dxfId="4777" priority="6257" stopIfTrue="1" operator="equal">
      <formula>"Towel"</formula>
    </cfRule>
    <cfRule type="cellIs" dxfId="4776" priority="6258" stopIfTrue="1" operator="equal">
      <formula>"Napkin Hs"</formula>
    </cfRule>
  </conditionalFormatting>
  <conditionalFormatting sqref="B79:C79">
    <cfRule type="cellIs" dxfId="4775" priority="6254" stopIfTrue="1" operator="equal">
      <formula>"Napkin Hs"</formula>
    </cfRule>
  </conditionalFormatting>
  <conditionalFormatting sqref="B79:C79">
    <cfRule type="cellIs" dxfId="4774" priority="6253" stopIfTrue="1" operator="equal">
      <formula>"Towel"</formula>
    </cfRule>
  </conditionalFormatting>
  <conditionalFormatting sqref="C79">
    <cfRule type="cellIs" dxfId="4773" priority="6252" stopIfTrue="1" operator="equal">
      <formula>"Napkin Hs"</formula>
    </cfRule>
  </conditionalFormatting>
  <conditionalFormatting sqref="C79">
    <cfRule type="cellIs" dxfId="4772" priority="6251" stopIfTrue="1" operator="equal">
      <formula>"Towel"</formula>
    </cfRule>
  </conditionalFormatting>
  <conditionalFormatting sqref="C79">
    <cfRule type="cellIs" dxfId="4771" priority="6249" stopIfTrue="1" operator="equal">
      <formula>"Towel"</formula>
    </cfRule>
    <cfRule type="cellIs" dxfId="4770" priority="6250" stopIfTrue="1" operator="equal">
      <formula>"Napkin Hs"</formula>
    </cfRule>
  </conditionalFormatting>
  <conditionalFormatting sqref="B79:C79">
    <cfRule type="cellIs" dxfId="4769" priority="6247" stopIfTrue="1" operator="equal">
      <formula>"Towel"</formula>
    </cfRule>
    <cfRule type="cellIs" dxfId="4768" priority="6248" stopIfTrue="1" operator="equal">
      <formula>"Napkin Hs"</formula>
    </cfRule>
  </conditionalFormatting>
  <conditionalFormatting sqref="C79">
    <cfRule type="cellIs" dxfId="4767" priority="6245" stopIfTrue="1" operator="equal">
      <formula>"Towel"</formula>
    </cfRule>
    <cfRule type="cellIs" dxfId="4766" priority="6246" stopIfTrue="1" operator="equal">
      <formula>"Napkin Hs"</formula>
    </cfRule>
  </conditionalFormatting>
  <conditionalFormatting sqref="C79">
    <cfRule type="cellIs" dxfId="4765" priority="6243" stopIfTrue="1" operator="equal">
      <formula>"Towel"</formula>
    </cfRule>
    <cfRule type="cellIs" dxfId="4764" priority="6244" stopIfTrue="1" operator="equal">
      <formula>"Napkin Hs"</formula>
    </cfRule>
  </conditionalFormatting>
  <conditionalFormatting sqref="B79:C79">
    <cfRule type="cellIs" dxfId="4763" priority="6241" stopIfTrue="1" operator="equal">
      <formula>"Towel"</formula>
    </cfRule>
    <cfRule type="cellIs" dxfId="4762" priority="6242" stopIfTrue="1" operator="equal">
      <formula>"Napkin Hs"</formula>
    </cfRule>
  </conditionalFormatting>
  <conditionalFormatting sqref="C79">
    <cfRule type="cellIs" dxfId="4761" priority="6239" stopIfTrue="1" operator="equal">
      <formula>"Towel"</formula>
    </cfRule>
    <cfRule type="cellIs" dxfId="4760" priority="6240" stopIfTrue="1" operator="equal">
      <formula>"Napkin Hs"</formula>
    </cfRule>
  </conditionalFormatting>
  <conditionalFormatting sqref="C79">
    <cfRule type="cellIs" dxfId="4759" priority="6237" stopIfTrue="1" operator="equal">
      <formula>"Towel"</formula>
    </cfRule>
    <cfRule type="cellIs" dxfId="4758" priority="6238" stopIfTrue="1" operator="equal">
      <formula>"Napkin Hs"</formula>
    </cfRule>
  </conditionalFormatting>
  <conditionalFormatting sqref="B79:C79">
    <cfRule type="cellIs" dxfId="4757" priority="6235" stopIfTrue="1" operator="equal">
      <formula>"Towel"</formula>
    </cfRule>
    <cfRule type="cellIs" dxfId="4756" priority="6236" stopIfTrue="1" operator="equal">
      <formula>"Napkin Hs"</formula>
    </cfRule>
  </conditionalFormatting>
  <conditionalFormatting sqref="C79">
    <cfRule type="cellIs" dxfId="4755" priority="6233" stopIfTrue="1" operator="equal">
      <formula>"Towel"</formula>
    </cfRule>
    <cfRule type="cellIs" dxfId="4754" priority="6234" stopIfTrue="1" operator="equal">
      <formula>"Napkin Hs"</formula>
    </cfRule>
  </conditionalFormatting>
  <conditionalFormatting sqref="C79">
    <cfRule type="cellIs" dxfId="4753" priority="6231" stopIfTrue="1" operator="equal">
      <formula>"Towel"</formula>
    </cfRule>
    <cfRule type="cellIs" dxfId="4752" priority="6232" stopIfTrue="1" operator="equal">
      <formula>"Napkin Hs"</formula>
    </cfRule>
  </conditionalFormatting>
  <conditionalFormatting sqref="B79:C79">
    <cfRule type="cellIs" dxfId="4751" priority="6229" stopIfTrue="1" operator="equal">
      <formula>"Towel"</formula>
    </cfRule>
    <cfRule type="cellIs" dxfId="4750" priority="6230" stopIfTrue="1" operator="equal">
      <formula>"Napkin Hs"</formula>
    </cfRule>
  </conditionalFormatting>
  <conditionalFormatting sqref="C79">
    <cfRule type="cellIs" dxfId="4749" priority="6227" stopIfTrue="1" operator="equal">
      <formula>"Towel"</formula>
    </cfRule>
    <cfRule type="cellIs" dxfId="4748" priority="6228" stopIfTrue="1" operator="equal">
      <formula>"Napkin Hs"</formula>
    </cfRule>
  </conditionalFormatting>
  <conditionalFormatting sqref="C79">
    <cfRule type="cellIs" dxfId="4747" priority="6219" stopIfTrue="1" operator="equal">
      <formula>"Towel"</formula>
    </cfRule>
    <cfRule type="cellIs" dxfId="4746" priority="6220" stopIfTrue="1" operator="equal">
      <formula>"Napkin Hs"</formula>
    </cfRule>
  </conditionalFormatting>
  <conditionalFormatting sqref="B79:C79">
    <cfRule type="cellIs" dxfId="4745" priority="6218" stopIfTrue="1" operator="equal">
      <formula>"Napkin Hs"</formula>
    </cfRule>
  </conditionalFormatting>
  <conditionalFormatting sqref="B79:C79">
    <cfRule type="cellIs" dxfId="4744" priority="6217" stopIfTrue="1" operator="equal">
      <formula>"Towel"</formula>
    </cfRule>
  </conditionalFormatting>
  <conditionalFormatting sqref="C79">
    <cfRule type="cellIs" dxfId="4743" priority="6216" stopIfTrue="1" operator="equal">
      <formula>"Napkin Hs"</formula>
    </cfRule>
  </conditionalFormatting>
  <conditionalFormatting sqref="C79">
    <cfRule type="cellIs" dxfId="4742" priority="6215" stopIfTrue="1" operator="equal">
      <formula>"Towel"</formula>
    </cfRule>
  </conditionalFormatting>
  <conditionalFormatting sqref="B79:C79">
    <cfRule type="cellIs" dxfId="4741" priority="6211" stopIfTrue="1" operator="equal">
      <formula>"Towel"</formula>
    </cfRule>
    <cfRule type="cellIs" dxfId="4740" priority="6212" stopIfTrue="1" operator="equal">
      <formula>"Napkin Hs"</formula>
    </cfRule>
  </conditionalFormatting>
  <conditionalFormatting sqref="C79">
    <cfRule type="cellIs" dxfId="4739" priority="6207" stopIfTrue="1" operator="equal">
      <formula>"Towel"</formula>
    </cfRule>
    <cfRule type="cellIs" dxfId="4738" priority="6208" stopIfTrue="1" operator="equal">
      <formula>"Napkin Hs"</formula>
    </cfRule>
  </conditionalFormatting>
  <conditionalFormatting sqref="C79">
    <cfRule type="cellIs" dxfId="4737" priority="6209" stopIfTrue="1" operator="equal">
      <formula>"Towel"</formula>
    </cfRule>
    <cfRule type="cellIs" dxfId="4736" priority="6210" stopIfTrue="1" operator="equal">
      <formula>"Napkin Hs"</formula>
    </cfRule>
  </conditionalFormatting>
  <conditionalFormatting sqref="B79:C79">
    <cfRule type="cellIs" dxfId="4735" priority="6205" stopIfTrue="1" operator="equal">
      <formula>"Towel"</formula>
    </cfRule>
    <cfRule type="cellIs" dxfId="4734" priority="6206" stopIfTrue="1" operator="equal">
      <formula>"Napkin Hs"</formula>
    </cfRule>
  </conditionalFormatting>
  <conditionalFormatting sqref="C79">
    <cfRule type="cellIs" dxfId="4733" priority="6201" stopIfTrue="1" operator="equal">
      <formula>"Towel"</formula>
    </cfRule>
    <cfRule type="cellIs" dxfId="4732" priority="6202" stopIfTrue="1" operator="equal">
      <formula>"Napkin Hs"</formula>
    </cfRule>
  </conditionalFormatting>
  <conditionalFormatting sqref="C79">
    <cfRule type="cellIs" dxfId="4731" priority="6203" stopIfTrue="1" operator="equal">
      <formula>"Towel"</formula>
    </cfRule>
    <cfRule type="cellIs" dxfId="4730" priority="6204" stopIfTrue="1" operator="equal">
      <formula>"Napkin Hs"</formula>
    </cfRule>
  </conditionalFormatting>
  <conditionalFormatting sqref="B79:C79">
    <cfRule type="cellIs" dxfId="4729" priority="6199" stopIfTrue="1" operator="equal">
      <formula>"Towel"</formula>
    </cfRule>
    <cfRule type="cellIs" dxfId="4728" priority="6200" stopIfTrue="1" operator="equal">
      <formula>"Napkin Hs"</formula>
    </cfRule>
  </conditionalFormatting>
  <conditionalFormatting sqref="C79">
    <cfRule type="cellIs" dxfId="4727" priority="6197" stopIfTrue="1" operator="equal">
      <formula>"Towel"</formula>
    </cfRule>
    <cfRule type="cellIs" dxfId="4726" priority="6198" stopIfTrue="1" operator="equal">
      <formula>"Napkin Hs"</formula>
    </cfRule>
  </conditionalFormatting>
  <conditionalFormatting sqref="C79">
    <cfRule type="cellIs" dxfId="4725" priority="6195" stopIfTrue="1" operator="equal">
      <formula>"Towel"</formula>
    </cfRule>
    <cfRule type="cellIs" dxfId="4724" priority="6196" stopIfTrue="1" operator="equal">
      <formula>"Napkin Hs"</formula>
    </cfRule>
  </conditionalFormatting>
  <conditionalFormatting sqref="B79:C79">
    <cfRule type="cellIs" dxfId="4723" priority="6193" stopIfTrue="1" operator="equal">
      <formula>"Towel"</formula>
    </cfRule>
    <cfRule type="cellIs" dxfId="4722" priority="6194" stopIfTrue="1" operator="equal">
      <formula>"Napkin Hs"</formula>
    </cfRule>
  </conditionalFormatting>
  <conditionalFormatting sqref="C79">
    <cfRule type="cellIs" dxfId="4721" priority="6191" stopIfTrue="1" operator="equal">
      <formula>"Towel"</formula>
    </cfRule>
    <cfRule type="cellIs" dxfId="4720" priority="6192" stopIfTrue="1" operator="equal">
      <formula>"Napkin Hs"</formula>
    </cfRule>
  </conditionalFormatting>
  <conditionalFormatting sqref="C79">
    <cfRule type="cellIs" dxfId="4719" priority="6189" stopIfTrue="1" operator="equal">
      <formula>"Towel"</formula>
    </cfRule>
    <cfRule type="cellIs" dxfId="4718" priority="6190" stopIfTrue="1" operator="equal">
      <formula>"Napkin Hs"</formula>
    </cfRule>
  </conditionalFormatting>
  <conditionalFormatting sqref="B79:C79">
    <cfRule type="cellIs" dxfId="4717" priority="6187" stopIfTrue="1" operator="equal">
      <formula>"Towel"</formula>
    </cfRule>
    <cfRule type="cellIs" dxfId="4716" priority="6188" stopIfTrue="1" operator="equal">
      <formula>"Napkin Hs"</formula>
    </cfRule>
  </conditionalFormatting>
  <conditionalFormatting sqref="C79">
    <cfRule type="cellIs" dxfId="4715" priority="6185" stopIfTrue="1" operator="equal">
      <formula>"Towel"</formula>
    </cfRule>
    <cfRule type="cellIs" dxfId="4714" priority="6186" stopIfTrue="1" operator="equal">
      <formula>"Napkin Hs"</formula>
    </cfRule>
  </conditionalFormatting>
  <conditionalFormatting sqref="C79">
    <cfRule type="cellIs" dxfId="4713" priority="6183" stopIfTrue="1" operator="equal">
      <formula>"Towel"</formula>
    </cfRule>
    <cfRule type="cellIs" dxfId="4712" priority="6184" stopIfTrue="1" operator="equal">
      <formula>"Napkin Hs"</formula>
    </cfRule>
  </conditionalFormatting>
  <conditionalFormatting sqref="B79:C79">
    <cfRule type="cellIs" dxfId="4711" priority="6182" stopIfTrue="1" operator="equal">
      <formula>"Napkin Hs"</formula>
    </cfRule>
  </conditionalFormatting>
  <conditionalFormatting sqref="B79:C79">
    <cfRule type="cellIs" dxfId="4710" priority="6181" stopIfTrue="1" operator="equal">
      <formula>"Towel"</formula>
    </cfRule>
  </conditionalFormatting>
  <conditionalFormatting sqref="C79">
    <cfRule type="cellIs" dxfId="4709" priority="6180" stopIfTrue="1" operator="equal">
      <formula>"Napkin Hs"</formula>
    </cfRule>
  </conditionalFormatting>
  <conditionalFormatting sqref="C79">
    <cfRule type="cellIs" dxfId="4708" priority="6177" stopIfTrue="1" operator="equal">
      <formula>"Towel"</formula>
    </cfRule>
    <cfRule type="cellIs" dxfId="4707" priority="6178" stopIfTrue="1" operator="equal">
      <formula>"Napkin Hs"</formula>
    </cfRule>
  </conditionalFormatting>
  <conditionalFormatting sqref="C79">
    <cfRule type="cellIs" dxfId="4706" priority="6179" stopIfTrue="1" operator="equal">
      <formula>"Towel"</formula>
    </cfRule>
  </conditionalFormatting>
  <conditionalFormatting sqref="B79:C79">
    <cfRule type="cellIs" dxfId="4705" priority="6175" stopIfTrue="1" operator="equal">
      <formula>"Towel"</formula>
    </cfRule>
    <cfRule type="cellIs" dxfId="4704" priority="6176" stopIfTrue="1" operator="equal">
      <formula>"Napkin Hs"</formula>
    </cfRule>
  </conditionalFormatting>
  <conditionalFormatting sqref="C79">
    <cfRule type="cellIs" dxfId="4703" priority="6171" stopIfTrue="1" operator="equal">
      <formula>"Towel"</formula>
    </cfRule>
    <cfRule type="cellIs" dxfId="4702" priority="6172" stopIfTrue="1" operator="equal">
      <formula>"Napkin Hs"</formula>
    </cfRule>
  </conditionalFormatting>
  <conditionalFormatting sqref="C79">
    <cfRule type="cellIs" dxfId="4701" priority="6173" stopIfTrue="1" operator="equal">
      <formula>"Towel"</formula>
    </cfRule>
    <cfRule type="cellIs" dxfId="4700" priority="6174" stopIfTrue="1" operator="equal">
      <formula>"Napkin Hs"</formula>
    </cfRule>
  </conditionalFormatting>
  <conditionalFormatting sqref="B79:C79">
    <cfRule type="cellIs" dxfId="4699" priority="6169" stopIfTrue="1" operator="equal">
      <formula>"Towel"</formula>
    </cfRule>
    <cfRule type="cellIs" dxfId="4698" priority="6170" stopIfTrue="1" operator="equal">
      <formula>"Napkin Hs"</formula>
    </cfRule>
  </conditionalFormatting>
  <conditionalFormatting sqref="C79">
    <cfRule type="cellIs" dxfId="4697" priority="6165" stopIfTrue="1" operator="equal">
      <formula>"Towel"</formula>
    </cfRule>
    <cfRule type="cellIs" dxfId="4696" priority="6166" stopIfTrue="1" operator="equal">
      <formula>"Napkin Hs"</formula>
    </cfRule>
  </conditionalFormatting>
  <conditionalFormatting sqref="C79">
    <cfRule type="cellIs" dxfId="4695" priority="6167" stopIfTrue="1" operator="equal">
      <formula>"Towel"</formula>
    </cfRule>
    <cfRule type="cellIs" dxfId="4694" priority="6168" stopIfTrue="1" operator="equal">
      <formula>"Napkin Hs"</formula>
    </cfRule>
  </conditionalFormatting>
  <conditionalFormatting sqref="B79:C79">
    <cfRule type="cellIs" dxfId="4693" priority="6163" stopIfTrue="1" operator="equal">
      <formula>"Towel"</formula>
    </cfRule>
    <cfRule type="cellIs" dxfId="4692" priority="6164" stopIfTrue="1" operator="equal">
      <formula>"Napkin Hs"</formula>
    </cfRule>
  </conditionalFormatting>
  <conditionalFormatting sqref="C79">
    <cfRule type="cellIs" dxfId="4691" priority="6161" stopIfTrue="1" operator="equal">
      <formula>"Towel"</formula>
    </cfRule>
    <cfRule type="cellIs" dxfId="4690" priority="6162" stopIfTrue="1" operator="equal">
      <formula>"Napkin Hs"</formula>
    </cfRule>
  </conditionalFormatting>
  <conditionalFormatting sqref="C79">
    <cfRule type="cellIs" dxfId="4689" priority="6159" stopIfTrue="1" operator="equal">
      <formula>"Towel"</formula>
    </cfRule>
    <cfRule type="cellIs" dxfId="4688" priority="6160" stopIfTrue="1" operator="equal">
      <formula>"Napkin Hs"</formula>
    </cfRule>
  </conditionalFormatting>
  <conditionalFormatting sqref="B79:C79">
    <cfRule type="cellIs" dxfId="4687" priority="6157" stopIfTrue="1" operator="equal">
      <formula>"Towel"</formula>
    </cfRule>
    <cfRule type="cellIs" dxfId="4686" priority="6158" stopIfTrue="1" operator="equal">
      <formula>"Napkin Hs"</formula>
    </cfRule>
  </conditionalFormatting>
  <conditionalFormatting sqref="C79">
    <cfRule type="cellIs" dxfId="4685" priority="6155" stopIfTrue="1" operator="equal">
      <formula>"Towel"</formula>
    </cfRule>
    <cfRule type="cellIs" dxfId="4684" priority="6156" stopIfTrue="1" operator="equal">
      <formula>"Napkin Hs"</formula>
    </cfRule>
  </conditionalFormatting>
  <conditionalFormatting sqref="C79">
    <cfRule type="cellIs" dxfId="4683" priority="6153" stopIfTrue="1" operator="equal">
      <formula>"Towel"</formula>
    </cfRule>
    <cfRule type="cellIs" dxfId="4682" priority="6154" stopIfTrue="1" operator="equal">
      <formula>"Napkin Hs"</formula>
    </cfRule>
  </conditionalFormatting>
  <conditionalFormatting sqref="B79:C79">
    <cfRule type="cellIs" dxfId="4681" priority="6151" stopIfTrue="1" operator="equal">
      <formula>"Towel"</formula>
    </cfRule>
    <cfRule type="cellIs" dxfId="4680" priority="6152" stopIfTrue="1" operator="equal">
      <formula>"Napkin Hs"</formula>
    </cfRule>
  </conditionalFormatting>
  <conditionalFormatting sqref="C79">
    <cfRule type="cellIs" dxfId="4679" priority="6149" stopIfTrue="1" operator="equal">
      <formula>"Towel"</formula>
    </cfRule>
    <cfRule type="cellIs" dxfId="4678" priority="6150" stopIfTrue="1" operator="equal">
      <formula>"Napkin Hs"</formula>
    </cfRule>
  </conditionalFormatting>
  <conditionalFormatting sqref="C79">
    <cfRule type="cellIs" dxfId="4677" priority="6147" stopIfTrue="1" operator="equal">
      <formula>"Towel"</formula>
    </cfRule>
    <cfRule type="cellIs" dxfId="4676" priority="6148" stopIfTrue="1" operator="equal">
      <formula>"Napkin Hs"</formula>
    </cfRule>
  </conditionalFormatting>
  <conditionalFormatting sqref="B79:C79">
    <cfRule type="cellIs" dxfId="4675" priority="6146" stopIfTrue="1" operator="equal">
      <formula>"Napkin Hs"</formula>
    </cfRule>
  </conditionalFormatting>
  <conditionalFormatting sqref="B79:C79">
    <cfRule type="cellIs" dxfId="4674" priority="6145" stopIfTrue="1" operator="equal">
      <formula>"Towel"</formula>
    </cfRule>
  </conditionalFormatting>
  <conditionalFormatting sqref="C79">
    <cfRule type="cellIs" dxfId="4673" priority="6144" stopIfTrue="1" operator="equal">
      <formula>"Napkin Hs"</formula>
    </cfRule>
  </conditionalFormatting>
  <conditionalFormatting sqref="C79">
    <cfRule type="cellIs" dxfId="4672" priority="6141" stopIfTrue="1" operator="equal">
      <formula>"Towel"</formula>
    </cfRule>
    <cfRule type="cellIs" dxfId="4671" priority="6142" stopIfTrue="1" operator="equal">
      <formula>"Napkin Hs"</formula>
    </cfRule>
  </conditionalFormatting>
  <conditionalFormatting sqref="C79">
    <cfRule type="cellIs" dxfId="4670" priority="6143" stopIfTrue="1" operator="equal">
      <formula>"Towel"</formula>
    </cfRule>
  </conditionalFormatting>
  <conditionalFormatting sqref="B79:C79">
    <cfRule type="cellIs" dxfId="4669" priority="6139" stopIfTrue="1" operator="equal">
      <formula>"Towel"</formula>
    </cfRule>
    <cfRule type="cellIs" dxfId="4668" priority="6140" stopIfTrue="1" operator="equal">
      <formula>"Napkin Hs"</formula>
    </cfRule>
  </conditionalFormatting>
  <conditionalFormatting sqref="C79">
    <cfRule type="cellIs" dxfId="4667" priority="6135" stopIfTrue="1" operator="equal">
      <formula>"Towel"</formula>
    </cfRule>
    <cfRule type="cellIs" dxfId="4666" priority="6136" stopIfTrue="1" operator="equal">
      <formula>"Napkin Hs"</formula>
    </cfRule>
  </conditionalFormatting>
  <conditionalFormatting sqref="C79">
    <cfRule type="cellIs" dxfId="4665" priority="6137" stopIfTrue="1" operator="equal">
      <formula>"Towel"</formula>
    </cfRule>
    <cfRule type="cellIs" dxfId="4664" priority="6138" stopIfTrue="1" operator="equal">
      <formula>"Napkin Hs"</formula>
    </cfRule>
  </conditionalFormatting>
  <conditionalFormatting sqref="C79">
    <cfRule type="cellIs" dxfId="4663" priority="6051" stopIfTrue="1" operator="equal">
      <formula>"Towel"</formula>
    </cfRule>
    <cfRule type="cellIs" dxfId="4662" priority="6052" stopIfTrue="1" operator="equal">
      <formula>"Napkin Hs"</formula>
    </cfRule>
  </conditionalFormatting>
  <conditionalFormatting sqref="C79">
    <cfRule type="cellIs" dxfId="4661" priority="6045" stopIfTrue="1" operator="equal">
      <formula>"Towel"</formula>
    </cfRule>
    <cfRule type="cellIs" dxfId="4660" priority="6046" stopIfTrue="1" operator="equal">
      <formula>"Napkin Hs"</formula>
    </cfRule>
  </conditionalFormatting>
  <conditionalFormatting sqref="C79">
    <cfRule type="cellIs" dxfId="4659" priority="6026" stopIfTrue="1" operator="equal">
      <formula>"Napkin Hs"</formula>
    </cfRule>
  </conditionalFormatting>
  <conditionalFormatting sqref="C79">
    <cfRule type="cellIs" dxfId="4658" priority="6025" stopIfTrue="1" operator="equal">
      <formula>"Towel"</formula>
    </cfRule>
  </conditionalFormatting>
  <conditionalFormatting sqref="C79">
    <cfRule type="cellIs" dxfId="4657" priority="6024" stopIfTrue="1" operator="equal">
      <formula>"Napkin Hs"</formula>
    </cfRule>
  </conditionalFormatting>
  <conditionalFormatting sqref="C79">
    <cfRule type="cellIs" dxfId="4656" priority="6021" stopIfTrue="1" operator="equal">
      <formula>"Towel"</formula>
    </cfRule>
    <cfRule type="cellIs" dxfId="4655" priority="6022" stopIfTrue="1" operator="equal">
      <formula>"Napkin Hs"</formula>
    </cfRule>
  </conditionalFormatting>
  <conditionalFormatting sqref="C79">
    <cfRule type="cellIs" dxfId="4654" priority="6023" stopIfTrue="1" operator="equal">
      <formula>"Towel"</formula>
    </cfRule>
  </conditionalFormatting>
  <conditionalFormatting sqref="C79">
    <cfRule type="cellIs" dxfId="4653" priority="6020" stopIfTrue="1" operator="equal">
      <formula>"Napkin Hs"</formula>
    </cfRule>
  </conditionalFormatting>
  <conditionalFormatting sqref="C79">
    <cfRule type="cellIs" dxfId="4652" priority="6019" stopIfTrue="1" operator="equal">
      <formula>"Towel"</formula>
    </cfRule>
  </conditionalFormatting>
  <conditionalFormatting sqref="C79">
    <cfRule type="cellIs" dxfId="4651" priority="6018" stopIfTrue="1" operator="equal">
      <formula>"Napkin Hs"</formula>
    </cfRule>
  </conditionalFormatting>
  <conditionalFormatting sqref="C79">
    <cfRule type="cellIs" dxfId="4650" priority="6015" stopIfTrue="1" operator="equal">
      <formula>"Towel"</formula>
    </cfRule>
    <cfRule type="cellIs" dxfId="4649" priority="6016" stopIfTrue="1" operator="equal">
      <formula>"Napkin Hs"</formula>
    </cfRule>
  </conditionalFormatting>
  <conditionalFormatting sqref="C79">
    <cfRule type="cellIs" dxfId="4648" priority="6017" stopIfTrue="1" operator="equal">
      <formula>"Towel"</formula>
    </cfRule>
  </conditionalFormatting>
  <conditionalFormatting sqref="C79">
    <cfRule type="cellIs" dxfId="4647" priority="6121" stopIfTrue="1" operator="equal">
      <formula>"Towel"</formula>
    </cfRule>
    <cfRule type="cellIs" dxfId="4646" priority="6122" stopIfTrue="1" operator="equal">
      <formula>"Napkin Hs"</formula>
    </cfRule>
  </conditionalFormatting>
  <conditionalFormatting sqref="C79">
    <cfRule type="cellIs" dxfId="4645" priority="6119" stopIfTrue="1" operator="equal">
      <formula>"Towel"</formula>
    </cfRule>
    <cfRule type="cellIs" dxfId="4644" priority="6120" stopIfTrue="1" operator="equal">
      <formula>"Napkin Hs"</formula>
    </cfRule>
  </conditionalFormatting>
  <conditionalFormatting sqref="C79">
    <cfRule type="cellIs" dxfId="4643" priority="6117" stopIfTrue="1" operator="equal">
      <formula>"Towel"</formula>
    </cfRule>
    <cfRule type="cellIs" dxfId="4642" priority="6118" stopIfTrue="1" operator="equal">
      <formula>"Napkin Hs"</formula>
    </cfRule>
  </conditionalFormatting>
  <conditionalFormatting sqref="C79">
    <cfRule type="cellIs" dxfId="4641" priority="6116" stopIfTrue="1" operator="equal">
      <formula>"Napkin Hs"</formula>
    </cfRule>
  </conditionalFormatting>
  <conditionalFormatting sqref="C79">
    <cfRule type="cellIs" dxfId="4640" priority="6115" stopIfTrue="1" operator="equal">
      <formula>"Towel"</formula>
    </cfRule>
  </conditionalFormatting>
  <conditionalFormatting sqref="C79">
    <cfRule type="cellIs" dxfId="4639" priority="6114" stopIfTrue="1" operator="equal">
      <formula>"Napkin Hs"</formula>
    </cfRule>
  </conditionalFormatting>
  <conditionalFormatting sqref="C79">
    <cfRule type="cellIs" dxfId="4638" priority="6113" stopIfTrue="1" operator="equal">
      <formula>"Towel"</formula>
    </cfRule>
  </conditionalFormatting>
  <conditionalFormatting sqref="C79">
    <cfRule type="cellIs" dxfId="4637" priority="6111" stopIfTrue="1" operator="equal">
      <formula>"Towel"</formula>
    </cfRule>
    <cfRule type="cellIs" dxfId="4636" priority="6112" stopIfTrue="1" operator="equal">
      <formula>"Napkin Hs"</formula>
    </cfRule>
  </conditionalFormatting>
  <conditionalFormatting sqref="C79">
    <cfRule type="cellIs" dxfId="4635" priority="6109" stopIfTrue="1" operator="equal">
      <formula>"Towel"</formula>
    </cfRule>
    <cfRule type="cellIs" dxfId="4634" priority="6110" stopIfTrue="1" operator="equal">
      <formula>"Napkin Hs"</formula>
    </cfRule>
  </conditionalFormatting>
  <conditionalFormatting sqref="C79">
    <cfRule type="cellIs" dxfId="4633" priority="6105" stopIfTrue="1" operator="equal">
      <formula>"Towel"</formula>
    </cfRule>
    <cfRule type="cellIs" dxfId="4632" priority="6106" stopIfTrue="1" operator="equal">
      <formula>"Napkin Hs"</formula>
    </cfRule>
  </conditionalFormatting>
  <conditionalFormatting sqref="C79">
    <cfRule type="cellIs" dxfId="4631" priority="6107" stopIfTrue="1" operator="equal">
      <formula>"Towel"</formula>
    </cfRule>
    <cfRule type="cellIs" dxfId="4630" priority="6108" stopIfTrue="1" operator="equal">
      <formula>"Napkin Hs"</formula>
    </cfRule>
  </conditionalFormatting>
  <conditionalFormatting sqref="C79">
    <cfRule type="cellIs" dxfId="4629" priority="6099" stopIfTrue="1" operator="equal">
      <formula>"Towel"</formula>
    </cfRule>
    <cfRule type="cellIs" dxfId="4628" priority="6100" stopIfTrue="1" operator="equal">
      <formula>"Napkin Hs"</formula>
    </cfRule>
  </conditionalFormatting>
  <conditionalFormatting sqref="C79">
    <cfRule type="cellIs" dxfId="4627" priority="6097" stopIfTrue="1" operator="equal">
      <formula>"Towel"</formula>
    </cfRule>
    <cfRule type="cellIs" dxfId="4626" priority="6098" stopIfTrue="1" operator="equal">
      <formula>"Napkin Hs"</formula>
    </cfRule>
  </conditionalFormatting>
  <conditionalFormatting sqref="C79">
    <cfRule type="cellIs" dxfId="4625" priority="6095" stopIfTrue="1" operator="equal">
      <formula>"Towel"</formula>
    </cfRule>
    <cfRule type="cellIs" dxfId="4624" priority="6096" stopIfTrue="1" operator="equal">
      <formula>"Napkin Hs"</formula>
    </cfRule>
  </conditionalFormatting>
  <conditionalFormatting sqref="C79">
    <cfRule type="cellIs" dxfId="4623" priority="6093" stopIfTrue="1" operator="equal">
      <formula>"Towel"</formula>
    </cfRule>
    <cfRule type="cellIs" dxfId="4622" priority="6094" stopIfTrue="1" operator="equal">
      <formula>"Napkin Hs"</formula>
    </cfRule>
  </conditionalFormatting>
  <conditionalFormatting sqref="C79">
    <cfRule type="cellIs" dxfId="4621" priority="6091" stopIfTrue="1" operator="equal">
      <formula>"Towel"</formula>
    </cfRule>
    <cfRule type="cellIs" dxfId="4620" priority="6092" stopIfTrue="1" operator="equal">
      <formula>"Napkin Hs"</formula>
    </cfRule>
  </conditionalFormatting>
  <conditionalFormatting sqref="C79">
    <cfRule type="cellIs" dxfId="4619" priority="6089" stopIfTrue="1" operator="equal">
      <formula>"Towel"</formula>
    </cfRule>
    <cfRule type="cellIs" dxfId="4618" priority="6090" stopIfTrue="1" operator="equal">
      <formula>"Napkin Hs"</formula>
    </cfRule>
  </conditionalFormatting>
  <conditionalFormatting sqref="C79">
    <cfRule type="cellIs" dxfId="4617" priority="6087" stopIfTrue="1" operator="equal">
      <formula>"Towel"</formula>
    </cfRule>
    <cfRule type="cellIs" dxfId="4616" priority="6088" stopIfTrue="1" operator="equal">
      <formula>"Napkin Hs"</formula>
    </cfRule>
  </conditionalFormatting>
  <conditionalFormatting sqref="C79">
    <cfRule type="cellIs" dxfId="4615" priority="6085" stopIfTrue="1" operator="equal">
      <formula>"Towel"</formula>
    </cfRule>
    <cfRule type="cellIs" dxfId="4614" priority="6086" stopIfTrue="1" operator="equal">
      <formula>"Napkin Hs"</formula>
    </cfRule>
  </conditionalFormatting>
  <conditionalFormatting sqref="C79">
    <cfRule type="cellIs" dxfId="4613" priority="6083" stopIfTrue="1" operator="equal">
      <formula>"Towel"</formula>
    </cfRule>
    <cfRule type="cellIs" dxfId="4612" priority="6084" stopIfTrue="1" operator="equal">
      <formula>"Napkin Hs"</formula>
    </cfRule>
  </conditionalFormatting>
  <conditionalFormatting sqref="C79">
    <cfRule type="cellIs" dxfId="4611" priority="6081" stopIfTrue="1" operator="equal">
      <formula>"Towel"</formula>
    </cfRule>
    <cfRule type="cellIs" dxfId="4610" priority="6082" stopIfTrue="1" operator="equal">
      <formula>"Napkin Hs"</formula>
    </cfRule>
  </conditionalFormatting>
  <conditionalFormatting sqref="C79">
    <cfRule type="cellIs" dxfId="4609" priority="6075" stopIfTrue="1" operator="equal">
      <formula>"Towel"</formula>
    </cfRule>
    <cfRule type="cellIs" dxfId="4608" priority="6076" stopIfTrue="1" operator="equal">
      <formula>"Napkin Hs"</formula>
    </cfRule>
  </conditionalFormatting>
  <conditionalFormatting sqref="C79">
    <cfRule type="cellIs" dxfId="4607" priority="6069" stopIfTrue="1" operator="equal">
      <formula>"Towel"</formula>
    </cfRule>
    <cfRule type="cellIs" dxfId="4606" priority="6070" stopIfTrue="1" operator="equal">
      <formula>"Napkin Hs"</formula>
    </cfRule>
  </conditionalFormatting>
  <conditionalFormatting sqref="C79">
    <cfRule type="cellIs" dxfId="4605" priority="6063" stopIfTrue="1" operator="equal">
      <formula>"Towel"</formula>
    </cfRule>
    <cfRule type="cellIs" dxfId="4604" priority="6064" stopIfTrue="1" operator="equal">
      <formula>"Napkin Hs"</formula>
    </cfRule>
  </conditionalFormatting>
  <conditionalFormatting sqref="C79">
    <cfRule type="cellIs" dxfId="4603" priority="6062" stopIfTrue="1" operator="equal">
      <formula>"Napkin Hs"</formula>
    </cfRule>
  </conditionalFormatting>
  <conditionalFormatting sqref="C79">
    <cfRule type="cellIs" dxfId="4602" priority="6061" stopIfTrue="1" operator="equal">
      <formula>"Towel"</formula>
    </cfRule>
  </conditionalFormatting>
  <conditionalFormatting sqref="C79">
    <cfRule type="cellIs" dxfId="4601" priority="6060" stopIfTrue="1" operator="equal">
      <formula>"Napkin Hs"</formula>
    </cfRule>
  </conditionalFormatting>
  <conditionalFormatting sqref="C79">
    <cfRule type="cellIs" dxfId="4600" priority="6059" stopIfTrue="1" operator="equal">
      <formula>"Towel"</formula>
    </cfRule>
  </conditionalFormatting>
  <conditionalFormatting sqref="C79">
    <cfRule type="cellIs" dxfId="4599" priority="6057" stopIfTrue="1" operator="equal">
      <formula>"Towel"</formula>
    </cfRule>
    <cfRule type="cellIs" dxfId="4598" priority="6058" stopIfTrue="1" operator="equal">
      <formula>"Napkin Hs"</formula>
    </cfRule>
  </conditionalFormatting>
  <conditionalFormatting sqref="C79">
    <cfRule type="cellIs" dxfId="4597" priority="6055" stopIfTrue="1" operator="equal">
      <formula>"Towel"</formula>
    </cfRule>
    <cfRule type="cellIs" dxfId="4596" priority="6056" stopIfTrue="1" operator="equal">
      <formula>"Napkin Hs"</formula>
    </cfRule>
  </conditionalFormatting>
  <conditionalFormatting sqref="C79">
    <cfRule type="cellIs" dxfId="4595" priority="6053" stopIfTrue="1" operator="equal">
      <formula>"Towel"</formula>
    </cfRule>
    <cfRule type="cellIs" dxfId="4594" priority="6054" stopIfTrue="1" operator="equal">
      <formula>"Napkin Hs"</formula>
    </cfRule>
  </conditionalFormatting>
  <conditionalFormatting sqref="C79">
    <cfRule type="cellIs" dxfId="4593" priority="6043" stopIfTrue="1" operator="equal">
      <formula>"Towel"</formula>
    </cfRule>
    <cfRule type="cellIs" dxfId="4592" priority="6044" stopIfTrue="1" operator="equal">
      <formula>"Napkin Hs"</formula>
    </cfRule>
  </conditionalFormatting>
  <conditionalFormatting sqref="C79">
    <cfRule type="cellIs" dxfId="4591" priority="6041" stopIfTrue="1" operator="equal">
      <formula>"Towel"</formula>
    </cfRule>
    <cfRule type="cellIs" dxfId="4590" priority="6042" stopIfTrue="1" operator="equal">
      <formula>"Napkin Hs"</formula>
    </cfRule>
  </conditionalFormatting>
  <conditionalFormatting sqref="C79">
    <cfRule type="cellIs" dxfId="4589" priority="6039" stopIfTrue="1" operator="equal">
      <formula>"Towel"</formula>
    </cfRule>
    <cfRule type="cellIs" dxfId="4588" priority="6040" stopIfTrue="1" operator="equal">
      <formula>"Napkin Hs"</formula>
    </cfRule>
  </conditionalFormatting>
  <conditionalFormatting sqref="C79">
    <cfRule type="cellIs" dxfId="4587" priority="6037" stopIfTrue="1" operator="equal">
      <formula>"Towel"</formula>
    </cfRule>
    <cfRule type="cellIs" dxfId="4586" priority="6038" stopIfTrue="1" operator="equal">
      <formula>"Napkin Hs"</formula>
    </cfRule>
  </conditionalFormatting>
  <conditionalFormatting sqref="C79">
    <cfRule type="cellIs" dxfId="4585" priority="6035" stopIfTrue="1" operator="equal">
      <formula>"Towel"</formula>
    </cfRule>
    <cfRule type="cellIs" dxfId="4584" priority="6036" stopIfTrue="1" operator="equal">
      <formula>"Napkin Hs"</formula>
    </cfRule>
  </conditionalFormatting>
  <conditionalFormatting sqref="C79">
    <cfRule type="cellIs" dxfId="4583" priority="6033" stopIfTrue="1" operator="equal">
      <formula>"Towel"</formula>
    </cfRule>
    <cfRule type="cellIs" dxfId="4582" priority="6034" stopIfTrue="1" operator="equal">
      <formula>"Napkin Hs"</formula>
    </cfRule>
  </conditionalFormatting>
  <conditionalFormatting sqref="C79">
    <cfRule type="cellIs" dxfId="4581" priority="6031" stopIfTrue="1" operator="equal">
      <formula>"Towel"</formula>
    </cfRule>
    <cfRule type="cellIs" dxfId="4580" priority="6032" stopIfTrue="1" operator="equal">
      <formula>"Napkin Hs"</formula>
    </cfRule>
  </conditionalFormatting>
  <conditionalFormatting sqref="C79">
    <cfRule type="cellIs" dxfId="4579" priority="6029" stopIfTrue="1" operator="equal">
      <formula>"Towel"</formula>
    </cfRule>
    <cfRule type="cellIs" dxfId="4578" priority="6030" stopIfTrue="1" operator="equal">
      <formula>"Napkin Hs"</formula>
    </cfRule>
  </conditionalFormatting>
  <conditionalFormatting sqref="C79">
    <cfRule type="cellIs" dxfId="4577" priority="6027" stopIfTrue="1" operator="equal">
      <formula>"Towel"</formula>
    </cfRule>
    <cfRule type="cellIs" dxfId="4576" priority="6028" stopIfTrue="1" operator="equal">
      <formula>"Napkin Hs"</formula>
    </cfRule>
  </conditionalFormatting>
  <conditionalFormatting sqref="C79">
    <cfRule type="cellIs" dxfId="4575" priority="6014" stopIfTrue="1" operator="equal">
      <formula>"Napkin Hs"</formula>
    </cfRule>
  </conditionalFormatting>
  <conditionalFormatting sqref="C79">
    <cfRule type="cellIs" dxfId="4574" priority="6013" stopIfTrue="1" operator="equal">
      <formula>"Towel"</formula>
    </cfRule>
  </conditionalFormatting>
  <conditionalFormatting sqref="C79">
    <cfRule type="cellIs" dxfId="4573" priority="6012" stopIfTrue="1" operator="equal">
      <formula>"Napkin Hs"</formula>
    </cfRule>
  </conditionalFormatting>
  <conditionalFormatting sqref="C79">
    <cfRule type="cellIs" dxfId="4572" priority="6009" stopIfTrue="1" operator="equal">
      <formula>"Towel"</formula>
    </cfRule>
    <cfRule type="cellIs" dxfId="4571" priority="6010" stopIfTrue="1" operator="equal">
      <formula>"Napkin Hs"</formula>
    </cfRule>
  </conditionalFormatting>
  <conditionalFormatting sqref="C79">
    <cfRule type="cellIs" dxfId="4570" priority="6011" stopIfTrue="1" operator="equal">
      <formula>"Towel"</formula>
    </cfRule>
  </conditionalFormatting>
  <conditionalFormatting sqref="C79">
    <cfRule type="cellIs" dxfId="4569" priority="6129" stopIfTrue="1" operator="equal">
      <formula>"Towel"</formula>
    </cfRule>
    <cfRule type="cellIs" dxfId="4568" priority="6130" stopIfTrue="1" operator="equal">
      <formula>"Napkin Hs"</formula>
    </cfRule>
  </conditionalFormatting>
  <conditionalFormatting sqref="C79">
    <cfRule type="cellIs" dxfId="4567" priority="6128" stopIfTrue="1" operator="equal">
      <formula>"Napkin Hs"</formula>
    </cfRule>
  </conditionalFormatting>
  <conditionalFormatting sqref="C79">
    <cfRule type="cellIs" dxfId="4566" priority="6127" stopIfTrue="1" operator="equal">
      <formula>"Towel"</formula>
    </cfRule>
  </conditionalFormatting>
  <conditionalFormatting sqref="C79">
    <cfRule type="cellIs" dxfId="4565" priority="6126" stopIfTrue="1" operator="equal">
      <formula>"Napkin Hs"</formula>
    </cfRule>
  </conditionalFormatting>
  <conditionalFormatting sqref="C79">
    <cfRule type="cellIs" dxfId="4564" priority="6123" stopIfTrue="1" operator="equal">
      <formula>"Towel"</formula>
    </cfRule>
    <cfRule type="cellIs" dxfId="4563" priority="6124" stopIfTrue="1" operator="equal">
      <formula>"Napkin Hs"</formula>
    </cfRule>
  </conditionalFormatting>
  <conditionalFormatting sqref="C79">
    <cfRule type="cellIs" dxfId="4562" priority="6125" stopIfTrue="1" operator="equal">
      <formula>"Towel"</formula>
    </cfRule>
  </conditionalFormatting>
  <conditionalFormatting sqref="C79">
    <cfRule type="cellIs" dxfId="4561" priority="6133" stopIfTrue="1" operator="equal">
      <formula>"Towel"</formula>
    </cfRule>
    <cfRule type="cellIs" dxfId="4560" priority="6134" stopIfTrue="1" operator="equal">
      <formula>"Napkin Hs"</formula>
    </cfRule>
  </conditionalFormatting>
  <conditionalFormatting sqref="C79">
    <cfRule type="cellIs" dxfId="4559" priority="6131" stopIfTrue="1" operator="equal">
      <formula>"Towel"</formula>
    </cfRule>
    <cfRule type="cellIs" dxfId="4558" priority="6132" stopIfTrue="1" operator="equal">
      <formula>"Napkin Hs"</formula>
    </cfRule>
  </conditionalFormatting>
  <conditionalFormatting sqref="C79">
    <cfRule type="cellIs" dxfId="4557" priority="6103" stopIfTrue="1" operator="equal">
      <formula>"Towel"</formula>
    </cfRule>
    <cfRule type="cellIs" dxfId="4556" priority="6104" stopIfTrue="1" operator="equal">
      <formula>"Napkin Hs"</formula>
    </cfRule>
  </conditionalFormatting>
  <conditionalFormatting sqref="C79">
    <cfRule type="cellIs" dxfId="4555" priority="6101" stopIfTrue="1" operator="equal">
      <formula>"Towel"</formula>
    </cfRule>
    <cfRule type="cellIs" dxfId="4554" priority="6102" stopIfTrue="1" operator="equal">
      <formula>"Napkin Hs"</formula>
    </cfRule>
  </conditionalFormatting>
  <conditionalFormatting sqref="C79">
    <cfRule type="cellIs" dxfId="4553" priority="6080" stopIfTrue="1" operator="equal">
      <formula>"Napkin Hs"</formula>
    </cfRule>
  </conditionalFormatting>
  <conditionalFormatting sqref="C79">
    <cfRule type="cellIs" dxfId="4552" priority="6079" stopIfTrue="1" operator="equal">
      <formula>"Towel"</formula>
    </cfRule>
  </conditionalFormatting>
  <conditionalFormatting sqref="C79">
    <cfRule type="cellIs" dxfId="4551" priority="6078" stopIfTrue="1" operator="equal">
      <formula>"Napkin Hs"</formula>
    </cfRule>
  </conditionalFormatting>
  <conditionalFormatting sqref="C79">
    <cfRule type="cellIs" dxfId="4550" priority="6077" stopIfTrue="1" operator="equal">
      <formula>"Towel"</formula>
    </cfRule>
  </conditionalFormatting>
  <conditionalFormatting sqref="C79">
    <cfRule type="cellIs" dxfId="4549" priority="6074" stopIfTrue="1" operator="equal">
      <formula>"Napkin Hs"</formula>
    </cfRule>
  </conditionalFormatting>
  <conditionalFormatting sqref="C79">
    <cfRule type="cellIs" dxfId="4548" priority="6073" stopIfTrue="1" operator="equal">
      <formula>"Towel"</formula>
    </cfRule>
  </conditionalFormatting>
  <conditionalFormatting sqref="C79">
    <cfRule type="cellIs" dxfId="4547" priority="6072" stopIfTrue="1" operator="equal">
      <formula>"Napkin Hs"</formula>
    </cfRule>
  </conditionalFormatting>
  <conditionalFormatting sqref="C79">
    <cfRule type="cellIs" dxfId="4546" priority="6071" stopIfTrue="1" operator="equal">
      <formula>"Towel"</formula>
    </cfRule>
  </conditionalFormatting>
  <conditionalFormatting sqref="C79">
    <cfRule type="cellIs" dxfId="4545" priority="6067" stopIfTrue="1" operator="equal">
      <formula>"Towel"</formula>
    </cfRule>
    <cfRule type="cellIs" dxfId="4544" priority="6068" stopIfTrue="1" operator="equal">
      <formula>"Napkin Hs"</formula>
    </cfRule>
  </conditionalFormatting>
  <conditionalFormatting sqref="C79">
    <cfRule type="cellIs" dxfId="4543" priority="6065" stopIfTrue="1" operator="equal">
      <formula>"Towel"</formula>
    </cfRule>
    <cfRule type="cellIs" dxfId="4542" priority="6066" stopIfTrue="1" operator="equal">
      <formula>"Napkin Hs"</formula>
    </cfRule>
  </conditionalFormatting>
  <conditionalFormatting sqref="C79">
    <cfRule type="cellIs" dxfId="4541" priority="6049" stopIfTrue="1" operator="equal">
      <formula>"Towel"</formula>
    </cfRule>
    <cfRule type="cellIs" dxfId="4540" priority="6050" stopIfTrue="1" operator="equal">
      <formula>"Napkin Hs"</formula>
    </cfRule>
  </conditionalFormatting>
  <conditionalFormatting sqref="C79">
    <cfRule type="cellIs" dxfId="4539" priority="6047" stopIfTrue="1" operator="equal">
      <formula>"Towel"</formula>
    </cfRule>
    <cfRule type="cellIs" dxfId="4538" priority="6048" stopIfTrue="1" operator="equal">
      <formula>"Napkin Hs"</formula>
    </cfRule>
  </conditionalFormatting>
  <conditionalFormatting sqref="B79:C79">
    <cfRule type="cellIs" dxfId="4537" priority="6008" stopIfTrue="1" operator="equal">
      <formula>"Napkin Hs"</formula>
    </cfRule>
  </conditionalFormatting>
  <conditionalFormatting sqref="B79:C79">
    <cfRule type="cellIs" dxfId="4536" priority="6007" stopIfTrue="1" operator="equal">
      <formula>"Towel"</formula>
    </cfRule>
  </conditionalFormatting>
  <conditionalFormatting sqref="C79">
    <cfRule type="cellIs" dxfId="4535" priority="6006" stopIfTrue="1" operator="equal">
      <formula>"Napkin Hs"</formula>
    </cfRule>
  </conditionalFormatting>
  <conditionalFormatting sqref="C79">
    <cfRule type="cellIs" dxfId="4534" priority="6003" stopIfTrue="1" operator="equal">
      <formula>"Towel"</formula>
    </cfRule>
    <cfRule type="cellIs" dxfId="4533" priority="6004" stopIfTrue="1" operator="equal">
      <formula>"Napkin Hs"</formula>
    </cfRule>
  </conditionalFormatting>
  <conditionalFormatting sqref="C79">
    <cfRule type="cellIs" dxfId="4532" priority="6005" stopIfTrue="1" operator="equal">
      <formula>"Towel"</formula>
    </cfRule>
  </conditionalFormatting>
  <conditionalFormatting sqref="B79:C79">
    <cfRule type="cellIs" dxfId="4531" priority="6002" stopIfTrue="1" operator="equal">
      <formula>"Napkin Hs"</formula>
    </cfRule>
  </conditionalFormatting>
  <conditionalFormatting sqref="B79:C79">
    <cfRule type="cellIs" dxfId="4530" priority="6001" stopIfTrue="1" operator="equal">
      <formula>"Towel"</formula>
    </cfRule>
  </conditionalFormatting>
  <conditionalFormatting sqref="C79">
    <cfRule type="cellIs" dxfId="4529" priority="6000" stopIfTrue="1" operator="equal">
      <formula>"Napkin Hs"</formula>
    </cfRule>
  </conditionalFormatting>
  <conditionalFormatting sqref="C79">
    <cfRule type="cellIs" dxfId="4528" priority="5999" stopIfTrue="1" operator="equal">
      <formula>"Towel"</formula>
    </cfRule>
  </conditionalFormatting>
  <conditionalFormatting sqref="C79">
    <cfRule type="cellIs" dxfId="4527" priority="5997" stopIfTrue="1" operator="equal">
      <formula>"Towel"</formula>
    </cfRule>
    <cfRule type="cellIs" dxfId="4526" priority="5998" stopIfTrue="1" operator="equal">
      <formula>"Napkin Hs"</formula>
    </cfRule>
  </conditionalFormatting>
  <conditionalFormatting sqref="C79">
    <cfRule type="cellIs" dxfId="4525" priority="5913" stopIfTrue="1" operator="equal">
      <formula>"Towel"</formula>
    </cfRule>
    <cfRule type="cellIs" dxfId="4524" priority="5914" stopIfTrue="1" operator="equal">
      <formula>"Napkin Hs"</formula>
    </cfRule>
  </conditionalFormatting>
  <conditionalFormatting sqref="C79">
    <cfRule type="cellIs" dxfId="4523" priority="5907" stopIfTrue="1" operator="equal">
      <formula>"Towel"</formula>
    </cfRule>
    <cfRule type="cellIs" dxfId="4522" priority="5908" stopIfTrue="1" operator="equal">
      <formula>"Napkin Hs"</formula>
    </cfRule>
  </conditionalFormatting>
  <conditionalFormatting sqref="C79">
    <cfRule type="cellIs" dxfId="4521" priority="5888" stopIfTrue="1" operator="equal">
      <formula>"Napkin Hs"</formula>
    </cfRule>
  </conditionalFormatting>
  <conditionalFormatting sqref="C79">
    <cfRule type="cellIs" dxfId="4520" priority="5887" stopIfTrue="1" operator="equal">
      <formula>"Towel"</formula>
    </cfRule>
  </conditionalFormatting>
  <conditionalFormatting sqref="C79">
    <cfRule type="cellIs" dxfId="4519" priority="5886" stopIfTrue="1" operator="equal">
      <formula>"Napkin Hs"</formula>
    </cfRule>
  </conditionalFormatting>
  <conditionalFormatting sqref="C79">
    <cfRule type="cellIs" dxfId="4518" priority="5883" stopIfTrue="1" operator="equal">
      <formula>"Towel"</formula>
    </cfRule>
    <cfRule type="cellIs" dxfId="4517" priority="5884" stopIfTrue="1" operator="equal">
      <formula>"Napkin Hs"</formula>
    </cfRule>
  </conditionalFormatting>
  <conditionalFormatting sqref="C79">
    <cfRule type="cellIs" dxfId="4516" priority="5885" stopIfTrue="1" operator="equal">
      <formula>"Towel"</formula>
    </cfRule>
  </conditionalFormatting>
  <conditionalFormatting sqref="C79">
    <cfRule type="cellIs" dxfId="4515" priority="5882" stopIfTrue="1" operator="equal">
      <formula>"Napkin Hs"</formula>
    </cfRule>
  </conditionalFormatting>
  <conditionalFormatting sqref="C79">
    <cfRule type="cellIs" dxfId="4514" priority="5881" stopIfTrue="1" operator="equal">
      <formula>"Towel"</formula>
    </cfRule>
  </conditionalFormatting>
  <conditionalFormatting sqref="C79">
    <cfRule type="cellIs" dxfId="4513" priority="5880" stopIfTrue="1" operator="equal">
      <formula>"Napkin Hs"</formula>
    </cfRule>
  </conditionalFormatting>
  <conditionalFormatting sqref="C79">
    <cfRule type="cellIs" dxfId="4512" priority="5877" stopIfTrue="1" operator="equal">
      <formula>"Towel"</formula>
    </cfRule>
    <cfRule type="cellIs" dxfId="4511" priority="5878" stopIfTrue="1" operator="equal">
      <formula>"Napkin Hs"</formula>
    </cfRule>
  </conditionalFormatting>
  <conditionalFormatting sqref="C79">
    <cfRule type="cellIs" dxfId="4510" priority="5879" stopIfTrue="1" operator="equal">
      <formula>"Towel"</formula>
    </cfRule>
  </conditionalFormatting>
  <conditionalFormatting sqref="C79">
    <cfRule type="cellIs" dxfId="4509" priority="5983" stopIfTrue="1" operator="equal">
      <formula>"Towel"</formula>
    </cfRule>
    <cfRule type="cellIs" dxfId="4508" priority="5984" stopIfTrue="1" operator="equal">
      <formula>"Napkin Hs"</formula>
    </cfRule>
  </conditionalFormatting>
  <conditionalFormatting sqref="C79">
    <cfRule type="cellIs" dxfId="4507" priority="5981" stopIfTrue="1" operator="equal">
      <formula>"Towel"</formula>
    </cfRule>
    <cfRule type="cellIs" dxfId="4506" priority="5982" stopIfTrue="1" operator="equal">
      <formula>"Napkin Hs"</formula>
    </cfRule>
  </conditionalFormatting>
  <conditionalFormatting sqref="C79">
    <cfRule type="cellIs" dxfId="4505" priority="5979" stopIfTrue="1" operator="equal">
      <formula>"Towel"</formula>
    </cfRule>
    <cfRule type="cellIs" dxfId="4504" priority="5980" stopIfTrue="1" operator="equal">
      <formula>"Napkin Hs"</formula>
    </cfRule>
  </conditionalFormatting>
  <conditionalFormatting sqref="C79">
    <cfRule type="cellIs" dxfId="4503" priority="5978" stopIfTrue="1" operator="equal">
      <formula>"Napkin Hs"</formula>
    </cfRule>
  </conditionalFormatting>
  <conditionalFormatting sqref="C79">
    <cfRule type="cellIs" dxfId="4502" priority="5977" stopIfTrue="1" operator="equal">
      <formula>"Towel"</formula>
    </cfRule>
  </conditionalFormatting>
  <conditionalFormatting sqref="C79">
    <cfRule type="cellIs" dxfId="4501" priority="5976" stopIfTrue="1" operator="equal">
      <formula>"Napkin Hs"</formula>
    </cfRule>
  </conditionalFormatting>
  <conditionalFormatting sqref="C79">
    <cfRule type="cellIs" dxfId="4500" priority="5975" stopIfTrue="1" operator="equal">
      <formula>"Towel"</formula>
    </cfRule>
  </conditionalFormatting>
  <conditionalFormatting sqref="C79">
    <cfRule type="cellIs" dxfId="4499" priority="5973" stopIfTrue="1" operator="equal">
      <formula>"Towel"</formula>
    </cfRule>
    <cfRule type="cellIs" dxfId="4498" priority="5974" stopIfTrue="1" operator="equal">
      <formula>"Napkin Hs"</formula>
    </cfRule>
  </conditionalFormatting>
  <conditionalFormatting sqref="C79">
    <cfRule type="cellIs" dxfId="4497" priority="5971" stopIfTrue="1" operator="equal">
      <formula>"Towel"</formula>
    </cfRule>
    <cfRule type="cellIs" dxfId="4496" priority="5972" stopIfTrue="1" operator="equal">
      <formula>"Napkin Hs"</formula>
    </cfRule>
  </conditionalFormatting>
  <conditionalFormatting sqref="C79">
    <cfRule type="cellIs" dxfId="4495" priority="5967" stopIfTrue="1" operator="equal">
      <formula>"Towel"</formula>
    </cfRule>
    <cfRule type="cellIs" dxfId="4494" priority="5968" stopIfTrue="1" operator="equal">
      <formula>"Napkin Hs"</formula>
    </cfRule>
  </conditionalFormatting>
  <conditionalFormatting sqref="C79">
    <cfRule type="cellIs" dxfId="4493" priority="5969" stopIfTrue="1" operator="equal">
      <formula>"Towel"</formula>
    </cfRule>
    <cfRule type="cellIs" dxfId="4492" priority="5970" stopIfTrue="1" operator="equal">
      <formula>"Napkin Hs"</formula>
    </cfRule>
  </conditionalFormatting>
  <conditionalFormatting sqref="C79">
    <cfRule type="cellIs" dxfId="4491" priority="5961" stopIfTrue="1" operator="equal">
      <formula>"Towel"</formula>
    </cfRule>
    <cfRule type="cellIs" dxfId="4490" priority="5962" stopIfTrue="1" operator="equal">
      <formula>"Napkin Hs"</formula>
    </cfRule>
  </conditionalFormatting>
  <conditionalFormatting sqref="C79">
    <cfRule type="cellIs" dxfId="4489" priority="5959" stopIfTrue="1" operator="equal">
      <formula>"Towel"</formula>
    </cfRule>
    <cfRule type="cellIs" dxfId="4488" priority="5960" stopIfTrue="1" operator="equal">
      <formula>"Napkin Hs"</formula>
    </cfRule>
  </conditionalFormatting>
  <conditionalFormatting sqref="C79">
    <cfRule type="cellIs" dxfId="4487" priority="5957" stopIfTrue="1" operator="equal">
      <formula>"Towel"</formula>
    </cfRule>
    <cfRule type="cellIs" dxfId="4486" priority="5958" stopIfTrue="1" operator="equal">
      <formula>"Napkin Hs"</formula>
    </cfRule>
  </conditionalFormatting>
  <conditionalFormatting sqref="C79">
    <cfRule type="cellIs" dxfId="4485" priority="5955" stopIfTrue="1" operator="equal">
      <formula>"Towel"</formula>
    </cfRule>
    <cfRule type="cellIs" dxfId="4484" priority="5956" stopIfTrue="1" operator="equal">
      <formula>"Napkin Hs"</formula>
    </cfRule>
  </conditionalFormatting>
  <conditionalFormatting sqref="C79">
    <cfRule type="cellIs" dxfId="4483" priority="5953" stopIfTrue="1" operator="equal">
      <formula>"Towel"</formula>
    </cfRule>
    <cfRule type="cellIs" dxfId="4482" priority="5954" stopIfTrue="1" operator="equal">
      <formula>"Napkin Hs"</formula>
    </cfRule>
  </conditionalFormatting>
  <conditionalFormatting sqref="C79">
    <cfRule type="cellIs" dxfId="4481" priority="5951" stopIfTrue="1" operator="equal">
      <formula>"Towel"</formula>
    </cfRule>
    <cfRule type="cellIs" dxfId="4480" priority="5952" stopIfTrue="1" operator="equal">
      <formula>"Napkin Hs"</formula>
    </cfRule>
  </conditionalFormatting>
  <conditionalFormatting sqref="C79">
    <cfRule type="cellIs" dxfId="4479" priority="5949" stopIfTrue="1" operator="equal">
      <formula>"Towel"</formula>
    </cfRule>
    <cfRule type="cellIs" dxfId="4478" priority="5950" stopIfTrue="1" operator="equal">
      <formula>"Napkin Hs"</formula>
    </cfRule>
  </conditionalFormatting>
  <conditionalFormatting sqref="C79">
    <cfRule type="cellIs" dxfId="4477" priority="5947" stopIfTrue="1" operator="equal">
      <formula>"Towel"</formula>
    </cfRule>
    <cfRule type="cellIs" dxfId="4476" priority="5948" stopIfTrue="1" operator="equal">
      <formula>"Napkin Hs"</formula>
    </cfRule>
  </conditionalFormatting>
  <conditionalFormatting sqref="C79">
    <cfRule type="cellIs" dxfId="4475" priority="5945" stopIfTrue="1" operator="equal">
      <formula>"Towel"</formula>
    </cfRule>
    <cfRule type="cellIs" dxfId="4474" priority="5946" stopIfTrue="1" operator="equal">
      <formula>"Napkin Hs"</formula>
    </cfRule>
  </conditionalFormatting>
  <conditionalFormatting sqref="C79">
    <cfRule type="cellIs" dxfId="4473" priority="5943" stopIfTrue="1" operator="equal">
      <formula>"Towel"</formula>
    </cfRule>
    <cfRule type="cellIs" dxfId="4472" priority="5944" stopIfTrue="1" operator="equal">
      <formula>"Napkin Hs"</formula>
    </cfRule>
  </conditionalFormatting>
  <conditionalFormatting sqref="C79">
    <cfRule type="cellIs" dxfId="4471" priority="5937" stopIfTrue="1" operator="equal">
      <formula>"Towel"</formula>
    </cfRule>
    <cfRule type="cellIs" dxfId="4470" priority="5938" stopIfTrue="1" operator="equal">
      <formula>"Napkin Hs"</formula>
    </cfRule>
  </conditionalFormatting>
  <conditionalFormatting sqref="C79">
    <cfRule type="cellIs" dxfId="4469" priority="5931" stopIfTrue="1" operator="equal">
      <formula>"Towel"</formula>
    </cfRule>
    <cfRule type="cellIs" dxfId="4468" priority="5932" stopIfTrue="1" operator="equal">
      <formula>"Napkin Hs"</formula>
    </cfRule>
  </conditionalFormatting>
  <conditionalFormatting sqref="C79">
    <cfRule type="cellIs" dxfId="4467" priority="5925" stopIfTrue="1" operator="equal">
      <formula>"Towel"</formula>
    </cfRule>
    <cfRule type="cellIs" dxfId="4466" priority="5926" stopIfTrue="1" operator="equal">
      <formula>"Napkin Hs"</formula>
    </cfRule>
  </conditionalFormatting>
  <conditionalFormatting sqref="C79">
    <cfRule type="cellIs" dxfId="4465" priority="5924" stopIfTrue="1" operator="equal">
      <formula>"Napkin Hs"</formula>
    </cfRule>
  </conditionalFormatting>
  <conditionalFormatting sqref="C79">
    <cfRule type="cellIs" dxfId="4464" priority="5923" stopIfTrue="1" operator="equal">
      <formula>"Towel"</formula>
    </cfRule>
  </conditionalFormatting>
  <conditionalFormatting sqref="C79">
    <cfRule type="cellIs" dxfId="4463" priority="5922" stopIfTrue="1" operator="equal">
      <formula>"Napkin Hs"</formula>
    </cfRule>
  </conditionalFormatting>
  <conditionalFormatting sqref="C79">
    <cfRule type="cellIs" dxfId="4462" priority="5921" stopIfTrue="1" operator="equal">
      <formula>"Towel"</formula>
    </cfRule>
  </conditionalFormatting>
  <conditionalFormatting sqref="C79">
    <cfRule type="cellIs" dxfId="4461" priority="5919" stopIfTrue="1" operator="equal">
      <formula>"Towel"</formula>
    </cfRule>
    <cfRule type="cellIs" dxfId="4460" priority="5920" stopIfTrue="1" operator="equal">
      <formula>"Napkin Hs"</formula>
    </cfRule>
  </conditionalFormatting>
  <conditionalFormatting sqref="C79">
    <cfRule type="cellIs" dxfId="4459" priority="5917" stopIfTrue="1" operator="equal">
      <formula>"Towel"</formula>
    </cfRule>
    <cfRule type="cellIs" dxfId="4458" priority="5918" stopIfTrue="1" operator="equal">
      <formula>"Napkin Hs"</formula>
    </cfRule>
  </conditionalFormatting>
  <conditionalFormatting sqref="C79">
    <cfRule type="cellIs" dxfId="4457" priority="5915" stopIfTrue="1" operator="equal">
      <formula>"Towel"</formula>
    </cfRule>
    <cfRule type="cellIs" dxfId="4456" priority="5916" stopIfTrue="1" operator="equal">
      <formula>"Napkin Hs"</formula>
    </cfRule>
  </conditionalFormatting>
  <conditionalFormatting sqref="C79">
    <cfRule type="cellIs" dxfId="4455" priority="5905" stopIfTrue="1" operator="equal">
      <formula>"Towel"</formula>
    </cfRule>
    <cfRule type="cellIs" dxfId="4454" priority="5906" stopIfTrue="1" operator="equal">
      <formula>"Napkin Hs"</formula>
    </cfRule>
  </conditionalFormatting>
  <conditionalFormatting sqref="C79">
    <cfRule type="cellIs" dxfId="4453" priority="5903" stopIfTrue="1" operator="equal">
      <formula>"Towel"</formula>
    </cfRule>
    <cfRule type="cellIs" dxfId="4452" priority="5904" stopIfTrue="1" operator="equal">
      <formula>"Napkin Hs"</formula>
    </cfRule>
  </conditionalFormatting>
  <conditionalFormatting sqref="C79">
    <cfRule type="cellIs" dxfId="4451" priority="5901" stopIfTrue="1" operator="equal">
      <formula>"Towel"</formula>
    </cfRule>
    <cfRule type="cellIs" dxfId="4450" priority="5902" stopIfTrue="1" operator="equal">
      <formula>"Napkin Hs"</formula>
    </cfRule>
  </conditionalFormatting>
  <conditionalFormatting sqref="C79">
    <cfRule type="cellIs" dxfId="4449" priority="5899" stopIfTrue="1" operator="equal">
      <formula>"Towel"</formula>
    </cfRule>
    <cfRule type="cellIs" dxfId="4448" priority="5900" stopIfTrue="1" operator="equal">
      <formula>"Napkin Hs"</formula>
    </cfRule>
  </conditionalFormatting>
  <conditionalFormatting sqref="C79">
    <cfRule type="cellIs" dxfId="4447" priority="5897" stopIfTrue="1" operator="equal">
      <formula>"Towel"</formula>
    </cfRule>
    <cfRule type="cellIs" dxfId="4446" priority="5898" stopIfTrue="1" operator="equal">
      <formula>"Napkin Hs"</formula>
    </cfRule>
  </conditionalFormatting>
  <conditionalFormatting sqref="C79">
    <cfRule type="cellIs" dxfId="4445" priority="5895" stopIfTrue="1" operator="equal">
      <formula>"Towel"</formula>
    </cfRule>
    <cfRule type="cellIs" dxfId="4444" priority="5896" stopIfTrue="1" operator="equal">
      <formula>"Napkin Hs"</formula>
    </cfRule>
  </conditionalFormatting>
  <conditionalFormatting sqref="C79">
    <cfRule type="cellIs" dxfId="4443" priority="5893" stopIfTrue="1" operator="equal">
      <formula>"Towel"</formula>
    </cfRule>
    <cfRule type="cellIs" dxfId="4442" priority="5894" stopIfTrue="1" operator="equal">
      <formula>"Napkin Hs"</formula>
    </cfRule>
  </conditionalFormatting>
  <conditionalFormatting sqref="C79">
    <cfRule type="cellIs" dxfId="4441" priority="5891" stopIfTrue="1" operator="equal">
      <formula>"Towel"</formula>
    </cfRule>
    <cfRule type="cellIs" dxfId="4440" priority="5892" stopIfTrue="1" operator="equal">
      <formula>"Napkin Hs"</formula>
    </cfRule>
  </conditionalFormatting>
  <conditionalFormatting sqref="C79">
    <cfRule type="cellIs" dxfId="4439" priority="5889" stopIfTrue="1" operator="equal">
      <formula>"Towel"</formula>
    </cfRule>
    <cfRule type="cellIs" dxfId="4438" priority="5890" stopIfTrue="1" operator="equal">
      <formula>"Napkin Hs"</formula>
    </cfRule>
  </conditionalFormatting>
  <conditionalFormatting sqref="C79">
    <cfRule type="cellIs" dxfId="4437" priority="5876" stopIfTrue="1" operator="equal">
      <formula>"Napkin Hs"</formula>
    </cfRule>
  </conditionalFormatting>
  <conditionalFormatting sqref="C79">
    <cfRule type="cellIs" dxfId="4436" priority="5875" stopIfTrue="1" operator="equal">
      <formula>"Towel"</formula>
    </cfRule>
  </conditionalFormatting>
  <conditionalFormatting sqref="C79">
    <cfRule type="cellIs" dxfId="4435" priority="5874" stopIfTrue="1" operator="equal">
      <formula>"Napkin Hs"</formula>
    </cfRule>
  </conditionalFormatting>
  <conditionalFormatting sqref="C79">
    <cfRule type="cellIs" dxfId="4434" priority="5871" stopIfTrue="1" operator="equal">
      <formula>"Towel"</formula>
    </cfRule>
    <cfRule type="cellIs" dxfId="4433" priority="5872" stopIfTrue="1" operator="equal">
      <formula>"Napkin Hs"</formula>
    </cfRule>
  </conditionalFormatting>
  <conditionalFormatting sqref="C79">
    <cfRule type="cellIs" dxfId="4432" priority="5873" stopIfTrue="1" operator="equal">
      <formula>"Towel"</formula>
    </cfRule>
  </conditionalFormatting>
  <conditionalFormatting sqref="C79">
    <cfRule type="cellIs" dxfId="4431" priority="5991" stopIfTrue="1" operator="equal">
      <formula>"Towel"</formula>
    </cfRule>
    <cfRule type="cellIs" dxfId="4430" priority="5992" stopIfTrue="1" operator="equal">
      <formula>"Napkin Hs"</formula>
    </cfRule>
  </conditionalFormatting>
  <conditionalFormatting sqref="C79">
    <cfRule type="cellIs" dxfId="4429" priority="5990" stopIfTrue="1" operator="equal">
      <formula>"Napkin Hs"</formula>
    </cfRule>
  </conditionalFormatting>
  <conditionalFormatting sqref="C79">
    <cfRule type="cellIs" dxfId="4428" priority="5989" stopIfTrue="1" operator="equal">
      <formula>"Towel"</formula>
    </cfRule>
  </conditionalFormatting>
  <conditionalFormatting sqref="C79">
    <cfRule type="cellIs" dxfId="4427" priority="5988" stopIfTrue="1" operator="equal">
      <formula>"Napkin Hs"</formula>
    </cfRule>
  </conditionalFormatting>
  <conditionalFormatting sqref="C79">
    <cfRule type="cellIs" dxfId="4426" priority="5985" stopIfTrue="1" operator="equal">
      <formula>"Towel"</formula>
    </cfRule>
    <cfRule type="cellIs" dxfId="4425" priority="5986" stopIfTrue="1" operator="equal">
      <formula>"Napkin Hs"</formula>
    </cfRule>
  </conditionalFormatting>
  <conditionalFormatting sqref="C79">
    <cfRule type="cellIs" dxfId="4424" priority="5987" stopIfTrue="1" operator="equal">
      <formula>"Towel"</formula>
    </cfRule>
  </conditionalFormatting>
  <conditionalFormatting sqref="C79">
    <cfRule type="cellIs" dxfId="4423" priority="5995" stopIfTrue="1" operator="equal">
      <formula>"Towel"</formula>
    </cfRule>
    <cfRule type="cellIs" dxfId="4422" priority="5996" stopIfTrue="1" operator="equal">
      <formula>"Napkin Hs"</formula>
    </cfRule>
  </conditionalFormatting>
  <conditionalFormatting sqref="C79">
    <cfRule type="cellIs" dxfId="4421" priority="5993" stopIfTrue="1" operator="equal">
      <formula>"Towel"</formula>
    </cfRule>
    <cfRule type="cellIs" dxfId="4420" priority="5994" stopIfTrue="1" operator="equal">
      <formula>"Napkin Hs"</formula>
    </cfRule>
  </conditionalFormatting>
  <conditionalFormatting sqref="C79">
    <cfRule type="cellIs" dxfId="4419" priority="5965" stopIfTrue="1" operator="equal">
      <formula>"Towel"</formula>
    </cfRule>
    <cfRule type="cellIs" dxfId="4418" priority="5966" stopIfTrue="1" operator="equal">
      <formula>"Napkin Hs"</formula>
    </cfRule>
  </conditionalFormatting>
  <conditionalFormatting sqref="C79">
    <cfRule type="cellIs" dxfId="4417" priority="5963" stopIfTrue="1" operator="equal">
      <formula>"Towel"</formula>
    </cfRule>
    <cfRule type="cellIs" dxfId="4416" priority="5964" stopIfTrue="1" operator="equal">
      <formula>"Napkin Hs"</formula>
    </cfRule>
  </conditionalFormatting>
  <conditionalFormatting sqref="C79">
    <cfRule type="cellIs" dxfId="4415" priority="5942" stopIfTrue="1" operator="equal">
      <formula>"Napkin Hs"</formula>
    </cfRule>
  </conditionalFormatting>
  <conditionalFormatting sqref="C79">
    <cfRule type="cellIs" dxfId="4414" priority="5941" stopIfTrue="1" operator="equal">
      <formula>"Towel"</formula>
    </cfRule>
  </conditionalFormatting>
  <conditionalFormatting sqref="C79">
    <cfRule type="cellIs" dxfId="4413" priority="5940" stopIfTrue="1" operator="equal">
      <formula>"Napkin Hs"</formula>
    </cfRule>
  </conditionalFormatting>
  <conditionalFormatting sqref="C79">
    <cfRule type="cellIs" dxfId="4412" priority="5939" stopIfTrue="1" operator="equal">
      <formula>"Towel"</formula>
    </cfRule>
  </conditionalFormatting>
  <conditionalFormatting sqref="C79">
    <cfRule type="cellIs" dxfId="4411" priority="5936" stopIfTrue="1" operator="equal">
      <formula>"Napkin Hs"</formula>
    </cfRule>
  </conditionalFormatting>
  <conditionalFormatting sqref="C79">
    <cfRule type="cellIs" dxfId="4410" priority="5935" stopIfTrue="1" operator="equal">
      <formula>"Towel"</formula>
    </cfRule>
  </conditionalFormatting>
  <conditionalFormatting sqref="C79">
    <cfRule type="cellIs" dxfId="4409" priority="5934" stopIfTrue="1" operator="equal">
      <formula>"Napkin Hs"</formula>
    </cfRule>
  </conditionalFormatting>
  <conditionalFormatting sqref="C79">
    <cfRule type="cellIs" dxfId="4408" priority="5933" stopIfTrue="1" operator="equal">
      <formula>"Towel"</formula>
    </cfRule>
  </conditionalFormatting>
  <conditionalFormatting sqref="C79">
    <cfRule type="cellIs" dxfId="4407" priority="5929" stopIfTrue="1" operator="equal">
      <formula>"Towel"</formula>
    </cfRule>
    <cfRule type="cellIs" dxfId="4406" priority="5930" stopIfTrue="1" operator="equal">
      <formula>"Napkin Hs"</formula>
    </cfRule>
  </conditionalFormatting>
  <conditionalFormatting sqref="C79">
    <cfRule type="cellIs" dxfId="4405" priority="5927" stopIfTrue="1" operator="equal">
      <formula>"Towel"</formula>
    </cfRule>
    <cfRule type="cellIs" dxfId="4404" priority="5928" stopIfTrue="1" operator="equal">
      <formula>"Napkin Hs"</formula>
    </cfRule>
  </conditionalFormatting>
  <conditionalFormatting sqref="C79">
    <cfRule type="cellIs" dxfId="4403" priority="5911" stopIfTrue="1" operator="equal">
      <formula>"Towel"</formula>
    </cfRule>
    <cfRule type="cellIs" dxfId="4402" priority="5912" stopIfTrue="1" operator="equal">
      <formula>"Napkin Hs"</formula>
    </cfRule>
  </conditionalFormatting>
  <conditionalFormatting sqref="C79">
    <cfRule type="cellIs" dxfId="4401" priority="5909" stopIfTrue="1" operator="equal">
      <formula>"Towel"</formula>
    </cfRule>
    <cfRule type="cellIs" dxfId="4400" priority="5910" stopIfTrue="1" operator="equal">
      <formula>"Napkin Hs"</formula>
    </cfRule>
  </conditionalFormatting>
  <conditionalFormatting sqref="B79:C79">
    <cfRule type="cellIs" dxfId="4399" priority="5870" stopIfTrue="1" operator="equal">
      <formula>"Napkin Hs"</formula>
    </cfRule>
  </conditionalFormatting>
  <conditionalFormatting sqref="B79:C79">
    <cfRule type="cellIs" dxfId="4398" priority="5869" stopIfTrue="1" operator="equal">
      <formula>"Towel"</formula>
    </cfRule>
  </conditionalFormatting>
  <conditionalFormatting sqref="C79">
    <cfRule type="cellIs" dxfId="4397" priority="5868" stopIfTrue="1" operator="equal">
      <formula>"Napkin Hs"</formula>
    </cfRule>
  </conditionalFormatting>
  <conditionalFormatting sqref="C79">
    <cfRule type="cellIs" dxfId="4396" priority="5865" stopIfTrue="1" operator="equal">
      <formula>"Towel"</formula>
    </cfRule>
    <cfRule type="cellIs" dxfId="4395" priority="5866" stopIfTrue="1" operator="equal">
      <formula>"Napkin Hs"</formula>
    </cfRule>
  </conditionalFormatting>
  <conditionalFormatting sqref="C79">
    <cfRule type="cellIs" dxfId="4394" priority="5867" stopIfTrue="1" operator="equal">
      <formula>"Towel"</formula>
    </cfRule>
  </conditionalFormatting>
  <conditionalFormatting sqref="B89:C89">
    <cfRule type="cellIs" dxfId="4393" priority="5863" stopIfTrue="1" operator="equal">
      <formula>"Towel"</formula>
    </cfRule>
    <cfRule type="cellIs" dxfId="4392" priority="5864" stopIfTrue="1" operator="equal">
      <formula>"Napkin Hs"</formula>
    </cfRule>
  </conditionalFormatting>
  <conditionalFormatting sqref="C89">
    <cfRule type="cellIs" dxfId="4391" priority="5859" stopIfTrue="1" operator="equal">
      <formula>"Towel"</formula>
    </cfRule>
    <cfRule type="cellIs" dxfId="4390" priority="5860" stopIfTrue="1" operator="equal">
      <formula>"Napkin Hs"</formula>
    </cfRule>
  </conditionalFormatting>
  <conditionalFormatting sqref="C89">
    <cfRule type="cellIs" dxfId="4389" priority="5861" stopIfTrue="1" operator="equal">
      <formula>"Towel"</formula>
    </cfRule>
    <cfRule type="cellIs" dxfId="4388" priority="5862" stopIfTrue="1" operator="equal">
      <formula>"Napkin Hs"</formula>
    </cfRule>
  </conditionalFormatting>
  <conditionalFormatting sqref="B89:C89">
    <cfRule type="cellIs" dxfId="4387" priority="5857" stopIfTrue="1" operator="equal">
      <formula>"Towel"</formula>
    </cfRule>
    <cfRule type="cellIs" dxfId="4386" priority="5858" stopIfTrue="1" operator="equal">
      <formula>"Napkin Hs"</formula>
    </cfRule>
  </conditionalFormatting>
  <conditionalFormatting sqref="C89">
    <cfRule type="cellIs" dxfId="4385" priority="5853" stopIfTrue="1" operator="equal">
      <formula>"Towel"</formula>
    </cfRule>
    <cfRule type="cellIs" dxfId="4384" priority="5854" stopIfTrue="1" operator="equal">
      <formula>"Napkin Hs"</formula>
    </cfRule>
  </conditionalFormatting>
  <conditionalFormatting sqref="C89">
    <cfRule type="cellIs" dxfId="4383" priority="5855" stopIfTrue="1" operator="equal">
      <formula>"Towel"</formula>
    </cfRule>
    <cfRule type="cellIs" dxfId="4382" priority="5856" stopIfTrue="1" operator="equal">
      <formula>"Napkin Hs"</formula>
    </cfRule>
  </conditionalFormatting>
  <conditionalFormatting sqref="B89:C89">
    <cfRule type="cellIs" dxfId="4381" priority="5851" stopIfTrue="1" operator="equal">
      <formula>"Towel"</formula>
    </cfRule>
    <cfRule type="cellIs" dxfId="4380" priority="5852" stopIfTrue="1" operator="equal">
      <formula>"Napkin Hs"</formula>
    </cfRule>
  </conditionalFormatting>
  <conditionalFormatting sqref="C89">
    <cfRule type="cellIs" dxfId="4379" priority="5849" stopIfTrue="1" operator="equal">
      <formula>"Towel"</formula>
    </cfRule>
    <cfRule type="cellIs" dxfId="4378" priority="5850" stopIfTrue="1" operator="equal">
      <formula>"Napkin Hs"</formula>
    </cfRule>
  </conditionalFormatting>
  <conditionalFormatting sqref="C89">
    <cfRule type="cellIs" dxfId="4377" priority="5847" stopIfTrue="1" operator="equal">
      <formula>"Towel"</formula>
    </cfRule>
    <cfRule type="cellIs" dxfId="4376" priority="5848" stopIfTrue="1" operator="equal">
      <formula>"Napkin Hs"</formula>
    </cfRule>
  </conditionalFormatting>
  <conditionalFormatting sqref="B89:C89">
    <cfRule type="cellIs" dxfId="4375" priority="5845" stopIfTrue="1" operator="equal">
      <formula>"Towel"</formula>
    </cfRule>
    <cfRule type="cellIs" dxfId="4374" priority="5846" stopIfTrue="1" operator="equal">
      <formula>"Napkin Hs"</formula>
    </cfRule>
  </conditionalFormatting>
  <conditionalFormatting sqref="C89">
    <cfRule type="cellIs" dxfId="4373" priority="5843" stopIfTrue="1" operator="equal">
      <formula>"Towel"</formula>
    </cfRule>
    <cfRule type="cellIs" dxfId="4372" priority="5844" stopIfTrue="1" operator="equal">
      <formula>"Napkin Hs"</formula>
    </cfRule>
  </conditionalFormatting>
  <conditionalFormatting sqref="C89">
    <cfRule type="cellIs" dxfId="4371" priority="5841" stopIfTrue="1" operator="equal">
      <formula>"Towel"</formula>
    </cfRule>
    <cfRule type="cellIs" dxfId="4370" priority="5842" stopIfTrue="1" operator="equal">
      <formula>"Napkin Hs"</formula>
    </cfRule>
  </conditionalFormatting>
  <conditionalFormatting sqref="B89:C89">
    <cfRule type="cellIs" dxfId="4369" priority="5839" stopIfTrue="1" operator="equal">
      <formula>"Towel"</formula>
    </cfRule>
    <cfRule type="cellIs" dxfId="4368" priority="5840" stopIfTrue="1" operator="equal">
      <formula>"Napkin Hs"</formula>
    </cfRule>
  </conditionalFormatting>
  <conditionalFormatting sqref="C89">
    <cfRule type="cellIs" dxfId="4367" priority="5837" stopIfTrue="1" operator="equal">
      <formula>"Towel"</formula>
    </cfRule>
    <cfRule type="cellIs" dxfId="4366" priority="5838" stopIfTrue="1" operator="equal">
      <formula>"Napkin Hs"</formula>
    </cfRule>
  </conditionalFormatting>
  <conditionalFormatting sqref="C89">
    <cfRule type="cellIs" dxfId="4365" priority="5835" stopIfTrue="1" operator="equal">
      <formula>"Towel"</formula>
    </cfRule>
    <cfRule type="cellIs" dxfId="4364" priority="5836" stopIfTrue="1" operator="equal">
      <formula>"Napkin Hs"</formula>
    </cfRule>
  </conditionalFormatting>
  <conditionalFormatting sqref="B89:C89">
    <cfRule type="cellIs" dxfId="4363" priority="5834" stopIfTrue="1" operator="equal">
      <formula>"Napkin Hs"</formula>
    </cfRule>
  </conditionalFormatting>
  <conditionalFormatting sqref="B89:C89">
    <cfRule type="cellIs" dxfId="4362" priority="5833" stopIfTrue="1" operator="equal">
      <formula>"Towel"</formula>
    </cfRule>
  </conditionalFormatting>
  <conditionalFormatting sqref="C89">
    <cfRule type="cellIs" dxfId="4361" priority="5832" stopIfTrue="1" operator="equal">
      <formula>"Napkin Hs"</formula>
    </cfRule>
  </conditionalFormatting>
  <conditionalFormatting sqref="C89">
    <cfRule type="cellIs" dxfId="4360" priority="5829" stopIfTrue="1" operator="equal">
      <formula>"Towel"</formula>
    </cfRule>
    <cfRule type="cellIs" dxfId="4359" priority="5830" stopIfTrue="1" operator="equal">
      <formula>"Napkin Hs"</formula>
    </cfRule>
  </conditionalFormatting>
  <conditionalFormatting sqref="C89">
    <cfRule type="cellIs" dxfId="4358" priority="5831" stopIfTrue="1" operator="equal">
      <formula>"Towel"</formula>
    </cfRule>
  </conditionalFormatting>
  <conditionalFormatting sqref="B88:C88">
    <cfRule type="cellIs" dxfId="4357" priority="5827" stopIfTrue="1" operator="equal">
      <formula>"Towel"</formula>
    </cfRule>
    <cfRule type="cellIs" dxfId="4356" priority="5828" stopIfTrue="1" operator="equal">
      <formula>"Napkin Hs"</formula>
    </cfRule>
  </conditionalFormatting>
  <conditionalFormatting sqref="C88">
    <cfRule type="cellIs" dxfId="4355" priority="5823" stopIfTrue="1" operator="equal">
      <formula>"Towel"</formula>
    </cfRule>
    <cfRule type="cellIs" dxfId="4354" priority="5824" stopIfTrue="1" operator="equal">
      <formula>"Napkin Hs"</formula>
    </cfRule>
  </conditionalFormatting>
  <conditionalFormatting sqref="C88">
    <cfRule type="cellIs" dxfId="4353" priority="5825" stopIfTrue="1" operator="equal">
      <formula>"Towel"</formula>
    </cfRule>
    <cfRule type="cellIs" dxfId="4352" priority="5826" stopIfTrue="1" operator="equal">
      <formula>"Napkin Hs"</formula>
    </cfRule>
  </conditionalFormatting>
  <conditionalFormatting sqref="B88:C88">
    <cfRule type="cellIs" dxfId="4351" priority="5822" stopIfTrue="1" operator="equal">
      <formula>"Napkin Hs"</formula>
    </cfRule>
  </conditionalFormatting>
  <conditionalFormatting sqref="B88:C88">
    <cfRule type="cellIs" dxfId="4350" priority="5821" stopIfTrue="1" operator="equal">
      <formula>"Towel"</formula>
    </cfRule>
  </conditionalFormatting>
  <conditionalFormatting sqref="C88">
    <cfRule type="cellIs" dxfId="4349" priority="5820" stopIfTrue="1" operator="equal">
      <formula>"Napkin Hs"</formula>
    </cfRule>
  </conditionalFormatting>
  <conditionalFormatting sqref="C88">
    <cfRule type="cellIs" dxfId="4348" priority="5819" stopIfTrue="1" operator="equal">
      <formula>"Towel"</formula>
    </cfRule>
  </conditionalFormatting>
  <conditionalFormatting sqref="C88">
    <cfRule type="cellIs" dxfId="4347" priority="5817" stopIfTrue="1" operator="equal">
      <formula>"Towel"</formula>
    </cfRule>
    <cfRule type="cellIs" dxfId="4346" priority="5818" stopIfTrue="1" operator="equal">
      <formula>"Napkin Hs"</formula>
    </cfRule>
  </conditionalFormatting>
  <conditionalFormatting sqref="B88:C88">
    <cfRule type="cellIs" dxfId="4345" priority="5815" stopIfTrue="1" operator="equal">
      <formula>"Towel"</formula>
    </cfRule>
    <cfRule type="cellIs" dxfId="4344" priority="5816" stopIfTrue="1" operator="equal">
      <formula>"Napkin Hs"</formula>
    </cfRule>
  </conditionalFormatting>
  <conditionalFormatting sqref="C88">
    <cfRule type="cellIs" dxfId="4343" priority="5813" stopIfTrue="1" operator="equal">
      <formula>"Towel"</formula>
    </cfRule>
    <cfRule type="cellIs" dxfId="4342" priority="5814" stopIfTrue="1" operator="equal">
      <formula>"Napkin Hs"</formula>
    </cfRule>
  </conditionalFormatting>
  <conditionalFormatting sqref="C88">
    <cfRule type="cellIs" dxfId="4341" priority="5811" stopIfTrue="1" operator="equal">
      <formula>"Towel"</formula>
    </cfRule>
    <cfRule type="cellIs" dxfId="4340" priority="5812" stopIfTrue="1" operator="equal">
      <formula>"Napkin Hs"</formula>
    </cfRule>
  </conditionalFormatting>
  <conditionalFormatting sqref="B88:C88">
    <cfRule type="cellIs" dxfId="4339" priority="5809" stopIfTrue="1" operator="equal">
      <formula>"Towel"</formula>
    </cfRule>
    <cfRule type="cellIs" dxfId="4338" priority="5810" stopIfTrue="1" operator="equal">
      <formula>"Napkin Hs"</formula>
    </cfRule>
  </conditionalFormatting>
  <conditionalFormatting sqref="C88">
    <cfRule type="cellIs" dxfId="4337" priority="5807" stopIfTrue="1" operator="equal">
      <formula>"Towel"</formula>
    </cfRule>
    <cfRule type="cellIs" dxfId="4336" priority="5808" stopIfTrue="1" operator="equal">
      <formula>"Napkin Hs"</formula>
    </cfRule>
  </conditionalFormatting>
  <conditionalFormatting sqref="C88">
    <cfRule type="cellIs" dxfId="4335" priority="5805" stopIfTrue="1" operator="equal">
      <formula>"Towel"</formula>
    </cfRule>
    <cfRule type="cellIs" dxfId="4334" priority="5806" stopIfTrue="1" operator="equal">
      <formula>"Napkin Hs"</formula>
    </cfRule>
  </conditionalFormatting>
  <conditionalFormatting sqref="B88:C88">
    <cfRule type="cellIs" dxfId="4333" priority="5803" stopIfTrue="1" operator="equal">
      <formula>"Towel"</formula>
    </cfRule>
    <cfRule type="cellIs" dxfId="4332" priority="5804" stopIfTrue="1" operator="equal">
      <formula>"Napkin Hs"</formula>
    </cfRule>
  </conditionalFormatting>
  <conditionalFormatting sqref="C88">
    <cfRule type="cellIs" dxfId="4331" priority="5801" stopIfTrue="1" operator="equal">
      <formula>"Towel"</formula>
    </cfRule>
    <cfRule type="cellIs" dxfId="4330" priority="5802" stopIfTrue="1" operator="equal">
      <formula>"Napkin Hs"</formula>
    </cfRule>
  </conditionalFormatting>
  <conditionalFormatting sqref="C88">
    <cfRule type="cellIs" dxfId="4329" priority="5799" stopIfTrue="1" operator="equal">
      <formula>"Towel"</formula>
    </cfRule>
    <cfRule type="cellIs" dxfId="4328" priority="5800" stopIfTrue="1" operator="equal">
      <formula>"Napkin Hs"</formula>
    </cfRule>
  </conditionalFormatting>
  <conditionalFormatting sqref="B88:C88">
    <cfRule type="cellIs" dxfId="4327" priority="5797" stopIfTrue="1" operator="equal">
      <formula>"Towel"</formula>
    </cfRule>
    <cfRule type="cellIs" dxfId="4326" priority="5798" stopIfTrue="1" operator="equal">
      <formula>"Napkin Hs"</formula>
    </cfRule>
  </conditionalFormatting>
  <conditionalFormatting sqref="C88">
    <cfRule type="cellIs" dxfId="4325" priority="5795" stopIfTrue="1" operator="equal">
      <formula>"Towel"</formula>
    </cfRule>
    <cfRule type="cellIs" dxfId="4324" priority="5796" stopIfTrue="1" operator="equal">
      <formula>"Napkin Hs"</formula>
    </cfRule>
  </conditionalFormatting>
  <conditionalFormatting sqref="C88">
    <cfRule type="cellIs" dxfId="4323" priority="5793" stopIfTrue="1" operator="equal">
      <formula>"Towel"</formula>
    </cfRule>
    <cfRule type="cellIs" dxfId="4322" priority="5794" stopIfTrue="1" operator="equal">
      <formula>"Napkin Hs"</formula>
    </cfRule>
  </conditionalFormatting>
  <conditionalFormatting sqref="B88:C88">
    <cfRule type="cellIs" dxfId="4321" priority="5791" stopIfTrue="1" operator="equal">
      <formula>"Towel"</formula>
    </cfRule>
    <cfRule type="cellIs" dxfId="4320" priority="5792" stopIfTrue="1" operator="equal">
      <formula>"Napkin Hs"</formula>
    </cfRule>
  </conditionalFormatting>
  <conditionalFormatting sqref="C88">
    <cfRule type="cellIs" dxfId="4319" priority="5789" stopIfTrue="1" operator="equal">
      <formula>"Towel"</formula>
    </cfRule>
    <cfRule type="cellIs" dxfId="4318" priority="5790" stopIfTrue="1" operator="equal">
      <formula>"Napkin Hs"</formula>
    </cfRule>
  </conditionalFormatting>
  <conditionalFormatting sqref="C88">
    <cfRule type="cellIs" dxfId="4317" priority="5787" stopIfTrue="1" operator="equal">
      <formula>"Towel"</formula>
    </cfRule>
    <cfRule type="cellIs" dxfId="4316" priority="5788" stopIfTrue="1" operator="equal">
      <formula>"Napkin Hs"</formula>
    </cfRule>
  </conditionalFormatting>
  <conditionalFormatting sqref="B88:C88">
    <cfRule type="cellIs" dxfId="4315" priority="5786" stopIfTrue="1" operator="equal">
      <formula>"Napkin Hs"</formula>
    </cfRule>
  </conditionalFormatting>
  <conditionalFormatting sqref="B88:C88">
    <cfRule type="cellIs" dxfId="4314" priority="5785" stopIfTrue="1" operator="equal">
      <formula>"Towel"</formula>
    </cfRule>
  </conditionalFormatting>
  <conditionalFormatting sqref="C88">
    <cfRule type="cellIs" dxfId="4313" priority="5784" stopIfTrue="1" operator="equal">
      <formula>"Napkin Hs"</formula>
    </cfRule>
  </conditionalFormatting>
  <conditionalFormatting sqref="C88">
    <cfRule type="cellIs" dxfId="4312" priority="5781" stopIfTrue="1" operator="equal">
      <formula>"Towel"</formula>
    </cfRule>
    <cfRule type="cellIs" dxfId="4311" priority="5782" stopIfTrue="1" operator="equal">
      <formula>"Napkin Hs"</formula>
    </cfRule>
  </conditionalFormatting>
  <conditionalFormatting sqref="C88">
    <cfRule type="cellIs" dxfId="4310" priority="5783" stopIfTrue="1" operator="equal">
      <formula>"Towel"</formula>
    </cfRule>
  </conditionalFormatting>
  <conditionalFormatting sqref="B87:C87">
    <cfRule type="cellIs" dxfId="4309" priority="5779" stopIfTrue="1" operator="equal">
      <formula>"Towel"</formula>
    </cfRule>
    <cfRule type="cellIs" dxfId="4308" priority="5780" stopIfTrue="1" operator="equal">
      <formula>"Napkin Hs"</formula>
    </cfRule>
  </conditionalFormatting>
  <conditionalFormatting sqref="C87">
    <cfRule type="cellIs" dxfId="4307" priority="5775" stopIfTrue="1" operator="equal">
      <formula>"Towel"</formula>
    </cfRule>
    <cfRule type="cellIs" dxfId="4306" priority="5776" stopIfTrue="1" operator="equal">
      <formula>"Napkin Hs"</formula>
    </cfRule>
  </conditionalFormatting>
  <conditionalFormatting sqref="C87">
    <cfRule type="cellIs" dxfId="4305" priority="5777" stopIfTrue="1" operator="equal">
      <formula>"Towel"</formula>
    </cfRule>
    <cfRule type="cellIs" dxfId="4304" priority="5778" stopIfTrue="1" operator="equal">
      <formula>"Napkin Hs"</formula>
    </cfRule>
  </conditionalFormatting>
  <conditionalFormatting sqref="B87:C87">
    <cfRule type="cellIs" dxfId="4303" priority="5774" stopIfTrue="1" operator="equal">
      <formula>"Napkin Hs"</formula>
    </cfRule>
  </conditionalFormatting>
  <conditionalFormatting sqref="B87:C87">
    <cfRule type="cellIs" dxfId="4302" priority="5773" stopIfTrue="1" operator="equal">
      <formula>"Towel"</formula>
    </cfRule>
  </conditionalFormatting>
  <conditionalFormatting sqref="C87">
    <cfRule type="cellIs" dxfId="4301" priority="5772" stopIfTrue="1" operator="equal">
      <formula>"Napkin Hs"</formula>
    </cfRule>
  </conditionalFormatting>
  <conditionalFormatting sqref="C87">
    <cfRule type="cellIs" dxfId="4300" priority="5771" stopIfTrue="1" operator="equal">
      <formula>"Towel"</formula>
    </cfRule>
  </conditionalFormatting>
  <conditionalFormatting sqref="C87">
    <cfRule type="cellIs" dxfId="4299" priority="5769" stopIfTrue="1" operator="equal">
      <formula>"Towel"</formula>
    </cfRule>
    <cfRule type="cellIs" dxfId="4298" priority="5770" stopIfTrue="1" operator="equal">
      <formula>"Napkin Hs"</formula>
    </cfRule>
  </conditionalFormatting>
  <conditionalFormatting sqref="B87:C87">
    <cfRule type="cellIs" dxfId="4297" priority="5767" stopIfTrue="1" operator="equal">
      <formula>"Towel"</formula>
    </cfRule>
    <cfRule type="cellIs" dxfId="4296" priority="5768" stopIfTrue="1" operator="equal">
      <formula>"Napkin Hs"</formula>
    </cfRule>
  </conditionalFormatting>
  <conditionalFormatting sqref="C87">
    <cfRule type="cellIs" dxfId="4295" priority="5765" stopIfTrue="1" operator="equal">
      <formula>"Towel"</formula>
    </cfRule>
    <cfRule type="cellIs" dxfId="4294" priority="5766" stopIfTrue="1" operator="equal">
      <formula>"Napkin Hs"</formula>
    </cfRule>
  </conditionalFormatting>
  <conditionalFormatting sqref="C87">
    <cfRule type="cellIs" dxfId="4293" priority="5763" stopIfTrue="1" operator="equal">
      <formula>"Towel"</formula>
    </cfRule>
    <cfRule type="cellIs" dxfId="4292" priority="5764" stopIfTrue="1" operator="equal">
      <formula>"Napkin Hs"</formula>
    </cfRule>
  </conditionalFormatting>
  <conditionalFormatting sqref="B87:C87">
    <cfRule type="cellIs" dxfId="4291" priority="5761" stopIfTrue="1" operator="equal">
      <formula>"Towel"</formula>
    </cfRule>
    <cfRule type="cellIs" dxfId="4290" priority="5762" stopIfTrue="1" operator="equal">
      <formula>"Napkin Hs"</formula>
    </cfRule>
  </conditionalFormatting>
  <conditionalFormatting sqref="C87">
    <cfRule type="cellIs" dxfId="4289" priority="5759" stopIfTrue="1" operator="equal">
      <formula>"Towel"</formula>
    </cfRule>
    <cfRule type="cellIs" dxfId="4288" priority="5760" stopIfTrue="1" operator="equal">
      <formula>"Napkin Hs"</formula>
    </cfRule>
  </conditionalFormatting>
  <conditionalFormatting sqref="C87">
    <cfRule type="cellIs" dxfId="4287" priority="5757" stopIfTrue="1" operator="equal">
      <formula>"Towel"</formula>
    </cfRule>
    <cfRule type="cellIs" dxfId="4286" priority="5758" stopIfTrue="1" operator="equal">
      <formula>"Napkin Hs"</formula>
    </cfRule>
  </conditionalFormatting>
  <conditionalFormatting sqref="B87:C87">
    <cfRule type="cellIs" dxfId="4285" priority="5755" stopIfTrue="1" operator="equal">
      <formula>"Towel"</formula>
    </cfRule>
    <cfRule type="cellIs" dxfId="4284" priority="5756" stopIfTrue="1" operator="equal">
      <formula>"Napkin Hs"</formula>
    </cfRule>
  </conditionalFormatting>
  <conditionalFormatting sqref="C87">
    <cfRule type="cellIs" dxfId="4283" priority="5753" stopIfTrue="1" operator="equal">
      <formula>"Towel"</formula>
    </cfRule>
    <cfRule type="cellIs" dxfId="4282" priority="5754" stopIfTrue="1" operator="equal">
      <formula>"Napkin Hs"</formula>
    </cfRule>
  </conditionalFormatting>
  <conditionalFormatting sqref="C87">
    <cfRule type="cellIs" dxfId="4281" priority="5751" stopIfTrue="1" operator="equal">
      <formula>"Towel"</formula>
    </cfRule>
    <cfRule type="cellIs" dxfId="4280" priority="5752" stopIfTrue="1" operator="equal">
      <formula>"Napkin Hs"</formula>
    </cfRule>
  </conditionalFormatting>
  <conditionalFormatting sqref="B87:C87">
    <cfRule type="cellIs" dxfId="4279" priority="5749" stopIfTrue="1" operator="equal">
      <formula>"Towel"</formula>
    </cfRule>
    <cfRule type="cellIs" dxfId="4278" priority="5750" stopIfTrue="1" operator="equal">
      <formula>"Napkin Hs"</formula>
    </cfRule>
  </conditionalFormatting>
  <conditionalFormatting sqref="C87">
    <cfRule type="cellIs" dxfId="4277" priority="5747" stopIfTrue="1" operator="equal">
      <formula>"Towel"</formula>
    </cfRule>
    <cfRule type="cellIs" dxfId="4276" priority="5748" stopIfTrue="1" operator="equal">
      <formula>"Napkin Hs"</formula>
    </cfRule>
  </conditionalFormatting>
  <conditionalFormatting sqref="C87">
    <cfRule type="cellIs" dxfId="4275" priority="5745" stopIfTrue="1" operator="equal">
      <formula>"Towel"</formula>
    </cfRule>
    <cfRule type="cellIs" dxfId="4274" priority="5746" stopIfTrue="1" operator="equal">
      <formula>"Napkin Hs"</formula>
    </cfRule>
  </conditionalFormatting>
  <conditionalFormatting sqref="B87:C87">
    <cfRule type="cellIs" dxfId="4273" priority="5743" stopIfTrue="1" operator="equal">
      <formula>"Towel"</formula>
    </cfRule>
    <cfRule type="cellIs" dxfId="4272" priority="5744" stopIfTrue="1" operator="equal">
      <formula>"Napkin Hs"</formula>
    </cfRule>
  </conditionalFormatting>
  <conditionalFormatting sqref="C87">
    <cfRule type="cellIs" dxfId="4271" priority="5741" stopIfTrue="1" operator="equal">
      <formula>"Towel"</formula>
    </cfRule>
    <cfRule type="cellIs" dxfId="4270" priority="5742" stopIfTrue="1" operator="equal">
      <formula>"Napkin Hs"</formula>
    </cfRule>
  </conditionalFormatting>
  <conditionalFormatting sqref="C87">
    <cfRule type="cellIs" dxfId="4269" priority="5739" stopIfTrue="1" operator="equal">
      <formula>"Towel"</formula>
    </cfRule>
    <cfRule type="cellIs" dxfId="4268" priority="5740" stopIfTrue="1" operator="equal">
      <formula>"Napkin Hs"</formula>
    </cfRule>
  </conditionalFormatting>
  <conditionalFormatting sqref="B87:C87">
    <cfRule type="cellIs" dxfId="4267" priority="5738" stopIfTrue="1" operator="equal">
      <formula>"Napkin Hs"</formula>
    </cfRule>
  </conditionalFormatting>
  <conditionalFormatting sqref="B87:C87">
    <cfRule type="cellIs" dxfId="4266" priority="5737" stopIfTrue="1" operator="equal">
      <formula>"Towel"</formula>
    </cfRule>
  </conditionalFormatting>
  <conditionalFormatting sqref="C87">
    <cfRule type="cellIs" dxfId="4265" priority="5736" stopIfTrue="1" operator="equal">
      <formula>"Napkin Hs"</formula>
    </cfRule>
  </conditionalFormatting>
  <conditionalFormatting sqref="C87">
    <cfRule type="cellIs" dxfId="4264" priority="5733" stopIfTrue="1" operator="equal">
      <formula>"Towel"</formula>
    </cfRule>
    <cfRule type="cellIs" dxfId="4263" priority="5734" stopIfTrue="1" operator="equal">
      <formula>"Napkin Hs"</formula>
    </cfRule>
  </conditionalFormatting>
  <conditionalFormatting sqref="C87">
    <cfRule type="cellIs" dxfId="4262" priority="5735" stopIfTrue="1" operator="equal">
      <formula>"Towel"</formula>
    </cfRule>
  </conditionalFormatting>
  <conditionalFormatting sqref="C87">
    <cfRule type="cellIs" dxfId="4261" priority="5661" stopIfTrue="1" operator="equal">
      <formula>"Towel"</formula>
    </cfRule>
    <cfRule type="cellIs" dxfId="4260" priority="5662" stopIfTrue="1" operator="equal">
      <formula>"Napkin Hs"</formula>
    </cfRule>
  </conditionalFormatting>
  <conditionalFormatting sqref="B87:C87">
    <cfRule type="cellIs" dxfId="4259" priority="5659" stopIfTrue="1" operator="equal">
      <formula>"Towel"</formula>
    </cfRule>
    <cfRule type="cellIs" dxfId="4258" priority="5660" stopIfTrue="1" operator="equal">
      <formula>"Napkin Hs"</formula>
    </cfRule>
  </conditionalFormatting>
  <conditionalFormatting sqref="C87">
    <cfRule type="cellIs" dxfId="4257" priority="5657" stopIfTrue="1" operator="equal">
      <formula>"Towel"</formula>
    </cfRule>
    <cfRule type="cellIs" dxfId="4256" priority="5658" stopIfTrue="1" operator="equal">
      <formula>"Napkin Hs"</formula>
    </cfRule>
  </conditionalFormatting>
  <conditionalFormatting sqref="C87">
    <cfRule type="cellIs" dxfId="4255" priority="5649" stopIfTrue="1" operator="equal">
      <formula>"Towel"</formula>
    </cfRule>
    <cfRule type="cellIs" dxfId="4254" priority="5650" stopIfTrue="1" operator="equal">
      <formula>"Napkin Hs"</formula>
    </cfRule>
  </conditionalFormatting>
  <conditionalFormatting sqref="B89:C89">
    <cfRule type="cellIs" dxfId="4253" priority="5731" stopIfTrue="1" operator="equal">
      <formula>"Towel"</formula>
    </cfRule>
    <cfRule type="cellIs" dxfId="4252" priority="5732" stopIfTrue="1" operator="equal">
      <formula>"Napkin Hs"</formula>
    </cfRule>
  </conditionalFormatting>
  <conditionalFormatting sqref="C89">
    <cfRule type="cellIs" dxfId="4251" priority="5727" stopIfTrue="1" operator="equal">
      <formula>"Towel"</formula>
    </cfRule>
    <cfRule type="cellIs" dxfId="4250" priority="5728" stopIfTrue="1" operator="equal">
      <formula>"Napkin Hs"</formula>
    </cfRule>
  </conditionalFormatting>
  <conditionalFormatting sqref="C89">
    <cfRule type="cellIs" dxfId="4249" priority="5729" stopIfTrue="1" operator="equal">
      <formula>"Towel"</formula>
    </cfRule>
    <cfRule type="cellIs" dxfId="4248" priority="5730" stopIfTrue="1" operator="equal">
      <formula>"Napkin Hs"</formula>
    </cfRule>
  </conditionalFormatting>
  <conditionalFormatting sqref="B89:C89">
    <cfRule type="cellIs" dxfId="4247" priority="5725" stopIfTrue="1" operator="equal">
      <formula>"Towel"</formula>
    </cfRule>
    <cfRule type="cellIs" dxfId="4246" priority="5726" stopIfTrue="1" operator="equal">
      <formula>"Napkin Hs"</formula>
    </cfRule>
  </conditionalFormatting>
  <conditionalFormatting sqref="C89">
    <cfRule type="cellIs" dxfId="4245" priority="5721" stopIfTrue="1" operator="equal">
      <formula>"Towel"</formula>
    </cfRule>
    <cfRule type="cellIs" dxfId="4244" priority="5722" stopIfTrue="1" operator="equal">
      <formula>"Napkin Hs"</formula>
    </cfRule>
  </conditionalFormatting>
  <conditionalFormatting sqref="C89">
    <cfRule type="cellIs" dxfId="4243" priority="5723" stopIfTrue="1" operator="equal">
      <formula>"Towel"</formula>
    </cfRule>
    <cfRule type="cellIs" dxfId="4242" priority="5724" stopIfTrue="1" operator="equal">
      <formula>"Napkin Hs"</formula>
    </cfRule>
  </conditionalFormatting>
  <conditionalFormatting sqref="B89:C89">
    <cfRule type="cellIs" dxfId="4241" priority="5719" stopIfTrue="1" operator="equal">
      <formula>"Towel"</formula>
    </cfRule>
    <cfRule type="cellIs" dxfId="4240" priority="5720" stopIfTrue="1" operator="equal">
      <formula>"Napkin Hs"</formula>
    </cfRule>
  </conditionalFormatting>
  <conditionalFormatting sqref="C89">
    <cfRule type="cellIs" dxfId="4239" priority="5717" stopIfTrue="1" operator="equal">
      <formula>"Towel"</formula>
    </cfRule>
    <cfRule type="cellIs" dxfId="4238" priority="5718" stopIfTrue="1" operator="equal">
      <formula>"Napkin Hs"</formula>
    </cfRule>
  </conditionalFormatting>
  <conditionalFormatting sqref="C89">
    <cfRule type="cellIs" dxfId="4237" priority="5715" stopIfTrue="1" operator="equal">
      <formula>"Towel"</formula>
    </cfRule>
    <cfRule type="cellIs" dxfId="4236" priority="5716" stopIfTrue="1" operator="equal">
      <formula>"Napkin Hs"</formula>
    </cfRule>
  </conditionalFormatting>
  <conditionalFormatting sqref="B89:C89">
    <cfRule type="cellIs" dxfId="4235" priority="5713" stopIfTrue="1" operator="equal">
      <formula>"Towel"</formula>
    </cfRule>
    <cfRule type="cellIs" dxfId="4234" priority="5714" stopIfTrue="1" operator="equal">
      <formula>"Napkin Hs"</formula>
    </cfRule>
  </conditionalFormatting>
  <conditionalFormatting sqref="C89">
    <cfRule type="cellIs" dxfId="4233" priority="5711" stopIfTrue="1" operator="equal">
      <formula>"Towel"</formula>
    </cfRule>
    <cfRule type="cellIs" dxfId="4232" priority="5712" stopIfTrue="1" operator="equal">
      <formula>"Napkin Hs"</formula>
    </cfRule>
  </conditionalFormatting>
  <conditionalFormatting sqref="C89">
    <cfRule type="cellIs" dxfId="4231" priority="5709" stopIfTrue="1" operator="equal">
      <formula>"Towel"</formula>
    </cfRule>
    <cfRule type="cellIs" dxfId="4230" priority="5710" stopIfTrue="1" operator="equal">
      <formula>"Napkin Hs"</formula>
    </cfRule>
  </conditionalFormatting>
  <conditionalFormatting sqref="B89:C89">
    <cfRule type="cellIs" dxfId="4229" priority="5707" stopIfTrue="1" operator="equal">
      <formula>"Towel"</formula>
    </cfRule>
    <cfRule type="cellIs" dxfId="4228" priority="5708" stopIfTrue="1" operator="equal">
      <formula>"Napkin Hs"</formula>
    </cfRule>
  </conditionalFormatting>
  <conditionalFormatting sqref="C89">
    <cfRule type="cellIs" dxfId="4227" priority="5705" stopIfTrue="1" operator="equal">
      <formula>"Towel"</formula>
    </cfRule>
    <cfRule type="cellIs" dxfId="4226" priority="5706" stopIfTrue="1" operator="equal">
      <formula>"Napkin Hs"</formula>
    </cfRule>
  </conditionalFormatting>
  <conditionalFormatting sqref="C89">
    <cfRule type="cellIs" dxfId="4225" priority="5703" stopIfTrue="1" operator="equal">
      <formula>"Towel"</formula>
    </cfRule>
    <cfRule type="cellIs" dxfId="4224" priority="5704" stopIfTrue="1" operator="equal">
      <formula>"Napkin Hs"</formula>
    </cfRule>
  </conditionalFormatting>
  <conditionalFormatting sqref="B89:C89">
    <cfRule type="cellIs" dxfId="4223" priority="5702" stopIfTrue="1" operator="equal">
      <formula>"Napkin Hs"</formula>
    </cfRule>
  </conditionalFormatting>
  <conditionalFormatting sqref="B89:C89">
    <cfRule type="cellIs" dxfId="4222" priority="5701" stopIfTrue="1" operator="equal">
      <formula>"Towel"</formula>
    </cfRule>
  </conditionalFormatting>
  <conditionalFormatting sqref="C89">
    <cfRule type="cellIs" dxfId="4221" priority="5700" stopIfTrue="1" operator="equal">
      <formula>"Napkin Hs"</formula>
    </cfRule>
  </conditionalFormatting>
  <conditionalFormatting sqref="C89">
    <cfRule type="cellIs" dxfId="4220" priority="5697" stopIfTrue="1" operator="equal">
      <formula>"Towel"</formula>
    </cfRule>
    <cfRule type="cellIs" dxfId="4219" priority="5698" stopIfTrue="1" operator="equal">
      <formula>"Napkin Hs"</formula>
    </cfRule>
  </conditionalFormatting>
  <conditionalFormatting sqref="C89">
    <cfRule type="cellIs" dxfId="4218" priority="5699" stopIfTrue="1" operator="equal">
      <formula>"Towel"</formula>
    </cfRule>
  </conditionalFormatting>
  <conditionalFormatting sqref="B87:C87">
    <cfRule type="cellIs" dxfId="4217" priority="5690" stopIfTrue="1" operator="equal">
      <formula>"Napkin Hs"</formula>
    </cfRule>
  </conditionalFormatting>
  <conditionalFormatting sqref="B87:C87">
    <cfRule type="cellIs" dxfId="4216" priority="5689" stopIfTrue="1" operator="equal">
      <formula>"Towel"</formula>
    </cfRule>
  </conditionalFormatting>
  <conditionalFormatting sqref="C87">
    <cfRule type="cellIs" dxfId="4215" priority="5688" stopIfTrue="1" operator="equal">
      <formula>"Napkin Hs"</formula>
    </cfRule>
  </conditionalFormatting>
  <conditionalFormatting sqref="C87">
    <cfRule type="cellIs" dxfId="4214" priority="5687" stopIfTrue="1" operator="equal">
      <formula>"Towel"</formula>
    </cfRule>
  </conditionalFormatting>
  <conditionalFormatting sqref="C87">
    <cfRule type="cellIs" dxfId="4213" priority="5685" stopIfTrue="1" operator="equal">
      <formula>"Towel"</formula>
    </cfRule>
    <cfRule type="cellIs" dxfId="4212" priority="5686" stopIfTrue="1" operator="equal">
      <formula>"Napkin Hs"</formula>
    </cfRule>
  </conditionalFormatting>
  <conditionalFormatting sqref="B87:C87">
    <cfRule type="cellIs" dxfId="4211" priority="5683" stopIfTrue="1" operator="equal">
      <formula>"Towel"</formula>
    </cfRule>
    <cfRule type="cellIs" dxfId="4210" priority="5684" stopIfTrue="1" operator="equal">
      <formula>"Napkin Hs"</formula>
    </cfRule>
  </conditionalFormatting>
  <conditionalFormatting sqref="C87">
    <cfRule type="cellIs" dxfId="4209" priority="5681" stopIfTrue="1" operator="equal">
      <formula>"Towel"</formula>
    </cfRule>
    <cfRule type="cellIs" dxfId="4208" priority="5682" stopIfTrue="1" operator="equal">
      <formula>"Napkin Hs"</formula>
    </cfRule>
  </conditionalFormatting>
  <conditionalFormatting sqref="C87">
    <cfRule type="cellIs" dxfId="4207" priority="5679" stopIfTrue="1" operator="equal">
      <formula>"Towel"</formula>
    </cfRule>
    <cfRule type="cellIs" dxfId="4206" priority="5680" stopIfTrue="1" operator="equal">
      <formula>"Napkin Hs"</formula>
    </cfRule>
  </conditionalFormatting>
  <conditionalFormatting sqref="B87:C87">
    <cfRule type="cellIs" dxfId="4205" priority="5677" stopIfTrue="1" operator="equal">
      <formula>"Towel"</formula>
    </cfRule>
    <cfRule type="cellIs" dxfId="4204" priority="5678" stopIfTrue="1" operator="equal">
      <formula>"Napkin Hs"</formula>
    </cfRule>
  </conditionalFormatting>
  <conditionalFormatting sqref="C87">
    <cfRule type="cellIs" dxfId="4203" priority="5675" stopIfTrue="1" operator="equal">
      <formula>"Towel"</formula>
    </cfRule>
    <cfRule type="cellIs" dxfId="4202" priority="5676" stopIfTrue="1" operator="equal">
      <formula>"Napkin Hs"</formula>
    </cfRule>
  </conditionalFormatting>
  <conditionalFormatting sqref="C87">
    <cfRule type="cellIs" dxfId="4201" priority="5673" stopIfTrue="1" operator="equal">
      <formula>"Towel"</formula>
    </cfRule>
    <cfRule type="cellIs" dxfId="4200" priority="5674" stopIfTrue="1" operator="equal">
      <formula>"Napkin Hs"</formula>
    </cfRule>
  </conditionalFormatting>
  <conditionalFormatting sqref="B87:C87">
    <cfRule type="cellIs" dxfId="4199" priority="5671" stopIfTrue="1" operator="equal">
      <formula>"Towel"</formula>
    </cfRule>
    <cfRule type="cellIs" dxfId="4198" priority="5672" stopIfTrue="1" operator="equal">
      <formula>"Napkin Hs"</formula>
    </cfRule>
  </conditionalFormatting>
  <conditionalFormatting sqref="C87">
    <cfRule type="cellIs" dxfId="4197" priority="5669" stopIfTrue="1" operator="equal">
      <formula>"Towel"</formula>
    </cfRule>
    <cfRule type="cellIs" dxfId="4196" priority="5670" stopIfTrue="1" operator="equal">
      <formula>"Napkin Hs"</formula>
    </cfRule>
  </conditionalFormatting>
  <conditionalFormatting sqref="C87">
    <cfRule type="cellIs" dxfId="4195" priority="5667" stopIfTrue="1" operator="equal">
      <formula>"Towel"</formula>
    </cfRule>
    <cfRule type="cellIs" dxfId="4194" priority="5668" stopIfTrue="1" operator="equal">
      <formula>"Napkin Hs"</formula>
    </cfRule>
  </conditionalFormatting>
  <conditionalFormatting sqref="B87:C87">
    <cfRule type="cellIs" dxfId="4193" priority="5665" stopIfTrue="1" operator="equal">
      <formula>"Towel"</formula>
    </cfRule>
    <cfRule type="cellIs" dxfId="4192" priority="5666" stopIfTrue="1" operator="equal">
      <formula>"Napkin Hs"</formula>
    </cfRule>
  </conditionalFormatting>
  <conditionalFormatting sqref="C87">
    <cfRule type="cellIs" dxfId="4191" priority="5663" stopIfTrue="1" operator="equal">
      <formula>"Towel"</formula>
    </cfRule>
    <cfRule type="cellIs" dxfId="4190" priority="5664" stopIfTrue="1" operator="equal">
      <formula>"Napkin Hs"</formula>
    </cfRule>
  </conditionalFormatting>
  <conditionalFormatting sqref="C87">
    <cfRule type="cellIs" dxfId="4189" priority="5655" stopIfTrue="1" operator="equal">
      <formula>"Towel"</formula>
    </cfRule>
    <cfRule type="cellIs" dxfId="4188" priority="5656" stopIfTrue="1" operator="equal">
      <formula>"Napkin Hs"</formula>
    </cfRule>
  </conditionalFormatting>
  <conditionalFormatting sqref="B87:C87">
    <cfRule type="cellIs" dxfId="4187" priority="5654" stopIfTrue="1" operator="equal">
      <formula>"Napkin Hs"</formula>
    </cfRule>
  </conditionalFormatting>
  <conditionalFormatting sqref="B87:C87">
    <cfRule type="cellIs" dxfId="4186" priority="5653" stopIfTrue="1" operator="equal">
      <formula>"Towel"</formula>
    </cfRule>
  </conditionalFormatting>
  <conditionalFormatting sqref="C87">
    <cfRule type="cellIs" dxfId="4185" priority="5652" stopIfTrue="1" operator="equal">
      <formula>"Napkin Hs"</formula>
    </cfRule>
  </conditionalFormatting>
  <conditionalFormatting sqref="C87">
    <cfRule type="cellIs" dxfId="4184" priority="5651" stopIfTrue="1" operator="equal">
      <formula>"Towel"</formula>
    </cfRule>
  </conditionalFormatting>
  <conditionalFormatting sqref="B87:C87">
    <cfRule type="cellIs" dxfId="4183" priority="5695" stopIfTrue="1" operator="equal">
      <formula>"Towel"</formula>
    </cfRule>
    <cfRule type="cellIs" dxfId="4182" priority="5696" stopIfTrue="1" operator="equal">
      <formula>"Napkin Hs"</formula>
    </cfRule>
  </conditionalFormatting>
  <conditionalFormatting sqref="C87">
    <cfRule type="cellIs" dxfId="4181" priority="5691" stopIfTrue="1" operator="equal">
      <formula>"Towel"</formula>
    </cfRule>
    <cfRule type="cellIs" dxfId="4180" priority="5692" stopIfTrue="1" operator="equal">
      <formula>"Napkin Hs"</formula>
    </cfRule>
  </conditionalFormatting>
  <conditionalFormatting sqref="C87">
    <cfRule type="cellIs" dxfId="4179" priority="5693" stopIfTrue="1" operator="equal">
      <formula>"Towel"</formula>
    </cfRule>
    <cfRule type="cellIs" dxfId="4178" priority="5694" stopIfTrue="1" operator="equal">
      <formula>"Napkin Hs"</formula>
    </cfRule>
  </conditionalFormatting>
  <conditionalFormatting sqref="B88:C88">
    <cfRule type="cellIs" dxfId="4177" priority="5647" stopIfTrue="1" operator="equal">
      <formula>"Towel"</formula>
    </cfRule>
    <cfRule type="cellIs" dxfId="4176" priority="5648" stopIfTrue="1" operator="equal">
      <formula>"Napkin Hs"</formula>
    </cfRule>
  </conditionalFormatting>
  <conditionalFormatting sqref="C88">
    <cfRule type="cellIs" dxfId="4175" priority="5643" stopIfTrue="1" operator="equal">
      <formula>"Towel"</formula>
    </cfRule>
    <cfRule type="cellIs" dxfId="4174" priority="5644" stopIfTrue="1" operator="equal">
      <formula>"Napkin Hs"</formula>
    </cfRule>
  </conditionalFormatting>
  <conditionalFormatting sqref="C88">
    <cfRule type="cellIs" dxfId="4173" priority="5645" stopIfTrue="1" operator="equal">
      <formula>"Towel"</formula>
    </cfRule>
    <cfRule type="cellIs" dxfId="4172" priority="5646" stopIfTrue="1" operator="equal">
      <formula>"Napkin Hs"</formula>
    </cfRule>
  </conditionalFormatting>
  <conditionalFormatting sqref="B88:C88">
    <cfRule type="cellIs" dxfId="4171" priority="5642" stopIfTrue="1" operator="equal">
      <formula>"Napkin Hs"</formula>
    </cfRule>
  </conditionalFormatting>
  <conditionalFormatting sqref="B88:C88">
    <cfRule type="cellIs" dxfId="4170" priority="5641" stopIfTrue="1" operator="equal">
      <formula>"Towel"</formula>
    </cfRule>
  </conditionalFormatting>
  <conditionalFormatting sqref="C88">
    <cfRule type="cellIs" dxfId="4169" priority="5640" stopIfTrue="1" operator="equal">
      <formula>"Napkin Hs"</formula>
    </cfRule>
  </conditionalFormatting>
  <conditionalFormatting sqref="C88">
    <cfRule type="cellIs" dxfId="4168" priority="5639" stopIfTrue="1" operator="equal">
      <formula>"Towel"</formula>
    </cfRule>
  </conditionalFormatting>
  <conditionalFormatting sqref="C88">
    <cfRule type="cellIs" dxfId="4167" priority="5637" stopIfTrue="1" operator="equal">
      <formula>"Towel"</formula>
    </cfRule>
    <cfRule type="cellIs" dxfId="4166" priority="5638" stopIfTrue="1" operator="equal">
      <formula>"Napkin Hs"</formula>
    </cfRule>
  </conditionalFormatting>
  <conditionalFormatting sqref="B88:C88">
    <cfRule type="cellIs" dxfId="4165" priority="5635" stopIfTrue="1" operator="equal">
      <formula>"Towel"</formula>
    </cfRule>
    <cfRule type="cellIs" dxfId="4164" priority="5636" stopIfTrue="1" operator="equal">
      <formula>"Napkin Hs"</formula>
    </cfRule>
  </conditionalFormatting>
  <conditionalFormatting sqref="C88">
    <cfRule type="cellIs" dxfId="4163" priority="5633" stopIfTrue="1" operator="equal">
      <formula>"Towel"</formula>
    </cfRule>
    <cfRule type="cellIs" dxfId="4162" priority="5634" stopIfTrue="1" operator="equal">
      <formula>"Napkin Hs"</formula>
    </cfRule>
  </conditionalFormatting>
  <conditionalFormatting sqref="C88">
    <cfRule type="cellIs" dxfId="4161" priority="5631" stopIfTrue="1" operator="equal">
      <formula>"Towel"</formula>
    </cfRule>
    <cfRule type="cellIs" dxfId="4160" priority="5632" stopIfTrue="1" operator="equal">
      <formula>"Napkin Hs"</formula>
    </cfRule>
  </conditionalFormatting>
  <conditionalFormatting sqref="B88:C88">
    <cfRule type="cellIs" dxfId="4159" priority="5629" stopIfTrue="1" operator="equal">
      <formula>"Towel"</formula>
    </cfRule>
    <cfRule type="cellIs" dxfId="4158" priority="5630" stopIfTrue="1" operator="equal">
      <formula>"Napkin Hs"</formula>
    </cfRule>
  </conditionalFormatting>
  <conditionalFormatting sqref="C88">
    <cfRule type="cellIs" dxfId="4157" priority="5627" stopIfTrue="1" operator="equal">
      <formula>"Towel"</formula>
    </cfRule>
    <cfRule type="cellIs" dxfId="4156" priority="5628" stopIfTrue="1" operator="equal">
      <formula>"Napkin Hs"</formula>
    </cfRule>
  </conditionalFormatting>
  <conditionalFormatting sqref="C88">
    <cfRule type="cellIs" dxfId="4155" priority="5625" stopIfTrue="1" operator="equal">
      <formula>"Towel"</formula>
    </cfRule>
    <cfRule type="cellIs" dxfId="4154" priority="5626" stopIfTrue="1" operator="equal">
      <formula>"Napkin Hs"</formula>
    </cfRule>
  </conditionalFormatting>
  <conditionalFormatting sqref="B88:C88">
    <cfRule type="cellIs" dxfId="4153" priority="5623" stopIfTrue="1" operator="equal">
      <formula>"Towel"</formula>
    </cfRule>
    <cfRule type="cellIs" dxfId="4152" priority="5624" stopIfTrue="1" operator="equal">
      <formula>"Napkin Hs"</formula>
    </cfRule>
  </conditionalFormatting>
  <conditionalFormatting sqref="C88">
    <cfRule type="cellIs" dxfId="4151" priority="5621" stopIfTrue="1" operator="equal">
      <formula>"Towel"</formula>
    </cfRule>
    <cfRule type="cellIs" dxfId="4150" priority="5622" stopIfTrue="1" operator="equal">
      <formula>"Napkin Hs"</formula>
    </cfRule>
  </conditionalFormatting>
  <conditionalFormatting sqref="C88">
    <cfRule type="cellIs" dxfId="4149" priority="5619" stopIfTrue="1" operator="equal">
      <formula>"Towel"</formula>
    </cfRule>
    <cfRule type="cellIs" dxfId="4148" priority="5620" stopIfTrue="1" operator="equal">
      <formula>"Napkin Hs"</formula>
    </cfRule>
  </conditionalFormatting>
  <conditionalFormatting sqref="B88:C88">
    <cfRule type="cellIs" dxfId="4147" priority="5617" stopIfTrue="1" operator="equal">
      <formula>"Towel"</formula>
    </cfRule>
    <cfRule type="cellIs" dxfId="4146" priority="5618" stopIfTrue="1" operator="equal">
      <formula>"Napkin Hs"</formula>
    </cfRule>
  </conditionalFormatting>
  <conditionalFormatting sqref="C88">
    <cfRule type="cellIs" dxfId="4145" priority="5615" stopIfTrue="1" operator="equal">
      <formula>"Towel"</formula>
    </cfRule>
    <cfRule type="cellIs" dxfId="4144" priority="5616" stopIfTrue="1" operator="equal">
      <formula>"Napkin Hs"</formula>
    </cfRule>
  </conditionalFormatting>
  <conditionalFormatting sqref="C88">
    <cfRule type="cellIs" dxfId="4143" priority="5613" stopIfTrue="1" operator="equal">
      <formula>"Towel"</formula>
    </cfRule>
    <cfRule type="cellIs" dxfId="4142" priority="5614" stopIfTrue="1" operator="equal">
      <formula>"Napkin Hs"</formula>
    </cfRule>
  </conditionalFormatting>
  <conditionalFormatting sqref="B88:C88">
    <cfRule type="cellIs" dxfId="4141" priority="5611" stopIfTrue="1" operator="equal">
      <formula>"Towel"</formula>
    </cfRule>
    <cfRule type="cellIs" dxfId="4140" priority="5612" stopIfTrue="1" operator="equal">
      <formula>"Napkin Hs"</formula>
    </cfRule>
  </conditionalFormatting>
  <conditionalFormatting sqref="C88">
    <cfRule type="cellIs" dxfId="4139" priority="5609" stopIfTrue="1" operator="equal">
      <formula>"Towel"</formula>
    </cfRule>
    <cfRule type="cellIs" dxfId="4138" priority="5610" stopIfTrue="1" operator="equal">
      <formula>"Napkin Hs"</formula>
    </cfRule>
  </conditionalFormatting>
  <conditionalFormatting sqref="C88">
    <cfRule type="cellIs" dxfId="4137" priority="5607" stopIfTrue="1" operator="equal">
      <formula>"Towel"</formula>
    </cfRule>
    <cfRule type="cellIs" dxfId="4136" priority="5608" stopIfTrue="1" operator="equal">
      <formula>"Napkin Hs"</formula>
    </cfRule>
  </conditionalFormatting>
  <conditionalFormatting sqref="B88:C88">
    <cfRule type="cellIs" dxfId="4135" priority="5606" stopIfTrue="1" operator="equal">
      <formula>"Napkin Hs"</formula>
    </cfRule>
  </conditionalFormatting>
  <conditionalFormatting sqref="B88:C88">
    <cfRule type="cellIs" dxfId="4134" priority="5605" stopIfTrue="1" operator="equal">
      <formula>"Towel"</formula>
    </cfRule>
  </conditionalFormatting>
  <conditionalFormatting sqref="C88">
    <cfRule type="cellIs" dxfId="4133" priority="5604" stopIfTrue="1" operator="equal">
      <formula>"Napkin Hs"</formula>
    </cfRule>
  </conditionalFormatting>
  <conditionalFormatting sqref="C88">
    <cfRule type="cellIs" dxfId="4132" priority="5601" stopIfTrue="1" operator="equal">
      <formula>"Towel"</formula>
    </cfRule>
    <cfRule type="cellIs" dxfId="4131" priority="5602" stopIfTrue="1" operator="equal">
      <formula>"Napkin Hs"</formula>
    </cfRule>
  </conditionalFormatting>
  <conditionalFormatting sqref="C88">
    <cfRule type="cellIs" dxfId="4130" priority="5603" stopIfTrue="1" operator="equal">
      <formula>"Towel"</formula>
    </cfRule>
  </conditionalFormatting>
  <conditionalFormatting sqref="C89">
    <cfRule type="cellIs" dxfId="4129" priority="5565" stopIfTrue="1" operator="equal">
      <formula>"Towel"</formula>
    </cfRule>
    <cfRule type="cellIs" dxfId="4128" priority="5566" stopIfTrue="1" operator="equal">
      <formula>"Napkin Hs"</formula>
    </cfRule>
  </conditionalFormatting>
  <conditionalFormatting sqref="B89:C89">
    <cfRule type="cellIs" dxfId="4127" priority="5563" stopIfTrue="1" operator="equal">
      <formula>"Towel"</formula>
    </cfRule>
    <cfRule type="cellIs" dxfId="4126" priority="5564" stopIfTrue="1" operator="equal">
      <formula>"Napkin Hs"</formula>
    </cfRule>
  </conditionalFormatting>
  <conditionalFormatting sqref="C89">
    <cfRule type="cellIs" dxfId="4125" priority="5561" stopIfTrue="1" operator="equal">
      <formula>"Towel"</formula>
    </cfRule>
    <cfRule type="cellIs" dxfId="4124" priority="5562" stopIfTrue="1" operator="equal">
      <formula>"Napkin Hs"</formula>
    </cfRule>
  </conditionalFormatting>
  <conditionalFormatting sqref="C89">
    <cfRule type="cellIs" dxfId="4123" priority="5553" stopIfTrue="1" operator="equal">
      <formula>"Towel"</formula>
    </cfRule>
    <cfRule type="cellIs" dxfId="4122" priority="5554" stopIfTrue="1" operator="equal">
      <formula>"Napkin Hs"</formula>
    </cfRule>
  </conditionalFormatting>
  <conditionalFormatting sqref="B89:C89">
    <cfRule type="cellIs" dxfId="4121" priority="5599" stopIfTrue="1" operator="equal">
      <formula>"Towel"</formula>
    </cfRule>
    <cfRule type="cellIs" dxfId="4120" priority="5600" stopIfTrue="1" operator="equal">
      <formula>"Napkin Hs"</formula>
    </cfRule>
  </conditionalFormatting>
  <conditionalFormatting sqref="C89">
    <cfRule type="cellIs" dxfId="4119" priority="5595" stopIfTrue="1" operator="equal">
      <formula>"Towel"</formula>
    </cfRule>
    <cfRule type="cellIs" dxfId="4118" priority="5596" stopIfTrue="1" operator="equal">
      <formula>"Napkin Hs"</formula>
    </cfRule>
  </conditionalFormatting>
  <conditionalFormatting sqref="C89">
    <cfRule type="cellIs" dxfId="4117" priority="5597" stopIfTrue="1" operator="equal">
      <formula>"Towel"</formula>
    </cfRule>
    <cfRule type="cellIs" dxfId="4116" priority="5598" stopIfTrue="1" operator="equal">
      <formula>"Napkin Hs"</formula>
    </cfRule>
  </conditionalFormatting>
  <conditionalFormatting sqref="B89:C89">
    <cfRule type="cellIs" dxfId="4115" priority="5594" stopIfTrue="1" operator="equal">
      <formula>"Napkin Hs"</formula>
    </cfRule>
  </conditionalFormatting>
  <conditionalFormatting sqref="B89:C89">
    <cfRule type="cellIs" dxfId="4114" priority="5593" stopIfTrue="1" operator="equal">
      <formula>"Towel"</formula>
    </cfRule>
  </conditionalFormatting>
  <conditionalFormatting sqref="C89">
    <cfRule type="cellIs" dxfId="4113" priority="5592" stopIfTrue="1" operator="equal">
      <formula>"Napkin Hs"</formula>
    </cfRule>
  </conditionalFormatting>
  <conditionalFormatting sqref="C89">
    <cfRule type="cellIs" dxfId="4112" priority="5591" stopIfTrue="1" operator="equal">
      <formula>"Towel"</formula>
    </cfRule>
  </conditionalFormatting>
  <conditionalFormatting sqref="C89">
    <cfRule type="cellIs" dxfId="4111" priority="5589" stopIfTrue="1" operator="equal">
      <formula>"Towel"</formula>
    </cfRule>
    <cfRule type="cellIs" dxfId="4110" priority="5590" stopIfTrue="1" operator="equal">
      <formula>"Napkin Hs"</formula>
    </cfRule>
  </conditionalFormatting>
  <conditionalFormatting sqref="B89:C89">
    <cfRule type="cellIs" dxfId="4109" priority="5587" stopIfTrue="1" operator="equal">
      <formula>"Towel"</formula>
    </cfRule>
    <cfRule type="cellIs" dxfId="4108" priority="5588" stopIfTrue="1" operator="equal">
      <formula>"Napkin Hs"</formula>
    </cfRule>
  </conditionalFormatting>
  <conditionalFormatting sqref="C89">
    <cfRule type="cellIs" dxfId="4107" priority="5585" stopIfTrue="1" operator="equal">
      <formula>"Towel"</formula>
    </cfRule>
    <cfRule type="cellIs" dxfId="4106" priority="5586" stopIfTrue="1" operator="equal">
      <formula>"Napkin Hs"</formula>
    </cfRule>
  </conditionalFormatting>
  <conditionalFormatting sqref="C89">
    <cfRule type="cellIs" dxfId="4105" priority="5583" stopIfTrue="1" operator="equal">
      <formula>"Towel"</formula>
    </cfRule>
    <cfRule type="cellIs" dxfId="4104" priority="5584" stopIfTrue="1" operator="equal">
      <formula>"Napkin Hs"</formula>
    </cfRule>
  </conditionalFormatting>
  <conditionalFormatting sqref="B89:C89">
    <cfRule type="cellIs" dxfId="4103" priority="5581" stopIfTrue="1" operator="equal">
      <formula>"Towel"</formula>
    </cfRule>
    <cfRule type="cellIs" dxfId="4102" priority="5582" stopIfTrue="1" operator="equal">
      <formula>"Napkin Hs"</formula>
    </cfRule>
  </conditionalFormatting>
  <conditionalFormatting sqref="C89">
    <cfRule type="cellIs" dxfId="4101" priority="5579" stopIfTrue="1" operator="equal">
      <formula>"Towel"</formula>
    </cfRule>
    <cfRule type="cellIs" dxfId="4100" priority="5580" stopIfTrue="1" operator="equal">
      <formula>"Napkin Hs"</formula>
    </cfRule>
  </conditionalFormatting>
  <conditionalFormatting sqref="C89">
    <cfRule type="cellIs" dxfId="4099" priority="5577" stopIfTrue="1" operator="equal">
      <formula>"Towel"</formula>
    </cfRule>
    <cfRule type="cellIs" dxfId="4098" priority="5578" stopIfTrue="1" operator="equal">
      <formula>"Napkin Hs"</formula>
    </cfRule>
  </conditionalFormatting>
  <conditionalFormatting sqref="B89:C89">
    <cfRule type="cellIs" dxfId="4097" priority="5575" stopIfTrue="1" operator="equal">
      <formula>"Towel"</formula>
    </cfRule>
    <cfRule type="cellIs" dxfId="4096" priority="5576" stopIfTrue="1" operator="equal">
      <formula>"Napkin Hs"</formula>
    </cfRule>
  </conditionalFormatting>
  <conditionalFormatting sqref="C89">
    <cfRule type="cellIs" dxfId="4095" priority="5573" stopIfTrue="1" operator="equal">
      <formula>"Towel"</formula>
    </cfRule>
    <cfRule type="cellIs" dxfId="4094" priority="5574" stopIfTrue="1" operator="equal">
      <formula>"Napkin Hs"</formula>
    </cfRule>
  </conditionalFormatting>
  <conditionalFormatting sqref="C89">
    <cfRule type="cellIs" dxfId="4093" priority="5571" stopIfTrue="1" operator="equal">
      <formula>"Towel"</formula>
    </cfRule>
    <cfRule type="cellIs" dxfId="4092" priority="5572" stopIfTrue="1" operator="equal">
      <formula>"Napkin Hs"</formula>
    </cfRule>
  </conditionalFormatting>
  <conditionalFormatting sqref="B89:C89">
    <cfRule type="cellIs" dxfId="4091" priority="5569" stopIfTrue="1" operator="equal">
      <formula>"Towel"</formula>
    </cfRule>
    <cfRule type="cellIs" dxfId="4090" priority="5570" stopIfTrue="1" operator="equal">
      <formula>"Napkin Hs"</formula>
    </cfRule>
  </conditionalFormatting>
  <conditionalFormatting sqref="C89">
    <cfRule type="cellIs" dxfId="4089" priority="5567" stopIfTrue="1" operator="equal">
      <formula>"Towel"</formula>
    </cfRule>
    <cfRule type="cellIs" dxfId="4088" priority="5568" stopIfTrue="1" operator="equal">
      <formula>"Napkin Hs"</formula>
    </cfRule>
  </conditionalFormatting>
  <conditionalFormatting sqref="C89">
    <cfRule type="cellIs" dxfId="4087" priority="5559" stopIfTrue="1" operator="equal">
      <formula>"Towel"</formula>
    </cfRule>
    <cfRule type="cellIs" dxfId="4086" priority="5560" stopIfTrue="1" operator="equal">
      <formula>"Napkin Hs"</formula>
    </cfRule>
  </conditionalFormatting>
  <conditionalFormatting sqref="B89:C89">
    <cfRule type="cellIs" dxfId="4085" priority="5558" stopIfTrue="1" operator="equal">
      <formula>"Napkin Hs"</formula>
    </cfRule>
  </conditionalFormatting>
  <conditionalFormatting sqref="B89:C89">
    <cfRule type="cellIs" dxfId="4084" priority="5557" stopIfTrue="1" operator="equal">
      <formula>"Towel"</formula>
    </cfRule>
  </conditionalFormatting>
  <conditionalFormatting sqref="C89">
    <cfRule type="cellIs" dxfId="4083" priority="5556" stopIfTrue="1" operator="equal">
      <formula>"Napkin Hs"</formula>
    </cfRule>
  </conditionalFormatting>
  <conditionalFormatting sqref="C89">
    <cfRule type="cellIs" dxfId="4082" priority="5555" stopIfTrue="1" operator="equal">
      <formula>"Towel"</formula>
    </cfRule>
  </conditionalFormatting>
  <conditionalFormatting sqref="C88">
    <cfRule type="cellIs" dxfId="4081" priority="5517" stopIfTrue="1" operator="equal">
      <formula>"Towel"</formula>
    </cfRule>
    <cfRule type="cellIs" dxfId="4080" priority="5518" stopIfTrue="1" operator="equal">
      <formula>"Napkin Hs"</formula>
    </cfRule>
  </conditionalFormatting>
  <conditionalFormatting sqref="B88:C88">
    <cfRule type="cellIs" dxfId="4079" priority="5515" stopIfTrue="1" operator="equal">
      <formula>"Towel"</formula>
    </cfRule>
    <cfRule type="cellIs" dxfId="4078" priority="5516" stopIfTrue="1" operator="equal">
      <formula>"Napkin Hs"</formula>
    </cfRule>
  </conditionalFormatting>
  <conditionalFormatting sqref="C88">
    <cfRule type="cellIs" dxfId="4077" priority="5513" stopIfTrue="1" operator="equal">
      <formula>"Towel"</formula>
    </cfRule>
    <cfRule type="cellIs" dxfId="4076" priority="5514" stopIfTrue="1" operator="equal">
      <formula>"Napkin Hs"</formula>
    </cfRule>
  </conditionalFormatting>
  <conditionalFormatting sqref="C88">
    <cfRule type="cellIs" dxfId="4075" priority="5505" stopIfTrue="1" operator="equal">
      <formula>"Towel"</formula>
    </cfRule>
    <cfRule type="cellIs" dxfId="4074" priority="5506" stopIfTrue="1" operator="equal">
      <formula>"Napkin Hs"</formula>
    </cfRule>
  </conditionalFormatting>
  <conditionalFormatting sqref="B88:C88">
    <cfRule type="cellIs" dxfId="4073" priority="5551" stopIfTrue="1" operator="equal">
      <formula>"Towel"</formula>
    </cfRule>
    <cfRule type="cellIs" dxfId="4072" priority="5552" stopIfTrue="1" operator="equal">
      <formula>"Napkin Hs"</formula>
    </cfRule>
  </conditionalFormatting>
  <conditionalFormatting sqref="C88">
    <cfRule type="cellIs" dxfId="4071" priority="5547" stopIfTrue="1" operator="equal">
      <formula>"Towel"</formula>
    </cfRule>
    <cfRule type="cellIs" dxfId="4070" priority="5548" stopIfTrue="1" operator="equal">
      <formula>"Napkin Hs"</formula>
    </cfRule>
  </conditionalFormatting>
  <conditionalFormatting sqref="C88">
    <cfRule type="cellIs" dxfId="4069" priority="5549" stopIfTrue="1" operator="equal">
      <formula>"Towel"</formula>
    </cfRule>
    <cfRule type="cellIs" dxfId="4068" priority="5550" stopIfTrue="1" operator="equal">
      <formula>"Napkin Hs"</formula>
    </cfRule>
  </conditionalFormatting>
  <conditionalFormatting sqref="B88:C88">
    <cfRule type="cellIs" dxfId="4067" priority="5546" stopIfTrue="1" operator="equal">
      <formula>"Napkin Hs"</formula>
    </cfRule>
  </conditionalFormatting>
  <conditionalFormatting sqref="B88:C88">
    <cfRule type="cellIs" dxfId="4066" priority="5545" stopIfTrue="1" operator="equal">
      <formula>"Towel"</formula>
    </cfRule>
  </conditionalFormatting>
  <conditionalFormatting sqref="C88">
    <cfRule type="cellIs" dxfId="4065" priority="5544" stopIfTrue="1" operator="equal">
      <formula>"Napkin Hs"</formula>
    </cfRule>
  </conditionalFormatting>
  <conditionalFormatting sqref="C88">
    <cfRule type="cellIs" dxfId="4064" priority="5543" stopIfTrue="1" operator="equal">
      <formula>"Towel"</formula>
    </cfRule>
  </conditionalFormatting>
  <conditionalFormatting sqref="C88">
    <cfRule type="cellIs" dxfId="4063" priority="5541" stopIfTrue="1" operator="equal">
      <formula>"Towel"</formula>
    </cfRule>
    <cfRule type="cellIs" dxfId="4062" priority="5542" stopIfTrue="1" operator="equal">
      <formula>"Napkin Hs"</formula>
    </cfRule>
  </conditionalFormatting>
  <conditionalFormatting sqref="B88:C88">
    <cfRule type="cellIs" dxfId="4061" priority="5539" stopIfTrue="1" operator="equal">
      <formula>"Towel"</formula>
    </cfRule>
    <cfRule type="cellIs" dxfId="4060" priority="5540" stopIfTrue="1" operator="equal">
      <formula>"Napkin Hs"</formula>
    </cfRule>
  </conditionalFormatting>
  <conditionalFormatting sqref="C88">
    <cfRule type="cellIs" dxfId="4059" priority="5537" stopIfTrue="1" operator="equal">
      <formula>"Towel"</formula>
    </cfRule>
    <cfRule type="cellIs" dxfId="4058" priority="5538" stopIfTrue="1" operator="equal">
      <formula>"Napkin Hs"</formula>
    </cfRule>
  </conditionalFormatting>
  <conditionalFormatting sqref="C88">
    <cfRule type="cellIs" dxfId="4057" priority="5535" stopIfTrue="1" operator="equal">
      <formula>"Towel"</formula>
    </cfRule>
    <cfRule type="cellIs" dxfId="4056" priority="5536" stopIfTrue="1" operator="equal">
      <formula>"Napkin Hs"</formula>
    </cfRule>
  </conditionalFormatting>
  <conditionalFormatting sqref="B88:C88">
    <cfRule type="cellIs" dxfId="4055" priority="5533" stopIfTrue="1" operator="equal">
      <formula>"Towel"</formula>
    </cfRule>
    <cfRule type="cellIs" dxfId="4054" priority="5534" stopIfTrue="1" operator="equal">
      <formula>"Napkin Hs"</formula>
    </cfRule>
  </conditionalFormatting>
  <conditionalFormatting sqref="C88">
    <cfRule type="cellIs" dxfId="4053" priority="5531" stopIfTrue="1" operator="equal">
      <formula>"Towel"</formula>
    </cfRule>
    <cfRule type="cellIs" dxfId="4052" priority="5532" stopIfTrue="1" operator="equal">
      <formula>"Napkin Hs"</formula>
    </cfRule>
  </conditionalFormatting>
  <conditionalFormatting sqref="C88">
    <cfRule type="cellIs" dxfId="4051" priority="5529" stopIfTrue="1" operator="equal">
      <formula>"Towel"</formula>
    </cfRule>
    <cfRule type="cellIs" dxfId="4050" priority="5530" stopIfTrue="1" operator="equal">
      <formula>"Napkin Hs"</formula>
    </cfRule>
  </conditionalFormatting>
  <conditionalFormatting sqref="B88:C88">
    <cfRule type="cellIs" dxfId="4049" priority="5527" stopIfTrue="1" operator="equal">
      <formula>"Towel"</formula>
    </cfRule>
    <cfRule type="cellIs" dxfId="4048" priority="5528" stopIfTrue="1" operator="equal">
      <formula>"Napkin Hs"</formula>
    </cfRule>
  </conditionalFormatting>
  <conditionalFormatting sqref="C88">
    <cfRule type="cellIs" dxfId="4047" priority="5525" stopIfTrue="1" operator="equal">
      <formula>"Towel"</formula>
    </cfRule>
    <cfRule type="cellIs" dxfId="4046" priority="5526" stopIfTrue="1" operator="equal">
      <formula>"Napkin Hs"</formula>
    </cfRule>
  </conditionalFormatting>
  <conditionalFormatting sqref="C88">
    <cfRule type="cellIs" dxfId="4045" priority="5523" stopIfTrue="1" operator="equal">
      <formula>"Towel"</formula>
    </cfRule>
    <cfRule type="cellIs" dxfId="4044" priority="5524" stopIfTrue="1" operator="equal">
      <formula>"Napkin Hs"</formula>
    </cfRule>
  </conditionalFormatting>
  <conditionalFormatting sqref="B88:C88">
    <cfRule type="cellIs" dxfId="4043" priority="5521" stopIfTrue="1" operator="equal">
      <formula>"Towel"</formula>
    </cfRule>
    <cfRule type="cellIs" dxfId="4042" priority="5522" stopIfTrue="1" operator="equal">
      <formula>"Napkin Hs"</formula>
    </cfRule>
  </conditionalFormatting>
  <conditionalFormatting sqref="C88">
    <cfRule type="cellIs" dxfId="4041" priority="5519" stopIfTrue="1" operator="equal">
      <formula>"Towel"</formula>
    </cfRule>
    <cfRule type="cellIs" dxfId="4040" priority="5520" stopIfTrue="1" operator="equal">
      <formula>"Napkin Hs"</formula>
    </cfRule>
  </conditionalFormatting>
  <conditionalFormatting sqref="C88">
    <cfRule type="cellIs" dxfId="4039" priority="5511" stopIfTrue="1" operator="equal">
      <formula>"Towel"</formula>
    </cfRule>
    <cfRule type="cellIs" dxfId="4038" priority="5512" stopIfTrue="1" operator="equal">
      <formula>"Napkin Hs"</formula>
    </cfRule>
  </conditionalFormatting>
  <conditionalFormatting sqref="B88:C88">
    <cfRule type="cellIs" dxfId="4037" priority="5510" stopIfTrue="1" operator="equal">
      <formula>"Napkin Hs"</formula>
    </cfRule>
  </conditionalFormatting>
  <conditionalFormatting sqref="B88:C88">
    <cfRule type="cellIs" dxfId="4036" priority="5509" stopIfTrue="1" operator="equal">
      <formula>"Towel"</formula>
    </cfRule>
  </conditionalFormatting>
  <conditionalFormatting sqref="C88">
    <cfRule type="cellIs" dxfId="4035" priority="5508" stopIfTrue="1" operator="equal">
      <formula>"Napkin Hs"</formula>
    </cfRule>
  </conditionalFormatting>
  <conditionalFormatting sqref="C88">
    <cfRule type="cellIs" dxfId="4034" priority="5507" stopIfTrue="1" operator="equal">
      <formula>"Towel"</formula>
    </cfRule>
  </conditionalFormatting>
  <conditionalFormatting sqref="B87:C87">
    <cfRule type="cellIs" dxfId="4033" priority="5503" stopIfTrue="1" operator="equal">
      <formula>"Towel"</formula>
    </cfRule>
    <cfRule type="cellIs" dxfId="4032" priority="5504" stopIfTrue="1" operator="equal">
      <formula>"Napkin Hs"</formula>
    </cfRule>
  </conditionalFormatting>
  <conditionalFormatting sqref="C87">
    <cfRule type="cellIs" dxfId="4031" priority="5499" stopIfTrue="1" operator="equal">
      <formula>"Towel"</formula>
    </cfRule>
    <cfRule type="cellIs" dxfId="4030" priority="5500" stopIfTrue="1" operator="equal">
      <formula>"Napkin Hs"</formula>
    </cfRule>
  </conditionalFormatting>
  <conditionalFormatting sqref="C87">
    <cfRule type="cellIs" dxfId="4029" priority="5501" stopIfTrue="1" operator="equal">
      <formula>"Towel"</formula>
    </cfRule>
    <cfRule type="cellIs" dxfId="4028" priority="5502" stopIfTrue="1" operator="equal">
      <formula>"Napkin Hs"</formula>
    </cfRule>
  </conditionalFormatting>
  <conditionalFormatting sqref="B87:C87">
    <cfRule type="cellIs" dxfId="4027" priority="5498" stopIfTrue="1" operator="equal">
      <formula>"Napkin Hs"</formula>
    </cfRule>
  </conditionalFormatting>
  <conditionalFormatting sqref="B87:C87">
    <cfRule type="cellIs" dxfId="4026" priority="5497" stopIfTrue="1" operator="equal">
      <formula>"Towel"</formula>
    </cfRule>
  </conditionalFormatting>
  <conditionalFormatting sqref="C87">
    <cfRule type="cellIs" dxfId="4025" priority="5496" stopIfTrue="1" operator="equal">
      <formula>"Napkin Hs"</formula>
    </cfRule>
  </conditionalFormatting>
  <conditionalFormatting sqref="C87">
    <cfRule type="cellIs" dxfId="4024" priority="5495" stopIfTrue="1" operator="equal">
      <formula>"Towel"</formula>
    </cfRule>
  </conditionalFormatting>
  <conditionalFormatting sqref="C87">
    <cfRule type="cellIs" dxfId="4023" priority="5493" stopIfTrue="1" operator="equal">
      <formula>"Towel"</formula>
    </cfRule>
    <cfRule type="cellIs" dxfId="4022" priority="5494" stopIfTrue="1" operator="equal">
      <formula>"Napkin Hs"</formula>
    </cfRule>
  </conditionalFormatting>
  <conditionalFormatting sqref="B87:C87">
    <cfRule type="cellIs" dxfId="4021" priority="5491" stopIfTrue="1" operator="equal">
      <formula>"Towel"</formula>
    </cfRule>
    <cfRule type="cellIs" dxfId="4020" priority="5492" stopIfTrue="1" operator="equal">
      <formula>"Napkin Hs"</formula>
    </cfRule>
  </conditionalFormatting>
  <conditionalFormatting sqref="C87">
    <cfRule type="cellIs" dxfId="4019" priority="5489" stopIfTrue="1" operator="equal">
      <formula>"Towel"</formula>
    </cfRule>
    <cfRule type="cellIs" dxfId="4018" priority="5490" stopIfTrue="1" operator="equal">
      <formula>"Napkin Hs"</formula>
    </cfRule>
  </conditionalFormatting>
  <conditionalFormatting sqref="C87">
    <cfRule type="cellIs" dxfId="4017" priority="5487" stopIfTrue="1" operator="equal">
      <formula>"Towel"</formula>
    </cfRule>
    <cfRule type="cellIs" dxfId="4016" priority="5488" stopIfTrue="1" operator="equal">
      <formula>"Napkin Hs"</formula>
    </cfRule>
  </conditionalFormatting>
  <conditionalFormatting sqref="B87:C87">
    <cfRule type="cellIs" dxfId="4015" priority="5485" stopIfTrue="1" operator="equal">
      <formula>"Towel"</formula>
    </cfRule>
    <cfRule type="cellIs" dxfId="4014" priority="5486" stopIfTrue="1" operator="equal">
      <formula>"Napkin Hs"</formula>
    </cfRule>
  </conditionalFormatting>
  <conditionalFormatting sqref="C87">
    <cfRule type="cellIs" dxfId="4013" priority="5483" stopIfTrue="1" operator="equal">
      <formula>"Towel"</formula>
    </cfRule>
    <cfRule type="cellIs" dxfId="4012" priority="5484" stopIfTrue="1" operator="equal">
      <formula>"Napkin Hs"</formula>
    </cfRule>
  </conditionalFormatting>
  <conditionalFormatting sqref="C87">
    <cfRule type="cellIs" dxfId="4011" priority="5481" stopIfTrue="1" operator="equal">
      <formula>"Towel"</formula>
    </cfRule>
    <cfRule type="cellIs" dxfId="4010" priority="5482" stopIfTrue="1" operator="equal">
      <formula>"Napkin Hs"</formula>
    </cfRule>
  </conditionalFormatting>
  <conditionalFormatting sqref="B87:C87">
    <cfRule type="cellIs" dxfId="4009" priority="5479" stopIfTrue="1" operator="equal">
      <formula>"Towel"</formula>
    </cfRule>
    <cfRule type="cellIs" dxfId="4008" priority="5480" stopIfTrue="1" operator="equal">
      <formula>"Napkin Hs"</formula>
    </cfRule>
  </conditionalFormatting>
  <conditionalFormatting sqref="C87">
    <cfRule type="cellIs" dxfId="4007" priority="5477" stopIfTrue="1" operator="equal">
      <formula>"Towel"</formula>
    </cfRule>
    <cfRule type="cellIs" dxfId="4006" priority="5478" stopIfTrue="1" operator="equal">
      <formula>"Napkin Hs"</formula>
    </cfRule>
  </conditionalFormatting>
  <conditionalFormatting sqref="C87">
    <cfRule type="cellIs" dxfId="4005" priority="5475" stopIfTrue="1" operator="equal">
      <formula>"Towel"</formula>
    </cfRule>
    <cfRule type="cellIs" dxfId="4004" priority="5476" stopIfTrue="1" operator="equal">
      <formula>"Napkin Hs"</formula>
    </cfRule>
  </conditionalFormatting>
  <conditionalFormatting sqref="B87:C87">
    <cfRule type="cellIs" dxfId="4003" priority="5473" stopIfTrue="1" operator="equal">
      <formula>"Towel"</formula>
    </cfRule>
    <cfRule type="cellIs" dxfId="4002" priority="5474" stopIfTrue="1" operator="equal">
      <formula>"Napkin Hs"</formula>
    </cfRule>
  </conditionalFormatting>
  <conditionalFormatting sqref="C87">
    <cfRule type="cellIs" dxfId="4001" priority="5471" stopIfTrue="1" operator="equal">
      <formula>"Towel"</formula>
    </cfRule>
    <cfRule type="cellIs" dxfId="4000" priority="5472" stopIfTrue="1" operator="equal">
      <formula>"Napkin Hs"</formula>
    </cfRule>
  </conditionalFormatting>
  <conditionalFormatting sqref="C87">
    <cfRule type="cellIs" dxfId="3999" priority="5469" stopIfTrue="1" operator="equal">
      <formula>"Towel"</formula>
    </cfRule>
    <cfRule type="cellIs" dxfId="3998" priority="5470" stopIfTrue="1" operator="equal">
      <formula>"Napkin Hs"</formula>
    </cfRule>
  </conditionalFormatting>
  <conditionalFormatting sqref="B87:C87">
    <cfRule type="cellIs" dxfId="3997" priority="5467" stopIfTrue="1" operator="equal">
      <formula>"Towel"</formula>
    </cfRule>
    <cfRule type="cellIs" dxfId="3996" priority="5468" stopIfTrue="1" operator="equal">
      <formula>"Napkin Hs"</formula>
    </cfRule>
  </conditionalFormatting>
  <conditionalFormatting sqref="C87">
    <cfRule type="cellIs" dxfId="3995" priority="5465" stopIfTrue="1" operator="equal">
      <formula>"Towel"</formula>
    </cfRule>
    <cfRule type="cellIs" dxfId="3994" priority="5466" stopIfTrue="1" operator="equal">
      <formula>"Napkin Hs"</formula>
    </cfRule>
  </conditionalFormatting>
  <conditionalFormatting sqref="C87">
    <cfRule type="cellIs" dxfId="3993" priority="5463" stopIfTrue="1" operator="equal">
      <formula>"Towel"</formula>
    </cfRule>
    <cfRule type="cellIs" dxfId="3992" priority="5464" stopIfTrue="1" operator="equal">
      <formula>"Napkin Hs"</formula>
    </cfRule>
  </conditionalFormatting>
  <conditionalFormatting sqref="B87:C87">
    <cfRule type="cellIs" dxfId="3991" priority="5462" stopIfTrue="1" operator="equal">
      <formula>"Napkin Hs"</formula>
    </cfRule>
  </conditionalFormatting>
  <conditionalFormatting sqref="B87:C87">
    <cfRule type="cellIs" dxfId="3990" priority="5461" stopIfTrue="1" operator="equal">
      <formula>"Towel"</formula>
    </cfRule>
  </conditionalFormatting>
  <conditionalFormatting sqref="C87">
    <cfRule type="cellIs" dxfId="3989" priority="5460" stopIfTrue="1" operator="equal">
      <formula>"Napkin Hs"</formula>
    </cfRule>
  </conditionalFormatting>
  <conditionalFormatting sqref="C87">
    <cfRule type="cellIs" dxfId="3988" priority="5457" stopIfTrue="1" operator="equal">
      <formula>"Towel"</formula>
    </cfRule>
    <cfRule type="cellIs" dxfId="3987" priority="5458" stopIfTrue="1" operator="equal">
      <formula>"Napkin Hs"</formula>
    </cfRule>
  </conditionalFormatting>
  <conditionalFormatting sqref="C87">
    <cfRule type="cellIs" dxfId="3986" priority="5459" stopIfTrue="1" operator="equal">
      <formula>"Towel"</formula>
    </cfRule>
  </conditionalFormatting>
  <conditionalFormatting sqref="C87">
    <cfRule type="cellIs" dxfId="3985" priority="5455" stopIfTrue="1" operator="equal">
      <formula>"Towel"</formula>
    </cfRule>
    <cfRule type="cellIs" dxfId="3984" priority="5456" stopIfTrue="1" operator="equal">
      <formula>"Napkin Hs"</formula>
    </cfRule>
  </conditionalFormatting>
  <conditionalFormatting sqref="C88">
    <cfRule type="cellIs" dxfId="3983" priority="5419" stopIfTrue="1" operator="equal">
      <formula>"Towel"</formula>
    </cfRule>
    <cfRule type="cellIs" dxfId="3982" priority="5420" stopIfTrue="1" operator="equal">
      <formula>"Napkin Hs"</formula>
    </cfRule>
  </conditionalFormatting>
  <conditionalFormatting sqref="B88:C88">
    <cfRule type="cellIs" dxfId="3981" priority="5417" stopIfTrue="1" operator="equal">
      <formula>"Towel"</formula>
    </cfRule>
    <cfRule type="cellIs" dxfId="3980" priority="5418" stopIfTrue="1" operator="equal">
      <formula>"Napkin Hs"</formula>
    </cfRule>
  </conditionalFormatting>
  <conditionalFormatting sqref="C88">
    <cfRule type="cellIs" dxfId="3979" priority="5415" stopIfTrue="1" operator="equal">
      <formula>"Towel"</formula>
    </cfRule>
    <cfRule type="cellIs" dxfId="3978" priority="5416" stopIfTrue="1" operator="equal">
      <formula>"Napkin Hs"</formula>
    </cfRule>
  </conditionalFormatting>
  <conditionalFormatting sqref="C88">
    <cfRule type="cellIs" dxfId="3977" priority="5407" stopIfTrue="1" operator="equal">
      <formula>"Towel"</formula>
    </cfRule>
    <cfRule type="cellIs" dxfId="3976" priority="5408" stopIfTrue="1" operator="equal">
      <formula>"Napkin Hs"</formula>
    </cfRule>
  </conditionalFormatting>
  <conditionalFormatting sqref="B88:C88">
    <cfRule type="cellIs" dxfId="3975" priority="5453" stopIfTrue="1" operator="equal">
      <formula>"Towel"</formula>
    </cfRule>
    <cfRule type="cellIs" dxfId="3974" priority="5454" stopIfTrue="1" operator="equal">
      <formula>"Napkin Hs"</formula>
    </cfRule>
  </conditionalFormatting>
  <conditionalFormatting sqref="C88">
    <cfRule type="cellIs" dxfId="3973" priority="5449" stopIfTrue="1" operator="equal">
      <formula>"Towel"</formula>
    </cfRule>
    <cfRule type="cellIs" dxfId="3972" priority="5450" stopIfTrue="1" operator="equal">
      <formula>"Napkin Hs"</formula>
    </cfRule>
  </conditionalFormatting>
  <conditionalFormatting sqref="C88">
    <cfRule type="cellIs" dxfId="3971" priority="5451" stopIfTrue="1" operator="equal">
      <formula>"Towel"</formula>
    </cfRule>
    <cfRule type="cellIs" dxfId="3970" priority="5452" stopIfTrue="1" operator="equal">
      <formula>"Napkin Hs"</formula>
    </cfRule>
  </conditionalFormatting>
  <conditionalFormatting sqref="B88:C88">
    <cfRule type="cellIs" dxfId="3969" priority="5448" stopIfTrue="1" operator="equal">
      <formula>"Napkin Hs"</formula>
    </cfRule>
  </conditionalFormatting>
  <conditionalFormatting sqref="B88:C88">
    <cfRule type="cellIs" dxfId="3968" priority="5447" stopIfTrue="1" operator="equal">
      <formula>"Towel"</formula>
    </cfRule>
  </conditionalFormatting>
  <conditionalFormatting sqref="C88">
    <cfRule type="cellIs" dxfId="3967" priority="5446" stopIfTrue="1" operator="equal">
      <formula>"Napkin Hs"</formula>
    </cfRule>
  </conditionalFormatting>
  <conditionalFormatting sqref="C88">
    <cfRule type="cellIs" dxfId="3966" priority="5445" stopIfTrue="1" operator="equal">
      <formula>"Towel"</formula>
    </cfRule>
  </conditionalFormatting>
  <conditionalFormatting sqref="C88">
    <cfRule type="cellIs" dxfId="3965" priority="5443" stopIfTrue="1" operator="equal">
      <formula>"Towel"</formula>
    </cfRule>
    <cfRule type="cellIs" dxfId="3964" priority="5444" stopIfTrue="1" operator="equal">
      <formula>"Napkin Hs"</formula>
    </cfRule>
  </conditionalFormatting>
  <conditionalFormatting sqref="B88:C88">
    <cfRule type="cellIs" dxfId="3963" priority="5441" stopIfTrue="1" operator="equal">
      <formula>"Towel"</formula>
    </cfRule>
    <cfRule type="cellIs" dxfId="3962" priority="5442" stopIfTrue="1" operator="equal">
      <formula>"Napkin Hs"</formula>
    </cfRule>
  </conditionalFormatting>
  <conditionalFormatting sqref="C88">
    <cfRule type="cellIs" dxfId="3961" priority="5439" stopIfTrue="1" operator="equal">
      <formula>"Towel"</formula>
    </cfRule>
    <cfRule type="cellIs" dxfId="3960" priority="5440" stopIfTrue="1" operator="equal">
      <formula>"Napkin Hs"</formula>
    </cfRule>
  </conditionalFormatting>
  <conditionalFormatting sqref="C88">
    <cfRule type="cellIs" dxfId="3959" priority="5437" stopIfTrue="1" operator="equal">
      <formula>"Towel"</formula>
    </cfRule>
    <cfRule type="cellIs" dxfId="3958" priority="5438" stopIfTrue="1" operator="equal">
      <formula>"Napkin Hs"</formula>
    </cfRule>
  </conditionalFormatting>
  <conditionalFormatting sqref="B88:C88">
    <cfRule type="cellIs" dxfId="3957" priority="5435" stopIfTrue="1" operator="equal">
      <formula>"Towel"</formula>
    </cfRule>
    <cfRule type="cellIs" dxfId="3956" priority="5436" stopIfTrue="1" operator="equal">
      <formula>"Napkin Hs"</formula>
    </cfRule>
  </conditionalFormatting>
  <conditionalFormatting sqref="C88">
    <cfRule type="cellIs" dxfId="3955" priority="5433" stopIfTrue="1" operator="equal">
      <formula>"Towel"</formula>
    </cfRule>
    <cfRule type="cellIs" dxfId="3954" priority="5434" stopIfTrue="1" operator="equal">
      <formula>"Napkin Hs"</formula>
    </cfRule>
  </conditionalFormatting>
  <conditionalFormatting sqref="C88">
    <cfRule type="cellIs" dxfId="3953" priority="5431" stopIfTrue="1" operator="equal">
      <formula>"Towel"</formula>
    </cfRule>
    <cfRule type="cellIs" dxfId="3952" priority="5432" stopIfTrue="1" operator="equal">
      <formula>"Napkin Hs"</formula>
    </cfRule>
  </conditionalFormatting>
  <conditionalFormatting sqref="B88:C88">
    <cfRule type="cellIs" dxfId="3951" priority="5429" stopIfTrue="1" operator="equal">
      <formula>"Towel"</formula>
    </cfRule>
    <cfRule type="cellIs" dxfId="3950" priority="5430" stopIfTrue="1" operator="equal">
      <formula>"Napkin Hs"</formula>
    </cfRule>
  </conditionalFormatting>
  <conditionalFormatting sqref="C88">
    <cfRule type="cellIs" dxfId="3949" priority="5427" stopIfTrue="1" operator="equal">
      <formula>"Towel"</formula>
    </cfRule>
    <cfRule type="cellIs" dxfId="3948" priority="5428" stopIfTrue="1" operator="equal">
      <formula>"Napkin Hs"</formula>
    </cfRule>
  </conditionalFormatting>
  <conditionalFormatting sqref="C88">
    <cfRule type="cellIs" dxfId="3947" priority="5425" stopIfTrue="1" operator="equal">
      <formula>"Towel"</formula>
    </cfRule>
    <cfRule type="cellIs" dxfId="3946" priority="5426" stopIfTrue="1" operator="equal">
      <formula>"Napkin Hs"</formula>
    </cfRule>
  </conditionalFormatting>
  <conditionalFormatting sqref="B88:C88">
    <cfRule type="cellIs" dxfId="3945" priority="5423" stopIfTrue="1" operator="equal">
      <formula>"Towel"</formula>
    </cfRule>
    <cfRule type="cellIs" dxfId="3944" priority="5424" stopIfTrue="1" operator="equal">
      <formula>"Napkin Hs"</formula>
    </cfRule>
  </conditionalFormatting>
  <conditionalFormatting sqref="C88">
    <cfRule type="cellIs" dxfId="3943" priority="5421" stopIfTrue="1" operator="equal">
      <formula>"Towel"</formula>
    </cfRule>
    <cfRule type="cellIs" dxfId="3942" priority="5422" stopIfTrue="1" operator="equal">
      <formula>"Napkin Hs"</formula>
    </cfRule>
  </conditionalFormatting>
  <conditionalFormatting sqref="C88">
    <cfRule type="cellIs" dxfId="3941" priority="5413" stopIfTrue="1" operator="equal">
      <formula>"Towel"</formula>
    </cfRule>
    <cfRule type="cellIs" dxfId="3940" priority="5414" stopIfTrue="1" operator="equal">
      <formula>"Napkin Hs"</formula>
    </cfRule>
  </conditionalFormatting>
  <conditionalFormatting sqref="B88:C88">
    <cfRule type="cellIs" dxfId="3939" priority="5412" stopIfTrue="1" operator="equal">
      <formula>"Napkin Hs"</formula>
    </cfRule>
  </conditionalFormatting>
  <conditionalFormatting sqref="B88:C88">
    <cfRule type="cellIs" dxfId="3938" priority="5411" stopIfTrue="1" operator="equal">
      <formula>"Towel"</formula>
    </cfRule>
  </conditionalFormatting>
  <conditionalFormatting sqref="C88">
    <cfRule type="cellIs" dxfId="3937" priority="5410" stopIfTrue="1" operator="equal">
      <formula>"Napkin Hs"</formula>
    </cfRule>
  </conditionalFormatting>
  <conditionalFormatting sqref="C88">
    <cfRule type="cellIs" dxfId="3936" priority="5409" stopIfTrue="1" operator="equal">
      <formula>"Towel"</formula>
    </cfRule>
  </conditionalFormatting>
  <conditionalFormatting sqref="B87:C87">
    <cfRule type="cellIs" dxfId="3935" priority="5405" stopIfTrue="1" operator="equal">
      <formula>"Towel"</formula>
    </cfRule>
    <cfRule type="cellIs" dxfId="3934" priority="5406" stopIfTrue="1" operator="equal">
      <formula>"Napkin Hs"</formula>
    </cfRule>
  </conditionalFormatting>
  <conditionalFormatting sqref="C87">
    <cfRule type="cellIs" dxfId="3933" priority="5401" stopIfTrue="1" operator="equal">
      <formula>"Towel"</formula>
    </cfRule>
    <cfRule type="cellIs" dxfId="3932" priority="5402" stopIfTrue="1" operator="equal">
      <formula>"Napkin Hs"</formula>
    </cfRule>
  </conditionalFormatting>
  <conditionalFormatting sqref="C87">
    <cfRule type="cellIs" dxfId="3931" priority="5403" stopIfTrue="1" operator="equal">
      <formula>"Towel"</formula>
    </cfRule>
    <cfRule type="cellIs" dxfId="3930" priority="5404" stopIfTrue="1" operator="equal">
      <formula>"Napkin Hs"</formula>
    </cfRule>
  </conditionalFormatting>
  <conditionalFormatting sqref="B87:C87">
    <cfRule type="cellIs" dxfId="3929" priority="5400" stopIfTrue="1" operator="equal">
      <formula>"Napkin Hs"</formula>
    </cfRule>
  </conditionalFormatting>
  <conditionalFormatting sqref="B87:C87">
    <cfRule type="cellIs" dxfId="3928" priority="5399" stopIfTrue="1" operator="equal">
      <formula>"Towel"</formula>
    </cfRule>
  </conditionalFormatting>
  <conditionalFormatting sqref="C87">
    <cfRule type="cellIs" dxfId="3927" priority="5398" stopIfTrue="1" operator="equal">
      <formula>"Napkin Hs"</formula>
    </cfRule>
  </conditionalFormatting>
  <conditionalFormatting sqref="C87">
    <cfRule type="cellIs" dxfId="3926" priority="5397" stopIfTrue="1" operator="equal">
      <formula>"Towel"</formula>
    </cfRule>
  </conditionalFormatting>
  <conditionalFormatting sqref="C87">
    <cfRule type="cellIs" dxfId="3925" priority="5395" stopIfTrue="1" operator="equal">
      <formula>"Towel"</formula>
    </cfRule>
    <cfRule type="cellIs" dxfId="3924" priority="5396" stopIfTrue="1" operator="equal">
      <formula>"Napkin Hs"</formula>
    </cfRule>
  </conditionalFormatting>
  <conditionalFormatting sqref="B87:C87">
    <cfRule type="cellIs" dxfId="3923" priority="5393" stopIfTrue="1" operator="equal">
      <formula>"Towel"</formula>
    </cfRule>
    <cfRule type="cellIs" dxfId="3922" priority="5394" stopIfTrue="1" operator="equal">
      <formula>"Napkin Hs"</formula>
    </cfRule>
  </conditionalFormatting>
  <conditionalFormatting sqref="C87">
    <cfRule type="cellIs" dxfId="3921" priority="5391" stopIfTrue="1" operator="equal">
      <formula>"Towel"</formula>
    </cfRule>
    <cfRule type="cellIs" dxfId="3920" priority="5392" stopIfTrue="1" operator="equal">
      <formula>"Napkin Hs"</formula>
    </cfRule>
  </conditionalFormatting>
  <conditionalFormatting sqref="C87">
    <cfRule type="cellIs" dxfId="3919" priority="5389" stopIfTrue="1" operator="equal">
      <formula>"Towel"</formula>
    </cfRule>
    <cfRule type="cellIs" dxfId="3918" priority="5390" stopIfTrue="1" operator="equal">
      <formula>"Napkin Hs"</formula>
    </cfRule>
  </conditionalFormatting>
  <conditionalFormatting sqref="B87:C87">
    <cfRule type="cellIs" dxfId="3917" priority="5387" stopIfTrue="1" operator="equal">
      <formula>"Towel"</formula>
    </cfRule>
    <cfRule type="cellIs" dxfId="3916" priority="5388" stopIfTrue="1" operator="equal">
      <formula>"Napkin Hs"</formula>
    </cfRule>
  </conditionalFormatting>
  <conditionalFormatting sqref="C87">
    <cfRule type="cellIs" dxfId="3915" priority="5385" stopIfTrue="1" operator="equal">
      <formula>"Towel"</formula>
    </cfRule>
    <cfRule type="cellIs" dxfId="3914" priority="5386" stopIfTrue="1" operator="equal">
      <formula>"Napkin Hs"</formula>
    </cfRule>
  </conditionalFormatting>
  <conditionalFormatting sqref="C87">
    <cfRule type="cellIs" dxfId="3913" priority="5383" stopIfTrue="1" operator="equal">
      <formula>"Towel"</formula>
    </cfRule>
    <cfRule type="cellIs" dxfId="3912" priority="5384" stopIfTrue="1" operator="equal">
      <formula>"Napkin Hs"</formula>
    </cfRule>
  </conditionalFormatting>
  <conditionalFormatting sqref="B87:C87">
    <cfRule type="cellIs" dxfId="3911" priority="5381" stopIfTrue="1" operator="equal">
      <formula>"Towel"</formula>
    </cfRule>
    <cfRule type="cellIs" dxfId="3910" priority="5382" stopIfTrue="1" operator="equal">
      <formula>"Napkin Hs"</formula>
    </cfRule>
  </conditionalFormatting>
  <conditionalFormatting sqref="C87">
    <cfRule type="cellIs" dxfId="3909" priority="5379" stopIfTrue="1" operator="equal">
      <formula>"Towel"</formula>
    </cfRule>
    <cfRule type="cellIs" dxfId="3908" priority="5380" stopIfTrue="1" operator="equal">
      <formula>"Napkin Hs"</formula>
    </cfRule>
  </conditionalFormatting>
  <conditionalFormatting sqref="C87">
    <cfRule type="cellIs" dxfId="3907" priority="5377" stopIfTrue="1" operator="equal">
      <formula>"Towel"</formula>
    </cfRule>
    <cfRule type="cellIs" dxfId="3906" priority="5378" stopIfTrue="1" operator="equal">
      <formula>"Napkin Hs"</formula>
    </cfRule>
  </conditionalFormatting>
  <conditionalFormatting sqref="B87:C87">
    <cfRule type="cellIs" dxfId="3905" priority="5375" stopIfTrue="1" operator="equal">
      <formula>"Towel"</formula>
    </cfRule>
    <cfRule type="cellIs" dxfId="3904" priority="5376" stopIfTrue="1" operator="equal">
      <formula>"Napkin Hs"</formula>
    </cfRule>
  </conditionalFormatting>
  <conditionalFormatting sqref="C87">
    <cfRule type="cellIs" dxfId="3903" priority="5373" stopIfTrue="1" operator="equal">
      <formula>"Towel"</formula>
    </cfRule>
    <cfRule type="cellIs" dxfId="3902" priority="5374" stopIfTrue="1" operator="equal">
      <formula>"Napkin Hs"</formula>
    </cfRule>
  </conditionalFormatting>
  <conditionalFormatting sqref="C87">
    <cfRule type="cellIs" dxfId="3901" priority="5371" stopIfTrue="1" operator="equal">
      <formula>"Towel"</formula>
    </cfRule>
    <cfRule type="cellIs" dxfId="3900" priority="5372" stopIfTrue="1" operator="equal">
      <formula>"Napkin Hs"</formula>
    </cfRule>
  </conditionalFormatting>
  <conditionalFormatting sqref="B87:C87">
    <cfRule type="cellIs" dxfId="3899" priority="5369" stopIfTrue="1" operator="equal">
      <formula>"Towel"</formula>
    </cfRule>
    <cfRule type="cellIs" dxfId="3898" priority="5370" stopIfTrue="1" operator="equal">
      <formula>"Napkin Hs"</formula>
    </cfRule>
  </conditionalFormatting>
  <conditionalFormatting sqref="C87">
    <cfRule type="cellIs" dxfId="3897" priority="5367" stopIfTrue="1" operator="equal">
      <formula>"Towel"</formula>
    </cfRule>
    <cfRule type="cellIs" dxfId="3896" priority="5368" stopIfTrue="1" operator="equal">
      <formula>"Napkin Hs"</formula>
    </cfRule>
  </conditionalFormatting>
  <conditionalFormatting sqref="C87">
    <cfRule type="cellIs" dxfId="3895" priority="5365" stopIfTrue="1" operator="equal">
      <formula>"Towel"</formula>
    </cfRule>
    <cfRule type="cellIs" dxfId="3894" priority="5366" stopIfTrue="1" operator="equal">
      <formula>"Napkin Hs"</formula>
    </cfRule>
  </conditionalFormatting>
  <conditionalFormatting sqref="B87:C87">
    <cfRule type="cellIs" dxfId="3893" priority="5364" stopIfTrue="1" operator="equal">
      <formula>"Napkin Hs"</formula>
    </cfRule>
  </conditionalFormatting>
  <conditionalFormatting sqref="B87:C87">
    <cfRule type="cellIs" dxfId="3892" priority="5363" stopIfTrue="1" operator="equal">
      <formula>"Towel"</formula>
    </cfRule>
  </conditionalFormatting>
  <conditionalFormatting sqref="C87">
    <cfRule type="cellIs" dxfId="3891" priority="5362" stopIfTrue="1" operator="equal">
      <formula>"Napkin Hs"</formula>
    </cfRule>
  </conditionalFormatting>
  <conditionalFormatting sqref="C87">
    <cfRule type="cellIs" dxfId="3890" priority="5359" stopIfTrue="1" operator="equal">
      <formula>"Towel"</formula>
    </cfRule>
    <cfRule type="cellIs" dxfId="3889" priority="5360" stopIfTrue="1" operator="equal">
      <formula>"Napkin Hs"</formula>
    </cfRule>
  </conditionalFormatting>
  <conditionalFormatting sqref="C87">
    <cfRule type="cellIs" dxfId="3888" priority="5361" stopIfTrue="1" operator="equal">
      <formula>"Towel"</formula>
    </cfRule>
  </conditionalFormatting>
  <conditionalFormatting sqref="B88:C88">
    <cfRule type="cellIs" dxfId="3887" priority="5357" stopIfTrue="1" operator="equal">
      <formula>"Towel"</formula>
    </cfRule>
    <cfRule type="cellIs" dxfId="3886" priority="5358" stopIfTrue="1" operator="equal">
      <formula>"Napkin Hs"</formula>
    </cfRule>
  </conditionalFormatting>
  <conditionalFormatting sqref="C88">
    <cfRule type="cellIs" dxfId="3885" priority="5353" stopIfTrue="1" operator="equal">
      <formula>"Towel"</formula>
    </cfRule>
    <cfRule type="cellIs" dxfId="3884" priority="5354" stopIfTrue="1" operator="equal">
      <formula>"Napkin Hs"</formula>
    </cfRule>
  </conditionalFormatting>
  <conditionalFormatting sqref="C88">
    <cfRule type="cellIs" dxfId="3883" priority="5355" stopIfTrue="1" operator="equal">
      <formula>"Towel"</formula>
    </cfRule>
    <cfRule type="cellIs" dxfId="3882" priority="5356" stopIfTrue="1" operator="equal">
      <formula>"Napkin Hs"</formula>
    </cfRule>
  </conditionalFormatting>
  <conditionalFormatting sqref="B87:C87">
    <cfRule type="cellIs" dxfId="3881" priority="5351" stopIfTrue="1" operator="equal">
      <formula>"Towel"</formula>
    </cfRule>
    <cfRule type="cellIs" dxfId="3880" priority="5352" stopIfTrue="1" operator="equal">
      <formula>"Napkin Hs"</formula>
    </cfRule>
  </conditionalFormatting>
  <conditionalFormatting sqref="C87">
    <cfRule type="cellIs" dxfId="3879" priority="5347" stopIfTrue="1" operator="equal">
      <formula>"Towel"</formula>
    </cfRule>
    <cfRule type="cellIs" dxfId="3878" priority="5348" stopIfTrue="1" operator="equal">
      <formula>"Napkin Hs"</formula>
    </cfRule>
  </conditionalFormatting>
  <conditionalFormatting sqref="C87">
    <cfRule type="cellIs" dxfId="3877" priority="5349" stopIfTrue="1" operator="equal">
      <formula>"Towel"</formula>
    </cfRule>
    <cfRule type="cellIs" dxfId="3876" priority="5350" stopIfTrue="1" operator="equal">
      <formula>"Napkin Hs"</formula>
    </cfRule>
  </conditionalFormatting>
  <conditionalFormatting sqref="B87:C87">
    <cfRule type="cellIs" dxfId="3875" priority="5345" stopIfTrue="1" operator="equal">
      <formula>"Towel"</formula>
    </cfRule>
    <cfRule type="cellIs" dxfId="3874" priority="5346" stopIfTrue="1" operator="equal">
      <formula>"Napkin Hs"</formula>
    </cfRule>
  </conditionalFormatting>
  <conditionalFormatting sqref="C87">
    <cfRule type="cellIs" dxfId="3873" priority="5341" stopIfTrue="1" operator="equal">
      <formula>"Towel"</formula>
    </cfRule>
    <cfRule type="cellIs" dxfId="3872" priority="5342" stopIfTrue="1" operator="equal">
      <formula>"Napkin Hs"</formula>
    </cfRule>
  </conditionalFormatting>
  <conditionalFormatting sqref="C87">
    <cfRule type="cellIs" dxfId="3871" priority="5343" stopIfTrue="1" operator="equal">
      <formula>"Towel"</formula>
    </cfRule>
    <cfRule type="cellIs" dxfId="3870" priority="5344" stopIfTrue="1" operator="equal">
      <formula>"Napkin Hs"</formula>
    </cfRule>
  </conditionalFormatting>
  <conditionalFormatting sqref="B87:C87">
    <cfRule type="cellIs" dxfId="3869" priority="5339" stopIfTrue="1" operator="equal">
      <formula>"Towel"</formula>
    </cfRule>
    <cfRule type="cellIs" dxfId="3868" priority="5340" stopIfTrue="1" operator="equal">
      <formula>"Napkin Hs"</formula>
    </cfRule>
  </conditionalFormatting>
  <conditionalFormatting sqref="C87">
    <cfRule type="cellIs" dxfId="3867" priority="5337" stopIfTrue="1" operator="equal">
      <formula>"Towel"</formula>
    </cfRule>
    <cfRule type="cellIs" dxfId="3866" priority="5338" stopIfTrue="1" operator="equal">
      <formula>"Napkin Hs"</formula>
    </cfRule>
  </conditionalFormatting>
  <conditionalFormatting sqref="C87">
    <cfRule type="cellIs" dxfId="3865" priority="5335" stopIfTrue="1" operator="equal">
      <formula>"Towel"</formula>
    </cfRule>
    <cfRule type="cellIs" dxfId="3864" priority="5336" stopIfTrue="1" operator="equal">
      <formula>"Napkin Hs"</formula>
    </cfRule>
  </conditionalFormatting>
  <conditionalFormatting sqref="B87:C87">
    <cfRule type="cellIs" dxfId="3863" priority="5334" stopIfTrue="1" operator="equal">
      <formula>"Napkin Hs"</formula>
    </cfRule>
  </conditionalFormatting>
  <conditionalFormatting sqref="B87:C87">
    <cfRule type="cellIs" dxfId="3862" priority="5333" stopIfTrue="1" operator="equal">
      <formula>"Towel"</formula>
    </cfRule>
  </conditionalFormatting>
  <conditionalFormatting sqref="C87">
    <cfRule type="cellIs" dxfId="3861" priority="5332" stopIfTrue="1" operator="equal">
      <formula>"Napkin Hs"</formula>
    </cfRule>
  </conditionalFormatting>
  <conditionalFormatting sqref="C87">
    <cfRule type="cellIs" dxfId="3860" priority="5331" stopIfTrue="1" operator="equal">
      <formula>"Towel"</formula>
    </cfRule>
  </conditionalFormatting>
  <conditionalFormatting sqref="C87">
    <cfRule type="cellIs" dxfId="3859" priority="5329" stopIfTrue="1" operator="equal">
      <formula>"Towel"</formula>
    </cfRule>
    <cfRule type="cellIs" dxfId="3858" priority="5330" stopIfTrue="1" operator="equal">
      <formula>"Napkin Hs"</formula>
    </cfRule>
  </conditionalFormatting>
  <conditionalFormatting sqref="C87">
    <cfRule type="cellIs" dxfId="3857" priority="5327" stopIfTrue="1" operator="equal">
      <formula>"Towel"</formula>
    </cfRule>
    <cfRule type="cellIs" dxfId="3856" priority="5328" stopIfTrue="1" operator="equal">
      <formula>"Napkin Hs"</formula>
    </cfRule>
  </conditionalFormatting>
  <conditionalFormatting sqref="C87">
    <cfRule type="cellIs" dxfId="3855" priority="5243" stopIfTrue="1" operator="equal">
      <formula>"Towel"</formula>
    </cfRule>
    <cfRule type="cellIs" dxfId="3854" priority="5244" stopIfTrue="1" operator="equal">
      <formula>"Napkin Hs"</formula>
    </cfRule>
  </conditionalFormatting>
  <conditionalFormatting sqref="C87">
    <cfRule type="cellIs" dxfId="3853" priority="5237" stopIfTrue="1" operator="equal">
      <formula>"Towel"</formula>
    </cfRule>
    <cfRule type="cellIs" dxfId="3852" priority="5238" stopIfTrue="1" operator="equal">
      <formula>"Napkin Hs"</formula>
    </cfRule>
  </conditionalFormatting>
  <conditionalFormatting sqref="C87">
    <cfRule type="cellIs" dxfId="3851" priority="5218" stopIfTrue="1" operator="equal">
      <formula>"Napkin Hs"</formula>
    </cfRule>
  </conditionalFormatting>
  <conditionalFormatting sqref="C87">
    <cfRule type="cellIs" dxfId="3850" priority="5217" stopIfTrue="1" operator="equal">
      <formula>"Towel"</formula>
    </cfRule>
  </conditionalFormatting>
  <conditionalFormatting sqref="C87">
    <cfRule type="cellIs" dxfId="3849" priority="5216" stopIfTrue="1" operator="equal">
      <formula>"Napkin Hs"</formula>
    </cfRule>
  </conditionalFormatting>
  <conditionalFormatting sqref="C87">
    <cfRule type="cellIs" dxfId="3848" priority="5213" stopIfTrue="1" operator="equal">
      <formula>"Towel"</formula>
    </cfRule>
    <cfRule type="cellIs" dxfId="3847" priority="5214" stopIfTrue="1" operator="equal">
      <formula>"Napkin Hs"</formula>
    </cfRule>
  </conditionalFormatting>
  <conditionalFormatting sqref="C87">
    <cfRule type="cellIs" dxfId="3846" priority="5215" stopIfTrue="1" operator="equal">
      <formula>"Towel"</formula>
    </cfRule>
  </conditionalFormatting>
  <conditionalFormatting sqref="C87">
    <cfRule type="cellIs" dxfId="3845" priority="5212" stopIfTrue="1" operator="equal">
      <formula>"Napkin Hs"</formula>
    </cfRule>
  </conditionalFormatting>
  <conditionalFormatting sqref="C87">
    <cfRule type="cellIs" dxfId="3844" priority="5211" stopIfTrue="1" operator="equal">
      <formula>"Towel"</formula>
    </cfRule>
  </conditionalFormatting>
  <conditionalFormatting sqref="C87">
    <cfRule type="cellIs" dxfId="3843" priority="5210" stopIfTrue="1" operator="equal">
      <formula>"Napkin Hs"</formula>
    </cfRule>
  </conditionalFormatting>
  <conditionalFormatting sqref="C87">
    <cfRule type="cellIs" dxfId="3842" priority="5207" stopIfTrue="1" operator="equal">
      <formula>"Towel"</formula>
    </cfRule>
    <cfRule type="cellIs" dxfId="3841" priority="5208" stopIfTrue="1" operator="equal">
      <formula>"Napkin Hs"</formula>
    </cfRule>
  </conditionalFormatting>
  <conditionalFormatting sqref="C87">
    <cfRule type="cellIs" dxfId="3840" priority="5209" stopIfTrue="1" operator="equal">
      <formula>"Towel"</formula>
    </cfRule>
  </conditionalFormatting>
  <conditionalFormatting sqref="C87">
    <cfRule type="cellIs" dxfId="3839" priority="5313" stopIfTrue="1" operator="equal">
      <formula>"Towel"</formula>
    </cfRule>
    <cfRule type="cellIs" dxfId="3838" priority="5314" stopIfTrue="1" operator="equal">
      <formula>"Napkin Hs"</formula>
    </cfRule>
  </conditionalFormatting>
  <conditionalFormatting sqref="C87">
    <cfRule type="cellIs" dxfId="3837" priority="5311" stopIfTrue="1" operator="equal">
      <formula>"Towel"</formula>
    </cfRule>
    <cfRule type="cellIs" dxfId="3836" priority="5312" stopIfTrue="1" operator="equal">
      <formula>"Napkin Hs"</formula>
    </cfRule>
  </conditionalFormatting>
  <conditionalFormatting sqref="C87">
    <cfRule type="cellIs" dxfId="3835" priority="5309" stopIfTrue="1" operator="equal">
      <formula>"Towel"</formula>
    </cfRule>
    <cfRule type="cellIs" dxfId="3834" priority="5310" stopIfTrue="1" operator="equal">
      <formula>"Napkin Hs"</formula>
    </cfRule>
  </conditionalFormatting>
  <conditionalFormatting sqref="C87">
    <cfRule type="cellIs" dxfId="3833" priority="5308" stopIfTrue="1" operator="equal">
      <formula>"Napkin Hs"</formula>
    </cfRule>
  </conditionalFormatting>
  <conditionalFormatting sqref="C87">
    <cfRule type="cellIs" dxfId="3832" priority="5307" stopIfTrue="1" operator="equal">
      <formula>"Towel"</formula>
    </cfRule>
  </conditionalFormatting>
  <conditionalFormatting sqref="C87">
    <cfRule type="cellIs" dxfId="3831" priority="5306" stopIfTrue="1" operator="equal">
      <formula>"Napkin Hs"</formula>
    </cfRule>
  </conditionalFormatting>
  <conditionalFormatting sqref="C87">
    <cfRule type="cellIs" dxfId="3830" priority="5305" stopIfTrue="1" operator="equal">
      <formula>"Towel"</formula>
    </cfRule>
  </conditionalFormatting>
  <conditionalFormatting sqref="C87">
    <cfRule type="cellIs" dxfId="3829" priority="5303" stopIfTrue="1" operator="equal">
      <formula>"Towel"</formula>
    </cfRule>
    <cfRule type="cellIs" dxfId="3828" priority="5304" stopIfTrue="1" operator="equal">
      <formula>"Napkin Hs"</formula>
    </cfRule>
  </conditionalFormatting>
  <conditionalFormatting sqref="C87">
    <cfRule type="cellIs" dxfId="3827" priority="5301" stopIfTrue="1" operator="equal">
      <formula>"Towel"</formula>
    </cfRule>
    <cfRule type="cellIs" dxfId="3826" priority="5302" stopIfTrue="1" operator="equal">
      <formula>"Napkin Hs"</formula>
    </cfRule>
  </conditionalFormatting>
  <conditionalFormatting sqref="C87">
    <cfRule type="cellIs" dxfId="3825" priority="5297" stopIfTrue="1" operator="equal">
      <formula>"Towel"</formula>
    </cfRule>
    <cfRule type="cellIs" dxfId="3824" priority="5298" stopIfTrue="1" operator="equal">
      <formula>"Napkin Hs"</formula>
    </cfRule>
  </conditionalFormatting>
  <conditionalFormatting sqref="C87">
    <cfRule type="cellIs" dxfId="3823" priority="5299" stopIfTrue="1" operator="equal">
      <formula>"Towel"</formula>
    </cfRule>
    <cfRule type="cellIs" dxfId="3822" priority="5300" stopIfTrue="1" operator="equal">
      <formula>"Napkin Hs"</formula>
    </cfRule>
  </conditionalFormatting>
  <conditionalFormatting sqref="C87">
    <cfRule type="cellIs" dxfId="3821" priority="5291" stopIfTrue="1" operator="equal">
      <formula>"Towel"</formula>
    </cfRule>
    <cfRule type="cellIs" dxfId="3820" priority="5292" stopIfTrue="1" operator="equal">
      <formula>"Napkin Hs"</formula>
    </cfRule>
  </conditionalFormatting>
  <conditionalFormatting sqref="C87">
    <cfRule type="cellIs" dxfId="3819" priority="5289" stopIfTrue="1" operator="equal">
      <formula>"Towel"</formula>
    </cfRule>
    <cfRule type="cellIs" dxfId="3818" priority="5290" stopIfTrue="1" operator="equal">
      <formula>"Napkin Hs"</formula>
    </cfRule>
  </conditionalFormatting>
  <conditionalFormatting sqref="C87">
    <cfRule type="cellIs" dxfId="3817" priority="5287" stopIfTrue="1" operator="equal">
      <formula>"Towel"</formula>
    </cfRule>
    <cfRule type="cellIs" dxfId="3816" priority="5288" stopIfTrue="1" operator="equal">
      <formula>"Napkin Hs"</formula>
    </cfRule>
  </conditionalFormatting>
  <conditionalFormatting sqref="C87">
    <cfRule type="cellIs" dxfId="3815" priority="5285" stopIfTrue="1" operator="equal">
      <formula>"Towel"</formula>
    </cfRule>
    <cfRule type="cellIs" dxfId="3814" priority="5286" stopIfTrue="1" operator="equal">
      <formula>"Napkin Hs"</formula>
    </cfRule>
  </conditionalFormatting>
  <conditionalFormatting sqref="C87">
    <cfRule type="cellIs" dxfId="3813" priority="5283" stopIfTrue="1" operator="equal">
      <formula>"Towel"</formula>
    </cfRule>
    <cfRule type="cellIs" dxfId="3812" priority="5284" stopIfTrue="1" operator="equal">
      <formula>"Napkin Hs"</formula>
    </cfRule>
  </conditionalFormatting>
  <conditionalFormatting sqref="C87">
    <cfRule type="cellIs" dxfId="3811" priority="5281" stopIfTrue="1" operator="equal">
      <formula>"Towel"</formula>
    </cfRule>
    <cfRule type="cellIs" dxfId="3810" priority="5282" stopIfTrue="1" operator="equal">
      <formula>"Napkin Hs"</formula>
    </cfRule>
  </conditionalFormatting>
  <conditionalFormatting sqref="C87">
    <cfRule type="cellIs" dxfId="3809" priority="5279" stopIfTrue="1" operator="equal">
      <formula>"Towel"</formula>
    </cfRule>
    <cfRule type="cellIs" dxfId="3808" priority="5280" stopIfTrue="1" operator="equal">
      <formula>"Napkin Hs"</formula>
    </cfRule>
  </conditionalFormatting>
  <conditionalFormatting sqref="C87">
    <cfRule type="cellIs" dxfId="3807" priority="5277" stopIfTrue="1" operator="equal">
      <formula>"Towel"</formula>
    </cfRule>
    <cfRule type="cellIs" dxfId="3806" priority="5278" stopIfTrue="1" operator="equal">
      <formula>"Napkin Hs"</formula>
    </cfRule>
  </conditionalFormatting>
  <conditionalFormatting sqref="C87">
    <cfRule type="cellIs" dxfId="3805" priority="5275" stopIfTrue="1" operator="equal">
      <formula>"Towel"</formula>
    </cfRule>
    <cfRule type="cellIs" dxfId="3804" priority="5276" stopIfTrue="1" operator="equal">
      <formula>"Napkin Hs"</formula>
    </cfRule>
  </conditionalFormatting>
  <conditionalFormatting sqref="C87">
    <cfRule type="cellIs" dxfId="3803" priority="5273" stopIfTrue="1" operator="equal">
      <formula>"Towel"</formula>
    </cfRule>
    <cfRule type="cellIs" dxfId="3802" priority="5274" stopIfTrue="1" operator="equal">
      <formula>"Napkin Hs"</formula>
    </cfRule>
  </conditionalFormatting>
  <conditionalFormatting sqref="C87">
    <cfRule type="cellIs" dxfId="3801" priority="5267" stopIfTrue="1" operator="equal">
      <formula>"Towel"</formula>
    </cfRule>
    <cfRule type="cellIs" dxfId="3800" priority="5268" stopIfTrue="1" operator="equal">
      <formula>"Napkin Hs"</formula>
    </cfRule>
  </conditionalFormatting>
  <conditionalFormatting sqref="C87">
    <cfRule type="cellIs" dxfId="3799" priority="5261" stopIfTrue="1" operator="equal">
      <formula>"Towel"</formula>
    </cfRule>
    <cfRule type="cellIs" dxfId="3798" priority="5262" stopIfTrue="1" operator="equal">
      <formula>"Napkin Hs"</formula>
    </cfRule>
  </conditionalFormatting>
  <conditionalFormatting sqref="C87">
    <cfRule type="cellIs" dxfId="3797" priority="5255" stopIfTrue="1" operator="equal">
      <formula>"Towel"</formula>
    </cfRule>
    <cfRule type="cellIs" dxfId="3796" priority="5256" stopIfTrue="1" operator="equal">
      <formula>"Napkin Hs"</formula>
    </cfRule>
  </conditionalFormatting>
  <conditionalFormatting sqref="C87">
    <cfRule type="cellIs" dxfId="3795" priority="5254" stopIfTrue="1" operator="equal">
      <formula>"Napkin Hs"</formula>
    </cfRule>
  </conditionalFormatting>
  <conditionalFormatting sqref="C87">
    <cfRule type="cellIs" dxfId="3794" priority="5253" stopIfTrue="1" operator="equal">
      <formula>"Towel"</formula>
    </cfRule>
  </conditionalFormatting>
  <conditionalFormatting sqref="C87">
    <cfRule type="cellIs" dxfId="3793" priority="5252" stopIfTrue="1" operator="equal">
      <formula>"Napkin Hs"</formula>
    </cfRule>
  </conditionalFormatting>
  <conditionalFormatting sqref="C87">
    <cfRule type="cellIs" dxfId="3792" priority="5251" stopIfTrue="1" operator="equal">
      <formula>"Towel"</formula>
    </cfRule>
  </conditionalFormatting>
  <conditionalFormatting sqref="C87">
    <cfRule type="cellIs" dxfId="3791" priority="5249" stopIfTrue="1" operator="equal">
      <formula>"Towel"</formula>
    </cfRule>
    <cfRule type="cellIs" dxfId="3790" priority="5250" stopIfTrue="1" operator="equal">
      <formula>"Napkin Hs"</formula>
    </cfRule>
  </conditionalFormatting>
  <conditionalFormatting sqref="C87">
    <cfRule type="cellIs" dxfId="3789" priority="5247" stopIfTrue="1" operator="equal">
      <formula>"Towel"</formula>
    </cfRule>
    <cfRule type="cellIs" dxfId="3788" priority="5248" stopIfTrue="1" operator="equal">
      <formula>"Napkin Hs"</formula>
    </cfRule>
  </conditionalFormatting>
  <conditionalFormatting sqref="C87">
    <cfRule type="cellIs" dxfId="3787" priority="5245" stopIfTrue="1" operator="equal">
      <formula>"Towel"</formula>
    </cfRule>
    <cfRule type="cellIs" dxfId="3786" priority="5246" stopIfTrue="1" operator="equal">
      <formula>"Napkin Hs"</formula>
    </cfRule>
  </conditionalFormatting>
  <conditionalFormatting sqref="C87">
    <cfRule type="cellIs" dxfId="3785" priority="5235" stopIfTrue="1" operator="equal">
      <formula>"Towel"</formula>
    </cfRule>
    <cfRule type="cellIs" dxfId="3784" priority="5236" stopIfTrue="1" operator="equal">
      <formula>"Napkin Hs"</formula>
    </cfRule>
  </conditionalFormatting>
  <conditionalFormatting sqref="C87">
    <cfRule type="cellIs" dxfId="3783" priority="5233" stopIfTrue="1" operator="equal">
      <formula>"Towel"</formula>
    </cfRule>
    <cfRule type="cellIs" dxfId="3782" priority="5234" stopIfTrue="1" operator="equal">
      <formula>"Napkin Hs"</formula>
    </cfRule>
  </conditionalFormatting>
  <conditionalFormatting sqref="C87">
    <cfRule type="cellIs" dxfId="3781" priority="5231" stopIfTrue="1" operator="equal">
      <formula>"Towel"</formula>
    </cfRule>
    <cfRule type="cellIs" dxfId="3780" priority="5232" stopIfTrue="1" operator="equal">
      <formula>"Napkin Hs"</formula>
    </cfRule>
  </conditionalFormatting>
  <conditionalFormatting sqref="C87">
    <cfRule type="cellIs" dxfId="3779" priority="5229" stopIfTrue="1" operator="equal">
      <formula>"Towel"</formula>
    </cfRule>
    <cfRule type="cellIs" dxfId="3778" priority="5230" stopIfTrue="1" operator="equal">
      <formula>"Napkin Hs"</formula>
    </cfRule>
  </conditionalFormatting>
  <conditionalFormatting sqref="C87">
    <cfRule type="cellIs" dxfId="3777" priority="5227" stopIfTrue="1" operator="equal">
      <formula>"Towel"</formula>
    </cfRule>
    <cfRule type="cellIs" dxfId="3776" priority="5228" stopIfTrue="1" operator="equal">
      <formula>"Napkin Hs"</formula>
    </cfRule>
  </conditionalFormatting>
  <conditionalFormatting sqref="C87">
    <cfRule type="cellIs" dxfId="3775" priority="5225" stopIfTrue="1" operator="equal">
      <formula>"Towel"</formula>
    </cfRule>
    <cfRule type="cellIs" dxfId="3774" priority="5226" stopIfTrue="1" operator="equal">
      <formula>"Napkin Hs"</formula>
    </cfRule>
  </conditionalFormatting>
  <conditionalFormatting sqref="C87">
    <cfRule type="cellIs" dxfId="3773" priority="5223" stopIfTrue="1" operator="equal">
      <formula>"Towel"</formula>
    </cfRule>
    <cfRule type="cellIs" dxfId="3772" priority="5224" stopIfTrue="1" operator="equal">
      <formula>"Napkin Hs"</formula>
    </cfRule>
  </conditionalFormatting>
  <conditionalFormatting sqref="C87">
    <cfRule type="cellIs" dxfId="3771" priority="5221" stopIfTrue="1" operator="equal">
      <formula>"Towel"</formula>
    </cfRule>
    <cfRule type="cellIs" dxfId="3770" priority="5222" stopIfTrue="1" operator="equal">
      <formula>"Napkin Hs"</formula>
    </cfRule>
  </conditionalFormatting>
  <conditionalFormatting sqref="C87">
    <cfRule type="cellIs" dxfId="3769" priority="5219" stopIfTrue="1" operator="equal">
      <formula>"Towel"</formula>
    </cfRule>
    <cfRule type="cellIs" dxfId="3768" priority="5220" stopIfTrue="1" operator="equal">
      <formula>"Napkin Hs"</formula>
    </cfRule>
  </conditionalFormatting>
  <conditionalFormatting sqref="C87">
    <cfRule type="cellIs" dxfId="3767" priority="5206" stopIfTrue="1" operator="equal">
      <formula>"Napkin Hs"</formula>
    </cfRule>
  </conditionalFormatting>
  <conditionalFormatting sqref="C87">
    <cfRule type="cellIs" dxfId="3766" priority="5205" stopIfTrue="1" operator="equal">
      <formula>"Towel"</formula>
    </cfRule>
  </conditionalFormatting>
  <conditionalFormatting sqref="C87">
    <cfRule type="cellIs" dxfId="3765" priority="5204" stopIfTrue="1" operator="equal">
      <formula>"Napkin Hs"</formula>
    </cfRule>
  </conditionalFormatting>
  <conditionalFormatting sqref="C87">
    <cfRule type="cellIs" dxfId="3764" priority="5201" stopIfTrue="1" operator="equal">
      <formula>"Towel"</formula>
    </cfRule>
    <cfRule type="cellIs" dxfId="3763" priority="5202" stopIfTrue="1" operator="equal">
      <formula>"Napkin Hs"</formula>
    </cfRule>
  </conditionalFormatting>
  <conditionalFormatting sqref="C87">
    <cfRule type="cellIs" dxfId="3762" priority="5203" stopIfTrue="1" operator="equal">
      <formula>"Towel"</formula>
    </cfRule>
  </conditionalFormatting>
  <conditionalFormatting sqref="C87">
    <cfRule type="cellIs" dxfId="3761" priority="5321" stopIfTrue="1" operator="equal">
      <formula>"Towel"</formula>
    </cfRule>
    <cfRule type="cellIs" dxfId="3760" priority="5322" stopIfTrue="1" operator="equal">
      <formula>"Napkin Hs"</formula>
    </cfRule>
  </conditionalFormatting>
  <conditionalFormatting sqref="C87">
    <cfRule type="cellIs" dxfId="3759" priority="5320" stopIfTrue="1" operator="equal">
      <formula>"Napkin Hs"</formula>
    </cfRule>
  </conditionalFormatting>
  <conditionalFormatting sqref="C87">
    <cfRule type="cellIs" dxfId="3758" priority="5319" stopIfTrue="1" operator="equal">
      <formula>"Towel"</formula>
    </cfRule>
  </conditionalFormatting>
  <conditionalFormatting sqref="C87">
    <cfRule type="cellIs" dxfId="3757" priority="5318" stopIfTrue="1" operator="equal">
      <formula>"Napkin Hs"</formula>
    </cfRule>
  </conditionalFormatting>
  <conditionalFormatting sqref="C87">
    <cfRule type="cellIs" dxfId="3756" priority="5315" stopIfTrue="1" operator="equal">
      <formula>"Towel"</formula>
    </cfRule>
    <cfRule type="cellIs" dxfId="3755" priority="5316" stopIfTrue="1" operator="equal">
      <formula>"Napkin Hs"</formula>
    </cfRule>
  </conditionalFormatting>
  <conditionalFormatting sqref="C87">
    <cfRule type="cellIs" dxfId="3754" priority="5317" stopIfTrue="1" operator="equal">
      <formula>"Towel"</formula>
    </cfRule>
  </conditionalFormatting>
  <conditionalFormatting sqref="C87">
    <cfRule type="cellIs" dxfId="3753" priority="5325" stopIfTrue="1" operator="equal">
      <formula>"Towel"</formula>
    </cfRule>
    <cfRule type="cellIs" dxfId="3752" priority="5326" stopIfTrue="1" operator="equal">
      <formula>"Napkin Hs"</formula>
    </cfRule>
  </conditionalFormatting>
  <conditionalFormatting sqref="C87">
    <cfRule type="cellIs" dxfId="3751" priority="5323" stopIfTrue="1" operator="equal">
      <formula>"Towel"</formula>
    </cfRule>
    <cfRule type="cellIs" dxfId="3750" priority="5324" stopIfTrue="1" operator="equal">
      <formula>"Napkin Hs"</formula>
    </cfRule>
  </conditionalFormatting>
  <conditionalFormatting sqref="C87">
    <cfRule type="cellIs" dxfId="3749" priority="5295" stopIfTrue="1" operator="equal">
      <formula>"Towel"</formula>
    </cfRule>
    <cfRule type="cellIs" dxfId="3748" priority="5296" stopIfTrue="1" operator="equal">
      <formula>"Napkin Hs"</formula>
    </cfRule>
  </conditionalFormatting>
  <conditionalFormatting sqref="C87">
    <cfRule type="cellIs" dxfId="3747" priority="5293" stopIfTrue="1" operator="equal">
      <formula>"Towel"</formula>
    </cfRule>
    <cfRule type="cellIs" dxfId="3746" priority="5294" stopIfTrue="1" operator="equal">
      <formula>"Napkin Hs"</formula>
    </cfRule>
  </conditionalFormatting>
  <conditionalFormatting sqref="C87">
    <cfRule type="cellIs" dxfId="3745" priority="5272" stopIfTrue="1" operator="equal">
      <formula>"Napkin Hs"</formula>
    </cfRule>
  </conditionalFormatting>
  <conditionalFormatting sqref="C87">
    <cfRule type="cellIs" dxfId="3744" priority="5271" stopIfTrue="1" operator="equal">
      <formula>"Towel"</formula>
    </cfRule>
  </conditionalFormatting>
  <conditionalFormatting sqref="C87">
    <cfRule type="cellIs" dxfId="3743" priority="5270" stopIfTrue="1" operator="equal">
      <formula>"Napkin Hs"</formula>
    </cfRule>
  </conditionalFormatting>
  <conditionalFormatting sqref="C87">
    <cfRule type="cellIs" dxfId="3742" priority="5269" stopIfTrue="1" operator="equal">
      <formula>"Towel"</formula>
    </cfRule>
  </conditionalFormatting>
  <conditionalFormatting sqref="C87">
    <cfRule type="cellIs" dxfId="3741" priority="5266" stopIfTrue="1" operator="equal">
      <formula>"Napkin Hs"</formula>
    </cfRule>
  </conditionalFormatting>
  <conditionalFormatting sqref="C87">
    <cfRule type="cellIs" dxfId="3740" priority="5265" stopIfTrue="1" operator="equal">
      <formula>"Towel"</formula>
    </cfRule>
  </conditionalFormatting>
  <conditionalFormatting sqref="C87">
    <cfRule type="cellIs" dxfId="3739" priority="5264" stopIfTrue="1" operator="equal">
      <formula>"Napkin Hs"</formula>
    </cfRule>
  </conditionalFormatting>
  <conditionalFormatting sqref="C87">
    <cfRule type="cellIs" dxfId="3738" priority="5263" stopIfTrue="1" operator="equal">
      <formula>"Towel"</formula>
    </cfRule>
  </conditionalFormatting>
  <conditionalFormatting sqref="C87">
    <cfRule type="cellIs" dxfId="3737" priority="5259" stopIfTrue="1" operator="equal">
      <formula>"Towel"</formula>
    </cfRule>
    <cfRule type="cellIs" dxfId="3736" priority="5260" stopIfTrue="1" operator="equal">
      <formula>"Napkin Hs"</formula>
    </cfRule>
  </conditionalFormatting>
  <conditionalFormatting sqref="C87">
    <cfRule type="cellIs" dxfId="3735" priority="5257" stopIfTrue="1" operator="equal">
      <formula>"Towel"</formula>
    </cfRule>
    <cfRule type="cellIs" dxfId="3734" priority="5258" stopIfTrue="1" operator="equal">
      <formula>"Napkin Hs"</formula>
    </cfRule>
  </conditionalFormatting>
  <conditionalFormatting sqref="C87">
    <cfRule type="cellIs" dxfId="3733" priority="5241" stopIfTrue="1" operator="equal">
      <formula>"Towel"</formula>
    </cfRule>
    <cfRule type="cellIs" dxfId="3732" priority="5242" stopIfTrue="1" operator="equal">
      <formula>"Napkin Hs"</formula>
    </cfRule>
  </conditionalFormatting>
  <conditionalFormatting sqref="C87">
    <cfRule type="cellIs" dxfId="3731" priority="5239" stopIfTrue="1" operator="equal">
      <formula>"Towel"</formula>
    </cfRule>
    <cfRule type="cellIs" dxfId="3730" priority="5240" stopIfTrue="1" operator="equal">
      <formula>"Napkin Hs"</formula>
    </cfRule>
  </conditionalFormatting>
  <conditionalFormatting sqref="B87:C87">
    <cfRule type="cellIs" dxfId="3729" priority="5200" stopIfTrue="1" operator="equal">
      <formula>"Napkin Hs"</formula>
    </cfRule>
  </conditionalFormatting>
  <conditionalFormatting sqref="B87:C87">
    <cfRule type="cellIs" dxfId="3728" priority="5199" stopIfTrue="1" operator="equal">
      <formula>"Towel"</formula>
    </cfRule>
  </conditionalFormatting>
  <conditionalFormatting sqref="C87">
    <cfRule type="cellIs" dxfId="3727" priority="5198" stopIfTrue="1" operator="equal">
      <formula>"Napkin Hs"</formula>
    </cfRule>
  </conditionalFormatting>
  <conditionalFormatting sqref="C87">
    <cfRule type="cellIs" dxfId="3726" priority="5195" stopIfTrue="1" operator="equal">
      <formula>"Towel"</formula>
    </cfRule>
    <cfRule type="cellIs" dxfId="3725" priority="5196" stopIfTrue="1" operator="equal">
      <formula>"Napkin Hs"</formula>
    </cfRule>
  </conditionalFormatting>
  <conditionalFormatting sqref="C87">
    <cfRule type="cellIs" dxfId="3724" priority="5197" stopIfTrue="1" operator="equal">
      <formula>"Towel"</formula>
    </cfRule>
  </conditionalFormatting>
  <conditionalFormatting sqref="C87">
    <cfRule type="cellIs" dxfId="3723" priority="5111" stopIfTrue="1" operator="equal">
      <formula>"Towel"</formula>
    </cfRule>
    <cfRule type="cellIs" dxfId="3722" priority="5112" stopIfTrue="1" operator="equal">
      <formula>"Napkin Hs"</formula>
    </cfRule>
  </conditionalFormatting>
  <conditionalFormatting sqref="C87">
    <cfRule type="cellIs" dxfId="3721" priority="5105" stopIfTrue="1" operator="equal">
      <formula>"Towel"</formula>
    </cfRule>
    <cfRule type="cellIs" dxfId="3720" priority="5106" stopIfTrue="1" operator="equal">
      <formula>"Napkin Hs"</formula>
    </cfRule>
  </conditionalFormatting>
  <conditionalFormatting sqref="C87">
    <cfRule type="cellIs" dxfId="3719" priority="5086" stopIfTrue="1" operator="equal">
      <formula>"Napkin Hs"</formula>
    </cfRule>
  </conditionalFormatting>
  <conditionalFormatting sqref="C87">
    <cfRule type="cellIs" dxfId="3718" priority="5085" stopIfTrue="1" operator="equal">
      <formula>"Towel"</formula>
    </cfRule>
  </conditionalFormatting>
  <conditionalFormatting sqref="C87">
    <cfRule type="cellIs" dxfId="3717" priority="5084" stopIfTrue="1" operator="equal">
      <formula>"Napkin Hs"</formula>
    </cfRule>
  </conditionalFormatting>
  <conditionalFormatting sqref="C87">
    <cfRule type="cellIs" dxfId="3716" priority="5081" stopIfTrue="1" operator="equal">
      <formula>"Towel"</formula>
    </cfRule>
    <cfRule type="cellIs" dxfId="3715" priority="5082" stopIfTrue="1" operator="equal">
      <formula>"Napkin Hs"</formula>
    </cfRule>
  </conditionalFormatting>
  <conditionalFormatting sqref="C87">
    <cfRule type="cellIs" dxfId="3714" priority="5083" stopIfTrue="1" operator="equal">
      <formula>"Towel"</formula>
    </cfRule>
  </conditionalFormatting>
  <conditionalFormatting sqref="C87">
    <cfRule type="cellIs" dxfId="3713" priority="5080" stopIfTrue="1" operator="equal">
      <formula>"Napkin Hs"</formula>
    </cfRule>
  </conditionalFormatting>
  <conditionalFormatting sqref="C87">
    <cfRule type="cellIs" dxfId="3712" priority="5079" stopIfTrue="1" operator="equal">
      <formula>"Towel"</formula>
    </cfRule>
  </conditionalFormatting>
  <conditionalFormatting sqref="C87">
    <cfRule type="cellIs" dxfId="3711" priority="5078" stopIfTrue="1" operator="equal">
      <formula>"Napkin Hs"</formula>
    </cfRule>
  </conditionalFormatting>
  <conditionalFormatting sqref="C87">
    <cfRule type="cellIs" dxfId="3710" priority="5075" stopIfTrue="1" operator="equal">
      <formula>"Towel"</formula>
    </cfRule>
    <cfRule type="cellIs" dxfId="3709" priority="5076" stopIfTrue="1" operator="equal">
      <formula>"Napkin Hs"</formula>
    </cfRule>
  </conditionalFormatting>
  <conditionalFormatting sqref="C87">
    <cfRule type="cellIs" dxfId="3708" priority="5077" stopIfTrue="1" operator="equal">
      <formula>"Towel"</formula>
    </cfRule>
  </conditionalFormatting>
  <conditionalFormatting sqref="C87">
    <cfRule type="cellIs" dxfId="3707" priority="5181" stopIfTrue="1" operator="equal">
      <formula>"Towel"</formula>
    </cfRule>
    <cfRule type="cellIs" dxfId="3706" priority="5182" stopIfTrue="1" operator="equal">
      <formula>"Napkin Hs"</formula>
    </cfRule>
  </conditionalFormatting>
  <conditionalFormatting sqref="C87">
    <cfRule type="cellIs" dxfId="3705" priority="5179" stopIfTrue="1" operator="equal">
      <formula>"Towel"</formula>
    </cfRule>
    <cfRule type="cellIs" dxfId="3704" priority="5180" stopIfTrue="1" operator="equal">
      <formula>"Napkin Hs"</formula>
    </cfRule>
  </conditionalFormatting>
  <conditionalFormatting sqref="C87">
    <cfRule type="cellIs" dxfId="3703" priority="5177" stopIfTrue="1" operator="equal">
      <formula>"Towel"</formula>
    </cfRule>
    <cfRule type="cellIs" dxfId="3702" priority="5178" stopIfTrue="1" operator="equal">
      <formula>"Napkin Hs"</formula>
    </cfRule>
  </conditionalFormatting>
  <conditionalFormatting sqref="C87">
    <cfRule type="cellIs" dxfId="3701" priority="5176" stopIfTrue="1" operator="equal">
      <formula>"Napkin Hs"</formula>
    </cfRule>
  </conditionalFormatting>
  <conditionalFormatting sqref="C87">
    <cfRule type="cellIs" dxfId="3700" priority="5175" stopIfTrue="1" operator="equal">
      <formula>"Towel"</formula>
    </cfRule>
  </conditionalFormatting>
  <conditionalFormatting sqref="C87">
    <cfRule type="cellIs" dxfId="3699" priority="5174" stopIfTrue="1" operator="equal">
      <formula>"Napkin Hs"</formula>
    </cfRule>
  </conditionalFormatting>
  <conditionalFormatting sqref="C87">
    <cfRule type="cellIs" dxfId="3698" priority="5173" stopIfTrue="1" operator="equal">
      <formula>"Towel"</formula>
    </cfRule>
  </conditionalFormatting>
  <conditionalFormatting sqref="C87">
    <cfRule type="cellIs" dxfId="3697" priority="5171" stopIfTrue="1" operator="equal">
      <formula>"Towel"</formula>
    </cfRule>
    <cfRule type="cellIs" dxfId="3696" priority="5172" stopIfTrue="1" operator="equal">
      <formula>"Napkin Hs"</formula>
    </cfRule>
  </conditionalFormatting>
  <conditionalFormatting sqref="C87">
    <cfRule type="cellIs" dxfId="3695" priority="5169" stopIfTrue="1" operator="equal">
      <formula>"Towel"</formula>
    </cfRule>
    <cfRule type="cellIs" dxfId="3694" priority="5170" stopIfTrue="1" operator="equal">
      <formula>"Napkin Hs"</formula>
    </cfRule>
  </conditionalFormatting>
  <conditionalFormatting sqref="C87">
    <cfRule type="cellIs" dxfId="3693" priority="5165" stopIfTrue="1" operator="equal">
      <formula>"Towel"</formula>
    </cfRule>
    <cfRule type="cellIs" dxfId="3692" priority="5166" stopIfTrue="1" operator="equal">
      <formula>"Napkin Hs"</formula>
    </cfRule>
  </conditionalFormatting>
  <conditionalFormatting sqref="C87">
    <cfRule type="cellIs" dxfId="3691" priority="5167" stopIfTrue="1" operator="equal">
      <formula>"Towel"</formula>
    </cfRule>
    <cfRule type="cellIs" dxfId="3690" priority="5168" stopIfTrue="1" operator="equal">
      <formula>"Napkin Hs"</formula>
    </cfRule>
  </conditionalFormatting>
  <conditionalFormatting sqref="C87">
    <cfRule type="cellIs" dxfId="3689" priority="5159" stopIfTrue="1" operator="equal">
      <formula>"Towel"</formula>
    </cfRule>
    <cfRule type="cellIs" dxfId="3688" priority="5160" stopIfTrue="1" operator="equal">
      <formula>"Napkin Hs"</formula>
    </cfRule>
  </conditionalFormatting>
  <conditionalFormatting sqref="C87">
    <cfRule type="cellIs" dxfId="3687" priority="5157" stopIfTrue="1" operator="equal">
      <formula>"Towel"</formula>
    </cfRule>
    <cfRule type="cellIs" dxfId="3686" priority="5158" stopIfTrue="1" operator="equal">
      <formula>"Napkin Hs"</formula>
    </cfRule>
  </conditionalFormatting>
  <conditionalFormatting sqref="C87">
    <cfRule type="cellIs" dxfId="3685" priority="5155" stopIfTrue="1" operator="equal">
      <formula>"Towel"</formula>
    </cfRule>
    <cfRule type="cellIs" dxfId="3684" priority="5156" stopIfTrue="1" operator="equal">
      <formula>"Napkin Hs"</formula>
    </cfRule>
  </conditionalFormatting>
  <conditionalFormatting sqref="C87">
    <cfRule type="cellIs" dxfId="3683" priority="5153" stopIfTrue="1" operator="equal">
      <formula>"Towel"</formula>
    </cfRule>
    <cfRule type="cellIs" dxfId="3682" priority="5154" stopIfTrue="1" operator="equal">
      <formula>"Napkin Hs"</formula>
    </cfRule>
  </conditionalFormatting>
  <conditionalFormatting sqref="C87">
    <cfRule type="cellIs" dxfId="3681" priority="5151" stopIfTrue="1" operator="equal">
      <formula>"Towel"</formula>
    </cfRule>
    <cfRule type="cellIs" dxfId="3680" priority="5152" stopIfTrue="1" operator="equal">
      <formula>"Napkin Hs"</formula>
    </cfRule>
  </conditionalFormatting>
  <conditionalFormatting sqref="C87">
    <cfRule type="cellIs" dxfId="3679" priority="5149" stopIfTrue="1" operator="equal">
      <formula>"Towel"</formula>
    </cfRule>
    <cfRule type="cellIs" dxfId="3678" priority="5150" stopIfTrue="1" operator="equal">
      <formula>"Napkin Hs"</formula>
    </cfRule>
  </conditionalFormatting>
  <conditionalFormatting sqref="C87">
    <cfRule type="cellIs" dxfId="3677" priority="5147" stopIfTrue="1" operator="equal">
      <formula>"Towel"</formula>
    </cfRule>
    <cfRule type="cellIs" dxfId="3676" priority="5148" stopIfTrue="1" operator="equal">
      <formula>"Napkin Hs"</formula>
    </cfRule>
  </conditionalFormatting>
  <conditionalFormatting sqref="C87">
    <cfRule type="cellIs" dxfId="3675" priority="5145" stopIfTrue="1" operator="equal">
      <formula>"Towel"</formula>
    </cfRule>
    <cfRule type="cellIs" dxfId="3674" priority="5146" stopIfTrue="1" operator="equal">
      <formula>"Napkin Hs"</formula>
    </cfRule>
  </conditionalFormatting>
  <conditionalFormatting sqref="C87">
    <cfRule type="cellIs" dxfId="3673" priority="5143" stopIfTrue="1" operator="equal">
      <formula>"Towel"</formula>
    </cfRule>
    <cfRule type="cellIs" dxfId="3672" priority="5144" stopIfTrue="1" operator="equal">
      <formula>"Napkin Hs"</formula>
    </cfRule>
  </conditionalFormatting>
  <conditionalFormatting sqref="C87">
    <cfRule type="cellIs" dxfId="3671" priority="5141" stopIfTrue="1" operator="equal">
      <formula>"Towel"</formula>
    </cfRule>
    <cfRule type="cellIs" dxfId="3670" priority="5142" stopIfTrue="1" operator="equal">
      <formula>"Napkin Hs"</formula>
    </cfRule>
  </conditionalFormatting>
  <conditionalFormatting sqref="C87">
    <cfRule type="cellIs" dxfId="3669" priority="5135" stopIfTrue="1" operator="equal">
      <formula>"Towel"</formula>
    </cfRule>
    <cfRule type="cellIs" dxfId="3668" priority="5136" stopIfTrue="1" operator="equal">
      <formula>"Napkin Hs"</formula>
    </cfRule>
  </conditionalFormatting>
  <conditionalFormatting sqref="C87">
    <cfRule type="cellIs" dxfId="3667" priority="5129" stopIfTrue="1" operator="equal">
      <formula>"Towel"</formula>
    </cfRule>
    <cfRule type="cellIs" dxfId="3666" priority="5130" stopIfTrue="1" operator="equal">
      <formula>"Napkin Hs"</formula>
    </cfRule>
  </conditionalFormatting>
  <conditionalFormatting sqref="C87">
    <cfRule type="cellIs" dxfId="3665" priority="5123" stopIfTrue="1" operator="equal">
      <formula>"Towel"</formula>
    </cfRule>
    <cfRule type="cellIs" dxfId="3664" priority="5124" stopIfTrue="1" operator="equal">
      <formula>"Napkin Hs"</formula>
    </cfRule>
  </conditionalFormatting>
  <conditionalFormatting sqref="C87">
    <cfRule type="cellIs" dxfId="3663" priority="5122" stopIfTrue="1" operator="equal">
      <formula>"Napkin Hs"</formula>
    </cfRule>
  </conditionalFormatting>
  <conditionalFormatting sqref="C87">
    <cfRule type="cellIs" dxfId="3662" priority="5121" stopIfTrue="1" operator="equal">
      <formula>"Towel"</formula>
    </cfRule>
  </conditionalFormatting>
  <conditionalFormatting sqref="C87">
    <cfRule type="cellIs" dxfId="3661" priority="5120" stopIfTrue="1" operator="equal">
      <formula>"Napkin Hs"</formula>
    </cfRule>
  </conditionalFormatting>
  <conditionalFormatting sqref="C87">
    <cfRule type="cellIs" dxfId="3660" priority="5119" stopIfTrue="1" operator="equal">
      <formula>"Towel"</formula>
    </cfRule>
  </conditionalFormatting>
  <conditionalFormatting sqref="C87">
    <cfRule type="cellIs" dxfId="3659" priority="5117" stopIfTrue="1" operator="equal">
      <formula>"Towel"</formula>
    </cfRule>
    <cfRule type="cellIs" dxfId="3658" priority="5118" stopIfTrue="1" operator="equal">
      <formula>"Napkin Hs"</formula>
    </cfRule>
  </conditionalFormatting>
  <conditionalFormatting sqref="C87">
    <cfRule type="cellIs" dxfId="3657" priority="5115" stopIfTrue="1" operator="equal">
      <formula>"Towel"</formula>
    </cfRule>
    <cfRule type="cellIs" dxfId="3656" priority="5116" stopIfTrue="1" operator="equal">
      <formula>"Napkin Hs"</formula>
    </cfRule>
  </conditionalFormatting>
  <conditionalFormatting sqref="C87">
    <cfRule type="cellIs" dxfId="3655" priority="5113" stopIfTrue="1" operator="equal">
      <formula>"Towel"</formula>
    </cfRule>
    <cfRule type="cellIs" dxfId="3654" priority="5114" stopIfTrue="1" operator="equal">
      <formula>"Napkin Hs"</formula>
    </cfRule>
  </conditionalFormatting>
  <conditionalFormatting sqref="C87">
    <cfRule type="cellIs" dxfId="3653" priority="5103" stopIfTrue="1" operator="equal">
      <formula>"Towel"</formula>
    </cfRule>
    <cfRule type="cellIs" dxfId="3652" priority="5104" stopIfTrue="1" operator="equal">
      <formula>"Napkin Hs"</formula>
    </cfRule>
  </conditionalFormatting>
  <conditionalFormatting sqref="C87">
    <cfRule type="cellIs" dxfId="3651" priority="5101" stopIfTrue="1" operator="equal">
      <formula>"Towel"</formula>
    </cfRule>
    <cfRule type="cellIs" dxfId="3650" priority="5102" stopIfTrue="1" operator="equal">
      <formula>"Napkin Hs"</formula>
    </cfRule>
  </conditionalFormatting>
  <conditionalFormatting sqref="C87">
    <cfRule type="cellIs" dxfId="3649" priority="5099" stopIfTrue="1" operator="equal">
      <formula>"Towel"</formula>
    </cfRule>
    <cfRule type="cellIs" dxfId="3648" priority="5100" stopIfTrue="1" operator="equal">
      <formula>"Napkin Hs"</formula>
    </cfRule>
  </conditionalFormatting>
  <conditionalFormatting sqref="C87">
    <cfRule type="cellIs" dxfId="3647" priority="5097" stopIfTrue="1" operator="equal">
      <formula>"Towel"</formula>
    </cfRule>
    <cfRule type="cellIs" dxfId="3646" priority="5098" stopIfTrue="1" operator="equal">
      <formula>"Napkin Hs"</formula>
    </cfRule>
  </conditionalFormatting>
  <conditionalFormatting sqref="C87">
    <cfRule type="cellIs" dxfId="3645" priority="5095" stopIfTrue="1" operator="equal">
      <formula>"Towel"</formula>
    </cfRule>
    <cfRule type="cellIs" dxfId="3644" priority="5096" stopIfTrue="1" operator="equal">
      <formula>"Napkin Hs"</formula>
    </cfRule>
  </conditionalFormatting>
  <conditionalFormatting sqref="C87">
    <cfRule type="cellIs" dxfId="3643" priority="5093" stopIfTrue="1" operator="equal">
      <formula>"Towel"</formula>
    </cfRule>
    <cfRule type="cellIs" dxfId="3642" priority="5094" stopIfTrue="1" operator="equal">
      <formula>"Napkin Hs"</formula>
    </cfRule>
  </conditionalFormatting>
  <conditionalFormatting sqref="C87">
    <cfRule type="cellIs" dxfId="3641" priority="5091" stopIfTrue="1" operator="equal">
      <formula>"Towel"</formula>
    </cfRule>
    <cfRule type="cellIs" dxfId="3640" priority="5092" stopIfTrue="1" operator="equal">
      <formula>"Napkin Hs"</formula>
    </cfRule>
  </conditionalFormatting>
  <conditionalFormatting sqref="C87">
    <cfRule type="cellIs" dxfId="3639" priority="5089" stopIfTrue="1" operator="equal">
      <formula>"Towel"</formula>
    </cfRule>
    <cfRule type="cellIs" dxfId="3638" priority="5090" stopIfTrue="1" operator="equal">
      <formula>"Napkin Hs"</formula>
    </cfRule>
  </conditionalFormatting>
  <conditionalFormatting sqref="C87">
    <cfRule type="cellIs" dxfId="3637" priority="5087" stopIfTrue="1" operator="equal">
      <formula>"Towel"</formula>
    </cfRule>
    <cfRule type="cellIs" dxfId="3636" priority="5088" stopIfTrue="1" operator="equal">
      <formula>"Napkin Hs"</formula>
    </cfRule>
  </conditionalFormatting>
  <conditionalFormatting sqref="C87">
    <cfRule type="cellIs" dxfId="3635" priority="5074" stopIfTrue="1" operator="equal">
      <formula>"Napkin Hs"</formula>
    </cfRule>
  </conditionalFormatting>
  <conditionalFormatting sqref="C87">
    <cfRule type="cellIs" dxfId="3634" priority="5073" stopIfTrue="1" operator="equal">
      <formula>"Towel"</formula>
    </cfRule>
  </conditionalFormatting>
  <conditionalFormatting sqref="C87">
    <cfRule type="cellIs" dxfId="3633" priority="5072" stopIfTrue="1" operator="equal">
      <formula>"Napkin Hs"</formula>
    </cfRule>
  </conditionalFormatting>
  <conditionalFormatting sqref="C87">
    <cfRule type="cellIs" dxfId="3632" priority="5069" stopIfTrue="1" operator="equal">
      <formula>"Towel"</formula>
    </cfRule>
    <cfRule type="cellIs" dxfId="3631" priority="5070" stopIfTrue="1" operator="equal">
      <formula>"Napkin Hs"</formula>
    </cfRule>
  </conditionalFormatting>
  <conditionalFormatting sqref="C87">
    <cfRule type="cellIs" dxfId="3630" priority="5071" stopIfTrue="1" operator="equal">
      <formula>"Towel"</formula>
    </cfRule>
  </conditionalFormatting>
  <conditionalFormatting sqref="C87">
    <cfRule type="cellIs" dxfId="3629" priority="5189" stopIfTrue="1" operator="equal">
      <formula>"Towel"</formula>
    </cfRule>
    <cfRule type="cellIs" dxfId="3628" priority="5190" stopIfTrue="1" operator="equal">
      <formula>"Napkin Hs"</formula>
    </cfRule>
  </conditionalFormatting>
  <conditionalFormatting sqref="C87">
    <cfRule type="cellIs" dxfId="3627" priority="5188" stopIfTrue="1" operator="equal">
      <formula>"Napkin Hs"</formula>
    </cfRule>
  </conditionalFormatting>
  <conditionalFormatting sqref="C87">
    <cfRule type="cellIs" dxfId="3626" priority="5187" stopIfTrue="1" operator="equal">
      <formula>"Towel"</formula>
    </cfRule>
  </conditionalFormatting>
  <conditionalFormatting sqref="C87">
    <cfRule type="cellIs" dxfId="3625" priority="5186" stopIfTrue="1" operator="equal">
      <formula>"Napkin Hs"</formula>
    </cfRule>
  </conditionalFormatting>
  <conditionalFormatting sqref="C87">
    <cfRule type="cellIs" dxfId="3624" priority="5183" stopIfTrue="1" operator="equal">
      <formula>"Towel"</formula>
    </cfRule>
    <cfRule type="cellIs" dxfId="3623" priority="5184" stopIfTrue="1" operator="equal">
      <formula>"Napkin Hs"</formula>
    </cfRule>
  </conditionalFormatting>
  <conditionalFormatting sqref="C87">
    <cfRule type="cellIs" dxfId="3622" priority="5185" stopIfTrue="1" operator="equal">
      <formula>"Towel"</formula>
    </cfRule>
  </conditionalFormatting>
  <conditionalFormatting sqref="C87">
    <cfRule type="cellIs" dxfId="3621" priority="5193" stopIfTrue="1" operator="equal">
      <formula>"Towel"</formula>
    </cfRule>
    <cfRule type="cellIs" dxfId="3620" priority="5194" stopIfTrue="1" operator="equal">
      <formula>"Napkin Hs"</formula>
    </cfRule>
  </conditionalFormatting>
  <conditionalFormatting sqref="C87">
    <cfRule type="cellIs" dxfId="3619" priority="5191" stopIfTrue="1" operator="equal">
      <formula>"Towel"</formula>
    </cfRule>
    <cfRule type="cellIs" dxfId="3618" priority="5192" stopIfTrue="1" operator="equal">
      <formula>"Napkin Hs"</formula>
    </cfRule>
  </conditionalFormatting>
  <conditionalFormatting sqref="C87">
    <cfRule type="cellIs" dxfId="3617" priority="5163" stopIfTrue="1" operator="equal">
      <formula>"Towel"</formula>
    </cfRule>
    <cfRule type="cellIs" dxfId="3616" priority="5164" stopIfTrue="1" operator="equal">
      <formula>"Napkin Hs"</formula>
    </cfRule>
  </conditionalFormatting>
  <conditionalFormatting sqref="C87">
    <cfRule type="cellIs" dxfId="3615" priority="5161" stopIfTrue="1" operator="equal">
      <formula>"Towel"</formula>
    </cfRule>
    <cfRule type="cellIs" dxfId="3614" priority="5162" stopIfTrue="1" operator="equal">
      <formula>"Napkin Hs"</formula>
    </cfRule>
  </conditionalFormatting>
  <conditionalFormatting sqref="C87">
    <cfRule type="cellIs" dxfId="3613" priority="5140" stopIfTrue="1" operator="equal">
      <formula>"Napkin Hs"</formula>
    </cfRule>
  </conditionalFormatting>
  <conditionalFormatting sqref="C87">
    <cfRule type="cellIs" dxfId="3612" priority="5139" stopIfTrue="1" operator="equal">
      <formula>"Towel"</formula>
    </cfRule>
  </conditionalFormatting>
  <conditionalFormatting sqref="C87">
    <cfRule type="cellIs" dxfId="3611" priority="5138" stopIfTrue="1" operator="equal">
      <formula>"Napkin Hs"</formula>
    </cfRule>
  </conditionalFormatting>
  <conditionalFormatting sqref="C87">
    <cfRule type="cellIs" dxfId="3610" priority="5137" stopIfTrue="1" operator="equal">
      <formula>"Towel"</formula>
    </cfRule>
  </conditionalFormatting>
  <conditionalFormatting sqref="C87">
    <cfRule type="cellIs" dxfId="3609" priority="5134" stopIfTrue="1" operator="equal">
      <formula>"Napkin Hs"</formula>
    </cfRule>
  </conditionalFormatting>
  <conditionalFormatting sqref="C87">
    <cfRule type="cellIs" dxfId="3608" priority="5133" stopIfTrue="1" operator="equal">
      <formula>"Towel"</formula>
    </cfRule>
  </conditionalFormatting>
  <conditionalFormatting sqref="C87">
    <cfRule type="cellIs" dxfId="3607" priority="5132" stopIfTrue="1" operator="equal">
      <formula>"Napkin Hs"</formula>
    </cfRule>
  </conditionalFormatting>
  <conditionalFormatting sqref="C87">
    <cfRule type="cellIs" dxfId="3606" priority="5131" stopIfTrue="1" operator="equal">
      <formula>"Towel"</formula>
    </cfRule>
  </conditionalFormatting>
  <conditionalFormatting sqref="C87">
    <cfRule type="cellIs" dxfId="3605" priority="5127" stopIfTrue="1" operator="equal">
      <formula>"Towel"</formula>
    </cfRule>
    <cfRule type="cellIs" dxfId="3604" priority="5128" stopIfTrue="1" operator="equal">
      <formula>"Napkin Hs"</formula>
    </cfRule>
  </conditionalFormatting>
  <conditionalFormatting sqref="C87">
    <cfRule type="cellIs" dxfId="3603" priority="5125" stopIfTrue="1" operator="equal">
      <formula>"Towel"</formula>
    </cfRule>
    <cfRule type="cellIs" dxfId="3602" priority="5126" stopIfTrue="1" operator="equal">
      <formula>"Napkin Hs"</formula>
    </cfRule>
  </conditionalFormatting>
  <conditionalFormatting sqref="C87">
    <cfRule type="cellIs" dxfId="3601" priority="5109" stopIfTrue="1" operator="equal">
      <formula>"Towel"</formula>
    </cfRule>
    <cfRule type="cellIs" dxfId="3600" priority="5110" stopIfTrue="1" operator="equal">
      <formula>"Napkin Hs"</formula>
    </cfRule>
  </conditionalFormatting>
  <conditionalFormatting sqref="C87">
    <cfRule type="cellIs" dxfId="3599" priority="5107" stopIfTrue="1" operator="equal">
      <formula>"Towel"</formula>
    </cfRule>
    <cfRule type="cellIs" dxfId="3598" priority="5108" stopIfTrue="1" operator="equal">
      <formula>"Napkin Hs"</formula>
    </cfRule>
  </conditionalFormatting>
  <conditionalFormatting sqref="B87:C87">
    <cfRule type="cellIs" dxfId="3597" priority="5068" stopIfTrue="1" operator="equal">
      <formula>"Napkin Hs"</formula>
    </cfRule>
  </conditionalFormatting>
  <conditionalFormatting sqref="B87:C87">
    <cfRule type="cellIs" dxfId="3596" priority="5067" stopIfTrue="1" operator="equal">
      <formula>"Towel"</formula>
    </cfRule>
  </conditionalFormatting>
  <conditionalFormatting sqref="C87">
    <cfRule type="cellIs" dxfId="3595" priority="5066" stopIfTrue="1" operator="equal">
      <formula>"Napkin Hs"</formula>
    </cfRule>
  </conditionalFormatting>
  <conditionalFormatting sqref="C87">
    <cfRule type="cellIs" dxfId="3594" priority="5063" stopIfTrue="1" operator="equal">
      <formula>"Towel"</formula>
    </cfRule>
    <cfRule type="cellIs" dxfId="3593" priority="5064" stopIfTrue="1" operator="equal">
      <formula>"Napkin Hs"</formula>
    </cfRule>
  </conditionalFormatting>
  <conditionalFormatting sqref="C87">
    <cfRule type="cellIs" dxfId="3592" priority="5065" stopIfTrue="1" operator="equal">
      <formula>"Towel"</formula>
    </cfRule>
  </conditionalFormatting>
  <conditionalFormatting sqref="B87:C87">
    <cfRule type="cellIs" dxfId="3591" priority="5062" stopIfTrue="1" operator="equal">
      <formula>"Napkin Hs"</formula>
    </cfRule>
  </conditionalFormatting>
  <conditionalFormatting sqref="B87:C87">
    <cfRule type="cellIs" dxfId="3590" priority="5061" stopIfTrue="1" operator="equal">
      <formula>"Towel"</formula>
    </cfRule>
  </conditionalFormatting>
  <conditionalFormatting sqref="C87">
    <cfRule type="cellIs" dxfId="3589" priority="5060" stopIfTrue="1" operator="equal">
      <formula>"Napkin Hs"</formula>
    </cfRule>
  </conditionalFormatting>
  <conditionalFormatting sqref="C87">
    <cfRule type="cellIs" dxfId="3588" priority="5059" stopIfTrue="1" operator="equal">
      <formula>"Towel"</formula>
    </cfRule>
  </conditionalFormatting>
  <conditionalFormatting sqref="B88:C88">
    <cfRule type="cellIs" dxfId="3587" priority="5057" stopIfTrue="1" operator="equal">
      <formula>"Towel"</formula>
    </cfRule>
    <cfRule type="cellIs" dxfId="3586" priority="5058" stopIfTrue="1" operator="equal">
      <formula>"Napkin Hs"</formula>
    </cfRule>
  </conditionalFormatting>
  <conditionalFormatting sqref="C88">
    <cfRule type="cellIs" dxfId="3585" priority="5053" stopIfTrue="1" operator="equal">
      <formula>"Towel"</formula>
    </cfRule>
    <cfRule type="cellIs" dxfId="3584" priority="5054" stopIfTrue="1" operator="equal">
      <formula>"Napkin Hs"</formula>
    </cfRule>
  </conditionalFormatting>
  <conditionalFormatting sqref="C88">
    <cfRule type="cellIs" dxfId="3583" priority="5055" stopIfTrue="1" operator="equal">
      <formula>"Towel"</formula>
    </cfRule>
    <cfRule type="cellIs" dxfId="3582" priority="5056" stopIfTrue="1" operator="equal">
      <formula>"Napkin Hs"</formula>
    </cfRule>
  </conditionalFormatting>
  <conditionalFormatting sqref="B88:C88">
    <cfRule type="cellIs" dxfId="3581" priority="5052" stopIfTrue="1" operator="equal">
      <formula>"Napkin Hs"</formula>
    </cfRule>
  </conditionalFormatting>
  <conditionalFormatting sqref="B88:C88">
    <cfRule type="cellIs" dxfId="3580" priority="5051" stopIfTrue="1" operator="equal">
      <formula>"Towel"</formula>
    </cfRule>
  </conditionalFormatting>
  <conditionalFormatting sqref="C88">
    <cfRule type="cellIs" dxfId="3579" priority="5050" stopIfTrue="1" operator="equal">
      <formula>"Napkin Hs"</formula>
    </cfRule>
  </conditionalFormatting>
  <conditionalFormatting sqref="C88">
    <cfRule type="cellIs" dxfId="3578" priority="5049" stopIfTrue="1" operator="equal">
      <formula>"Towel"</formula>
    </cfRule>
  </conditionalFormatting>
  <conditionalFormatting sqref="C88">
    <cfRule type="cellIs" dxfId="3577" priority="5047" stopIfTrue="1" operator="equal">
      <formula>"Towel"</formula>
    </cfRule>
    <cfRule type="cellIs" dxfId="3576" priority="5048" stopIfTrue="1" operator="equal">
      <formula>"Napkin Hs"</formula>
    </cfRule>
  </conditionalFormatting>
  <conditionalFormatting sqref="B88:C88">
    <cfRule type="cellIs" dxfId="3575" priority="5045" stopIfTrue="1" operator="equal">
      <formula>"Towel"</formula>
    </cfRule>
    <cfRule type="cellIs" dxfId="3574" priority="5046" stopIfTrue="1" operator="equal">
      <formula>"Napkin Hs"</formula>
    </cfRule>
  </conditionalFormatting>
  <conditionalFormatting sqref="C88">
    <cfRule type="cellIs" dxfId="3573" priority="5043" stopIfTrue="1" operator="equal">
      <formula>"Towel"</formula>
    </cfRule>
    <cfRule type="cellIs" dxfId="3572" priority="5044" stopIfTrue="1" operator="equal">
      <formula>"Napkin Hs"</formula>
    </cfRule>
  </conditionalFormatting>
  <conditionalFormatting sqref="C88">
    <cfRule type="cellIs" dxfId="3571" priority="5041" stopIfTrue="1" operator="equal">
      <formula>"Towel"</formula>
    </cfRule>
    <cfRule type="cellIs" dxfId="3570" priority="5042" stopIfTrue="1" operator="equal">
      <formula>"Napkin Hs"</formula>
    </cfRule>
  </conditionalFormatting>
  <conditionalFormatting sqref="B88:C88">
    <cfRule type="cellIs" dxfId="3569" priority="5039" stopIfTrue="1" operator="equal">
      <formula>"Towel"</formula>
    </cfRule>
    <cfRule type="cellIs" dxfId="3568" priority="5040" stopIfTrue="1" operator="equal">
      <formula>"Napkin Hs"</formula>
    </cfRule>
  </conditionalFormatting>
  <conditionalFormatting sqref="C88">
    <cfRule type="cellIs" dxfId="3567" priority="5037" stopIfTrue="1" operator="equal">
      <formula>"Towel"</formula>
    </cfRule>
    <cfRule type="cellIs" dxfId="3566" priority="5038" stopIfTrue="1" operator="equal">
      <formula>"Napkin Hs"</formula>
    </cfRule>
  </conditionalFormatting>
  <conditionalFormatting sqref="C88">
    <cfRule type="cellIs" dxfId="3565" priority="5035" stopIfTrue="1" operator="equal">
      <formula>"Towel"</formula>
    </cfRule>
    <cfRule type="cellIs" dxfId="3564" priority="5036" stopIfTrue="1" operator="equal">
      <formula>"Napkin Hs"</formula>
    </cfRule>
  </conditionalFormatting>
  <conditionalFormatting sqref="B88:C88">
    <cfRule type="cellIs" dxfId="3563" priority="5033" stopIfTrue="1" operator="equal">
      <formula>"Towel"</formula>
    </cfRule>
    <cfRule type="cellIs" dxfId="3562" priority="5034" stopIfTrue="1" operator="equal">
      <formula>"Napkin Hs"</formula>
    </cfRule>
  </conditionalFormatting>
  <conditionalFormatting sqref="C88">
    <cfRule type="cellIs" dxfId="3561" priority="5031" stopIfTrue="1" operator="equal">
      <formula>"Towel"</formula>
    </cfRule>
    <cfRule type="cellIs" dxfId="3560" priority="5032" stopIfTrue="1" operator="equal">
      <formula>"Napkin Hs"</formula>
    </cfRule>
  </conditionalFormatting>
  <conditionalFormatting sqref="C88">
    <cfRule type="cellIs" dxfId="3559" priority="5029" stopIfTrue="1" operator="equal">
      <formula>"Towel"</formula>
    </cfRule>
    <cfRule type="cellIs" dxfId="3558" priority="5030" stopIfTrue="1" operator="equal">
      <formula>"Napkin Hs"</formula>
    </cfRule>
  </conditionalFormatting>
  <conditionalFormatting sqref="B88:C88">
    <cfRule type="cellIs" dxfId="3557" priority="5027" stopIfTrue="1" operator="equal">
      <formula>"Towel"</formula>
    </cfRule>
    <cfRule type="cellIs" dxfId="3556" priority="5028" stopIfTrue="1" operator="equal">
      <formula>"Napkin Hs"</formula>
    </cfRule>
  </conditionalFormatting>
  <conditionalFormatting sqref="C88">
    <cfRule type="cellIs" dxfId="3555" priority="5025" stopIfTrue="1" operator="equal">
      <formula>"Towel"</formula>
    </cfRule>
    <cfRule type="cellIs" dxfId="3554" priority="5026" stopIfTrue="1" operator="equal">
      <formula>"Napkin Hs"</formula>
    </cfRule>
  </conditionalFormatting>
  <conditionalFormatting sqref="C88">
    <cfRule type="cellIs" dxfId="3553" priority="5023" stopIfTrue="1" operator="equal">
      <formula>"Towel"</formula>
    </cfRule>
    <cfRule type="cellIs" dxfId="3552" priority="5024" stopIfTrue="1" operator="equal">
      <formula>"Napkin Hs"</formula>
    </cfRule>
  </conditionalFormatting>
  <conditionalFormatting sqref="B88:C88">
    <cfRule type="cellIs" dxfId="3551" priority="5021" stopIfTrue="1" operator="equal">
      <formula>"Towel"</formula>
    </cfRule>
    <cfRule type="cellIs" dxfId="3550" priority="5022" stopIfTrue="1" operator="equal">
      <formula>"Napkin Hs"</formula>
    </cfRule>
  </conditionalFormatting>
  <conditionalFormatting sqref="C88">
    <cfRule type="cellIs" dxfId="3549" priority="5019" stopIfTrue="1" operator="equal">
      <formula>"Towel"</formula>
    </cfRule>
    <cfRule type="cellIs" dxfId="3548" priority="5020" stopIfTrue="1" operator="equal">
      <formula>"Napkin Hs"</formula>
    </cfRule>
  </conditionalFormatting>
  <conditionalFormatting sqref="C88">
    <cfRule type="cellIs" dxfId="3547" priority="5017" stopIfTrue="1" operator="equal">
      <formula>"Towel"</formula>
    </cfRule>
    <cfRule type="cellIs" dxfId="3546" priority="5018" stopIfTrue="1" operator="equal">
      <formula>"Napkin Hs"</formula>
    </cfRule>
  </conditionalFormatting>
  <conditionalFormatting sqref="B88:C88">
    <cfRule type="cellIs" dxfId="3545" priority="5016" stopIfTrue="1" operator="equal">
      <formula>"Napkin Hs"</formula>
    </cfRule>
  </conditionalFormatting>
  <conditionalFormatting sqref="B88:C88">
    <cfRule type="cellIs" dxfId="3544" priority="5015" stopIfTrue="1" operator="equal">
      <formula>"Towel"</formula>
    </cfRule>
  </conditionalFormatting>
  <conditionalFormatting sqref="C88">
    <cfRule type="cellIs" dxfId="3543" priority="5014" stopIfTrue="1" operator="equal">
      <formula>"Napkin Hs"</formula>
    </cfRule>
  </conditionalFormatting>
  <conditionalFormatting sqref="C88">
    <cfRule type="cellIs" dxfId="3542" priority="5011" stopIfTrue="1" operator="equal">
      <formula>"Towel"</formula>
    </cfRule>
    <cfRule type="cellIs" dxfId="3541" priority="5012" stopIfTrue="1" operator="equal">
      <formula>"Napkin Hs"</formula>
    </cfRule>
  </conditionalFormatting>
  <conditionalFormatting sqref="C88">
    <cfRule type="cellIs" dxfId="3540" priority="5013" stopIfTrue="1" operator="equal">
      <formula>"Towel"</formula>
    </cfRule>
  </conditionalFormatting>
  <conditionalFormatting sqref="B88:C88">
    <cfRule type="cellIs" dxfId="3539" priority="5009" stopIfTrue="1" operator="equal">
      <formula>"Towel"</formula>
    </cfRule>
    <cfRule type="cellIs" dxfId="3538" priority="5010" stopIfTrue="1" operator="equal">
      <formula>"Napkin Hs"</formula>
    </cfRule>
  </conditionalFormatting>
  <conditionalFormatting sqref="C88">
    <cfRule type="cellIs" dxfId="3537" priority="5005" stopIfTrue="1" operator="equal">
      <formula>"Towel"</formula>
    </cfRule>
    <cfRule type="cellIs" dxfId="3536" priority="5006" stopIfTrue="1" operator="equal">
      <formula>"Napkin Hs"</formula>
    </cfRule>
  </conditionalFormatting>
  <conditionalFormatting sqref="C88">
    <cfRule type="cellIs" dxfId="3535" priority="5007" stopIfTrue="1" operator="equal">
      <formula>"Towel"</formula>
    </cfRule>
    <cfRule type="cellIs" dxfId="3534" priority="5008" stopIfTrue="1" operator="equal">
      <formula>"Napkin Hs"</formula>
    </cfRule>
  </conditionalFormatting>
  <conditionalFormatting sqref="B88:C88">
    <cfRule type="cellIs" dxfId="3533" priority="5003" stopIfTrue="1" operator="equal">
      <formula>"Towel"</formula>
    </cfRule>
    <cfRule type="cellIs" dxfId="3532" priority="5004" stopIfTrue="1" operator="equal">
      <formula>"Napkin Hs"</formula>
    </cfRule>
  </conditionalFormatting>
  <conditionalFormatting sqref="C88">
    <cfRule type="cellIs" dxfId="3531" priority="4999" stopIfTrue="1" operator="equal">
      <formula>"Towel"</formula>
    </cfRule>
    <cfRule type="cellIs" dxfId="3530" priority="5000" stopIfTrue="1" operator="equal">
      <formula>"Napkin Hs"</formula>
    </cfRule>
  </conditionalFormatting>
  <conditionalFormatting sqref="C88">
    <cfRule type="cellIs" dxfId="3529" priority="5001" stopIfTrue="1" operator="equal">
      <formula>"Towel"</formula>
    </cfRule>
    <cfRule type="cellIs" dxfId="3528" priority="5002" stopIfTrue="1" operator="equal">
      <formula>"Napkin Hs"</formula>
    </cfRule>
  </conditionalFormatting>
  <conditionalFormatting sqref="B88:C88">
    <cfRule type="cellIs" dxfId="3527" priority="4997" stopIfTrue="1" operator="equal">
      <formula>"Towel"</formula>
    </cfRule>
    <cfRule type="cellIs" dxfId="3526" priority="4998" stopIfTrue="1" operator="equal">
      <formula>"Napkin Hs"</formula>
    </cfRule>
  </conditionalFormatting>
  <conditionalFormatting sqref="C88">
    <cfRule type="cellIs" dxfId="3525" priority="4995" stopIfTrue="1" operator="equal">
      <formula>"Towel"</formula>
    </cfRule>
    <cfRule type="cellIs" dxfId="3524" priority="4996" stopIfTrue="1" operator="equal">
      <formula>"Napkin Hs"</formula>
    </cfRule>
  </conditionalFormatting>
  <conditionalFormatting sqref="C88">
    <cfRule type="cellIs" dxfId="3523" priority="4993" stopIfTrue="1" operator="equal">
      <formula>"Towel"</formula>
    </cfRule>
    <cfRule type="cellIs" dxfId="3522" priority="4994" stopIfTrue="1" operator="equal">
      <formula>"Napkin Hs"</formula>
    </cfRule>
  </conditionalFormatting>
  <conditionalFormatting sqref="B88:C88">
    <cfRule type="cellIs" dxfId="3521" priority="4992" stopIfTrue="1" operator="equal">
      <formula>"Napkin Hs"</formula>
    </cfRule>
  </conditionalFormatting>
  <conditionalFormatting sqref="B88:C88">
    <cfRule type="cellIs" dxfId="3520" priority="4991" stopIfTrue="1" operator="equal">
      <formula>"Towel"</formula>
    </cfRule>
  </conditionalFormatting>
  <conditionalFormatting sqref="C88">
    <cfRule type="cellIs" dxfId="3519" priority="4990" stopIfTrue="1" operator="equal">
      <formula>"Napkin Hs"</formula>
    </cfRule>
  </conditionalFormatting>
  <conditionalFormatting sqref="C88">
    <cfRule type="cellIs" dxfId="3518" priority="4989" stopIfTrue="1" operator="equal">
      <formula>"Towel"</formula>
    </cfRule>
  </conditionalFormatting>
  <conditionalFormatting sqref="C88">
    <cfRule type="cellIs" dxfId="3517" priority="4987" stopIfTrue="1" operator="equal">
      <formula>"Towel"</formula>
    </cfRule>
    <cfRule type="cellIs" dxfId="3516" priority="4988" stopIfTrue="1" operator="equal">
      <formula>"Napkin Hs"</formula>
    </cfRule>
  </conditionalFormatting>
  <conditionalFormatting sqref="C88">
    <cfRule type="cellIs" dxfId="3515" priority="4985" stopIfTrue="1" operator="equal">
      <formula>"Towel"</formula>
    </cfRule>
    <cfRule type="cellIs" dxfId="3514" priority="4986" stopIfTrue="1" operator="equal">
      <formula>"Napkin Hs"</formula>
    </cfRule>
  </conditionalFormatting>
  <conditionalFormatting sqref="C88">
    <cfRule type="cellIs" dxfId="3513" priority="4901" stopIfTrue="1" operator="equal">
      <formula>"Towel"</formula>
    </cfRule>
    <cfRule type="cellIs" dxfId="3512" priority="4902" stopIfTrue="1" operator="equal">
      <formula>"Napkin Hs"</formula>
    </cfRule>
  </conditionalFormatting>
  <conditionalFormatting sqref="C88">
    <cfRule type="cellIs" dxfId="3511" priority="4895" stopIfTrue="1" operator="equal">
      <formula>"Towel"</formula>
    </cfRule>
    <cfRule type="cellIs" dxfId="3510" priority="4896" stopIfTrue="1" operator="equal">
      <formula>"Napkin Hs"</formula>
    </cfRule>
  </conditionalFormatting>
  <conditionalFormatting sqref="C88">
    <cfRule type="cellIs" dxfId="3509" priority="4876" stopIfTrue="1" operator="equal">
      <formula>"Napkin Hs"</formula>
    </cfRule>
  </conditionalFormatting>
  <conditionalFormatting sqref="C88">
    <cfRule type="cellIs" dxfId="3508" priority="4875" stopIfTrue="1" operator="equal">
      <formula>"Towel"</formula>
    </cfRule>
  </conditionalFormatting>
  <conditionalFormatting sqref="C88">
    <cfRule type="cellIs" dxfId="3507" priority="4874" stopIfTrue="1" operator="equal">
      <formula>"Napkin Hs"</formula>
    </cfRule>
  </conditionalFormatting>
  <conditionalFormatting sqref="C88">
    <cfRule type="cellIs" dxfId="3506" priority="4871" stopIfTrue="1" operator="equal">
      <formula>"Towel"</formula>
    </cfRule>
    <cfRule type="cellIs" dxfId="3505" priority="4872" stopIfTrue="1" operator="equal">
      <formula>"Napkin Hs"</formula>
    </cfRule>
  </conditionalFormatting>
  <conditionalFormatting sqref="C88">
    <cfRule type="cellIs" dxfId="3504" priority="4873" stopIfTrue="1" operator="equal">
      <formula>"Towel"</formula>
    </cfRule>
  </conditionalFormatting>
  <conditionalFormatting sqref="C88">
    <cfRule type="cellIs" dxfId="3503" priority="4870" stopIfTrue="1" operator="equal">
      <formula>"Napkin Hs"</formula>
    </cfRule>
  </conditionalFormatting>
  <conditionalFormatting sqref="C88">
    <cfRule type="cellIs" dxfId="3502" priority="4869" stopIfTrue="1" operator="equal">
      <formula>"Towel"</formula>
    </cfRule>
  </conditionalFormatting>
  <conditionalFormatting sqref="C88">
    <cfRule type="cellIs" dxfId="3501" priority="4868" stopIfTrue="1" operator="equal">
      <formula>"Napkin Hs"</formula>
    </cfRule>
  </conditionalFormatting>
  <conditionalFormatting sqref="C88">
    <cfRule type="cellIs" dxfId="3500" priority="4865" stopIfTrue="1" operator="equal">
      <formula>"Towel"</formula>
    </cfRule>
    <cfRule type="cellIs" dxfId="3499" priority="4866" stopIfTrue="1" operator="equal">
      <formula>"Napkin Hs"</formula>
    </cfRule>
  </conditionalFormatting>
  <conditionalFormatting sqref="C88">
    <cfRule type="cellIs" dxfId="3498" priority="4867" stopIfTrue="1" operator="equal">
      <formula>"Towel"</formula>
    </cfRule>
  </conditionalFormatting>
  <conditionalFormatting sqref="C88">
    <cfRule type="cellIs" dxfId="3497" priority="4971" stopIfTrue="1" operator="equal">
      <formula>"Towel"</formula>
    </cfRule>
    <cfRule type="cellIs" dxfId="3496" priority="4972" stopIfTrue="1" operator="equal">
      <formula>"Napkin Hs"</formula>
    </cfRule>
  </conditionalFormatting>
  <conditionalFormatting sqref="C88">
    <cfRule type="cellIs" dxfId="3495" priority="4969" stopIfTrue="1" operator="equal">
      <formula>"Towel"</formula>
    </cfRule>
    <cfRule type="cellIs" dxfId="3494" priority="4970" stopIfTrue="1" operator="equal">
      <formula>"Napkin Hs"</formula>
    </cfRule>
  </conditionalFormatting>
  <conditionalFormatting sqref="C88">
    <cfRule type="cellIs" dxfId="3493" priority="4967" stopIfTrue="1" operator="equal">
      <formula>"Towel"</formula>
    </cfRule>
    <cfRule type="cellIs" dxfId="3492" priority="4968" stopIfTrue="1" operator="equal">
      <formula>"Napkin Hs"</formula>
    </cfRule>
  </conditionalFormatting>
  <conditionalFormatting sqref="C88">
    <cfRule type="cellIs" dxfId="3491" priority="4966" stopIfTrue="1" operator="equal">
      <formula>"Napkin Hs"</formula>
    </cfRule>
  </conditionalFormatting>
  <conditionalFormatting sqref="C88">
    <cfRule type="cellIs" dxfId="3490" priority="4965" stopIfTrue="1" operator="equal">
      <formula>"Towel"</formula>
    </cfRule>
  </conditionalFormatting>
  <conditionalFormatting sqref="C88">
    <cfRule type="cellIs" dxfId="3489" priority="4964" stopIfTrue="1" operator="equal">
      <formula>"Napkin Hs"</formula>
    </cfRule>
  </conditionalFormatting>
  <conditionalFormatting sqref="C88">
    <cfRule type="cellIs" dxfId="3488" priority="4963" stopIfTrue="1" operator="equal">
      <formula>"Towel"</formula>
    </cfRule>
  </conditionalFormatting>
  <conditionalFormatting sqref="C88">
    <cfRule type="cellIs" dxfId="3487" priority="4961" stopIfTrue="1" operator="equal">
      <formula>"Towel"</formula>
    </cfRule>
    <cfRule type="cellIs" dxfId="3486" priority="4962" stopIfTrue="1" operator="equal">
      <formula>"Napkin Hs"</formula>
    </cfRule>
  </conditionalFormatting>
  <conditionalFormatting sqref="C88">
    <cfRule type="cellIs" dxfId="3485" priority="4959" stopIfTrue="1" operator="equal">
      <formula>"Towel"</formula>
    </cfRule>
    <cfRule type="cellIs" dxfId="3484" priority="4960" stopIfTrue="1" operator="equal">
      <formula>"Napkin Hs"</formula>
    </cfRule>
  </conditionalFormatting>
  <conditionalFormatting sqref="C88">
    <cfRule type="cellIs" dxfId="3483" priority="4955" stopIfTrue="1" operator="equal">
      <formula>"Towel"</formula>
    </cfRule>
    <cfRule type="cellIs" dxfId="3482" priority="4956" stopIfTrue="1" operator="equal">
      <formula>"Napkin Hs"</formula>
    </cfRule>
  </conditionalFormatting>
  <conditionalFormatting sqref="C88">
    <cfRule type="cellIs" dxfId="3481" priority="4957" stopIfTrue="1" operator="equal">
      <formula>"Towel"</formula>
    </cfRule>
    <cfRule type="cellIs" dxfId="3480" priority="4958" stopIfTrue="1" operator="equal">
      <formula>"Napkin Hs"</formula>
    </cfRule>
  </conditionalFormatting>
  <conditionalFormatting sqref="C88">
    <cfRule type="cellIs" dxfId="3479" priority="4949" stopIfTrue="1" operator="equal">
      <formula>"Towel"</formula>
    </cfRule>
    <cfRule type="cellIs" dxfId="3478" priority="4950" stopIfTrue="1" operator="equal">
      <formula>"Napkin Hs"</formula>
    </cfRule>
  </conditionalFormatting>
  <conditionalFormatting sqref="C88">
    <cfRule type="cellIs" dxfId="3477" priority="4947" stopIfTrue="1" operator="equal">
      <formula>"Towel"</formula>
    </cfRule>
    <cfRule type="cellIs" dxfId="3476" priority="4948" stopIfTrue="1" operator="equal">
      <formula>"Napkin Hs"</formula>
    </cfRule>
  </conditionalFormatting>
  <conditionalFormatting sqref="C88">
    <cfRule type="cellIs" dxfId="3475" priority="4945" stopIfTrue="1" operator="equal">
      <formula>"Towel"</formula>
    </cfRule>
    <cfRule type="cellIs" dxfId="3474" priority="4946" stopIfTrue="1" operator="equal">
      <formula>"Napkin Hs"</formula>
    </cfRule>
  </conditionalFormatting>
  <conditionalFormatting sqref="C88">
    <cfRule type="cellIs" dxfId="3473" priority="4943" stopIfTrue="1" operator="equal">
      <formula>"Towel"</formula>
    </cfRule>
    <cfRule type="cellIs" dxfId="3472" priority="4944" stopIfTrue="1" operator="equal">
      <formula>"Napkin Hs"</formula>
    </cfRule>
  </conditionalFormatting>
  <conditionalFormatting sqref="C88">
    <cfRule type="cellIs" dxfId="3471" priority="4941" stopIfTrue="1" operator="equal">
      <formula>"Towel"</formula>
    </cfRule>
    <cfRule type="cellIs" dxfId="3470" priority="4942" stopIfTrue="1" operator="equal">
      <formula>"Napkin Hs"</formula>
    </cfRule>
  </conditionalFormatting>
  <conditionalFormatting sqref="C88">
    <cfRule type="cellIs" dxfId="3469" priority="4939" stopIfTrue="1" operator="equal">
      <formula>"Towel"</formula>
    </cfRule>
    <cfRule type="cellIs" dxfId="3468" priority="4940" stopIfTrue="1" operator="equal">
      <formula>"Napkin Hs"</formula>
    </cfRule>
  </conditionalFormatting>
  <conditionalFormatting sqref="C88">
    <cfRule type="cellIs" dxfId="3467" priority="4937" stopIfTrue="1" operator="equal">
      <formula>"Towel"</formula>
    </cfRule>
    <cfRule type="cellIs" dxfId="3466" priority="4938" stopIfTrue="1" operator="equal">
      <formula>"Napkin Hs"</formula>
    </cfRule>
  </conditionalFormatting>
  <conditionalFormatting sqref="C88">
    <cfRule type="cellIs" dxfId="3465" priority="4935" stopIfTrue="1" operator="equal">
      <formula>"Towel"</formula>
    </cfRule>
    <cfRule type="cellIs" dxfId="3464" priority="4936" stopIfTrue="1" operator="equal">
      <formula>"Napkin Hs"</formula>
    </cfRule>
  </conditionalFormatting>
  <conditionalFormatting sqref="C88">
    <cfRule type="cellIs" dxfId="3463" priority="4933" stopIfTrue="1" operator="equal">
      <formula>"Towel"</formula>
    </cfRule>
    <cfRule type="cellIs" dxfId="3462" priority="4934" stopIfTrue="1" operator="equal">
      <formula>"Napkin Hs"</formula>
    </cfRule>
  </conditionalFormatting>
  <conditionalFormatting sqref="C88">
    <cfRule type="cellIs" dxfId="3461" priority="4931" stopIfTrue="1" operator="equal">
      <formula>"Towel"</formula>
    </cfRule>
    <cfRule type="cellIs" dxfId="3460" priority="4932" stopIfTrue="1" operator="equal">
      <formula>"Napkin Hs"</formula>
    </cfRule>
  </conditionalFormatting>
  <conditionalFormatting sqref="C88">
    <cfRule type="cellIs" dxfId="3459" priority="4925" stopIfTrue="1" operator="equal">
      <formula>"Towel"</formula>
    </cfRule>
    <cfRule type="cellIs" dxfId="3458" priority="4926" stopIfTrue="1" operator="equal">
      <formula>"Napkin Hs"</formula>
    </cfRule>
  </conditionalFormatting>
  <conditionalFormatting sqref="C88">
    <cfRule type="cellIs" dxfId="3457" priority="4919" stopIfTrue="1" operator="equal">
      <formula>"Towel"</formula>
    </cfRule>
    <cfRule type="cellIs" dxfId="3456" priority="4920" stopIfTrue="1" operator="equal">
      <formula>"Napkin Hs"</formula>
    </cfRule>
  </conditionalFormatting>
  <conditionalFormatting sqref="C88">
    <cfRule type="cellIs" dxfId="3455" priority="4913" stopIfTrue="1" operator="equal">
      <formula>"Towel"</formula>
    </cfRule>
    <cfRule type="cellIs" dxfId="3454" priority="4914" stopIfTrue="1" operator="equal">
      <formula>"Napkin Hs"</formula>
    </cfRule>
  </conditionalFormatting>
  <conditionalFormatting sqref="C88">
    <cfRule type="cellIs" dxfId="3453" priority="4912" stopIfTrue="1" operator="equal">
      <formula>"Napkin Hs"</formula>
    </cfRule>
  </conditionalFormatting>
  <conditionalFormatting sqref="C88">
    <cfRule type="cellIs" dxfId="3452" priority="4911" stopIfTrue="1" operator="equal">
      <formula>"Towel"</formula>
    </cfRule>
  </conditionalFormatting>
  <conditionalFormatting sqref="C88">
    <cfRule type="cellIs" dxfId="3451" priority="4910" stopIfTrue="1" operator="equal">
      <formula>"Napkin Hs"</formula>
    </cfRule>
  </conditionalFormatting>
  <conditionalFormatting sqref="C88">
    <cfRule type="cellIs" dxfId="3450" priority="4909" stopIfTrue="1" operator="equal">
      <formula>"Towel"</formula>
    </cfRule>
  </conditionalFormatting>
  <conditionalFormatting sqref="C88">
    <cfRule type="cellIs" dxfId="3449" priority="4907" stopIfTrue="1" operator="equal">
      <formula>"Towel"</formula>
    </cfRule>
    <cfRule type="cellIs" dxfId="3448" priority="4908" stopIfTrue="1" operator="equal">
      <formula>"Napkin Hs"</formula>
    </cfRule>
  </conditionalFormatting>
  <conditionalFormatting sqref="C88">
    <cfRule type="cellIs" dxfId="3447" priority="4905" stopIfTrue="1" operator="equal">
      <formula>"Towel"</formula>
    </cfRule>
    <cfRule type="cellIs" dxfId="3446" priority="4906" stopIfTrue="1" operator="equal">
      <formula>"Napkin Hs"</formula>
    </cfRule>
  </conditionalFormatting>
  <conditionalFormatting sqref="C88">
    <cfRule type="cellIs" dxfId="3445" priority="4903" stopIfTrue="1" operator="equal">
      <formula>"Towel"</formula>
    </cfRule>
    <cfRule type="cellIs" dxfId="3444" priority="4904" stopIfTrue="1" operator="equal">
      <formula>"Napkin Hs"</formula>
    </cfRule>
  </conditionalFormatting>
  <conditionalFormatting sqref="C88">
    <cfRule type="cellIs" dxfId="3443" priority="4893" stopIfTrue="1" operator="equal">
      <formula>"Towel"</formula>
    </cfRule>
    <cfRule type="cellIs" dxfId="3442" priority="4894" stopIfTrue="1" operator="equal">
      <formula>"Napkin Hs"</formula>
    </cfRule>
  </conditionalFormatting>
  <conditionalFormatting sqref="C88">
    <cfRule type="cellIs" dxfId="3441" priority="4891" stopIfTrue="1" operator="equal">
      <formula>"Towel"</formula>
    </cfRule>
    <cfRule type="cellIs" dxfId="3440" priority="4892" stopIfTrue="1" operator="equal">
      <formula>"Napkin Hs"</formula>
    </cfRule>
  </conditionalFormatting>
  <conditionalFormatting sqref="C88">
    <cfRule type="cellIs" dxfId="3439" priority="4889" stopIfTrue="1" operator="equal">
      <formula>"Towel"</formula>
    </cfRule>
    <cfRule type="cellIs" dxfId="3438" priority="4890" stopIfTrue="1" operator="equal">
      <formula>"Napkin Hs"</formula>
    </cfRule>
  </conditionalFormatting>
  <conditionalFormatting sqref="C88">
    <cfRule type="cellIs" dxfId="3437" priority="4887" stopIfTrue="1" operator="equal">
      <formula>"Towel"</formula>
    </cfRule>
    <cfRule type="cellIs" dxfId="3436" priority="4888" stopIfTrue="1" operator="equal">
      <formula>"Napkin Hs"</formula>
    </cfRule>
  </conditionalFormatting>
  <conditionalFormatting sqref="C88">
    <cfRule type="cellIs" dxfId="3435" priority="4885" stopIfTrue="1" operator="equal">
      <formula>"Towel"</formula>
    </cfRule>
    <cfRule type="cellIs" dxfId="3434" priority="4886" stopIfTrue="1" operator="equal">
      <formula>"Napkin Hs"</formula>
    </cfRule>
  </conditionalFormatting>
  <conditionalFormatting sqref="C88">
    <cfRule type="cellIs" dxfId="3433" priority="4883" stopIfTrue="1" operator="equal">
      <formula>"Towel"</formula>
    </cfRule>
    <cfRule type="cellIs" dxfId="3432" priority="4884" stopIfTrue="1" operator="equal">
      <formula>"Napkin Hs"</formula>
    </cfRule>
  </conditionalFormatting>
  <conditionalFormatting sqref="C88">
    <cfRule type="cellIs" dxfId="3431" priority="4881" stopIfTrue="1" operator="equal">
      <formula>"Towel"</formula>
    </cfRule>
    <cfRule type="cellIs" dxfId="3430" priority="4882" stopIfTrue="1" operator="equal">
      <formula>"Napkin Hs"</formula>
    </cfRule>
  </conditionalFormatting>
  <conditionalFormatting sqref="C88">
    <cfRule type="cellIs" dxfId="3429" priority="4879" stopIfTrue="1" operator="equal">
      <formula>"Towel"</formula>
    </cfRule>
    <cfRule type="cellIs" dxfId="3428" priority="4880" stopIfTrue="1" operator="equal">
      <formula>"Napkin Hs"</formula>
    </cfRule>
  </conditionalFormatting>
  <conditionalFormatting sqref="C88">
    <cfRule type="cellIs" dxfId="3427" priority="4877" stopIfTrue="1" operator="equal">
      <formula>"Towel"</formula>
    </cfRule>
    <cfRule type="cellIs" dxfId="3426" priority="4878" stopIfTrue="1" operator="equal">
      <formula>"Napkin Hs"</formula>
    </cfRule>
  </conditionalFormatting>
  <conditionalFormatting sqref="C88">
    <cfRule type="cellIs" dxfId="3425" priority="4864" stopIfTrue="1" operator="equal">
      <formula>"Napkin Hs"</formula>
    </cfRule>
  </conditionalFormatting>
  <conditionalFormatting sqref="C88">
    <cfRule type="cellIs" dxfId="3424" priority="4863" stopIfTrue="1" operator="equal">
      <formula>"Towel"</formula>
    </cfRule>
  </conditionalFormatting>
  <conditionalFormatting sqref="C88">
    <cfRule type="cellIs" dxfId="3423" priority="4862" stopIfTrue="1" operator="equal">
      <formula>"Napkin Hs"</formula>
    </cfRule>
  </conditionalFormatting>
  <conditionalFormatting sqref="C88">
    <cfRule type="cellIs" dxfId="3422" priority="4859" stopIfTrue="1" operator="equal">
      <formula>"Towel"</formula>
    </cfRule>
    <cfRule type="cellIs" dxfId="3421" priority="4860" stopIfTrue="1" operator="equal">
      <formula>"Napkin Hs"</formula>
    </cfRule>
  </conditionalFormatting>
  <conditionalFormatting sqref="C88">
    <cfRule type="cellIs" dxfId="3420" priority="4861" stopIfTrue="1" operator="equal">
      <formula>"Towel"</formula>
    </cfRule>
  </conditionalFormatting>
  <conditionalFormatting sqref="C88">
    <cfRule type="cellIs" dxfId="3419" priority="4979" stopIfTrue="1" operator="equal">
      <formula>"Towel"</formula>
    </cfRule>
    <cfRule type="cellIs" dxfId="3418" priority="4980" stopIfTrue="1" operator="equal">
      <formula>"Napkin Hs"</formula>
    </cfRule>
  </conditionalFormatting>
  <conditionalFormatting sqref="C88">
    <cfRule type="cellIs" dxfId="3417" priority="4978" stopIfTrue="1" operator="equal">
      <formula>"Napkin Hs"</formula>
    </cfRule>
  </conditionalFormatting>
  <conditionalFormatting sqref="C88">
    <cfRule type="cellIs" dxfId="3416" priority="4977" stopIfTrue="1" operator="equal">
      <formula>"Towel"</formula>
    </cfRule>
  </conditionalFormatting>
  <conditionalFormatting sqref="C88">
    <cfRule type="cellIs" dxfId="3415" priority="4976" stopIfTrue="1" operator="equal">
      <formula>"Napkin Hs"</formula>
    </cfRule>
  </conditionalFormatting>
  <conditionalFormatting sqref="C88">
    <cfRule type="cellIs" dxfId="3414" priority="4973" stopIfTrue="1" operator="equal">
      <formula>"Towel"</formula>
    </cfRule>
    <cfRule type="cellIs" dxfId="3413" priority="4974" stopIfTrue="1" operator="equal">
      <formula>"Napkin Hs"</formula>
    </cfRule>
  </conditionalFormatting>
  <conditionalFormatting sqref="C88">
    <cfRule type="cellIs" dxfId="3412" priority="4975" stopIfTrue="1" operator="equal">
      <formula>"Towel"</formula>
    </cfRule>
  </conditionalFormatting>
  <conditionalFormatting sqref="C88">
    <cfRule type="cellIs" dxfId="3411" priority="4983" stopIfTrue="1" operator="equal">
      <formula>"Towel"</formula>
    </cfRule>
    <cfRule type="cellIs" dxfId="3410" priority="4984" stopIfTrue="1" operator="equal">
      <formula>"Napkin Hs"</formula>
    </cfRule>
  </conditionalFormatting>
  <conditionalFormatting sqref="C88">
    <cfRule type="cellIs" dxfId="3409" priority="4981" stopIfTrue="1" operator="equal">
      <formula>"Towel"</formula>
    </cfRule>
    <cfRule type="cellIs" dxfId="3408" priority="4982" stopIfTrue="1" operator="equal">
      <formula>"Napkin Hs"</formula>
    </cfRule>
  </conditionalFormatting>
  <conditionalFormatting sqref="C88">
    <cfRule type="cellIs" dxfId="3407" priority="4953" stopIfTrue="1" operator="equal">
      <formula>"Towel"</formula>
    </cfRule>
    <cfRule type="cellIs" dxfId="3406" priority="4954" stopIfTrue="1" operator="equal">
      <formula>"Napkin Hs"</formula>
    </cfRule>
  </conditionalFormatting>
  <conditionalFormatting sqref="C88">
    <cfRule type="cellIs" dxfId="3405" priority="4951" stopIfTrue="1" operator="equal">
      <formula>"Towel"</formula>
    </cfRule>
    <cfRule type="cellIs" dxfId="3404" priority="4952" stopIfTrue="1" operator="equal">
      <formula>"Napkin Hs"</formula>
    </cfRule>
  </conditionalFormatting>
  <conditionalFormatting sqref="C88">
    <cfRule type="cellIs" dxfId="3403" priority="4930" stopIfTrue="1" operator="equal">
      <formula>"Napkin Hs"</formula>
    </cfRule>
  </conditionalFormatting>
  <conditionalFormatting sqref="C88">
    <cfRule type="cellIs" dxfId="3402" priority="4929" stopIfTrue="1" operator="equal">
      <formula>"Towel"</formula>
    </cfRule>
  </conditionalFormatting>
  <conditionalFormatting sqref="C88">
    <cfRule type="cellIs" dxfId="3401" priority="4928" stopIfTrue="1" operator="equal">
      <formula>"Napkin Hs"</formula>
    </cfRule>
  </conditionalFormatting>
  <conditionalFormatting sqref="C88">
    <cfRule type="cellIs" dxfId="3400" priority="4927" stopIfTrue="1" operator="equal">
      <formula>"Towel"</formula>
    </cfRule>
  </conditionalFormatting>
  <conditionalFormatting sqref="C88">
    <cfRule type="cellIs" dxfId="3399" priority="4924" stopIfTrue="1" operator="equal">
      <formula>"Napkin Hs"</formula>
    </cfRule>
  </conditionalFormatting>
  <conditionalFormatting sqref="C88">
    <cfRule type="cellIs" dxfId="3398" priority="4923" stopIfTrue="1" operator="equal">
      <formula>"Towel"</formula>
    </cfRule>
  </conditionalFormatting>
  <conditionalFormatting sqref="C88">
    <cfRule type="cellIs" dxfId="3397" priority="4922" stopIfTrue="1" operator="equal">
      <formula>"Napkin Hs"</formula>
    </cfRule>
  </conditionalFormatting>
  <conditionalFormatting sqref="C88">
    <cfRule type="cellIs" dxfId="3396" priority="4921" stopIfTrue="1" operator="equal">
      <formula>"Towel"</formula>
    </cfRule>
  </conditionalFormatting>
  <conditionalFormatting sqref="C88">
    <cfRule type="cellIs" dxfId="3395" priority="4917" stopIfTrue="1" operator="equal">
      <formula>"Towel"</formula>
    </cfRule>
    <cfRule type="cellIs" dxfId="3394" priority="4918" stopIfTrue="1" operator="equal">
      <formula>"Napkin Hs"</formula>
    </cfRule>
  </conditionalFormatting>
  <conditionalFormatting sqref="C88">
    <cfRule type="cellIs" dxfId="3393" priority="4915" stopIfTrue="1" operator="equal">
      <formula>"Towel"</formula>
    </cfRule>
    <cfRule type="cellIs" dxfId="3392" priority="4916" stopIfTrue="1" operator="equal">
      <formula>"Napkin Hs"</formula>
    </cfRule>
  </conditionalFormatting>
  <conditionalFormatting sqref="C88">
    <cfRule type="cellIs" dxfId="3391" priority="4899" stopIfTrue="1" operator="equal">
      <formula>"Towel"</formula>
    </cfRule>
    <cfRule type="cellIs" dxfId="3390" priority="4900" stopIfTrue="1" operator="equal">
      <formula>"Napkin Hs"</formula>
    </cfRule>
  </conditionalFormatting>
  <conditionalFormatting sqref="C88">
    <cfRule type="cellIs" dxfId="3389" priority="4897" stopIfTrue="1" operator="equal">
      <formula>"Towel"</formula>
    </cfRule>
    <cfRule type="cellIs" dxfId="3388" priority="4898" stopIfTrue="1" operator="equal">
      <formula>"Napkin Hs"</formula>
    </cfRule>
  </conditionalFormatting>
  <conditionalFormatting sqref="B88:C88">
    <cfRule type="cellIs" dxfId="3387" priority="4858" stopIfTrue="1" operator="equal">
      <formula>"Napkin Hs"</formula>
    </cfRule>
  </conditionalFormatting>
  <conditionalFormatting sqref="B88:C88">
    <cfRule type="cellIs" dxfId="3386" priority="4857" stopIfTrue="1" operator="equal">
      <formula>"Towel"</formula>
    </cfRule>
  </conditionalFormatting>
  <conditionalFormatting sqref="C88">
    <cfRule type="cellIs" dxfId="3385" priority="4856" stopIfTrue="1" operator="equal">
      <formula>"Napkin Hs"</formula>
    </cfRule>
  </conditionalFormatting>
  <conditionalFormatting sqref="C88">
    <cfRule type="cellIs" dxfId="3384" priority="4853" stopIfTrue="1" operator="equal">
      <formula>"Towel"</formula>
    </cfRule>
    <cfRule type="cellIs" dxfId="3383" priority="4854" stopIfTrue="1" operator="equal">
      <formula>"Napkin Hs"</formula>
    </cfRule>
  </conditionalFormatting>
  <conditionalFormatting sqref="C88">
    <cfRule type="cellIs" dxfId="3382" priority="4855" stopIfTrue="1" operator="equal">
      <formula>"Towel"</formula>
    </cfRule>
  </conditionalFormatting>
  <conditionalFormatting sqref="B86:C86">
    <cfRule type="cellIs" dxfId="3381" priority="4851" stopIfTrue="1" operator="equal">
      <formula>"Towel"</formula>
    </cfRule>
    <cfRule type="cellIs" dxfId="3380" priority="4852" stopIfTrue="1" operator="equal">
      <formula>"Napkin Hs"</formula>
    </cfRule>
  </conditionalFormatting>
  <conditionalFormatting sqref="C86">
    <cfRule type="cellIs" dxfId="3379" priority="4847" stopIfTrue="1" operator="equal">
      <formula>"Towel"</formula>
    </cfRule>
    <cfRule type="cellIs" dxfId="3378" priority="4848" stopIfTrue="1" operator="equal">
      <formula>"Napkin Hs"</formula>
    </cfRule>
  </conditionalFormatting>
  <conditionalFormatting sqref="C86">
    <cfRule type="cellIs" dxfId="3377" priority="4849" stopIfTrue="1" operator="equal">
      <formula>"Towel"</formula>
    </cfRule>
    <cfRule type="cellIs" dxfId="3376" priority="4850" stopIfTrue="1" operator="equal">
      <formula>"Napkin Hs"</formula>
    </cfRule>
  </conditionalFormatting>
  <conditionalFormatting sqref="B86:C86">
    <cfRule type="cellIs" dxfId="3375" priority="4845" stopIfTrue="1" operator="equal">
      <formula>"Towel"</formula>
    </cfRule>
    <cfRule type="cellIs" dxfId="3374" priority="4846" stopIfTrue="1" operator="equal">
      <formula>"Napkin Hs"</formula>
    </cfRule>
  </conditionalFormatting>
  <conditionalFormatting sqref="C86">
    <cfRule type="cellIs" dxfId="3373" priority="4841" stopIfTrue="1" operator="equal">
      <formula>"Towel"</formula>
    </cfRule>
    <cfRule type="cellIs" dxfId="3372" priority="4842" stopIfTrue="1" operator="equal">
      <formula>"Napkin Hs"</formula>
    </cfRule>
  </conditionalFormatting>
  <conditionalFormatting sqref="C86">
    <cfRule type="cellIs" dxfId="3371" priority="4843" stopIfTrue="1" operator="equal">
      <formula>"Towel"</formula>
    </cfRule>
    <cfRule type="cellIs" dxfId="3370" priority="4844" stopIfTrue="1" operator="equal">
      <formula>"Napkin Hs"</formula>
    </cfRule>
  </conditionalFormatting>
  <conditionalFormatting sqref="B86:C86">
    <cfRule type="cellIs" dxfId="3369" priority="4839" stopIfTrue="1" operator="equal">
      <formula>"Towel"</formula>
    </cfRule>
    <cfRule type="cellIs" dxfId="3368" priority="4840" stopIfTrue="1" operator="equal">
      <formula>"Napkin Hs"</formula>
    </cfRule>
  </conditionalFormatting>
  <conditionalFormatting sqref="C86">
    <cfRule type="cellIs" dxfId="3367" priority="4837" stopIfTrue="1" operator="equal">
      <formula>"Towel"</formula>
    </cfRule>
    <cfRule type="cellIs" dxfId="3366" priority="4838" stopIfTrue="1" operator="equal">
      <formula>"Napkin Hs"</formula>
    </cfRule>
  </conditionalFormatting>
  <conditionalFormatting sqref="C86">
    <cfRule type="cellIs" dxfId="3365" priority="4835" stopIfTrue="1" operator="equal">
      <formula>"Towel"</formula>
    </cfRule>
    <cfRule type="cellIs" dxfId="3364" priority="4836" stopIfTrue="1" operator="equal">
      <formula>"Napkin Hs"</formula>
    </cfRule>
  </conditionalFormatting>
  <conditionalFormatting sqref="B86:C86">
    <cfRule type="cellIs" dxfId="3363" priority="4833" stopIfTrue="1" operator="equal">
      <formula>"Towel"</formula>
    </cfRule>
    <cfRule type="cellIs" dxfId="3362" priority="4834" stopIfTrue="1" operator="equal">
      <formula>"Napkin Hs"</formula>
    </cfRule>
  </conditionalFormatting>
  <conditionalFormatting sqref="C86">
    <cfRule type="cellIs" dxfId="3361" priority="4831" stopIfTrue="1" operator="equal">
      <formula>"Towel"</formula>
    </cfRule>
    <cfRule type="cellIs" dxfId="3360" priority="4832" stopIfTrue="1" operator="equal">
      <formula>"Napkin Hs"</formula>
    </cfRule>
  </conditionalFormatting>
  <conditionalFormatting sqref="C86">
    <cfRule type="cellIs" dxfId="3359" priority="4829" stopIfTrue="1" operator="equal">
      <formula>"Towel"</formula>
    </cfRule>
    <cfRule type="cellIs" dxfId="3358" priority="4830" stopIfTrue="1" operator="equal">
      <formula>"Napkin Hs"</formula>
    </cfRule>
  </conditionalFormatting>
  <conditionalFormatting sqref="B86:C86">
    <cfRule type="cellIs" dxfId="3357" priority="4827" stopIfTrue="1" operator="equal">
      <formula>"Towel"</formula>
    </cfRule>
    <cfRule type="cellIs" dxfId="3356" priority="4828" stopIfTrue="1" operator="equal">
      <formula>"Napkin Hs"</formula>
    </cfRule>
  </conditionalFormatting>
  <conditionalFormatting sqref="C86">
    <cfRule type="cellIs" dxfId="3355" priority="4825" stopIfTrue="1" operator="equal">
      <formula>"Towel"</formula>
    </cfRule>
    <cfRule type="cellIs" dxfId="3354" priority="4826" stopIfTrue="1" operator="equal">
      <formula>"Napkin Hs"</formula>
    </cfRule>
  </conditionalFormatting>
  <conditionalFormatting sqref="C86">
    <cfRule type="cellIs" dxfId="3353" priority="4823" stopIfTrue="1" operator="equal">
      <formula>"Towel"</formula>
    </cfRule>
    <cfRule type="cellIs" dxfId="3352" priority="4824" stopIfTrue="1" operator="equal">
      <formula>"Napkin Hs"</formula>
    </cfRule>
  </conditionalFormatting>
  <conditionalFormatting sqref="B86:C86">
    <cfRule type="cellIs" dxfId="3351" priority="4822" stopIfTrue="1" operator="equal">
      <formula>"Napkin Hs"</formula>
    </cfRule>
  </conditionalFormatting>
  <conditionalFormatting sqref="B86:C86">
    <cfRule type="cellIs" dxfId="3350" priority="4821" stopIfTrue="1" operator="equal">
      <formula>"Towel"</formula>
    </cfRule>
  </conditionalFormatting>
  <conditionalFormatting sqref="C86">
    <cfRule type="cellIs" dxfId="3349" priority="4820" stopIfTrue="1" operator="equal">
      <formula>"Napkin Hs"</formula>
    </cfRule>
  </conditionalFormatting>
  <conditionalFormatting sqref="C86">
    <cfRule type="cellIs" dxfId="3348" priority="4817" stopIfTrue="1" operator="equal">
      <formula>"Towel"</formula>
    </cfRule>
    <cfRule type="cellIs" dxfId="3347" priority="4818" stopIfTrue="1" operator="equal">
      <formula>"Napkin Hs"</formula>
    </cfRule>
  </conditionalFormatting>
  <conditionalFormatting sqref="C86">
    <cfRule type="cellIs" dxfId="3346" priority="4819" stopIfTrue="1" operator="equal">
      <formula>"Towel"</formula>
    </cfRule>
  </conditionalFormatting>
  <conditionalFormatting sqref="C86">
    <cfRule type="cellIs" dxfId="3345" priority="4781" stopIfTrue="1" operator="equal">
      <formula>"Towel"</formula>
    </cfRule>
    <cfRule type="cellIs" dxfId="3344" priority="4782" stopIfTrue="1" operator="equal">
      <formula>"Napkin Hs"</formula>
    </cfRule>
  </conditionalFormatting>
  <conditionalFormatting sqref="B86:C86">
    <cfRule type="cellIs" dxfId="3343" priority="4779" stopIfTrue="1" operator="equal">
      <formula>"Towel"</formula>
    </cfRule>
    <cfRule type="cellIs" dxfId="3342" priority="4780" stopIfTrue="1" operator="equal">
      <formula>"Napkin Hs"</formula>
    </cfRule>
  </conditionalFormatting>
  <conditionalFormatting sqref="C86">
    <cfRule type="cellIs" dxfId="3341" priority="4777" stopIfTrue="1" operator="equal">
      <formula>"Towel"</formula>
    </cfRule>
    <cfRule type="cellIs" dxfId="3340" priority="4778" stopIfTrue="1" operator="equal">
      <formula>"Napkin Hs"</formula>
    </cfRule>
  </conditionalFormatting>
  <conditionalFormatting sqref="C86">
    <cfRule type="cellIs" dxfId="3339" priority="4769" stopIfTrue="1" operator="equal">
      <formula>"Towel"</formula>
    </cfRule>
    <cfRule type="cellIs" dxfId="3338" priority="4770" stopIfTrue="1" operator="equal">
      <formula>"Napkin Hs"</formula>
    </cfRule>
  </conditionalFormatting>
  <conditionalFormatting sqref="B86:C86">
    <cfRule type="cellIs" dxfId="3337" priority="4815" stopIfTrue="1" operator="equal">
      <formula>"Towel"</formula>
    </cfRule>
    <cfRule type="cellIs" dxfId="3336" priority="4816" stopIfTrue="1" operator="equal">
      <formula>"Napkin Hs"</formula>
    </cfRule>
  </conditionalFormatting>
  <conditionalFormatting sqref="C86">
    <cfRule type="cellIs" dxfId="3335" priority="4811" stopIfTrue="1" operator="equal">
      <formula>"Towel"</formula>
    </cfRule>
    <cfRule type="cellIs" dxfId="3334" priority="4812" stopIfTrue="1" operator="equal">
      <formula>"Napkin Hs"</formula>
    </cfRule>
  </conditionalFormatting>
  <conditionalFormatting sqref="C86">
    <cfRule type="cellIs" dxfId="3333" priority="4813" stopIfTrue="1" operator="equal">
      <formula>"Towel"</formula>
    </cfRule>
    <cfRule type="cellIs" dxfId="3332" priority="4814" stopIfTrue="1" operator="equal">
      <formula>"Napkin Hs"</formula>
    </cfRule>
  </conditionalFormatting>
  <conditionalFormatting sqref="B86:C86">
    <cfRule type="cellIs" dxfId="3331" priority="4810" stopIfTrue="1" operator="equal">
      <formula>"Napkin Hs"</formula>
    </cfRule>
  </conditionalFormatting>
  <conditionalFormatting sqref="B86:C86">
    <cfRule type="cellIs" dxfId="3330" priority="4809" stopIfTrue="1" operator="equal">
      <formula>"Towel"</formula>
    </cfRule>
  </conditionalFormatting>
  <conditionalFormatting sqref="C86">
    <cfRule type="cellIs" dxfId="3329" priority="4808" stopIfTrue="1" operator="equal">
      <formula>"Napkin Hs"</formula>
    </cfRule>
  </conditionalFormatting>
  <conditionalFormatting sqref="C86">
    <cfRule type="cellIs" dxfId="3328" priority="4807" stopIfTrue="1" operator="equal">
      <formula>"Towel"</formula>
    </cfRule>
  </conditionalFormatting>
  <conditionalFormatting sqref="C86">
    <cfRule type="cellIs" dxfId="3327" priority="4805" stopIfTrue="1" operator="equal">
      <formula>"Towel"</formula>
    </cfRule>
    <cfRule type="cellIs" dxfId="3326" priority="4806" stopIfTrue="1" operator="equal">
      <formula>"Napkin Hs"</formula>
    </cfRule>
  </conditionalFormatting>
  <conditionalFormatting sqref="B86:C86">
    <cfRule type="cellIs" dxfId="3325" priority="4803" stopIfTrue="1" operator="equal">
      <formula>"Towel"</formula>
    </cfRule>
    <cfRule type="cellIs" dxfId="3324" priority="4804" stopIfTrue="1" operator="equal">
      <formula>"Napkin Hs"</formula>
    </cfRule>
  </conditionalFormatting>
  <conditionalFormatting sqref="C86">
    <cfRule type="cellIs" dxfId="3323" priority="4801" stopIfTrue="1" operator="equal">
      <formula>"Towel"</formula>
    </cfRule>
    <cfRule type="cellIs" dxfId="3322" priority="4802" stopIfTrue="1" operator="equal">
      <formula>"Napkin Hs"</formula>
    </cfRule>
  </conditionalFormatting>
  <conditionalFormatting sqref="C86">
    <cfRule type="cellIs" dxfId="3321" priority="4799" stopIfTrue="1" operator="equal">
      <formula>"Towel"</formula>
    </cfRule>
    <cfRule type="cellIs" dxfId="3320" priority="4800" stopIfTrue="1" operator="equal">
      <formula>"Napkin Hs"</formula>
    </cfRule>
  </conditionalFormatting>
  <conditionalFormatting sqref="B86:C86">
    <cfRule type="cellIs" dxfId="3319" priority="4797" stopIfTrue="1" operator="equal">
      <formula>"Towel"</formula>
    </cfRule>
    <cfRule type="cellIs" dxfId="3318" priority="4798" stopIfTrue="1" operator="equal">
      <formula>"Napkin Hs"</formula>
    </cfRule>
  </conditionalFormatting>
  <conditionalFormatting sqref="C86">
    <cfRule type="cellIs" dxfId="3317" priority="4795" stopIfTrue="1" operator="equal">
      <formula>"Towel"</formula>
    </cfRule>
    <cfRule type="cellIs" dxfId="3316" priority="4796" stopIfTrue="1" operator="equal">
      <formula>"Napkin Hs"</formula>
    </cfRule>
  </conditionalFormatting>
  <conditionalFormatting sqref="C86">
    <cfRule type="cellIs" dxfId="3315" priority="4793" stopIfTrue="1" operator="equal">
      <formula>"Towel"</formula>
    </cfRule>
    <cfRule type="cellIs" dxfId="3314" priority="4794" stopIfTrue="1" operator="equal">
      <formula>"Napkin Hs"</formula>
    </cfRule>
  </conditionalFormatting>
  <conditionalFormatting sqref="B86:C86">
    <cfRule type="cellIs" dxfId="3313" priority="4791" stopIfTrue="1" operator="equal">
      <formula>"Towel"</formula>
    </cfRule>
    <cfRule type="cellIs" dxfId="3312" priority="4792" stopIfTrue="1" operator="equal">
      <formula>"Napkin Hs"</formula>
    </cfRule>
  </conditionalFormatting>
  <conditionalFormatting sqref="C86">
    <cfRule type="cellIs" dxfId="3311" priority="4789" stopIfTrue="1" operator="equal">
      <formula>"Towel"</formula>
    </cfRule>
    <cfRule type="cellIs" dxfId="3310" priority="4790" stopIfTrue="1" operator="equal">
      <formula>"Napkin Hs"</formula>
    </cfRule>
  </conditionalFormatting>
  <conditionalFormatting sqref="C86">
    <cfRule type="cellIs" dxfId="3309" priority="4787" stopIfTrue="1" operator="equal">
      <formula>"Towel"</formula>
    </cfRule>
    <cfRule type="cellIs" dxfId="3308" priority="4788" stopIfTrue="1" operator="equal">
      <formula>"Napkin Hs"</formula>
    </cfRule>
  </conditionalFormatting>
  <conditionalFormatting sqref="B86:C86">
    <cfRule type="cellIs" dxfId="3307" priority="4785" stopIfTrue="1" operator="equal">
      <formula>"Towel"</formula>
    </cfRule>
    <cfRule type="cellIs" dxfId="3306" priority="4786" stopIfTrue="1" operator="equal">
      <formula>"Napkin Hs"</formula>
    </cfRule>
  </conditionalFormatting>
  <conditionalFormatting sqref="C86">
    <cfRule type="cellIs" dxfId="3305" priority="4783" stopIfTrue="1" operator="equal">
      <formula>"Towel"</formula>
    </cfRule>
    <cfRule type="cellIs" dxfId="3304" priority="4784" stopIfTrue="1" operator="equal">
      <formula>"Napkin Hs"</formula>
    </cfRule>
  </conditionalFormatting>
  <conditionalFormatting sqref="C86">
    <cfRule type="cellIs" dxfId="3303" priority="4775" stopIfTrue="1" operator="equal">
      <formula>"Towel"</formula>
    </cfRule>
    <cfRule type="cellIs" dxfId="3302" priority="4776" stopIfTrue="1" operator="equal">
      <formula>"Napkin Hs"</formula>
    </cfRule>
  </conditionalFormatting>
  <conditionalFormatting sqref="B86:C86">
    <cfRule type="cellIs" dxfId="3301" priority="4774" stopIfTrue="1" operator="equal">
      <formula>"Napkin Hs"</formula>
    </cfRule>
  </conditionalFormatting>
  <conditionalFormatting sqref="B86:C86">
    <cfRule type="cellIs" dxfId="3300" priority="4773" stopIfTrue="1" operator="equal">
      <formula>"Towel"</formula>
    </cfRule>
  </conditionalFormatting>
  <conditionalFormatting sqref="C86">
    <cfRule type="cellIs" dxfId="3299" priority="4772" stopIfTrue="1" operator="equal">
      <formula>"Napkin Hs"</formula>
    </cfRule>
  </conditionalFormatting>
  <conditionalFormatting sqref="C86">
    <cfRule type="cellIs" dxfId="3298" priority="4771" stopIfTrue="1" operator="equal">
      <formula>"Towel"</formula>
    </cfRule>
  </conditionalFormatting>
  <conditionalFormatting sqref="B86:C86">
    <cfRule type="cellIs" dxfId="3297" priority="4767" stopIfTrue="1" operator="equal">
      <formula>"Towel"</formula>
    </cfRule>
    <cfRule type="cellIs" dxfId="3296" priority="4768" stopIfTrue="1" operator="equal">
      <formula>"Napkin Hs"</formula>
    </cfRule>
  </conditionalFormatting>
  <conditionalFormatting sqref="C86">
    <cfRule type="cellIs" dxfId="3295" priority="4763" stopIfTrue="1" operator="equal">
      <formula>"Towel"</formula>
    </cfRule>
    <cfRule type="cellIs" dxfId="3294" priority="4764" stopIfTrue="1" operator="equal">
      <formula>"Napkin Hs"</formula>
    </cfRule>
  </conditionalFormatting>
  <conditionalFormatting sqref="C86">
    <cfRule type="cellIs" dxfId="3293" priority="4765" stopIfTrue="1" operator="equal">
      <formula>"Towel"</formula>
    </cfRule>
    <cfRule type="cellIs" dxfId="3292" priority="4766" stopIfTrue="1" operator="equal">
      <formula>"Napkin Hs"</formula>
    </cfRule>
  </conditionalFormatting>
  <conditionalFormatting sqref="B86:C86">
    <cfRule type="cellIs" dxfId="3291" priority="4761" stopIfTrue="1" operator="equal">
      <formula>"Towel"</formula>
    </cfRule>
    <cfRule type="cellIs" dxfId="3290" priority="4762" stopIfTrue="1" operator="equal">
      <formula>"Napkin Hs"</formula>
    </cfRule>
  </conditionalFormatting>
  <conditionalFormatting sqref="C86">
    <cfRule type="cellIs" dxfId="3289" priority="4757" stopIfTrue="1" operator="equal">
      <formula>"Towel"</formula>
    </cfRule>
    <cfRule type="cellIs" dxfId="3288" priority="4758" stopIfTrue="1" operator="equal">
      <formula>"Napkin Hs"</formula>
    </cfRule>
  </conditionalFormatting>
  <conditionalFormatting sqref="C86">
    <cfRule type="cellIs" dxfId="3287" priority="4759" stopIfTrue="1" operator="equal">
      <formula>"Towel"</formula>
    </cfRule>
    <cfRule type="cellIs" dxfId="3286" priority="4760" stopIfTrue="1" operator="equal">
      <formula>"Napkin Hs"</formula>
    </cfRule>
  </conditionalFormatting>
  <conditionalFormatting sqref="B86:C86">
    <cfRule type="cellIs" dxfId="3285" priority="4755" stopIfTrue="1" operator="equal">
      <formula>"Towel"</formula>
    </cfRule>
    <cfRule type="cellIs" dxfId="3284" priority="4756" stopIfTrue="1" operator="equal">
      <formula>"Napkin Hs"</formula>
    </cfRule>
  </conditionalFormatting>
  <conditionalFormatting sqref="C86">
    <cfRule type="cellIs" dxfId="3283" priority="4753" stopIfTrue="1" operator="equal">
      <formula>"Towel"</formula>
    </cfRule>
    <cfRule type="cellIs" dxfId="3282" priority="4754" stopIfTrue="1" operator="equal">
      <formula>"Napkin Hs"</formula>
    </cfRule>
  </conditionalFormatting>
  <conditionalFormatting sqref="C86">
    <cfRule type="cellIs" dxfId="3281" priority="4751" stopIfTrue="1" operator="equal">
      <formula>"Towel"</formula>
    </cfRule>
    <cfRule type="cellIs" dxfId="3280" priority="4752" stopIfTrue="1" operator="equal">
      <formula>"Napkin Hs"</formula>
    </cfRule>
  </conditionalFormatting>
  <conditionalFormatting sqref="B86:C86">
    <cfRule type="cellIs" dxfId="3279" priority="4749" stopIfTrue="1" operator="equal">
      <formula>"Towel"</formula>
    </cfRule>
    <cfRule type="cellIs" dxfId="3278" priority="4750" stopIfTrue="1" operator="equal">
      <formula>"Napkin Hs"</formula>
    </cfRule>
  </conditionalFormatting>
  <conditionalFormatting sqref="C86">
    <cfRule type="cellIs" dxfId="3277" priority="4747" stopIfTrue="1" operator="equal">
      <formula>"Towel"</formula>
    </cfRule>
    <cfRule type="cellIs" dxfId="3276" priority="4748" stopIfTrue="1" operator="equal">
      <formula>"Napkin Hs"</formula>
    </cfRule>
  </conditionalFormatting>
  <conditionalFormatting sqref="C86">
    <cfRule type="cellIs" dxfId="3275" priority="4745" stopIfTrue="1" operator="equal">
      <formula>"Towel"</formula>
    </cfRule>
    <cfRule type="cellIs" dxfId="3274" priority="4746" stopIfTrue="1" operator="equal">
      <formula>"Napkin Hs"</formula>
    </cfRule>
  </conditionalFormatting>
  <conditionalFormatting sqref="B86:C86">
    <cfRule type="cellIs" dxfId="3273" priority="4743" stopIfTrue="1" operator="equal">
      <formula>"Towel"</formula>
    </cfRule>
    <cfRule type="cellIs" dxfId="3272" priority="4744" stopIfTrue="1" operator="equal">
      <formula>"Napkin Hs"</formula>
    </cfRule>
  </conditionalFormatting>
  <conditionalFormatting sqref="C86">
    <cfRule type="cellIs" dxfId="3271" priority="4741" stopIfTrue="1" operator="equal">
      <formula>"Towel"</formula>
    </cfRule>
    <cfRule type="cellIs" dxfId="3270" priority="4742" stopIfTrue="1" operator="equal">
      <formula>"Napkin Hs"</formula>
    </cfRule>
  </conditionalFormatting>
  <conditionalFormatting sqref="C86">
    <cfRule type="cellIs" dxfId="3269" priority="4739" stopIfTrue="1" operator="equal">
      <formula>"Towel"</formula>
    </cfRule>
    <cfRule type="cellIs" dxfId="3268" priority="4740" stopIfTrue="1" operator="equal">
      <formula>"Napkin Hs"</formula>
    </cfRule>
  </conditionalFormatting>
  <conditionalFormatting sqref="B86:C86">
    <cfRule type="cellIs" dxfId="3267" priority="4738" stopIfTrue="1" operator="equal">
      <formula>"Napkin Hs"</formula>
    </cfRule>
  </conditionalFormatting>
  <conditionalFormatting sqref="B86:C86">
    <cfRule type="cellIs" dxfId="3266" priority="4737" stopIfTrue="1" operator="equal">
      <formula>"Towel"</formula>
    </cfRule>
  </conditionalFormatting>
  <conditionalFormatting sqref="C86">
    <cfRule type="cellIs" dxfId="3265" priority="4736" stopIfTrue="1" operator="equal">
      <formula>"Napkin Hs"</formula>
    </cfRule>
  </conditionalFormatting>
  <conditionalFormatting sqref="C86">
    <cfRule type="cellIs" dxfId="3264" priority="4733" stopIfTrue="1" operator="equal">
      <formula>"Towel"</formula>
    </cfRule>
    <cfRule type="cellIs" dxfId="3263" priority="4734" stopIfTrue="1" operator="equal">
      <formula>"Napkin Hs"</formula>
    </cfRule>
  </conditionalFormatting>
  <conditionalFormatting sqref="C86">
    <cfRule type="cellIs" dxfId="3262" priority="4735" stopIfTrue="1" operator="equal">
      <formula>"Towel"</formula>
    </cfRule>
  </conditionalFormatting>
  <conditionalFormatting sqref="B86:C86">
    <cfRule type="cellIs" dxfId="3261" priority="4731" stopIfTrue="1" operator="equal">
      <formula>"Towel"</formula>
    </cfRule>
    <cfRule type="cellIs" dxfId="3260" priority="4732" stopIfTrue="1" operator="equal">
      <formula>"Napkin Hs"</formula>
    </cfRule>
  </conditionalFormatting>
  <conditionalFormatting sqref="C86">
    <cfRule type="cellIs" dxfId="3259" priority="4727" stopIfTrue="1" operator="equal">
      <formula>"Towel"</formula>
    </cfRule>
    <cfRule type="cellIs" dxfId="3258" priority="4728" stopIfTrue="1" operator="equal">
      <formula>"Napkin Hs"</formula>
    </cfRule>
  </conditionalFormatting>
  <conditionalFormatting sqref="C86">
    <cfRule type="cellIs" dxfId="3257" priority="4729" stopIfTrue="1" operator="equal">
      <formula>"Towel"</formula>
    </cfRule>
    <cfRule type="cellIs" dxfId="3256" priority="4730" stopIfTrue="1" operator="equal">
      <formula>"Napkin Hs"</formula>
    </cfRule>
  </conditionalFormatting>
  <conditionalFormatting sqref="B86:C86">
    <cfRule type="cellIs" dxfId="3255" priority="4725" stopIfTrue="1" operator="equal">
      <formula>"Towel"</formula>
    </cfRule>
    <cfRule type="cellIs" dxfId="3254" priority="4726" stopIfTrue="1" operator="equal">
      <formula>"Napkin Hs"</formula>
    </cfRule>
  </conditionalFormatting>
  <conditionalFormatting sqref="C86">
    <cfRule type="cellIs" dxfId="3253" priority="4721" stopIfTrue="1" operator="equal">
      <formula>"Towel"</formula>
    </cfRule>
    <cfRule type="cellIs" dxfId="3252" priority="4722" stopIfTrue="1" operator="equal">
      <formula>"Napkin Hs"</formula>
    </cfRule>
  </conditionalFormatting>
  <conditionalFormatting sqref="C86">
    <cfRule type="cellIs" dxfId="3251" priority="4723" stopIfTrue="1" operator="equal">
      <formula>"Towel"</formula>
    </cfRule>
    <cfRule type="cellIs" dxfId="3250" priority="4724" stopIfTrue="1" operator="equal">
      <formula>"Napkin Hs"</formula>
    </cfRule>
  </conditionalFormatting>
  <conditionalFormatting sqref="B86:C86">
    <cfRule type="cellIs" dxfId="3249" priority="4719" stopIfTrue="1" operator="equal">
      <formula>"Towel"</formula>
    </cfRule>
    <cfRule type="cellIs" dxfId="3248" priority="4720" stopIfTrue="1" operator="equal">
      <formula>"Napkin Hs"</formula>
    </cfRule>
  </conditionalFormatting>
  <conditionalFormatting sqref="C86">
    <cfRule type="cellIs" dxfId="3247" priority="4717" stopIfTrue="1" operator="equal">
      <formula>"Towel"</formula>
    </cfRule>
    <cfRule type="cellIs" dxfId="3246" priority="4718" stopIfTrue="1" operator="equal">
      <formula>"Napkin Hs"</formula>
    </cfRule>
  </conditionalFormatting>
  <conditionalFormatting sqref="C86">
    <cfRule type="cellIs" dxfId="3245" priority="4715" stopIfTrue="1" operator="equal">
      <formula>"Towel"</formula>
    </cfRule>
    <cfRule type="cellIs" dxfId="3244" priority="4716" stopIfTrue="1" operator="equal">
      <formula>"Napkin Hs"</formula>
    </cfRule>
  </conditionalFormatting>
  <conditionalFormatting sqref="B86:C86">
    <cfRule type="cellIs" dxfId="3243" priority="4713" stopIfTrue="1" operator="equal">
      <formula>"Towel"</formula>
    </cfRule>
    <cfRule type="cellIs" dxfId="3242" priority="4714" stopIfTrue="1" operator="equal">
      <formula>"Napkin Hs"</formula>
    </cfRule>
  </conditionalFormatting>
  <conditionalFormatting sqref="C86">
    <cfRule type="cellIs" dxfId="3241" priority="4711" stopIfTrue="1" operator="equal">
      <formula>"Towel"</formula>
    </cfRule>
    <cfRule type="cellIs" dxfId="3240" priority="4712" stopIfTrue="1" operator="equal">
      <formula>"Napkin Hs"</formula>
    </cfRule>
  </conditionalFormatting>
  <conditionalFormatting sqref="C86">
    <cfRule type="cellIs" dxfId="3239" priority="4709" stopIfTrue="1" operator="equal">
      <formula>"Towel"</formula>
    </cfRule>
    <cfRule type="cellIs" dxfId="3238" priority="4710" stopIfTrue="1" operator="equal">
      <formula>"Napkin Hs"</formula>
    </cfRule>
  </conditionalFormatting>
  <conditionalFormatting sqref="B86:C86">
    <cfRule type="cellIs" dxfId="3237" priority="4707" stopIfTrue="1" operator="equal">
      <formula>"Towel"</formula>
    </cfRule>
    <cfRule type="cellIs" dxfId="3236" priority="4708" stopIfTrue="1" operator="equal">
      <formula>"Napkin Hs"</formula>
    </cfRule>
  </conditionalFormatting>
  <conditionalFormatting sqref="C86">
    <cfRule type="cellIs" dxfId="3235" priority="4705" stopIfTrue="1" operator="equal">
      <formula>"Towel"</formula>
    </cfRule>
    <cfRule type="cellIs" dxfId="3234" priority="4706" stopIfTrue="1" operator="equal">
      <formula>"Napkin Hs"</formula>
    </cfRule>
  </conditionalFormatting>
  <conditionalFormatting sqref="C86">
    <cfRule type="cellIs" dxfId="3233" priority="4703" stopIfTrue="1" operator="equal">
      <formula>"Towel"</formula>
    </cfRule>
    <cfRule type="cellIs" dxfId="3232" priority="4704" stopIfTrue="1" operator="equal">
      <formula>"Napkin Hs"</formula>
    </cfRule>
  </conditionalFormatting>
  <conditionalFormatting sqref="B86:C86">
    <cfRule type="cellIs" dxfId="3231" priority="4702" stopIfTrue="1" operator="equal">
      <formula>"Napkin Hs"</formula>
    </cfRule>
  </conditionalFormatting>
  <conditionalFormatting sqref="B86:C86">
    <cfRule type="cellIs" dxfId="3230" priority="4701" stopIfTrue="1" operator="equal">
      <formula>"Towel"</formula>
    </cfRule>
  </conditionalFormatting>
  <conditionalFormatting sqref="C86">
    <cfRule type="cellIs" dxfId="3229" priority="4700" stopIfTrue="1" operator="equal">
      <formula>"Napkin Hs"</formula>
    </cfRule>
  </conditionalFormatting>
  <conditionalFormatting sqref="C86">
    <cfRule type="cellIs" dxfId="3228" priority="4697" stopIfTrue="1" operator="equal">
      <formula>"Towel"</formula>
    </cfRule>
    <cfRule type="cellIs" dxfId="3227" priority="4698" stopIfTrue="1" operator="equal">
      <formula>"Napkin Hs"</formula>
    </cfRule>
  </conditionalFormatting>
  <conditionalFormatting sqref="C86">
    <cfRule type="cellIs" dxfId="3226" priority="4699" stopIfTrue="1" operator="equal">
      <formula>"Towel"</formula>
    </cfRule>
  </conditionalFormatting>
  <conditionalFormatting sqref="B86:C86">
    <cfRule type="cellIs" dxfId="3225" priority="4695" stopIfTrue="1" operator="equal">
      <formula>"Towel"</formula>
    </cfRule>
    <cfRule type="cellIs" dxfId="3224" priority="4696" stopIfTrue="1" operator="equal">
      <formula>"Napkin Hs"</formula>
    </cfRule>
  </conditionalFormatting>
  <conditionalFormatting sqref="C86">
    <cfRule type="cellIs" dxfId="3223" priority="4691" stopIfTrue="1" operator="equal">
      <formula>"Towel"</formula>
    </cfRule>
    <cfRule type="cellIs" dxfId="3222" priority="4692" stopIfTrue="1" operator="equal">
      <formula>"Napkin Hs"</formula>
    </cfRule>
  </conditionalFormatting>
  <conditionalFormatting sqref="C86">
    <cfRule type="cellIs" dxfId="3221" priority="4693" stopIfTrue="1" operator="equal">
      <formula>"Towel"</formula>
    </cfRule>
    <cfRule type="cellIs" dxfId="3220" priority="4694" stopIfTrue="1" operator="equal">
      <formula>"Napkin Hs"</formula>
    </cfRule>
  </conditionalFormatting>
  <conditionalFormatting sqref="C86">
    <cfRule type="cellIs" dxfId="3219" priority="4607" stopIfTrue="1" operator="equal">
      <formula>"Towel"</formula>
    </cfRule>
    <cfRule type="cellIs" dxfId="3218" priority="4608" stopIfTrue="1" operator="equal">
      <formula>"Napkin Hs"</formula>
    </cfRule>
  </conditionalFormatting>
  <conditionalFormatting sqref="C86">
    <cfRule type="cellIs" dxfId="3217" priority="4601" stopIfTrue="1" operator="equal">
      <formula>"Towel"</formula>
    </cfRule>
    <cfRule type="cellIs" dxfId="3216" priority="4602" stopIfTrue="1" operator="equal">
      <formula>"Napkin Hs"</formula>
    </cfRule>
  </conditionalFormatting>
  <conditionalFormatting sqref="C86">
    <cfRule type="cellIs" dxfId="3215" priority="4582" stopIfTrue="1" operator="equal">
      <formula>"Napkin Hs"</formula>
    </cfRule>
  </conditionalFormatting>
  <conditionalFormatting sqref="C86">
    <cfRule type="cellIs" dxfId="3214" priority="4581" stopIfTrue="1" operator="equal">
      <formula>"Towel"</formula>
    </cfRule>
  </conditionalFormatting>
  <conditionalFormatting sqref="C86">
    <cfRule type="cellIs" dxfId="3213" priority="4580" stopIfTrue="1" operator="equal">
      <formula>"Napkin Hs"</formula>
    </cfRule>
  </conditionalFormatting>
  <conditionalFormatting sqref="C86">
    <cfRule type="cellIs" dxfId="3212" priority="4577" stopIfTrue="1" operator="equal">
      <formula>"Towel"</formula>
    </cfRule>
    <cfRule type="cellIs" dxfId="3211" priority="4578" stopIfTrue="1" operator="equal">
      <formula>"Napkin Hs"</formula>
    </cfRule>
  </conditionalFormatting>
  <conditionalFormatting sqref="C86">
    <cfRule type="cellIs" dxfId="3210" priority="4579" stopIfTrue="1" operator="equal">
      <formula>"Towel"</formula>
    </cfRule>
  </conditionalFormatting>
  <conditionalFormatting sqref="C86">
    <cfRule type="cellIs" dxfId="3209" priority="4576" stopIfTrue="1" operator="equal">
      <formula>"Napkin Hs"</formula>
    </cfRule>
  </conditionalFormatting>
  <conditionalFormatting sqref="C86">
    <cfRule type="cellIs" dxfId="3208" priority="4575" stopIfTrue="1" operator="equal">
      <formula>"Towel"</formula>
    </cfRule>
  </conditionalFormatting>
  <conditionalFormatting sqref="C86">
    <cfRule type="cellIs" dxfId="3207" priority="4574" stopIfTrue="1" operator="equal">
      <formula>"Napkin Hs"</formula>
    </cfRule>
  </conditionalFormatting>
  <conditionalFormatting sqref="C86">
    <cfRule type="cellIs" dxfId="3206" priority="4571" stopIfTrue="1" operator="equal">
      <formula>"Towel"</formula>
    </cfRule>
    <cfRule type="cellIs" dxfId="3205" priority="4572" stopIfTrue="1" operator="equal">
      <formula>"Napkin Hs"</formula>
    </cfRule>
  </conditionalFormatting>
  <conditionalFormatting sqref="C86">
    <cfRule type="cellIs" dxfId="3204" priority="4573" stopIfTrue="1" operator="equal">
      <formula>"Towel"</formula>
    </cfRule>
  </conditionalFormatting>
  <conditionalFormatting sqref="C86">
    <cfRule type="cellIs" dxfId="3203" priority="4677" stopIfTrue="1" operator="equal">
      <formula>"Towel"</formula>
    </cfRule>
    <cfRule type="cellIs" dxfId="3202" priority="4678" stopIfTrue="1" operator="equal">
      <formula>"Napkin Hs"</formula>
    </cfRule>
  </conditionalFormatting>
  <conditionalFormatting sqref="C86">
    <cfRule type="cellIs" dxfId="3201" priority="4675" stopIfTrue="1" operator="equal">
      <formula>"Towel"</formula>
    </cfRule>
    <cfRule type="cellIs" dxfId="3200" priority="4676" stopIfTrue="1" operator="equal">
      <formula>"Napkin Hs"</formula>
    </cfRule>
  </conditionalFormatting>
  <conditionalFormatting sqref="C86">
    <cfRule type="cellIs" dxfId="3199" priority="4673" stopIfTrue="1" operator="equal">
      <formula>"Towel"</formula>
    </cfRule>
    <cfRule type="cellIs" dxfId="3198" priority="4674" stopIfTrue="1" operator="equal">
      <formula>"Napkin Hs"</formula>
    </cfRule>
  </conditionalFormatting>
  <conditionalFormatting sqref="C86">
    <cfRule type="cellIs" dxfId="3197" priority="4672" stopIfTrue="1" operator="equal">
      <formula>"Napkin Hs"</formula>
    </cfRule>
  </conditionalFormatting>
  <conditionalFormatting sqref="C86">
    <cfRule type="cellIs" dxfId="3196" priority="4671" stopIfTrue="1" operator="equal">
      <formula>"Towel"</formula>
    </cfRule>
  </conditionalFormatting>
  <conditionalFormatting sqref="C86">
    <cfRule type="cellIs" dxfId="3195" priority="4670" stopIfTrue="1" operator="equal">
      <formula>"Napkin Hs"</formula>
    </cfRule>
  </conditionalFormatting>
  <conditionalFormatting sqref="C86">
    <cfRule type="cellIs" dxfId="3194" priority="4669" stopIfTrue="1" operator="equal">
      <formula>"Towel"</formula>
    </cfRule>
  </conditionalFormatting>
  <conditionalFormatting sqref="C86">
    <cfRule type="cellIs" dxfId="3193" priority="4667" stopIfTrue="1" operator="equal">
      <formula>"Towel"</formula>
    </cfRule>
    <cfRule type="cellIs" dxfId="3192" priority="4668" stopIfTrue="1" operator="equal">
      <formula>"Napkin Hs"</formula>
    </cfRule>
  </conditionalFormatting>
  <conditionalFormatting sqref="C86">
    <cfRule type="cellIs" dxfId="3191" priority="4665" stopIfTrue="1" operator="equal">
      <formula>"Towel"</formula>
    </cfRule>
    <cfRule type="cellIs" dxfId="3190" priority="4666" stopIfTrue="1" operator="equal">
      <formula>"Napkin Hs"</formula>
    </cfRule>
  </conditionalFormatting>
  <conditionalFormatting sqref="C86">
    <cfRule type="cellIs" dxfId="3189" priority="4661" stopIfTrue="1" operator="equal">
      <formula>"Towel"</formula>
    </cfRule>
    <cfRule type="cellIs" dxfId="3188" priority="4662" stopIfTrue="1" operator="equal">
      <formula>"Napkin Hs"</formula>
    </cfRule>
  </conditionalFormatting>
  <conditionalFormatting sqref="C86">
    <cfRule type="cellIs" dxfId="3187" priority="4663" stopIfTrue="1" operator="equal">
      <formula>"Towel"</formula>
    </cfRule>
    <cfRule type="cellIs" dxfId="3186" priority="4664" stopIfTrue="1" operator="equal">
      <formula>"Napkin Hs"</formula>
    </cfRule>
  </conditionalFormatting>
  <conditionalFormatting sqref="C86">
    <cfRule type="cellIs" dxfId="3185" priority="4655" stopIfTrue="1" operator="equal">
      <formula>"Towel"</formula>
    </cfRule>
    <cfRule type="cellIs" dxfId="3184" priority="4656" stopIfTrue="1" operator="equal">
      <formula>"Napkin Hs"</formula>
    </cfRule>
  </conditionalFormatting>
  <conditionalFormatting sqref="C86">
    <cfRule type="cellIs" dxfId="3183" priority="4653" stopIfTrue="1" operator="equal">
      <formula>"Towel"</formula>
    </cfRule>
    <cfRule type="cellIs" dxfId="3182" priority="4654" stopIfTrue="1" operator="equal">
      <formula>"Napkin Hs"</formula>
    </cfRule>
  </conditionalFormatting>
  <conditionalFormatting sqref="C86">
    <cfRule type="cellIs" dxfId="3181" priority="4651" stopIfTrue="1" operator="equal">
      <formula>"Towel"</formula>
    </cfRule>
    <cfRule type="cellIs" dxfId="3180" priority="4652" stopIfTrue="1" operator="equal">
      <formula>"Napkin Hs"</formula>
    </cfRule>
  </conditionalFormatting>
  <conditionalFormatting sqref="C86">
    <cfRule type="cellIs" dxfId="3179" priority="4649" stopIfTrue="1" operator="equal">
      <formula>"Towel"</formula>
    </cfRule>
    <cfRule type="cellIs" dxfId="3178" priority="4650" stopIfTrue="1" operator="equal">
      <formula>"Napkin Hs"</formula>
    </cfRule>
  </conditionalFormatting>
  <conditionalFormatting sqref="C86">
    <cfRule type="cellIs" dxfId="3177" priority="4647" stopIfTrue="1" operator="equal">
      <formula>"Towel"</formula>
    </cfRule>
    <cfRule type="cellIs" dxfId="3176" priority="4648" stopIfTrue="1" operator="equal">
      <formula>"Napkin Hs"</formula>
    </cfRule>
  </conditionalFormatting>
  <conditionalFormatting sqref="C86">
    <cfRule type="cellIs" dxfId="3175" priority="4645" stopIfTrue="1" operator="equal">
      <formula>"Towel"</formula>
    </cfRule>
    <cfRule type="cellIs" dxfId="3174" priority="4646" stopIfTrue="1" operator="equal">
      <formula>"Napkin Hs"</formula>
    </cfRule>
  </conditionalFormatting>
  <conditionalFormatting sqref="C86">
    <cfRule type="cellIs" dxfId="3173" priority="4643" stopIfTrue="1" operator="equal">
      <formula>"Towel"</formula>
    </cfRule>
    <cfRule type="cellIs" dxfId="3172" priority="4644" stopIfTrue="1" operator="equal">
      <formula>"Napkin Hs"</formula>
    </cfRule>
  </conditionalFormatting>
  <conditionalFormatting sqref="C86">
    <cfRule type="cellIs" dxfId="3171" priority="4641" stopIfTrue="1" operator="equal">
      <formula>"Towel"</formula>
    </cfRule>
    <cfRule type="cellIs" dxfId="3170" priority="4642" stopIfTrue="1" operator="equal">
      <formula>"Napkin Hs"</formula>
    </cfRule>
  </conditionalFormatting>
  <conditionalFormatting sqref="C86">
    <cfRule type="cellIs" dxfId="3169" priority="4639" stopIfTrue="1" operator="equal">
      <formula>"Towel"</formula>
    </cfRule>
    <cfRule type="cellIs" dxfId="3168" priority="4640" stopIfTrue="1" operator="equal">
      <formula>"Napkin Hs"</formula>
    </cfRule>
  </conditionalFormatting>
  <conditionalFormatting sqref="C86">
    <cfRule type="cellIs" dxfId="3167" priority="4637" stopIfTrue="1" operator="equal">
      <formula>"Towel"</formula>
    </cfRule>
    <cfRule type="cellIs" dxfId="3166" priority="4638" stopIfTrue="1" operator="equal">
      <formula>"Napkin Hs"</formula>
    </cfRule>
  </conditionalFormatting>
  <conditionalFormatting sqref="C86">
    <cfRule type="cellIs" dxfId="3165" priority="4631" stopIfTrue="1" operator="equal">
      <formula>"Towel"</formula>
    </cfRule>
    <cfRule type="cellIs" dxfId="3164" priority="4632" stopIfTrue="1" operator="equal">
      <formula>"Napkin Hs"</formula>
    </cfRule>
  </conditionalFormatting>
  <conditionalFormatting sqref="C86">
    <cfRule type="cellIs" dxfId="3163" priority="4625" stopIfTrue="1" operator="equal">
      <formula>"Towel"</formula>
    </cfRule>
    <cfRule type="cellIs" dxfId="3162" priority="4626" stopIfTrue="1" operator="equal">
      <formula>"Napkin Hs"</formula>
    </cfRule>
  </conditionalFormatting>
  <conditionalFormatting sqref="C86">
    <cfRule type="cellIs" dxfId="3161" priority="4619" stopIfTrue="1" operator="equal">
      <formula>"Towel"</formula>
    </cfRule>
    <cfRule type="cellIs" dxfId="3160" priority="4620" stopIfTrue="1" operator="equal">
      <formula>"Napkin Hs"</formula>
    </cfRule>
  </conditionalFormatting>
  <conditionalFormatting sqref="C86">
    <cfRule type="cellIs" dxfId="3159" priority="4618" stopIfTrue="1" operator="equal">
      <formula>"Napkin Hs"</formula>
    </cfRule>
  </conditionalFormatting>
  <conditionalFormatting sqref="C86">
    <cfRule type="cellIs" dxfId="3158" priority="4617" stopIfTrue="1" operator="equal">
      <formula>"Towel"</formula>
    </cfRule>
  </conditionalFormatting>
  <conditionalFormatting sqref="C86">
    <cfRule type="cellIs" dxfId="3157" priority="4616" stopIfTrue="1" operator="equal">
      <formula>"Napkin Hs"</formula>
    </cfRule>
  </conditionalFormatting>
  <conditionalFormatting sqref="C86">
    <cfRule type="cellIs" dxfId="3156" priority="4615" stopIfTrue="1" operator="equal">
      <formula>"Towel"</formula>
    </cfRule>
  </conditionalFormatting>
  <conditionalFormatting sqref="C86">
    <cfRule type="cellIs" dxfId="3155" priority="4613" stopIfTrue="1" operator="equal">
      <formula>"Towel"</formula>
    </cfRule>
    <cfRule type="cellIs" dxfId="3154" priority="4614" stopIfTrue="1" operator="equal">
      <formula>"Napkin Hs"</formula>
    </cfRule>
  </conditionalFormatting>
  <conditionalFormatting sqref="C86">
    <cfRule type="cellIs" dxfId="3153" priority="4611" stopIfTrue="1" operator="equal">
      <formula>"Towel"</formula>
    </cfRule>
    <cfRule type="cellIs" dxfId="3152" priority="4612" stopIfTrue="1" operator="equal">
      <formula>"Napkin Hs"</formula>
    </cfRule>
  </conditionalFormatting>
  <conditionalFormatting sqref="C86">
    <cfRule type="cellIs" dxfId="3151" priority="4609" stopIfTrue="1" operator="equal">
      <formula>"Towel"</formula>
    </cfRule>
    <cfRule type="cellIs" dxfId="3150" priority="4610" stopIfTrue="1" operator="equal">
      <formula>"Napkin Hs"</formula>
    </cfRule>
  </conditionalFormatting>
  <conditionalFormatting sqref="C86">
    <cfRule type="cellIs" dxfId="3149" priority="4599" stopIfTrue="1" operator="equal">
      <formula>"Towel"</formula>
    </cfRule>
    <cfRule type="cellIs" dxfId="3148" priority="4600" stopIfTrue="1" operator="equal">
      <formula>"Napkin Hs"</formula>
    </cfRule>
  </conditionalFormatting>
  <conditionalFormatting sqref="C86">
    <cfRule type="cellIs" dxfId="3147" priority="4597" stopIfTrue="1" operator="equal">
      <formula>"Towel"</formula>
    </cfRule>
    <cfRule type="cellIs" dxfId="3146" priority="4598" stopIfTrue="1" operator="equal">
      <formula>"Napkin Hs"</formula>
    </cfRule>
  </conditionalFormatting>
  <conditionalFormatting sqref="C86">
    <cfRule type="cellIs" dxfId="3145" priority="4595" stopIfTrue="1" operator="equal">
      <formula>"Towel"</formula>
    </cfRule>
    <cfRule type="cellIs" dxfId="3144" priority="4596" stopIfTrue="1" operator="equal">
      <formula>"Napkin Hs"</formula>
    </cfRule>
  </conditionalFormatting>
  <conditionalFormatting sqref="C86">
    <cfRule type="cellIs" dxfId="3143" priority="4593" stopIfTrue="1" operator="equal">
      <formula>"Towel"</formula>
    </cfRule>
    <cfRule type="cellIs" dxfId="3142" priority="4594" stopIfTrue="1" operator="equal">
      <formula>"Napkin Hs"</formula>
    </cfRule>
  </conditionalFormatting>
  <conditionalFormatting sqref="C86">
    <cfRule type="cellIs" dxfId="3141" priority="4591" stopIfTrue="1" operator="equal">
      <formula>"Towel"</formula>
    </cfRule>
    <cfRule type="cellIs" dxfId="3140" priority="4592" stopIfTrue="1" operator="equal">
      <formula>"Napkin Hs"</formula>
    </cfRule>
  </conditionalFormatting>
  <conditionalFormatting sqref="C86">
    <cfRule type="cellIs" dxfId="3139" priority="4589" stopIfTrue="1" operator="equal">
      <formula>"Towel"</formula>
    </cfRule>
    <cfRule type="cellIs" dxfId="3138" priority="4590" stopIfTrue="1" operator="equal">
      <formula>"Napkin Hs"</formula>
    </cfRule>
  </conditionalFormatting>
  <conditionalFormatting sqref="C86">
    <cfRule type="cellIs" dxfId="3137" priority="4587" stopIfTrue="1" operator="equal">
      <formula>"Towel"</formula>
    </cfRule>
    <cfRule type="cellIs" dxfId="3136" priority="4588" stopIfTrue="1" operator="equal">
      <formula>"Napkin Hs"</formula>
    </cfRule>
  </conditionalFormatting>
  <conditionalFormatting sqref="C86">
    <cfRule type="cellIs" dxfId="3135" priority="4585" stopIfTrue="1" operator="equal">
      <formula>"Towel"</formula>
    </cfRule>
    <cfRule type="cellIs" dxfId="3134" priority="4586" stopIfTrue="1" operator="equal">
      <formula>"Napkin Hs"</formula>
    </cfRule>
  </conditionalFormatting>
  <conditionalFormatting sqref="C86">
    <cfRule type="cellIs" dxfId="3133" priority="4583" stopIfTrue="1" operator="equal">
      <formula>"Towel"</formula>
    </cfRule>
    <cfRule type="cellIs" dxfId="3132" priority="4584" stopIfTrue="1" operator="equal">
      <formula>"Napkin Hs"</formula>
    </cfRule>
  </conditionalFormatting>
  <conditionalFormatting sqref="C86">
    <cfRule type="cellIs" dxfId="3131" priority="4570" stopIfTrue="1" operator="equal">
      <formula>"Napkin Hs"</formula>
    </cfRule>
  </conditionalFormatting>
  <conditionalFormatting sqref="C86">
    <cfRule type="cellIs" dxfId="3130" priority="4569" stopIfTrue="1" operator="equal">
      <formula>"Towel"</formula>
    </cfRule>
  </conditionalFormatting>
  <conditionalFormatting sqref="C86">
    <cfRule type="cellIs" dxfId="3129" priority="4568" stopIfTrue="1" operator="equal">
      <formula>"Napkin Hs"</formula>
    </cfRule>
  </conditionalFormatting>
  <conditionalFormatting sqref="C86">
    <cfRule type="cellIs" dxfId="3128" priority="4565" stopIfTrue="1" operator="equal">
      <formula>"Towel"</formula>
    </cfRule>
    <cfRule type="cellIs" dxfId="3127" priority="4566" stopIfTrue="1" operator="equal">
      <formula>"Napkin Hs"</formula>
    </cfRule>
  </conditionalFormatting>
  <conditionalFormatting sqref="C86">
    <cfRule type="cellIs" dxfId="3126" priority="4567" stopIfTrue="1" operator="equal">
      <formula>"Towel"</formula>
    </cfRule>
  </conditionalFormatting>
  <conditionalFormatting sqref="C86">
    <cfRule type="cellIs" dxfId="3125" priority="4685" stopIfTrue="1" operator="equal">
      <formula>"Towel"</formula>
    </cfRule>
    <cfRule type="cellIs" dxfId="3124" priority="4686" stopIfTrue="1" operator="equal">
      <formula>"Napkin Hs"</formula>
    </cfRule>
  </conditionalFormatting>
  <conditionalFormatting sqref="C86">
    <cfRule type="cellIs" dxfId="3123" priority="4684" stopIfTrue="1" operator="equal">
      <formula>"Napkin Hs"</formula>
    </cfRule>
  </conditionalFormatting>
  <conditionalFormatting sqref="C86">
    <cfRule type="cellIs" dxfId="3122" priority="4683" stopIfTrue="1" operator="equal">
      <formula>"Towel"</formula>
    </cfRule>
  </conditionalFormatting>
  <conditionalFormatting sqref="C86">
    <cfRule type="cellIs" dxfId="3121" priority="4682" stopIfTrue="1" operator="equal">
      <formula>"Napkin Hs"</formula>
    </cfRule>
  </conditionalFormatting>
  <conditionalFormatting sqref="C86">
    <cfRule type="cellIs" dxfId="3120" priority="4679" stopIfTrue="1" operator="equal">
      <formula>"Towel"</formula>
    </cfRule>
    <cfRule type="cellIs" dxfId="3119" priority="4680" stopIfTrue="1" operator="equal">
      <formula>"Napkin Hs"</formula>
    </cfRule>
  </conditionalFormatting>
  <conditionalFormatting sqref="C86">
    <cfRule type="cellIs" dxfId="3118" priority="4681" stopIfTrue="1" operator="equal">
      <formula>"Towel"</formula>
    </cfRule>
  </conditionalFormatting>
  <conditionalFormatting sqref="C86">
    <cfRule type="cellIs" dxfId="3117" priority="4689" stopIfTrue="1" operator="equal">
      <formula>"Towel"</formula>
    </cfRule>
    <cfRule type="cellIs" dxfId="3116" priority="4690" stopIfTrue="1" operator="equal">
      <formula>"Napkin Hs"</formula>
    </cfRule>
  </conditionalFormatting>
  <conditionalFormatting sqref="C86">
    <cfRule type="cellIs" dxfId="3115" priority="4687" stopIfTrue="1" operator="equal">
      <formula>"Towel"</formula>
    </cfRule>
    <cfRule type="cellIs" dxfId="3114" priority="4688" stopIfTrue="1" operator="equal">
      <formula>"Napkin Hs"</formula>
    </cfRule>
  </conditionalFormatting>
  <conditionalFormatting sqref="C86">
    <cfRule type="cellIs" dxfId="3113" priority="4659" stopIfTrue="1" operator="equal">
      <formula>"Towel"</formula>
    </cfRule>
    <cfRule type="cellIs" dxfId="3112" priority="4660" stopIfTrue="1" operator="equal">
      <formula>"Napkin Hs"</formula>
    </cfRule>
  </conditionalFormatting>
  <conditionalFormatting sqref="C86">
    <cfRule type="cellIs" dxfId="3111" priority="4657" stopIfTrue="1" operator="equal">
      <formula>"Towel"</formula>
    </cfRule>
    <cfRule type="cellIs" dxfId="3110" priority="4658" stopIfTrue="1" operator="equal">
      <formula>"Napkin Hs"</formula>
    </cfRule>
  </conditionalFormatting>
  <conditionalFormatting sqref="C86">
    <cfRule type="cellIs" dxfId="3109" priority="4636" stopIfTrue="1" operator="equal">
      <formula>"Napkin Hs"</formula>
    </cfRule>
  </conditionalFormatting>
  <conditionalFormatting sqref="C86">
    <cfRule type="cellIs" dxfId="3108" priority="4635" stopIfTrue="1" operator="equal">
      <formula>"Towel"</formula>
    </cfRule>
  </conditionalFormatting>
  <conditionalFormatting sqref="C86">
    <cfRule type="cellIs" dxfId="3107" priority="4634" stopIfTrue="1" operator="equal">
      <formula>"Napkin Hs"</formula>
    </cfRule>
  </conditionalFormatting>
  <conditionalFormatting sqref="C86">
    <cfRule type="cellIs" dxfId="3106" priority="4633" stopIfTrue="1" operator="equal">
      <formula>"Towel"</formula>
    </cfRule>
  </conditionalFormatting>
  <conditionalFormatting sqref="C86">
    <cfRule type="cellIs" dxfId="3105" priority="4630" stopIfTrue="1" operator="equal">
      <formula>"Napkin Hs"</formula>
    </cfRule>
  </conditionalFormatting>
  <conditionalFormatting sqref="C86">
    <cfRule type="cellIs" dxfId="3104" priority="4629" stopIfTrue="1" operator="equal">
      <formula>"Towel"</formula>
    </cfRule>
  </conditionalFormatting>
  <conditionalFormatting sqref="C86">
    <cfRule type="cellIs" dxfId="3103" priority="4628" stopIfTrue="1" operator="equal">
      <formula>"Napkin Hs"</formula>
    </cfRule>
  </conditionalFormatting>
  <conditionalFormatting sqref="C86">
    <cfRule type="cellIs" dxfId="3102" priority="4627" stopIfTrue="1" operator="equal">
      <formula>"Towel"</formula>
    </cfRule>
  </conditionalFormatting>
  <conditionalFormatting sqref="C86">
    <cfRule type="cellIs" dxfId="3101" priority="4623" stopIfTrue="1" operator="equal">
      <formula>"Towel"</formula>
    </cfRule>
    <cfRule type="cellIs" dxfId="3100" priority="4624" stopIfTrue="1" operator="equal">
      <formula>"Napkin Hs"</formula>
    </cfRule>
  </conditionalFormatting>
  <conditionalFormatting sqref="C86">
    <cfRule type="cellIs" dxfId="3099" priority="4621" stopIfTrue="1" operator="equal">
      <formula>"Towel"</formula>
    </cfRule>
    <cfRule type="cellIs" dxfId="3098" priority="4622" stopIfTrue="1" operator="equal">
      <formula>"Napkin Hs"</formula>
    </cfRule>
  </conditionalFormatting>
  <conditionalFormatting sqref="C86">
    <cfRule type="cellIs" dxfId="3097" priority="4605" stopIfTrue="1" operator="equal">
      <formula>"Towel"</formula>
    </cfRule>
    <cfRule type="cellIs" dxfId="3096" priority="4606" stopIfTrue="1" operator="equal">
      <formula>"Napkin Hs"</formula>
    </cfRule>
  </conditionalFormatting>
  <conditionalFormatting sqref="C86">
    <cfRule type="cellIs" dxfId="3095" priority="4603" stopIfTrue="1" operator="equal">
      <formula>"Towel"</formula>
    </cfRule>
    <cfRule type="cellIs" dxfId="3094" priority="4604" stopIfTrue="1" operator="equal">
      <formula>"Napkin Hs"</formula>
    </cfRule>
  </conditionalFormatting>
  <conditionalFormatting sqref="B86:C86">
    <cfRule type="cellIs" dxfId="3093" priority="4564" stopIfTrue="1" operator="equal">
      <formula>"Napkin Hs"</formula>
    </cfRule>
  </conditionalFormatting>
  <conditionalFormatting sqref="B86:C86">
    <cfRule type="cellIs" dxfId="3092" priority="4563" stopIfTrue="1" operator="equal">
      <formula>"Towel"</formula>
    </cfRule>
  </conditionalFormatting>
  <conditionalFormatting sqref="C86">
    <cfRule type="cellIs" dxfId="3091" priority="4562" stopIfTrue="1" operator="equal">
      <formula>"Napkin Hs"</formula>
    </cfRule>
  </conditionalFormatting>
  <conditionalFormatting sqref="C86">
    <cfRule type="cellIs" dxfId="3090" priority="4559" stopIfTrue="1" operator="equal">
      <formula>"Towel"</formula>
    </cfRule>
    <cfRule type="cellIs" dxfId="3089" priority="4560" stopIfTrue="1" operator="equal">
      <formula>"Napkin Hs"</formula>
    </cfRule>
  </conditionalFormatting>
  <conditionalFormatting sqref="C86">
    <cfRule type="cellIs" dxfId="3088" priority="4561" stopIfTrue="1" operator="equal">
      <formula>"Towel"</formula>
    </cfRule>
  </conditionalFormatting>
  <conditionalFormatting sqref="B86:C86">
    <cfRule type="cellIs" dxfId="3087" priority="4558" stopIfTrue="1" operator="equal">
      <formula>"Napkin Hs"</formula>
    </cfRule>
  </conditionalFormatting>
  <conditionalFormatting sqref="B86:C86">
    <cfRule type="cellIs" dxfId="3086" priority="4557" stopIfTrue="1" operator="equal">
      <formula>"Towel"</formula>
    </cfRule>
  </conditionalFormatting>
  <conditionalFormatting sqref="C86">
    <cfRule type="cellIs" dxfId="3085" priority="4556" stopIfTrue="1" operator="equal">
      <formula>"Napkin Hs"</formula>
    </cfRule>
  </conditionalFormatting>
  <conditionalFormatting sqref="C86">
    <cfRule type="cellIs" dxfId="3084" priority="4555" stopIfTrue="1" operator="equal">
      <formula>"Towel"</formula>
    </cfRule>
  </conditionalFormatting>
  <conditionalFormatting sqref="C86">
    <cfRule type="cellIs" dxfId="3083" priority="4553" stopIfTrue="1" operator="equal">
      <formula>"Towel"</formula>
    </cfRule>
    <cfRule type="cellIs" dxfId="3082" priority="4554" stopIfTrue="1" operator="equal">
      <formula>"Napkin Hs"</formula>
    </cfRule>
  </conditionalFormatting>
  <conditionalFormatting sqref="C86">
    <cfRule type="cellIs" dxfId="3081" priority="4469" stopIfTrue="1" operator="equal">
      <formula>"Towel"</formula>
    </cfRule>
    <cfRule type="cellIs" dxfId="3080" priority="4470" stopIfTrue="1" operator="equal">
      <formula>"Napkin Hs"</formula>
    </cfRule>
  </conditionalFormatting>
  <conditionalFormatting sqref="C86">
    <cfRule type="cellIs" dxfId="3079" priority="4463" stopIfTrue="1" operator="equal">
      <formula>"Towel"</formula>
    </cfRule>
    <cfRule type="cellIs" dxfId="3078" priority="4464" stopIfTrue="1" operator="equal">
      <formula>"Napkin Hs"</formula>
    </cfRule>
  </conditionalFormatting>
  <conditionalFormatting sqref="C86">
    <cfRule type="cellIs" dxfId="3077" priority="4444" stopIfTrue="1" operator="equal">
      <formula>"Napkin Hs"</formula>
    </cfRule>
  </conditionalFormatting>
  <conditionalFormatting sqref="C86">
    <cfRule type="cellIs" dxfId="3076" priority="4443" stopIfTrue="1" operator="equal">
      <formula>"Towel"</formula>
    </cfRule>
  </conditionalFormatting>
  <conditionalFormatting sqref="C86">
    <cfRule type="cellIs" dxfId="3075" priority="4442" stopIfTrue="1" operator="equal">
      <formula>"Napkin Hs"</formula>
    </cfRule>
  </conditionalFormatting>
  <conditionalFormatting sqref="C86">
    <cfRule type="cellIs" dxfId="3074" priority="4439" stopIfTrue="1" operator="equal">
      <formula>"Towel"</formula>
    </cfRule>
    <cfRule type="cellIs" dxfId="3073" priority="4440" stopIfTrue="1" operator="equal">
      <formula>"Napkin Hs"</formula>
    </cfRule>
  </conditionalFormatting>
  <conditionalFormatting sqref="C86">
    <cfRule type="cellIs" dxfId="3072" priority="4441" stopIfTrue="1" operator="equal">
      <formula>"Towel"</formula>
    </cfRule>
  </conditionalFormatting>
  <conditionalFormatting sqref="C86">
    <cfRule type="cellIs" dxfId="3071" priority="4438" stopIfTrue="1" operator="equal">
      <formula>"Napkin Hs"</formula>
    </cfRule>
  </conditionalFormatting>
  <conditionalFormatting sqref="C86">
    <cfRule type="cellIs" dxfId="3070" priority="4437" stopIfTrue="1" operator="equal">
      <formula>"Towel"</formula>
    </cfRule>
  </conditionalFormatting>
  <conditionalFormatting sqref="C86">
    <cfRule type="cellIs" dxfId="3069" priority="4436" stopIfTrue="1" operator="equal">
      <formula>"Napkin Hs"</formula>
    </cfRule>
  </conditionalFormatting>
  <conditionalFormatting sqref="C86">
    <cfRule type="cellIs" dxfId="3068" priority="4433" stopIfTrue="1" operator="equal">
      <formula>"Towel"</formula>
    </cfRule>
    <cfRule type="cellIs" dxfId="3067" priority="4434" stopIfTrue="1" operator="equal">
      <formula>"Napkin Hs"</formula>
    </cfRule>
  </conditionalFormatting>
  <conditionalFormatting sqref="C86">
    <cfRule type="cellIs" dxfId="3066" priority="4435" stopIfTrue="1" operator="equal">
      <formula>"Towel"</formula>
    </cfRule>
  </conditionalFormatting>
  <conditionalFormatting sqref="C86">
    <cfRule type="cellIs" dxfId="3065" priority="4539" stopIfTrue="1" operator="equal">
      <formula>"Towel"</formula>
    </cfRule>
    <cfRule type="cellIs" dxfId="3064" priority="4540" stopIfTrue="1" operator="equal">
      <formula>"Napkin Hs"</formula>
    </cfRule>
  </conditionalFormatting>
  <conditionalFormatting sqref="C86">
    <cfRule type="cellIs" dxfId="3063" priority="4537" stopIfTrue="1" operator="equal">
      <formula>"Towel"</formula>
    </cfRule>
    <cfRule type="cellIs" dxfId="3062" priority="4538" stopIfTrue="1" operator="equal">
      <formula>"Napkin Hs"</formula>
    </cfRule>
  </conditionalFormatting>
  <conditionalFormatting sqref="C86">
    <cfRule type="cellIs" dxfId="3061" priority="4535" stopIfTrue="1" operator="equal">
      <formula>"Towel"</formula>
    </cfRule>
    <cfRule type="cellIs" dxfId="3060" priority="4536" stopIfTrue="1" operator="equal">
      <formula>"Napkin Hs"</formula>
    </cfRule>
  </conditionalFormatting>
  <conditionalFormatting sqref="C86">
    <cfRule type="cellIs" dxfId="3059" priority="4534" stopIfTrue="1" operator="equal">
      <formula>"Napkin Hs"</formula>
    </cfRule>
  </conditionalFormatting>
  <conditionalFormatting sqref="C86">
    <cfRule type="cellIs" dxfId="3058" priority="4533" stopIfTrue="1" operator="equal">
      <formula>"Towel"</formula>
    </cfRule>
  </conditionalFormatting>
  <conditionalFormatting sqref="C86">
    <cfRule type="cellIs" dxfId="3057" priority="4532" stopIfTrue="1" operator="equal">
      <formula>"Napkin Hs"</formula>
    </cfRule>
  </conditionalFormatting>
  <conditionalFormatting sqref="C86">
    <cfRule type="cellIs" dxfId="3056" priority="4531" stopIfTrue="1" operator="equal">
      <formula>"Towel"</formula>
    </cfRule>
  </conditionalFormatting>
  <conditionalFormatting sqref="C86">
    <cfRule type="cellIs" dxfId="3055" priority="4529" stopIfTrue="1" operator="equal">
      <formula>"Towel"</formula>
    </cfRule>
    <cfRule type="cellIs" dxfId="3054" priority="4530" stopIfTrue="1" operator="equal">
      <formula>"Napkin Hs"</formula>
    </cfRule>
  </conditionalFormatting>
  <conditionalFormatting sqref="C86">
    <cfRule type="cellIs" dxfId="3053" priority="4527" stopIfTrue="1" operator="equal">
      <formula>"Towel"</formula>
    </cfRule>
    <cfRule type="cellIs" dxfId="3052" priority="4528" stopIfTrue="1" operator="equal">
      <formula>"Napkin Hs"</formula>
    </cfRule>
  </conditionalFormatting>
  <conditionalFormatting sqref="C86">
    <cfRule type="cellIs" dxfId="3051" priority="4523" stopIfTrue="1" operator="equal">
      <formula>"Towel"</formula>
    </cfRule>
    <cfRule type="cellIs" dxfId="3050" priority="4524" stopIfTrue="1" operator="equal">
      <formula>"Napkin Hs"</formula>
    </cfRule>
  </conditionalFormatting>
  <conditionalFormatting sqref="C86">
    <cfRule type="cellIs" dxfId="3049" priority="4525" stopIfTrue="1" operator="equal">
      <formula>"Towel"</formula>
    </cfRule>
    <cfRule type="cellIs" dxfId="3048" priority="4526" stopIfTrue="1" operator="equal">
      <formula>"Napkin Hs"</formula>
    </cfRule>
  </conditionalFormatting>
  <conditionalFormatting sqref="C86">
    <cfRule type="cellIs" dxfId="3047" priority="4517" stopIfTrue="1" operator="equal">
      <formula>"Towel"</formula>
    </cfRule>
    <cfRule type="cellIs" dxfId="3046" priority="4518" stopIfTrue="1" operator="equal">
      <formula>"Napkin Hs"</formula>
    </cfRule>
  </conditionalFormatting>
  <conditionalFormatting sqref="C86">
    <cfRule type="cellIs" dxfId="3045" priority="4515" stopIfTrue="1" operator="equal">
      <formula>"Towel"</formula>
    </cfRule>
    <cfRule type="cellIs" dxfId="3044" priority="4516" stopIfTrue="1" operator="equal">
      <formula>"Napkin Hs"</formula>
    </cfRule>
  </conditionalFormatting>
  <conditionalFormatting sqref="C86">
    <cfRule type="cellIs" dxfId="3043" priority="4513" stopIfTrue="1" operator="equal">
      <formula>"Towel"</formula>
    </cfRule>
    <cfRule type="cellIs" dxfId="3042" priority="4514" stopIfTrue="1" operator="equal">
      <formula>"Napkin Hs"</formula>
    </cfRule>
  </conditionalFormatting>
  <conditionalFormatting sqref="C86">
    <cfRule type="cellIs" dxfId="3041" priority="4511" stopIfTrue="1" operator="equal">
      <formula>"Towel"</formula>
    </cfRule>
    <cfRule type="cellIs" dxfId="3040" priority="4512" stopIfTrue="1" operator="equal">
      <formula>"Napkin Hs"</formula>
    </cfRule>
  </conditionalFormatting>
  <conditionalFormatting sqref="C86">
    <cfRule type="cellIs" dxfId="3039" priority="4509" stopIfTrue="1" operator="equal">
      <formula>"Towel"</formula>
    </cfRule>
    <cfRule type="cellIs" dxfId="3038" priority="4510" stopIfTrue="1" operator="equal">
      <formula>"Napkin Hs"</formula>
    </cfRule>
  </conditionalFormatting>
  <conditionalFormatting sqref="C86">
    <cfRule type="cellIs" dxfId="3037" priority="4507" stopIfTrue="1" operator="equal">
      <formula>"Towel"</formula>
    </cfRule>
    <cfRule type="cellIs" dxfId="3036" priority="4508" stopIfTrue="1" operator="equal">
      <formula>"Napkin Hs"</formula>
    </cfRule>
  </conditionalFormatting>
  <conditionalFormatting sqref="C86">
    <cfRule type="cellIs" dxfId="3035" priority="4505" stopIfTrue="1" operator="equal">
      <formula>"Towel"</formula>
    </cfRule>
    <cfRule type="cellIs" dxfId="3034" priority="4506" stopIfTrue="1" operator="equal">
      <formula>"Napkin Hs"</formula>
    </cfRule>
  </conditionalFormatting>
  <conditionalFormatting sqref="C86">
    <cfRule type="cellIs" dxfId="3033" priority="4503" stopIfTrue="1" operator="equal">
      <formula>"Towel"</formula>
    </cfRule>
    <cfRule type="cellIs" dxfId="3032" priority="4504" stopIfTrue="1" operator="equal">
      <formula>"Napkin Hs"</formula>
    </cfRule>
  </conditionalFormatting>
  <conditionalFormatting sqref="C86">
    <cfRule type="cellIs" dxfId="3031" priority="4501" stopIfTrue="1" operator="equal">
      <formula>"Towel"</formula>
    </cfRule>
    <cfRule type="cellIs" dxfId="3030" priority="4502" stopIfTrue="1" operator="equal">
      <formula>"Napkin Hs"</formula>
    </cfRule>
  </conditionalFormatting>
  <conditionalFormatting sqref="C86">
    <cfRule type="cellIs" dxfId="3029" priority="4499" stopIfTrue="1" operator="equal">
      <formula>"Towel"</formula>
    </cfRule>
    <cfRule type="cellIs" dxfId="3028" priority="4500" stopIfTrue="1" operator="equal">
      <formula>"Napkin Hs"</formula>
    </cfRule>
  </conditionalFormatting>
  <conditionalFormatting sqref="C86">
    <cfRule type="cellIs" dxfId="3027" priority="4493" stopIfTrue="1" operator="equal">
      <formula>"Towel"</formula>
    </cfRule>
    <cfRule type="cellIs" dxfId="3026" priority="4494" stopIfTrue="1" operator="equal">
      <formula>"Napkin Hs"</formula>
    </cfRule>
  </conditionalFormatting>
  <conditionalFormatting sqref="C86">
    <cfRule type="cellIs" dxfId="3025" priority="4487" stopIfTrue="1" operator="equal">
      <formula>"Towel"</formula>
    </cfRule>
    <cfRule type="cellIs" dxfId="3024" priority="4488" stopIfTrue="1" operator="equal">
      <formula>"Napkin Hs"</formula>
    </cfRule>
  </conditionalFormatting>
  <conditionalFormatting sqref="C86">
    <cfRule type="cellIs" dxfId="3023" priority="4481" stopIfTrue="1" operator="equal">
      <formula>"Towel"</formula>
    </cfRule>
    <cfRule type="cellIs" dxfId="3022" priority="4482" stopIfTrue="1" operator="equal">
      <formula>"Napkin Hs"</formula>
    </cfRule>
  </conditionalFormatting>
  <conditionalFormatting sqref="C86">
    <cfRule type="cellIs" dxfId="3021" priority="4480" stopIfTrue="1" operator="equal">
      <formula>"Napkin Hs"</formula>
    </cfRule>
  </conditionalFormatting>
  <conditionalFormatting sqref="C86">
    <cfRule type="cellIs" dxfId="3020" priority="4479" stopIfTrue="1" operator="equal">
      <formula>"Towel"</formula>
    </cfRule>
  </conditionalFormatting>
  <conditionalFormatting sqref="C86">
    <cfRule type="cellIs" dxfId="3019" priority="4478" stopIfTrue="1" operator="equal">
      <formula>"Napkin Hs"</formula>
    </cfRule>
  </conditionalFormatting>
  <conditionalFormatting sqref="C86">
    <cfRule type="cellIs" dxfId="3018" priority="4477" stopIfTrue="1" operator="equal">
      <formula>"Towel"</formula>
    </cfRule>
  </conditionalFormatting>
  <conditionalFormatting sqref="C86">
    <cfRule type="cellIs" dxfId="3017" priority="4475" stopIfTrue="1" operator="equal">
      <formula>"Towel"</formula>
    </cfRule>
    <cfRule type="cellIs" dxfId="3016" priority="4476" stopIfTrue="1" operator="equal">
      <formula>"Napkin Hs"</formula>
    </cfRule>
  </conditionalFormatting>
  <conditionalFormatting sqref="C86">
    <cfRule type="cellIs" dxfId="3015" priority="4473" stopIfTrue="1" operator="equal">
      <formula>"Towel"</formula>
    </cfRule>
    <cfRule type="cellIs" dxfId="3014" priority="4474" stopIfTrue="1" operator="equal">
      <formula>"Napkin Hs"</formula>
    </cfRule>
  </conditionalFormatting>
  <conditionalFormatting sqref="C86">
    <cfRule type="cellIs" dxfId="3013" priority="4471" stopIfTrue="1" operator="equal">
      <formula>"Towel"</formula>
    </cfRule>
    <cfRule type="cellIs" dxfId="3012" priority="4472" stopIfTrue="1" operator="equal">
      <formula>"Napkin Hs"</formula>
    </cfRule>
  </conditionalFormatting>
  <conditionalFormatting sqref="C86">
    <cfRule type="cellIs" dxfId="3011" priority="4461" stopIfTrue="1" operator="equal">
      <formula>"Towel"</formula>
    </cfRule>
    <cfRule type="cellIs" dxfId="3010" priority="4462" stopIfTrue="1" operator="equal">
      <formula>"Napkin Hs"</formula>
    </cfRule>
  </conditionalFormatting>
  <conditionalFormatting sqref="C86">
    <cfRule type="cellIs" dxfId="3009" priority="4459" stopIfTrue="1" operator="equal">
      <formula>"Towel"</formula>
    </cfRule>
    <cfRule type="cellIs" dxfId="3008" priority="4460" stopIfTrue="1" operator="equal">
      <formula>"Napkin Hs"</formula>
    </cfRule>
  </conditionalFormatting>
  <conditionalFormatting sqref="C86">
    <cfRule type="cellIs" dxfId="3007" priority="4457" stopIfTrue="1" operator="equal">
      <formula>"Towel"</formula>
    </cfRule>
    <cfRule type="cellIs" dxfId="3006" priority="4458" stopIfTrue="1" operator="equal">
      <formula>"Napkin Hs"</formula>
    </cfRule>
  </conditionalFormatting>
  <conditionalFormatting sqref="C86">
    <cfRule type="cellIs" dxfId="3005" priority="4455" stopIfTrue="1" operator="equal">
      <formula>"Towel"</formula>
    </cfRule>
    <cfRule type="cellIs" dxfId="3004" priority="4456" stopIfTrue="1" operator="equal">
      <formula>"Napkin Hs"</formula>
    </cfRule>
  </conditionalFormatting>
  <conditionalFormatting sqref="C86">
    <cfRule type="cellIs" dxfId="3003" priority="4453" stopIfTrue="1" operator="equal">
      <formula>"Towel"</formula>
    </cfRule>
    <cfRule type="cellIs" dxfId="3002" priority="4454" stopIfTrue="1" operator="equal">
      <formula>"Napkin Hs"</formula>
    </cfRule>
  </conditionalFormatting>
  <conditionalFormatting sqref="C86">
    <cfRule type="cellIs" dxfId="3001" priority="4451" stopIfTrue="1" operator="equal">
      <formula>"Towel"</formula>
    </cfRule>
    <cfRule type="cellIs" dxfId="3000" priority="4452" stopIfTrue="1" operator="equal">
      <formula>"Napkin Hs"</formula>
    </cfRule>
  </conditionalFormatting>
  <conditionalFormatting sqref="C86">
    <cfRule type="cellIs" dxfId="2999" priority="4449" stopIfTrue="1" operator="equal">
      <formula>"Towel"</formula>
    </cfRule>
    <cfRule type="cellIs" dxfId="2998" priority="4450" stopIfTrue="1" operator="equal">
      <formula>"Napkin Hs"</formula>
    </cfRule>
  </conditionalFormatting>
  <conditionalFormatting sqref="C86">
    <cfRule type="cellIs" dxfId="2997" priority="4447" stopIfTrue="1" operator="equal">
      <formula>"Towel"</formula>
    </cfRule>
    <cfRule type="cellIs" dxfId="2996" priority="4448" stopIfTrue="1" operator="equal">
      <formula>"Napkin Hs"</formula>
    </cfRule>
  </conditionalFormatting>
  <conditionalFormatting sqref="C86">
    <cfRule type="cellIs" dxfId="2995" priority="4445" stopIfTrue="1" operator="equal">
      <formula>"Towel"</formula>
    </cfRule>
    <cfRule type="cellIs" dxfId="2994" priority="4446" stopIfTrue="1" operator="equal">
      <formula>"Napkin Hs"</formula>
    </cfRule>
  </conditionalFormatting>
  <conditionalFormatting sqref="C86">
    <cfRule type="cellIs" dxfId="2993" priority="4432" stopIfTrue="1" operator="equal">
      <formula>"Napkin Hs"</formula>
    </cfRule>
  </conditionalFormatting>
  <conditionalFormatting sqref="C86">
    <cfRule type="cellIs" dxfId="2992" priority="4431" stopIfTrue="1" operator="equal">
      <formula>"Towel"</formula>
    </cfRule>
  </conditionalFormatting>
  <conditionalFormatting sqref="C86">
    <cfRule type="cellIs" dxfId="2991" priority="4430" stopIfTrue="1" operator="equal">
      <formula>"Napkin Hs"</formula>
    </cfRule>
  </conditionalFormatting>
  <conditionalFormatting sqref="C86">
    <cfRule type="cellIs" dxfId="2990" priority="4427" stopIfTrue="1" operator="equal">
      <formula>"Towel"</formula>
    </cfRule>
    <cfRule type="cellIs" dxfId="2989" priority="4428" stopIfTrue="1" operator="equal">
      <formula>"Napkin Hs"</formula>
    </cfRule>
  </conditionalFormatting>
  <conditionalFormatting sqref="C86">
    <cfRule type="cellIs" dxfId="2988" priority="4429" stopIfTrue="1" operator="equal">
      <formula>"Towel"</formula>
    </cfRule>
  </conditionalFormatting>
  <conditionalFormatting sqref="C86">
    <cfRule type="cellIs" dxfId="2987" priority="4547" stopIfTrue="1" operator="equal">
      <formula>"Towel"</formula>
    </cfRule>
    <cfRule type="cellIs" dxfId="2986" priority="4548" stopIfTrue="1" operator="equal">
      <formula>"Napkin Hs"</formula>
    </cfRule>
  </conditionalFormatting>
  <conditionalFormatting sqref="C86">
    <cfRule type="cellIs" dxfId="2985" priority="4546" stopIfTrue="1" operator="equal">
      <formula>"Napkin Hs"</formula>
    </cfRule>
  </conditionalFormatting>
  <conditionalFormatting sqref="C86">
    <cfRule type="cellIs" dxfId="2984" priority="4545" stopIfTrue="1" operator="equal">
      <formula>"Towel"</formula>
    </cfRule>
  </conditionalFormatting>
  <conditionalFormatting sqref="C86">
    <cfRule type="cellIs" dxfId="2983" priority="4544" stopIfTrue="1" operator="equal">
      <formula>"Napkin Hs"</formula>
    </cfRule>
  </conditionalFormatting>
  <conditionalFormatting sqref="C86">
    <cfRule type="cellIs" dxfId="2982" priority="4541" stopIfTrue="1" operator="equal">
      <formula>"Towel"</formula>
    </cfRule>
    <cfRule type="cellIs" dxfId="2981" priority="4542" stopIfTrue="1" operator="equal">
      <formula>"Napkin Hs"</formula>
    </cfRule>
  </conditionalFormatting>
  <conditionalFormatting sqref="C86">
    <cfRule type="cellIs" dxfId="2980" priority="4543" stopIfTrue="1" operator="equal">
      <formula>"Towel"</formula>
    </cfRule>
  </conditionalFormatting>
  <conditionalFormatting sqref="C86">
    <cfRule type="cellIs" dxfId="2979" priority="4551" stopIfTrue="1" operator="equal">
      <formula>"Towel"</formula>
    </cfRule>
    <cfRule type="cellIs" dxfId="2978" priority="4552" stopIfTrue="1" operator="equal">
      <formula>"Napkin Hs"</formula>
    </cfRule>
  </conditionalFormatting>
  <conditionalFormatting sqref="C86">
    <cfRule type="cellIs" dxfId="2977" priority="4549" stopIfTrue="1" operator="equal">
      <formula>"Towel"</formula>
    </cfRule>
    <cfRule type="cellIs" dxfId="2976" priority="4550" stopIfTrue="1" operator="equal">
      <formula>"Napkin Hs"</formula>
    </cfRule>
  </conditionalFormatting>
  <conditionalFormatting sqref="C86">
    <cfRule type="cellIs" dxfId="2975" priority="4521" stopIfTrue="1" operator="equal">
      <formula>"Towel"</formula>
    </cfRule>
    <cfRule type="cellIs" dxfId="2974" priority="4522" stopIfTrue="1" operator="equal">
      <formula>"Napkin Hs"</formula>
    </cfRule>
  </conditionalFormatting>
  <conditionalFormatting sqref="C86">
    <cfRule type="cellIs" dxfId="2973" priority="4519" stopIfTrue="1" operator="equal">
      <formula>"Towel"</formula>
    </cfRule>
    <cfRule type="cellIs" dxfId="2972" priority="4520" stopIfTrue="1" operator="equal">
      <formula>"Napkin Hs"</formula>
    </cfRule>
  </conditionalFormatting>
  <conditionalFormatting sqref="C86">
    <cfRule type="cellIs" dxfId="2971" priority="4498" stopIfTrue="1" operator="equal">
      <formula>"Napkin Hs"</formula>
    </cfRule>
  </conditionalFormatting>
  <conditionalFormatting sqref="C86">
    <cfRule type="cellIs" dxfId="2970" priority="4497" stopIfTrue="1" operator="equal">
      <formula>"Towel"</formula>
    </cfRule>
  </conditionalFormatting>
  <conditionalFormatting sqref="C86">
    <cfRule type="cellIs" dxfId="2969" priority="4496" stopIfTrue="1" operator="equal">
      <formula>"Napkin Hs"</formula>
    </cfRule>
  </conditionalFormatting>
  <conditionalFormatting sqref="C86">
    <cfRule type="cellIs" dxfId="2968" priority="4495" stopIfTrue="1" operator="equal">
      <formula>"Towel"</formula>
    </cfRule>
  </conditionalFormatting>
  <conditionalFormatting sqref="C86">
    <cfRule type="cellIs" dxfId="2967" priority="4492" stopIfTrue="1" operator="equal">
      <formula>"Napkin Hs"</formula>
    </cfRule>
  </conditionalFormatting>
  <conditionalFormatting sqref="C86">
    <cfRule type="cellIs" dxfId="2966" priority="4491" stopIfTrue="1" operator="equal">
      <formula>"Towel"</formula>
    </cfRule>
  </conditionalFormatting>
  <conditionalFormatting sqref="C86">
    <cfRule type="cellIs" dxfId="2965" priority="4490" stopIfTrue="1" operator="equal">
      <formula>"Napkin Hs"</formula>
    </cfRule>
  </conditionalFormatting>
  <conditionalFormatting sqref="C86">
    <cfRule type="cellIs" dxfId="2964" priority="4489" stopIfTrue="1" operator="equal">
      <formula>"Towel"</formula>
    </cfRule>
  </conditionalFormatting>
  <conditionalFormatting sqref="C86">
    <cfRule type="cellIs" dxfId="2963" priority="4485" stopIfTrue="1" operator="equal">
      <formula>"Towel"</formula>
    </cfRule>
    <cfRule type="cellIs" dxfId="2962" priority="4486" stopIfTrue="1" operator="equal">
      <formula>"Napkin Hs"</formula>
    </cfRule>
  </conditionalFormatting>
  <conditionalFormatting sqref="C86">
    <cfRule type="cellIs" dxfId="2961" priority="4483" stopIfTrue="1" operator="equal">
      <formula>"Towel"</formula>
    </cfRule>
    <cfRule type="cellIs" dxfId="2960" priority="4484" stopIfTrue="1" operator="equal">
      <formula>"Napkin Hs"</formula>
    </cfRule>
  </conditionalFormatting>
  <conditionalFormatting sqref="C86">
    <cfRule type="cellIs" dxfId="2959" priority="4467" stopIfTrue="1" operator="equal">
      <formula>"Towel"</formula>
    </cfRule>
    <cfRule type="cellIs" dxfId="2958" priority="4468" stopIfTrue="1" operator="equal">
      <formula>"Napkin Hs"</formula>
    </cfRule>
  </conditionalFormatting>
  <conditionalFormatting sqref="C86">
    <cfRule type="cellIs" dxfId="2957" priority="4465" stopIfTrue="1" operator="equal">
      <formula>"Towel"</formula>
    </cfRule>
    <cfRule type="cellIs" dxfId="2956" priority="4466" stopIfTrue="1" operator="equal">
      <formula>"Napkin Hs"</formula>
    </cfRule>
  </conditionalFormatting>
  <conditionalFormatting sqref="B86:C86">
    <cfRule type="cellIs" dxfId="2955" priority="4426" stopIfTrue="1" operator="equal">
      <formula>"Napkin Hs"</formula>
    </cfRule>
  </conditionalFormatting>
  <conditionalFormatting sqref="B86:C86">
    <cfRule type="cellIs" dxfId="2954" priority="4425" stopIfTrue="1" operator="equal">
      <formula>"Towel"</formula>
    </cfRule>
  </conditionalFormatting>
  <conditionalFormatting sqref="C86">
    <cfRule type="cellIs" dxfId="2953" priority="4424" stopIfTrue="1" operator="equal">
      <formula>"Napkin Hs"</formula>
    </cfRule>
  </conditionalFormatting>
  <conditionalFormatting sqref="C86">
    <cfRule type="cellIs" dxfId="2952" priority="4421" stopIfTrue="1" operator="equal">
      <formula>"Towel"</formula>
    </cfRule>
    <cfRule type="cellIs" dxfId="2951" priority="4422" stopIfTrue="1" operator="equal">
      <formula>"Napkin Hs"</formula>
    </cfRule>
  </conditionalFormatting>
  <conditionalFormatting sqref="C86">
    <cfRule type="cellIs" dxfId="2950" priority="4423" stopIfTrue="1" operator="equal">
      <formula>"Towel"</formula>
    </cfRule>
  </conditionalFormatting>
  <conditionalFormatting sqref="B85:C85">
    <cfRule type="cellIs" dxfId="2949" priority="4419" stopIfTrue="1" operator="equal">
      <formula>"Towel"</formula>
    </cfRule>
    <cfRule type="cellIs" dxfId="2948" priority="4420" stopIfTrue="1" operator="equal">
      <formula>"Napkin Hs"</formula>
    </cfRule>
  </conditionalFormatting>
  <conditionalFormatting sqref="C85">
    <cfRule type="cellIs" dxfId="2947" priority="4415" stopIfTrue="1" operator="equal">
      <formula>"Towel"</formula>
    </cfRule>
    <cfRule type="cellIs" dxfId="2946" priority="4416" stopIfTrue="1" operator="equal">
      <formula>"Napkin Hs"</formula>
    </cfRule>
  </conditionalFormatting>
  <conditionalFormatting sqref="C85">
    <cfRule type="cellIs" dxfId="2945" priority="4417" stopIfTrue="1" operator="equal">
      <formula>"Towel"</formula>
    </cfRule>
    <cfRule type="cellIs" dxfId="2944" priority="4418" stopIfTrue="1" operator="equal">
      <formula>"Napkin Hs"</formula>
    </cfRule>
  </conditionalFormatting>
  <conditionalFormatting sqref="B85:C85">
    <cfRule type="cellIs" dxfId="2943" priority="4413" stopIfTrue="1" operator="equal">
      <formula>"Towel"</formula>
    </cfRule>
    <cfRule type="cellIs" dxfId="2942" priority="4414" stopIfTrue="1" operator="equal">
      <formula>"Napkin Hs"</formula>
    </cfRule>
  </conditionalFormatting>
  <conditionalFormatting sqref="C85">
    <cfRule type="cellIs" dxfId="2941" priority="4409" stopIfTrue="1" operator="equal">
      <formula>"Towel"</formula>
    </cfRule>
    <cfRule type="cellIs" dxfId="2940" priority="4410" stopIfTrue="1" operator="equal">
      <formula>"Napkin Hs"</formula>
    </cfRule>
  </conditionalFormatting>
  <conditionalFormatting sqref="C85">
    <cfRule type="cellIs" dxfId="2939" priority="4411" stopIfTrue="1" operator="equal">
      <formula>"Towel"</formula>
    </cfRule>
    <cfRule type="cellIs" dxfId="2938" priority="4412" stopIfTrue="1" operator="equal">
      <formula>"Napkin Hs"</formula>
    </cfRule>
  </conditionalFormatting>
  <conditionalFormatting sqref="B85:C85">
    <cfRule type="cellIs" dxfId="2937" priority="4407" stopIfTrue="1" operator="equal">
      <formula>"Towel"</formula>
    </cfRule>
    <cfRule type="cellIs" dxfId="2936" priority="4408" stopIfTrue="1" operator="equal">
      <formula>"Napkin Hs"</formula>
    </cfRule>
  </conditionalFormatting>
  <conditionalFormatting sqref="C85">
    <cfRule type="cellIs" dxfId="2935" priority="4405" stopIfTrue="1" operator="equal">
      <formula>"Towel"</formula>
    </cfRule>
    <cfRule type="cellIs" dxfId="2934" priority="4406" stopIfTrue="1" operator="equal">
      <formula>"Napkin Hs"</formula>
    </cfRule>
  </conditionalFormatting>
  <conditionalFormatting sqref="C85">
    <cfRule type="cellIs" dxfId="2933" priority="4403" stopIfTrue="1" operator="equal">
      <formula>"Towel"</formula>
    </cfRule>
    <cfRule type="cellIs" dxfId="2932" priority="4404" stopIfTrue="1" operator="equal">
      <formula>"Napkin Hs"</formula>
    </cfRule>
  </conditionalFormatting>
  <conditionalFormatting sqref="B85:C85">
    <cfRule type="cellIs" dxfId="2931" priority="4401" stopIfTrue="1" operator="equal">
      <formula>"Towel"</formula>
    </cfRule>
    <cfRule type="cellIs" dxfId="2930" priority="4402" stopIfTrue="1" operator="equal">
      <formula>"Napkin Hs"</formula>
    </cfRule>
  </conditionalFormatting>
  <conditionalFormatting sqref="C85">
    <cfRule type="cellIs" dxfId="2929" priority="4399" stopIfTrue="1" operator="equal">
      <formula>"Towel"</formula>
    </cfRule>
    <cfRule type="cellIs" dxfId="2928" priority="4400" stopIfTrue="1" operator="equal">
      <formula>"Napkin Hs"</formula>
    </cfRule>
  </conditionalFormatting>
  <conditionalFormatting sqref="C85">
    <cfRule type="cellIs" dxfId="2927" priority="4397" stopIfTrue="1" operator="equal">
      <formula>"Towel"</formula>
    </cfRule>
    <cfRule type="cellIs" dxfId="2926" priority="4398" stopIfTrue="1" operator="equal">
      <formula>"Napkin Hs"</formula>
    </cfRule>
  </conditionalFormatting>
  <conditionalFormatting sqref="B85:C85">
    <cfRule type="cellIs" dxfId="2925" priority="4395" stopIfTrue="1" operator="equal">
      <formula>"Towel"</formula>
    </cfRule>
    <cfRule type="cellIs" dxfId="2924" priority="4396" stopIfTrue="1" operator="equal">
      <formula>"Napkin Hs"</formula>
    </cfRule>
  </conditionalFormatting>
  <conditionalFormatting sqref="C85">
    <cfRule type="cellIs" dxfId="2923" priority="4393" stopIfTrue="1" operator="equal">
      <formula>"Towel"</formula>
    </cfRule>
    <cfRule type="cellIs" dxfId="2922" priority="4394" stopIfTrue="1" operator="equal">
      <formula>"Napkin Hs"</formula>
    </cfRule>
  </conditionalFormatting>
  <conditionalFormatting sqref="C85">
    <cfRule type="cellIs" dxfId="2921" priority="4391" stopIfTrue="1" operator="equal">
      <formula>"Towel"</formula>
    </cfRule>
    <cfRule type="cellIs" dxfId="2920" priority="4392" stopIfTrue="1" operator="equal">
      <formula>"Napkin Hs"</formula>
    </cfRule>
  </conditionalFormatting>
  <conditionalFormatting sqref="B85:C85">
    <cfRule type="cellIs" dxfId="2919" priority="4390" stopIfTrue="1" operator="equal">
      <formula>"Napkin Hs"</formula>
    </cfRule>
  </conditionalFormatting>
  <conditionalFormatting sqref="B85:C85">
    <cfRule type="cellIs" dxfId="2918" priority="4389" stopIfTrue="1" operator="equal">
      <formula>"Towel"</formula>
    </cfRule>
  </conditionalFormatting>
  <conditionalFormatting sqref="C85">
    <cfRule type="cellIs" dxfId="2917" priority="4388" stopIfTrue="1" operator="equal">
      <formula>"Napkin Hs"</formula>
    </cfRule>
  </conditionalFormatting>
  <conditionalFormatting sqref="C85">
    <cfRule type="cellIs" dxfId="2916" priority="4385" stopIfTrue="1" operator="equal">
      <formula>"Towel"</formula>
    </cfRule>
    <cfRule type="cellIs" dxfId="2915" priority="4386" stopIfTrue="1" operator="equal">
      <formula>"Napkin Hs"</formula>
    </cfRule>
  </conditionalFormatting>
  <conditionalFormatting sqref="C85">
    <cfRule type="cellIs" dxfId="2914" priority="4387" stopIfTrue="1" operator="equal">
      <formula>"Towel"</formula>
    </cfRule>
  </conditionalFormatting>
  <conditionalFormatting sqref="C85">
    <cfRule type="cellIs" dxfId="2913" priority="4349" stopIfTrue="1" operator="equal">
      <formula>"Towel"</formula>
    </cfRule>
    <cfRule type="cellIs" dxfId="2912" priority="4350" stopIfTrue="1" operator="equal">
      <formula>"Napkin Hs"</formula>
    </cfRule>
  </conditionalFormatting>
  <conditionalFormatting sqref="B85:C85">
    <cfRule type="cellIs" dxfId="2911" priority="4347" stopIfTrue="1" operator="equal">
      <formula>"Towel"</formula>
    </cfRule>
    <cfRule type="cellIs" dxfId="2910" priority="4348" stopIfTrue="1" operator="equal">
      <formula>"Napkin Hs"</formula>
    </cfRule>
  </conditionalFormatting>
  <conditionalFormatting sqref="C85">
    <cfRule type="cellIs" dxfId="2909" priority="4345" stopIfTrue="1" operator="equal">
      <formula>"Towel"</formula>
    </cfRule>
    <cfRule type="cellIs" dxfId="2908" priority="4346" stopIfTrue="1" operator="equal">
      <formula>"Napkin Hs"</formula>
    </cfRule>
  </conditionalFormatting>
  <conditionalFormatting sqref="C85">
    <cfRule type="cellIs" dxfId="2907" priority="4337" stopIfTrue="1" operator="equal">
      <formula>"Towel"</formula>
    </cfRule>
    <cfRule type="cellIs" dxfId="2906" priority="4338" stopIfTrue="1" operator="equal">
      <formula>"Napkin Hs"</formula>
    </cfRule>
  </conditionalFormatting>
  <conditionalFormatting sqref="B85:C85">
    <cfRule type="cellIs" dxfId="2905" priority="4383" stopIfTrue="1" operator="equal">
      <formula>"Towel"</formula>
    </cfRule>
    <cfRule type="cellIs" dxfId="2904" priority="4384" stopIfTrue="1" operator="equal">
      <formula>"Napkin Hs"</formula>
    </cfRule>
  </conditionalFormatting>
  <conditionalFormatting sqref="C85">
    <cfRule type="cellIs" dxfId="2903" priority="4379" stopIfTrue="1" operator="equal">
      <formula>"Towel"</formula>
    </cfRule>
    <cfRule type="cellIs" dxfId="2902" priority="4380" stopIfTrue="1" operator="equal">
      <formula>"Napkin Hs"</formula>
    </cfRule>
  </conditionalFormatting>
  <conditionalFormatting sqref="C85">
    <cfRule type="cellIs" dxfId="2901" priority="4381" stopIfTrue="1" operator="equal">
      <formula>"Towel"</formula>
    </cfRule>
    <cfRule type="cellIs" dxfId="2900" priority="4382" stopIfTrue="1" operator="equal">
      <formula>"Napkin Hs"</formula>
    </cfRule>
  </conditionalFormatting>
  <conditionalFormatting sqref="B85:C85">
    <cfRule type="cellIs" dxfId="2899" priority="4378" stopIfTrue="1" operator="equal">
      <formula>"Napkin Hs"</formula>
    </cfRule>
  </conditionalFormatting>
  <conditionalFormatting sqref="B85:C85">
    <cfRule type="cellIs" dxfId="2898" priority="4377" stopIfTrue="1" operator="equal">
      <formula>"Towel"</formula>
    </cfRule>
  </conditionalFormatting>
  <conditionalFormatting sqref="C85">
    <cfRule type="cellIs" dxfId="2897" priority="4376" stopIfTrue="1" operator="equal">
      <formula>"Napkin Hs"</formula>
    </cfRule>
  </conditionalFormatting>
  <conditionalFormatting sqref="C85">
    <cfRule type="cellIs" dxfId="2896" priority="4375" stopIfTrue="1" operator="equal">
      <formula>"Towel"</formula>
    </cfRule>
  </conditionalFormatting>
  <conditionalFormatting sqref="C85">
    <cfRule type="cellIs" dxfId="2895" priority="4373" stopIfTrue="1" operator="equal">
      <formula>"Towel"</formula>
    </cfRule>
    <cfRule type="cellIs" dxfId="2894" priority="4374" stopIfTrue="1" operator="equal">
      <formula>"Napkin Hs"</formula>
    </cfRule>
  </conditionalFormatting>
  <conditionalFormatting sqref="B85:C85">
    <cfRule type="cellIs" dxfId="2893" priority="4371" stopIfTrue="1" operator="equal">
      <formula>"Towel"</formula>
    </cfRule>
    <cfRule type="cellIs" dxfId="2892" priority="4372" stopIfTrue="1" operator="equal">
      <formula>"Napkin Hs"</formula>
    </cfRule>
  </conditionalFormatting>
  <conditionalFormatting sqref="C85">
    <cfRule type="cellIs" dxfId="2891" priority="4369" stopIfTrue="1" operator="equal">
      <formula>"Towel"</formula>
    </cfRule>
    <cfRule type="cellIs" dxfId="2890" priority="4370" stopIfTrue="1" operator="equal">
      <formula>"Napkin Hs"</formula>
    </cfRule>
  </conditionalFormatting>
  <conditionalFormatting sqref="C85">
    <cfRule type="cellIs" dxfId="2889" priority="4367" stopIfTrue="1" operator="equal">
      <formula>"Towel"</formula>
    </cfRule>
    <cfRule type="cellIs" dxfId="2888" priority="4368" stopIfTrue="1" operator="equal">
      <formula>"Napkin Hs"</formula>
    </cfRule>
  </conditionalFormatting>
  <conditionalFormatting sqref="B85:C85">
    <cfRule type="cellIs" dxfId="2887" priority="4365" stopIfTrue="1" operator="equal">
      <formula>"Towel"</formula>
    </cfRule>
    <cfRule type="cellIs" dxfId="2886" priority="4366" stopIfTrue="1" operator="equal">
      <formula>"Napkin Hs"</formula>
    </cfRule>
  </conditionalFormatting>
  <conditionalFormatting sqref="C85">
    <cfRule type="cellIs" dxfId="2885" priority="4363" stopIfTrue="1" operator="equal">
      <formula>"Towel"</formula>
    </cfRule>
    <cfRule type="cellIs" dxfId="2884" priority="4364" stopIfTrue="1" operator="equal">
      <formula>"Napkin Hs"</formula>
    </cfRule>
  </conditionalFormatting>
  <conditionalFormatting sqref="C85">
    <cfRule type="cellIs" dxfId="2883" priority="4361" stopIfTrue="1" operator="equal">
      <formula>"Towel"</formula>
    </cfRule>
    <cfRule type="cellIs" dxfId="2882" priority="4362" stopIfTrue="1" operator="equal">
      <formula>"Napkin Hs"</formula>
    </cfRule>
  </conditionalFormatting>
  <conditionalFormatting sqref="B85:C85">
    <cfRule type="cellIs" dxfId="2881" priority="4359" stopIfTrue="1" operator="equal">
      <formula>"Towel"</formula>
    </cfRule>
    <cfRule type="cellIs" dxfId="2880" priority="4360" stopIfTrue="1" operator="equal">
      <formula>"Napkin Hs"</formula>
    </cfRule>
  </conditionalFormatting>
  <conditionalFormatting sqref="C85">
    <cfRule type="cellIs" dxfId="2879" priority="4357" stopIfTrue="1" operator="equal">
      <formula>"Towel"</formula>
    </cfRule>
    <cfRule type="cellIs" dxfId="2878" priority="4358" stopIfTrue="1" operator="equal">
      <formula>"Napkin Hs"</formula>
    </cfRule>
  </conditionalFormatting>
  <conditionalFormatting sqref="C85">
    <cfRule type="cellIs" dxfId="2877" priority="4355" stopIfTrue="1" operator="equal">
      <formula>"Towel"</formula>
    </cfRule>
    <cfRule type="cellIs" dxfId="2876" priority="4356" stopIfTrue="1" operator="equal">
      <formula>"Napkin Hs"</formula>
    </cfRule>
  </conditionalFormatting>
  <conditionalFormatting sqref="B85:C85">
    <cfRule type="cellIs" dxfId="2875" priority="4353" stopIfTrue="1" operator="equal">
      <formula>"Towel"</formula>
    </cfRule>
    <cfRule type="cellIs" dxfId="2874" priority="4354" stopIfTrue="1" operator="equal">
      <formula>"Napkin Hs"</formula>
    </cfRule>
  </conditionalFormatting>
  <conditionalFormatting sqref="C85">
    <cfRule type="cellIs" dxfId="2873" priority="4351" stopIfTrue="1" operator="equal">
      <formula>"Towel"</formula>
    </cfRule>
    <cfRule type="cellIs" dxfId="2872" priority="4352" stopIfTrue="1" operator="equal">
      <formula>"Napkin Hs"</formula>
    </cfRule>
  </conditionalFormatting>
  <conditionalFormatting sqref="C85">
    <cfRule type="cellIs" dxfId="2871" priority="4343" stopIfTrue="1" operator="equal">
      <formula>"Towel"</formula>
    </cfRule>
    <cfRule type="cellIs" dxfId="2870" priority="4344" stopIfTrue="1" operator="equal">
      <formula>"Napkin Hs"</formula>
    </cfRule>
  </conditionalFormatting>
  <conditionalFormatting sqref="B85:C85">
    <cfRule type="cellIs" dxfId="2869" priority="4342" stopIfTrue="1" operator="equal">
      <formula>"Napkin Hs"</formula>
    </cfRule>
  </conditionalFormatting>
  <conditionalFormatting sqref="B85:C85">
    <cfRule type="cellIs" dxfId="2868" priority="4341" stopIfTrue="1" operator="equal">
      <formula>"Towel"</formula>
    </cfRule>
  </conditionalFormatting>
  <conditionalFormatting sqref="C85">
    <cfRule type="cellIs" dxfId="2867" priority="4340" stopIfTrue="1" operator="equal">
      <formula>"Napkin Hs"</formula>
    </cfRule>
  </conditionalFormatting>
  <conditionalFormatting sqref="C85">
    <cfRule type="cellIs" dxfId="2866" priority="4339" stopIfTrue="1" operator="equal">
      <formula>"Towel"</formula>
    </cfRule>
  </conditionalFormatting>
  <conditionalFormatting sqref="B85:C85">
    <cfRule type="cellIs" dxfId="2865" priority="4335" stopIfTrue="1" operator="equal">
      <formula>"Towel"</formula>
    </cfRule>
    <cfRule type="cellIs" dxfId="2864" priority="4336" stopIfTrue="1" operator="equal">
      <formula>"Napkin Hs"</formula>
    </cfRule>
  </conditionalFormatting>
  <conditionalFormatting sqref="C85">
    <cfRule type="cellIs" dxfId="2863" priority="4331" stopIfTrue="1" operator="equal">
      <formula>"Towel"</formula>
    </cfRule>
    <cfRule type="cellIs" dxfId="2862" priority="4332" stopIfTrue="1" operator="equal">
      <formula>"Napkin Hs"</formula>
    </cfRule>
  </conditionalFormatting>
  <conditionalFormatting sqref="C85">
    <cfRule type="cellIs" dxfId="2861" priority="4333" stopIfTrue="1" operator="equal">
      <formula>"Towel"</formula>
    </cfRule>
    <cfRule type="cellIs" dxfId="2860" priority="4334" stopIfTrue="1" operator="equal">
      <formula>"Napkin Hs"</formula>
    </cfRule>
  </conditionalFormatting>
  <conditionalFormatting sqref="B85:C85">
    <cfRule type="cellIs" dxfId="2859" priority="4329" stopIfTrue="1" operator="equal">
      <formula>"Towel"</formula>
    </cfRule>
    <cfRule type="cellIs" dxfId="2858" priority="4330" stopIfTrue="1" operator="equal">
      <formula>"Napkin Hs"</formula>
    </cfRule>
  </conditionalFormatting>
  <conditionalFormatting sqref="C85">
    <cfRule type="cellIs" dxfId="2857" priority="4325" stopIfTrue="1" operator="equal">
      <formula>"Towel"</formula>
    </cfRule>
    <cfRule type="cellIs" dxfId="2856" priority="4326" stopIfTrue="1" operator="equal">
      <formula>"Napkin Hs"</formula>
    </cfRule>
  </conditionalFormatting>
  <conditionalFormatting sqref="C85">
    <cfRule type="cellIs" dxfId="2855" priority="4327" stopIfTrue="1" operator="equal">
      <formula>"Towel"</formula>
    </cfRule>
    <cfRule type="cellIs" dxfId="2854" priority="4328" stopIfTrue="1" operator="equal">
      <formula>"Napkin Hs"</formula>
    </cfRule>
  </conditionalFormatting>
  <conditionalFormatting sqref="B85:C85">
    <cfRule type="cellIs" dxfId="2853" priority="4323" stopIfTrue="1" operator="equal">
      <formula>"Towel"</formula>
    </cfRule>
    <cfRule type="cellIs" dxfId="2852" priority="4324" stopIfTrue="1" operator="equal">
      <formula>"Napkin Hs"</formula>
    </cfRule>
  </conditionalFormatting>
  <conditionalFormatting sqref="C85">
    <cfRule type="cellIs" dxfId="2851" priority="4321" stopIfTrue="1" operator="equal">
      <formula>"Towel"</formula>
    </cfRule>
    <cfRule type="cellIs" dxfId="2850" priority="4322" stopIfTrue="1" operator="equal">
      <formula>"Napkin Hs"</formula>
    </cfRule>
  </conditionalFormatting>
  <conditionalFormatting sqref="C85">
    <cfRule type="cellIs" dxfId="2849" priority="4319" stopIfTrue="1" operator="equal">
      <formula>"Towel"</formula>
    </cfRule>
    <cfRule type="cellIs" dxfId="2848" priority="4320" stopIfTrue="1" operator="equal">
      <formula>"Napkin Hs"</formula>
    </cfRule>
  </conditionalFormatting>
  <conditionalFormatting sqref="B85:C85">
    <cfRule type="cellIs" dxfId="2847" priority="4317" stopIfTrue="1" operator="equal">
      <formula>"Towel"</formula>
    </cfRule>
    <cfRule type="cellIs" dxfId="2846" priority="4318" stopIfTrue="1" operator="equal">
      <formula>"Napkin Hs"</formula>
    </cfRule>
  </conditionalFormatting>
  <conditionalFormatting sqref="C85">
    <cfRule type="cellIs" dxfId="2845" priority="4315" stopIfTrue="1" operator="equal">
      <formula>"Towel"</formula>
    </cfRule>
    <cfRule type="cellIs" dxfId="2844" priority="4316" stopIfTrue="1" operator="equal">
      <formula>"Napkin Hs"</formula>
    </cfRule>
  </conditionalFormatting>
  <conditionalFormatting sqref="C85">
    <cfRule type="cellIs" dxfId="2843" priority="4313" stopIfTrue="1" operator="equal">
      <formula>"Towel"</formula>
    </cfRule>
    <cfRule type="cellIs" dxfId="2842" priority="4314" stopIfTrue="1" operator="equal">
      <formula>"Napkin Hs"</formula>
    </cfRule>
  </conditionalFormatting>
  <conditionalFormatting sqref="B85:C85">
    <cfRule type="cellIs" dxfId="2841" priority="4311" stopIfTrue="1" operator="equal">
      <formula>"Towel"</formula>
    </cfRule>
    <cfRule type="cellIs" dxfId="2840" priority="4312" stopIfTrue="1" operator="equal">
      <formula>"Napkin Hs"</formula>
    </cfRule>
  </conditionalFormatting>
  <conditionalFormatting sqref="C85">
    <cfRule type="cellIs" dxfId="2839" priority="4309" stopIfTrue="1" operator="equal">
      <formula>"Towel"</formula>
    </cfRule>
    <cfRule type="cellIs" dxfId="2838" priority="4310" stopIfTrue="1" operator="equal">
      <formula>"Napkin Hs"</formula>
    </cfRule>
  </conditionalFormatting>
  <conditionalFormatting sqref="C85">
    <cfRule type="cellIs" dxfId="2837" priority="4307" stopIfTrue="1" operator="equal">
      <formula>"Towel"</formula>
    </cfRule>
    <cfRule type="cellIs" dxfId="2836" priority="4308" stopIfTrue="1" operator="equal">
      <formula>"Napkin Hs"</formula>
    </cfRule>
  </conditionalFormatting>
  <conditionalFormatting sqref="B85:C85">
    <cfRule type="cellIs" dxfId="2835" priority="4306" stopIfTrue="1" operator="equal">
      <formula>"Napkin Hs"</formula>
    </cfRule>
  </conditionalFormatting>
  <conditionalFormatting sqref="B85:C85">
    <cfRule type="cellIs" dxfId="2834" priority="4305" stopIfTrue="1" operator="equal">
      <formula>"Towel"</formula>
    </cfRule>
  </conditionalFormatting>
  <conditionalFormatting sqref="C85">
    <cfRule type="cellIs" dxfId="2833" priority="4304" stopIfTrue="1" operator="equal">
      <formula>"Napkin Hs"</formula>
    </cfRule>
  </conditionalFormatting>
  <conditionalFormatting sqref="C85">
    <cfRule type="cellIs" dxfId="2832" priority="4301" stopIfTrue="1" operator="equal">
      <formula>"Towel"</formula>
    </cfRule>
    <cfRule type="cellIs" dxfId="2831" priority="4302" stopIfTrue="1" operator="equal">
      <formula>"Napkin Hs"</formula>
    </cfRule>
  </conditionalFormatting>
  <conditionalFormatting sqref="C85">
    <cfRule type="cellIs" dxfId="2830" priority="4303" stopIfTrue="1" operator="equal">
      <formula>"Towel"</formula>
    </cfRule>
  </conditionalFormatting>
  <conditionalFormatting sqref="B85:C85">
    <cfRule type="cellIs" dxfId="2829" priority="4299" stopIfTrue="1" operator="equal">
      <formula>"Towel"</formula>
    </cfRule>
    <cfRule type="cellIs" dxfId="2828" priority="4300" stopIfTrue="1" operator="equal">
      <formula>"Napkin Hs"</formula>
    </cfRule>
  </conditionalFormatting>
  <conditionalFormatting sqref="C85">
    <cfRule type="cellIs" dxfId="2827" priority="4295" stopIfTrue="1" operator="equal">
      <formula>"Towel"</formula>
    </cfRule>
    <cfRule type="cellIs" dxfId="2826" priority="4296" stopIfTrue="1" operator="equal">
      <formula>"Napkin Hs"</formula>
    </cfRule>
  </conditionalFormatting>
  <conditionalFormatting sqref="C85">
    <cfRule type="cellIs" dxfId="2825" priority="4297" stopIfTrue="1" operator="equal">
      <formula>"Towel"</formula>
    </cfRule>
    <cfRule type="cellIs" dxfId="2824" priority="4298" stopIfTrue="1" operator="equal">
      <formula>"Napkin Hs"</formula>
    </cfRule>
  </conditionalFormatting>
  <conditionalFormatting sqref="B85:C85">
    <cfRule type="cellIs" dxfId="2823" priority="4293" stopIfTrue="1" operator="equal">
      <formula>"Towel"</formula>
    </cfRule>
    <cfRule type="cellIs" dxfId="2822" priority="4294" stopIfTrue="1" operator="equal">
      <formula>"Napkin Hs"</formula>
    </cfRule>
  </conditionalFormatting>
  <conditionalFormatting sqref="C85">
    <cfRule type="cellIs" dxfId="2821" priority="4289" stopIfTrue="1" operator="equal">
      <formula>"Towel"</formula>
    </cfRule>
    <cfRule type="cellIs" dxfId="2820" priority="4290" stopIfTrue="1" operator="equal">
      <formula>"Napkin Hs"</formula>
    </cfRule>
  </conditionalFormatting>
  <conditionalFormatting sqref="C85">
    <cfRule type="cellIs" dxfId="2819" priority="4291" stopIfTrue="1" operator="equal">
      <formula>"Towel"</formula>
    </cfRule>
    <cfRule type="cellIs" dxfId="2818" priority="4292" stopIfTrue="1" operator="equal">
      <formula>"Napkin Hs"</formula>
    </cfRule>
  </conditionalFormatting>
  <conditionalFormatting sqref="B85:C85">
    <cfRule type="cellIs" dxfId="2817" priority="4287" stopIfTrue="1" operator="equal">
      <formula>"Towel"</formula>
    </cfRule>
    <cfRule type="cellIs" dxfId="2816" priority="4288" stopIfTrue="1" operator="equal">
      <formula>"Napkin Hs"</formula>
    </cfRule>
  </conditionalFormatting>
  <conditionalFormatting sqref="C85">
    <cfRule type="cellIs" dxfId="2815" priority="4285" stopIfTrue="1" operator="equal">
      <formula>"Towel"</formula>
    </cfRule>
    <cfRule type="cellIs" dxfId="2814" priority="4286" stopIfTrue="1" operator="equal">
      <formula>"Napkin Hs"</formula>
    </cfRule>
  </conditionalFormatting>
  <conditionalFormatting sqref="C85">
    <cfRule type="cellIs" dxfId="2813" priority="4283" stopIfTrue="1" operator="equal">
      <formula>"Towel"</formula>
    </cfRule>
    <cfRule type="cellIs" dxfId="2812" priority="4284" stopIfTrue="1" operator="equal">
      <formula>"Napkin Hs"</formula>
    </cfRule>
  </conditionalFormatting>
  <conditionalFormatting sqref="B85:C85">
    <cfRule type="cellIs" dxfId="2811" priority="4281" stopIfTrue="1" operator="equal">
      <formula>"Towel"</formula>
    </cfRule>
    <cfRule type="cellIs" dxfId="2810" priority="4282" stopIfTrue="1" operator="equal">
      <formula>"Napkin Hs"</formula>
    </cfRule>
  </conditionalFormatting>
  <conditionalFormatting sqref="C85">
    <cfRule type="cellIs" dxfId="2809" priority="4279" stopIfTrue="1" operator="equal">
      <formula>"Towel"</formula>
    </cfRule>
    <cfRule type="cellIs" dxfId="2808" priority="4280" stopIfTrue="1" operator="equal">
      <formula>"Napkin Hs"</formula>
    </cfRule>
  </conditionalFormatting>
  <conditionalFormatting sqref="C85">
    <cfRule type="cellIs" dxfId="2807" priority="4277" stopIfTrue="1" operator="equal">
      <formula>"Towel"</formula>
    </cfRule>
    <cfRule type="cellIs" dxfId="2806" priority="4278" stopIfTrue="1" operator="equal">
      <formula>"Napkin Hs"</formula>
    </cfRule>
  </conditionalFormatting>
  <conditionalFormatting sqref="B85:C85">
    <cfRule type="cellIs" dxfId="2805" priority="4275" stopIfTrue="1" operator="equal">
      <formula>"Towel"</formula>
    </cfRule>
    <cfRule type="cellIs" dxfId="2804" priority="4276" stopIfTrue="1" operator="equal">
      <formula>"Napkin Hs"</formula>
    </cfRule>
  </conditionalFormatting>
  <conditionalFormatting sqref="C85">
    <cfRule type="cellIs" dxfId="2803" priority="4273" stopIfTrue="1" operator="equal">
      <formula>"Towel"</formula>
    </cfRule>
    <cfRule type="cellIs" dxfId="2802" priority="4274" stopIfTrue="1" operator="equal">
      <formula>"Napkin Hs"</formula>
    </cfRule>
  </conditionalFormatting>
  <conditionalFormatting sqref="C85">
    <cfRule type="cellIs" dxfId="2801" priority="4271" stopIfTrue="1" operator="equal">
      <formula>"Towel"</formula>
    </cfRule>
    <cfRule type="cellIs" dxfId="2800" priority="4272" stopIfTrue="1" operator="equal">
      <formula>"Napkin Hs"</formula>
    </cfRule>
  </conditionalFormatting>
  <conditionalFormatting sqref="B85:C85">
    <cfRule type="cellIs" dxfId="2799" priority="4270" stopIfTrue="1" operator="equal">
      <formula>"Napkin Hs"</formula>
    </cfRule>
  </conditionalFormatting>
  <conditionalFormatting sqref="B85:C85">
    <cfRule type="cellIs" dxfId="2798" priority="4269" stopIfTrue="1" operator="equal">
      <formula>"Towel"</formula>
    </cfRule>
  </conditionalFormatting>
  <conditionalFormatting sqref="C85">
    <cfRule type="cellIs" dxfId="2797" priority="4268" stopIfTrue="1" operator="equal">
      <formula>"Napkin Hs"</formula>
    </cfRule>
  </conditionalFormatting>
  <conditionalFormatting sqref="C85">
    <cfRule type="cellIs" dxfId="2796" priority="4265" stopIfTrue="1" operator="equal">
      <formula>"Towel"</formula>
    </cfRule>
    <cfRule type="cellIs" dxfId="2795" priority="4266" stopIfTrue="1" operator="equal">
      <formula>"Napkin Hs"</formula>
    </cfRule>
  </conditionalFormatting>
  <conditionalFormatting sqref="C85">
    <cfRule type="cellIs" dxfId="2794" priority="4267" stopIfTrue="1" operator="equal">
      <formula>"Towel"</formula>
    </cfRule>
  </conditionalFormatting>
  <conditionalFormatting sqref="B85:C85">
    <cfRule type="cellIs" dxfId="2793" priority="4263" stopIfTrue="1" operator="equal">
      <formula>"Towel"</formula>
    </cfRule>
    <cfRule type="cellIs" dxfId="2792" priority="4264" stopIfTrue="1" operator="equal">
      <formula>"Napkin Hs"</formula>
    </cfRule>
  </conditionalFormatting>
  <conditionalFormatting sqref="C85">
    <cfRule type="cellIs" dxfId="2791" priority="4259" stopIfTrue="1" operator="equal">
      <formula>"Towel"</formula>
    </cfRule>
    <cfRule type="cellIs" dxfId="2790" priority="4260" stopIfTrue="1" operator="equal">
      <formula>"Napkin Hs"</formula>
    </cfRule>
  </conditionalFormatting>
  <conditionalFormatting sqref="C85">
    <cfRule type="cellIs" dxfId="2789" priority="4261" stopIfTrue="1" operator="equal">
      <formula>"Towel"</formula>
    </cfRule>
    <cfRule type="cellIs" dxfId="2788" priority="4262" stopIfTrue="1" operator="equal">
      <formula>"Napkin Hs"</formula>
    </cfRule>
  </conditionalFormatting>
  <conditionalFormatting sqref="C85">
    <cfRule type="cellIs" dxfId="2787" priority="4175" stopIfTrue="1" operator="equal">
      <formula>"Towel"</formula>
    </cfRule>
    <cfRule type="cellIs" dxfId="2786" priority="4176" stopIfTrue="1" operator="equal">
      <formula>"Napkin Hs"</formula>
    </cfRule>
  </conditionalFormatting>
  <conditionalFormatting sqref="C85">
    <cfRule type="cellIs" dxfId="2785" priority="4169" stopIfTrue="1" operator="equal">
      <formula>"Towel"</formula>
    </cfRule>
    <cfRule type="cellIs" dxfId="2784" priority="4170" stopIfTrue="1" operator="equal">
      <formula>"Napkin Hs"</formula>
    </cfRule>
  </conditionalFormatting>
  <conditionalFormatting sqref="C85">
    <cfRule type="cellIs" dxfId="2783" priority="4150" stopIfTrue="1" operator="equal">
      <formula>"Napkin Hs"</formula>
    </cfRule>
  </conditionalFormatting>
  <conditionalFormatting sqref="C85">
    <cfRule type="cellIs" dxfId="2782" priority="4149" stopIfTrue="1" operator="equal">
      <formula>"Towel"</formula>
    </cfRule>
  </conditionalFormatting>
  <conditionalFormatting sqref="C85">
    <cfRule type="cellIs" dxfId="2781" priority="4148" stopIfTrue="1" operator="equal">
      <formula>"Napkin Hs"</formula>
    </cfRule>
  </conditionalFormatting>
  <conditionalFormatting sqref="C85">
    <cfRule type="cellIs" dxfId="2780" priority="4145" stopIfTrue="1" operator="equal">
      <formula>"Towel"</formula>
    </cfRule>
    <cfRule type="cellIs" dxfId="2779" priority="4146" stopIfTrue="1" operator="equal">
      <formula>"Napkin Hs"</formula>
    </cfRule>
  </conditionalFormatting>
  <conditionalFormatting sqref="C85">
    <cfRule type="cellIs" dxfId="2778" priority="4147" stopIfTrue="1" operator="equal">
      <formula>"Towel"</formula>
    </cfRule>
  </conditionalFormatting>
  <conditionalFormatting sqref="C85">
    <cfRule type="cellIs" dxfId="2777" priority="4144" stopIfTrue="1" operator="equal">
      <formula>"Napkin Hs"</formula>
    </cfRule>
  </conditionalFormatting>
  <conditionalFormatting sqref="C85">
    <cfRule type="cellIs" dxfId="2776" priority="4143" stopIfTrue="1" operator="equal">
      <formula>"Towel"</formula>
    </cfRule>
  </conditionalFormatting>
  <conditionalFormatting sqref="C85">
    <cfRule type="cellIs" dxfId="2775" priority="4142" stopIfTrue="1" operator="equal">
      <formula>"Napkin Hs"</formula>
    </cfRule>
  </conditionalFormatting>
  <conditionalFormatting sqref="C85">
    <cfRule type="cellIs" dxfId="2774" priority="4139" stopIfTrue="1" operator="equal">
      <formula>"Towel"</formula>
    </cfRule>
    <cfRule type="cellIs" dxfId="2773" priority="4140" stopIfTrue="1" operator="equal">
      <formula>"Napkin Hs"</formula>
    </cfRule>
  </conditionalFormatting>
  <conditionalFormatting sqref="C85">
    <cfRule type="cellIs" dxfId="2772" priority="4141" stopIfTrue="1" operator="equal">
      <formula>"Towel"</formula>
    </cfRule>
  </conditionalFormatting>
  <conditionalFormatting sqref="C85">
    <cfRule type="cellIs" dxfId="2771" priority="4245" stopIfTrue="1" operator="equal">
      <formula>"Towel"</formula>
    </cfRule>
    <cfRule type="cellIs" dxfId="2770" priority="4246" stopIfTrue="1" operator="equal">
      <formula>"Napkin Hs"</formula>
    </cfRule>
  </conditionalFormatting>
  <conditionalFormatting sqref="C85">
    <cfRule type="cellIs" dxfId="2769" priority="4243" stopIfTrue="1" operator="equal">
      <formula>"Towel"</formula>
    </cfRule>
    <cfRule type="cellIs" dxfId="2768" priority="4244" stopIfTrue="1" operator="equal">
      <formula>"Napkin Hs"</formula>
    </cfRule>
  </conditionalFormatting>
  <conditionalFormatting sqref="C85">
    <cfRule type="cellIs" dxfId="2767" priority="4241" stopIfTrue="1" operator="equal">
      <formula>"Towel"</formula>
    </cfRule>
    <cfRule type="cellIs" dxfId="2766" priority="4242" stopIfTrue="1" operator="equal">
      <formula>"Napkin Hs"</formula>
    </cfRule>
  </conditionalFormatting>
  <conditionalFormatting sqref="C85">
    <cfRule type="cellIs" dxfId="2765" priority="4240" stopIfTrue="1" operator="equal">
      <formula>"Napkin Hs"</formula>
    </cfRule>
  </conditionalFormatting>
  <conditionalFormatting sqref="C85">
    <cfRule type="cellIs" dxfId="2764" priority="4239" stopIfTrue="1" operator="equal">
      <formula>"Towel"</formula>
    </cfRule>
  </conditionalFormatting>
  <conditionalFormatting sqref="C85">
    <cfRule type="cellIs" dxfId="2763" priority="4238" stopIfTrue="1" operator="equal">
      <formula>"Napkin Hs"</formula>
    </cfRule>
  </conditionalFormatting>
  <conditionalFormatting sqref="C85">
    <cfRule type="cellIs" dxfId="2762" priority="4237" stopIfTrue="1" operator="equal">
      <formula>"Towel"</formula>
    </cfRule>
  </conditionalFormatting>
  <conditionalFormatting sqref="C85">
    <cfRule type="cellIs" dxfId="2761" priority="4235" stopIfTrue="1" operator="equal">
      <formula>"Towel"</formula>
    </cfRule>
    <cfRule type="cellIs" dxfId="2760" priority="4236" stopIfTrue="1" operator="equal">
      <formula>"Napkin Hs"</formula>
    </cfRule>
  </conditionalFormatting>
  <conditionalFormatting sqref="C85">
    <cfRule type="cellIs" dxfId="2759" priority="4233" stopIfTrue="1" operator="equal">
      <formula>"Towel"</formula>
    </cfRule>
    <cfRule type="cellIs" dxfId="2758" priority="4234" stopIfTrue="1" operator="equal">
      <formula>"Napkin Hs"</formula>
    </cfRule>
  </conditionalFormatting>
  <conditionalFormatting sqref="C85">
    <cfRule type="cellIs" dxfId="2757" priority="4229" stopIfTrue="1" operator="equal">
      <formula>"Towel"</formula>
    </cfRule>
    <cfRule type="cellIs" dxfId="2756" priority="4230" stopIfTrue="1" operator="equal">
      <formula>"Napkin Hs"</formula>
    </cfRule>
  </conditionalFormatting>
  <conditionalFormatting sqref="C85">
    <cfRule type="cellIs" dxfId="2755" priority="4231" stopIfTrue="1" operator="equal">
      <formula>"Towel"</formula>
    </cfRule>
    <cfRule type="cellIs" dxfId="2754" priority="4232" stopIfTrue="1" operator="equal">
      <formula>"Napkin Hs"</formula>
    </cfRule>
  </conditionalFormatting>
  <conditionalFormatting sqref="C85">
    <cfRule type="cellIs" dxfId="2753" priority="4223" stopIfTrue="1" operator="equal">
      <formula>"Towel"</formula>
    </cfRule>
    <cfRule type="cellIs" dxfId="2752" priority="4224" stopIfTrue="1" operator="equal">
      <formula>"Napkin Hs"</formula>
    </cfRule>
  </conditionalFormatting>
  <conditionalFormatting sqref="C85">
    <cfRule type="cellIs" dxfId="2751" priority="4221" stopIfTrue="1" operator="equal">
      <formula>"Towel"</formula>
    </cfRule>
    <cfRule type="cellIs" dxfId="2750" priority="4222" stopIfTrue="1" operator="equal">
      <formula>"Napkin Hs"</formula>
    </cfRule>
  </conditionalFormatting>
  <conditionalFormatting sqref="C85">
    <cfRule type="cellIs" dxfId="2749" priority="4219" stopIfTrue="1" operator="equal">
      <formula>"Towel"</formula>
    </cfRule>
    <cfRule type="cellIs" dxfId="2748" priority="4220" stopIfTrue="1" operator="equal">
      <formula>"Napkin Hs"</formula>
    </cfRule>
  </conditionalFormatting>
  <conditionalFormatting sqref="C85">
    <cfRule type="cellIs" dxfId="2747" priority="4217" stopIfTrue="1" operator="equal">
      <formula>"Towel"</formula>
    </cfRule>
    <cfRule type="cellIs" dxfId="2746" priority="4218" stopIfTrue="1" operator="equal">
      <formula>"Napkin Hs"</formula>
    </cfRule>
  </conditionalFormatting>
  <conditionalFormatting sqref="C85">
    <cfRule type="cellIs" dxfId="2745" priority="4215" stopIfTrue="1" operator="equal">
      <formula>"Towel"</formula>
    </cfRule>
    <cfRule type="cellIs" dxfId="2744" priority="4216" stopIfTrue="1" operator="equal">
      <formula>"Napkin Hs"</formula>
    </cfRule>
  </conditionalFormatting>
  <conditionalFormatting sqref="C85">
    <cfRule type="cellIs" dxfId="2743" priority="4213" stopIfTrue="1" operator="equal">
      <formula>"Towel"</formula>
    </cfRule>
    <cfRule type="cellIs" dxfId="2742" priority="4214" stopIfTrue="1" operator="equal">
      <formula>"Napkin Hs"</formula>
    </cfRule>
  </conditionalFormatting>
  <conditionalFormatting sqref="C85">
    <cfRule type="cellIs" dxfId="2741" priority="4211" stopIfTrue="1" operator="equal">
      <formula>"Towel"</formula>
    </cfRule>
    <cfRule type="cellIs" dxfId="2740" priority="4212" stopIfTrue="1" operator="equal">
      <formula>"Napkin Hs"</formula>
    </cfRule>
  </conditionalFormatting>
  <conditionalFormatting sqref="C85">
    <cfRule type="cellIs" dxfId="2739" priority="4209" stopIfTrue="1" operator="equal">
      <formula>"Towel"</formula>
    </cfRule>
    <cfRule type="cellIs" dxfId="2738" priority="4210" stopIfTrue="1" operator="equal">
      <formula>"Napkin Hs"</formula>
    </cfRule>
  </conditionalFormatting>
  <conditionalFormatting sqref="C85">
    <cfRule type="cellIs" dxfId="2737" priority="4207" stopIfTrue="1" operator="equal">
      <formula>"Towel"</formula>
    </cfRule>
    <cfRule type="cellIs" dxfId="2736" priority="4208" stopIfTrue="1" operator="equal">
      <formula>"Napkin Hs"</formula>
    </cfRule>
  </conditionalFormatting>
  <conditionalFormatting sqref="C85">
    <cfRule type="cellIs" dxfId="2735" priority="4205" stopIfTrue="1" operator="equal">
      <formula>"Towel"</formula>
    </cfRule>
    <cfRule type="cellIs" dxfId="2734" priority="4206" stopIfTrue="1" operator="equal">
      <formula>"Napkin Hs"</formula>
    </cfRule>
  </conditionalFormatting>
  <conditionalFormatting sqref="C85">
    <cfRule type="cellIs" dxfId="2733" priority="4199" stopIfTrue="1" operator="equal">
      <formula>"Towel"</formula>
    </cfRule>
    <cfRule type="cellIs" dxfId="2732" priority="4200" stopIfTrue="1" operator="equal">
      <formula>"Napkin Hs"</formula>
    </cfRule>
  </conditionalFormatting>
  <conditionalFormatting sqref="C85">
    <cfRule type="cellIs" dxfId="2731" priority="4193" stopIfTrue="1" operator="equal">
      <formula>"Towel"</formula>
    </cfRule>
    <cfRule type="cellIs" dxfId="2730" priority="4194" stopIfTrue="1" operator="equal">
      <formula>"Napkin Hs"</formula>
    </cfRule>
  </conditionalFormatting>
  <conditionalFormatting sqref="C85">
    <cfRule type="cellIs" dxfId="2729" priority="4187" stopIfTrue="1" operator="equal">
      <formula>"Towel"</formula>
    </cfRule>
    <cfRule type="cellIs" dxfId="2728" priority="4188" stopIfTrue="1" operator="equal">
      <formula>"Napkin Hs"</formula>
    </cfRule>
  </conditionalFormatting>
  <conditionalFormatting sqref="C85">
    <cfRule type="cellIs" dxfId="2727" priority="4186" stopIfTrue="1" operator="equal">
      <formula>"Napkin Hs"</formula>
    </cfRule>
  </conditionalFormatting>
  <conditionalFormatting sqref="C85">
    <cfRule type="cellIs" dxfId="2726" priority="4185" stopIfTrue="1" operator="equal">
      <formula>"Towel"</formula>
    </cfRule>
  </conditionalFormatting>
  <conditionalFormatting sqref="C85">
    <cfRule type="cellIs" dxfId="2725" priority="4184" stopIfTrue="1" operator="equal">
      <formula>"Napkin Hs"</formula>
    </cfRule>
  </conditionalFormatting>
  <conditionalFormatting sqref="C85">
    <cfRule type="cellIs" dxfId="2724" priority="4183" stopIfTrue="1" operator="equal">
      <formula>"Towel"</formula>
    </cfRule>
  </conditionalFormatting>
  <conditionalFormatting sqref="C85">
    <cfRule type="cellIs" dxfId="2723" priority="4181" stopIfTrue="1" operator="equal">
      <formula>"Towel"</formula>
    </cfRule>
    <cfRule type="cellIs" dxfId="2722" priority="4182" stopIfTrue="1" operator="equal">
      <formula>"Napkin Hs"</formula>
    </cfRule>
  </conditionalFormatting>
  <conditionalFormatting sqref="C85">
    <cfRule type="cellIs" dxfId="2721" priority="4179" stopIfTrue="1" operator="equal">
      <formula>"Towel"</formula>
    </cfRule>
    <cfRule type="cellIs" dxfId="2720" priority="4180" stopIfTrue="1" operator="equal">
      <formula>"Napkin Hs"</formula>
    </cfRule>
  </conditionalFormatting>
  <conditionalFormatting sqref="C85">
    <cfRule type="cellIs" dxfId="2719" priority="4177" stopIfTrue="1" operator="equal">
      <formula>"Towel"</formula>
    </cfRule>
    <cfRule type="cellIs" dxfId="2718" priority="4178" stopIfTrue="1" operator="equal">
      <formula>"Napkin Hs"</formula>
    </cfRule>
  </conditionalFormatting>
  <conditionalFormatting sqref="C85">
    <cfRule type="cellIs" dxfId="2717" priority="4167" stopIfTrue="1" operator="equal">
      <formula>"Towel"</formula>
    </cfRule>
    <cfRule type="cellIs" dxfId="2716" priority="4168" stopIfTrue="1" operator="equal">
      <formula>"Napkin Hs"</formula>
    </cfRule>
  </conditionalFormatting>
  <conditionalFormatting sqref="C85">
    <cfRule type="cellIs" dxfId="2715" priority="4165" stopIfTrue="1" operator="equal">
      <formula>"Towel"</formula>
    </cfRule>
    <cfRule type="cellIs" dxfId="2714" priority="4166" stopIfTrue="1" operator="equal">
      <formula>"Napkin Hs"</formula>
    </cfRule>
  </conditionalFormatting>
  <conditionalFormatting sqref="C85">
    <cfRule type="cellIs" dxfId="2713" priority="4163" stopIfTrue="1" operator="equal">
      <formula>"Towel"</formula>
    </cfRule>
    <cfRule type="cellIs" dxfId="2712" priority="4164" stopIfTrue="1" operator="equal">
      <formula>"Napkin Hs"</formula>
    </cfRule>
  </conditionalFormatting>
  <conditionalFormatting sqref="C85">
    <cfRule type="cellIs" dxfId="2711" priority="4161" stopIfTrue="1" operator="equal">
      <formula>"Towel"</formula>
    </cfRule>
    <cfRule type="cellIs" dxfId="2710" priority="4162" stopIfTrue="1" operator="equal">
      <formula>"Napkin Hs"</formula>
    </cfRule>
  </conditionalFormatting>
  <conditionalFormatting sqref="C85">
    <cfRule type="cellIs" dxfId="2709" priority="4159" stopIfTrue="1" operator="equal">
      <formula>"Towel"</formula>
    </cfRule>
    <cfRule type="cellIs" dxfId="2708" priority="4160" stopIfTrue="1" operator="equal">
      <formula>"Napkin Hs"</formula>
    </cfRule>
  </conditionalFormatting>
  <conditionalFormatting sqref="C85">
    <cfRule type="cellIs" dxfId="2707" priority="4157" stopIfTrue="1" operator="equal">
      <formula>"Towel"</formula>
    </cfRule>
    <cfRule type="cellIs" dxfId="2706" priority="4158" stopIfTrue="1" operator="equal">
      <formula>"Napkin Hs"</formula>
    </cfRule>
  </conditionalFormatting>
  <conditionalFormatting sqref="C85">
    <cfRule type="cellIs" dxfId="2705" priority="4155" stopIfTrue="1" operator="equal">
      <formula>"Towel"</formula>
    </cfRule>
    <cfRule type="cellIs" dxfId="2704" priority="4156" stopIfTrue="1" operator="equal">
      <formula>"Napkin Hs"</formula>
    </cfRule>
  </conditionalFormatting>
  <conditionalFormatting sqref="C85">
    <cfRule type="cellIs" dxfId="2703" priority="4153" stopIfTrue="1" operator="equal">
      <formula>"Towel"</formula>
    </cfRule>
    <cfRule type="cellIs" dxfId="2702" priority="4154" stopIfTrue="1" operator="equal">
      <formula>"Napkin Hs"</formula>
    </cfRule>
  </conditionalFormatting>
  <conditionalFormatting sqref="C85">
    <cfRule type="cellIs" dxfId="2701" priority="4151" stopIfTrue="1" operator="equal">
      <formula>"Towel"</formula>
    </cfRule>
    <cfRule type="cellIs" dxfId="2700" priority="4152" stopIfTrue="1" operator="equal">
      <formula>"Napkin Hs"</formula>
    </cfRule>
  </conditionalFormatting>
  <conditionalFormatting sqref="C85">
    <cfRule type="cellIs" dxfId="2699" priority="4138" stopIfTrue="1" operator="equal">
      <formula>"Napkin Hs"</formula>
    </cfRule>
  </conditionalFormatting>
  <conditionalFormatting sqref="C85">
    <cfRule type="cellIs" dxfId="2698" priority="4137" stopIfTrue="1" operator="equal">
      <formula>"Towel"</formula>
    </cfRule>
  </conditionalFormatting>
  <conditionalFormatting sqref="C85">
    <cfRule type="cellIs" dxfId="2697" priority="4136" stopIfTrue="1" operator="equal">
      <formula>"Napkin Hs"</formula>
    </cfRule>
  </conditionalFormatting>
  <conditionalFormatting sqref="C85">
    <cfRule type="cellIs" dxfId="2696" priority="4133" stopIfTrue="1" operator="equal">
      <formula>"Towel"</formula>
    </cfRule>
    <cfRule type="cellIs" dxfId="2695" priority="4134" stopIfTrue="1" operator="equal">
      <formula>"Napkin Hs"</formula>
    </cfRule>
  </conditionalFormatting>
  <conditionalFormatting sqref="C85">
    <cfRule type="cellIs" dxfId="2694" priority="4135" stopIfTrue="1" operator="equal">
      <formula>"Towel"</formula>
    </cfRule>
  </conditionalFormatting>
  <conditionalFormatting sqref="C85">
    <cfRule type="cellIs" dxfId="2693" priority="4253" stopIfTrue="1" operator="equal">
      <formula>"Towel"</formula>
    </cfRule>
    <cfRule type="cellIs" dxfId="2692" priority="4254" stopIfTrue="1" operator="equal">
      <formula>"Napkin Hs"</formula>
    </cfRule>
  </conditionalFormatting>
  <conditionalFormatting sqref="C85">
    <cfRule type="cellIs" dxfId="2691" priority="4252" stopIfTrue="1" operator="equal">
      <formula>"Napkin Hs"</formula>
    </cfRule>
  </conditionalFormatting>
  <conditionalFormatting sqref="C85">
    <cfRule type="cellIs" dxfId="2690" priority="4251" stopIfTrue="1" operator="equal">
      <formula>"Towel"</formula>
    </cfRule>
  </conditionalFormatting>
  <conditionalFormatting sqref="C85">
    <cfRule type="cellIs" dxfId="2689" priority="4250" stopIfTrue="1" operator="equal">
      <formula>"Napkin Hs"</formula>
    </cfRule>
  </conditionalFormatting>
  <conditionalFormatting sqref="C85">
    <cfRule type="cellIs" dxfId="2688" priority="4247" stopIfTrue="1" operator="equal">
      <formula>"Towel"</formula>
    </cfRule>
    <cfRule type="cellIs" dxfId="2687" priority="4248" stopIfTrue="1" operator="equal">
      <formula>"Napkin Hs"</formula>
    </cfRule>
  </conditionalFormatting>
  <conditionalFormatting sqref="C85">
    <cfRule type="cellIs" dxfId="2686" priority="4249" stopIfTrue="1" operator="equal">
      <formula>"Towel"</formula>
    </cfRule>
  </conditionalFormatting>
  <conditionalFormatting sqref="C85">
    <cfRule type="cellIs" dxfId="2685" priority="4257" stopIfTrue="1" operator="equal">
      <formula>"Towel"</formula>
    </cfRule>
    <cfRule type="cellIs" dxfId="2684" priority="4258" stopIfTrue="1" operator="equal">
      <formula>"Napkin Hs"</formula>
    </cfRule>
  </conditionalFormatting>
  <conditionalFormatting sqref="C85">
    <cfRule type="cellIs" dxfId="2683" priority="4255" stopIfTrue="1" operator="equal">
      <formula>"Towel"</formula>
    </cfRule>
    <cfRule type="cellIs" dxfId="2682" priority="4256" stopIfTrue="1" operator="equal">
      <formula>"Napkin Hs"</formula>
    </cfRule>
  </conditionalFormatting>
  <conditionalFormatting sqref="C85">
    <cfRule type="cellIs" dxfId="2681" priority="4227" stopIfTrue="1" operator="equal">
      <formula>"Towel"</formula>
    </cfRule>
    <cfRule type="cellIs" dxfId="2680" priority="4228" stopIfTrue="1" operator="equal">
      <formula>"Napkin Hs"</formula>
    </cfRule>
  </conditionalFormatting>
  <conditionalFormatting sqref="C85">
    <cfRule type="cellIs" dxfId="2679" priority="4225" stopIfTrue="1" operator="equal">
      <formula>"Towel"</formula>
    </cfRule>
    <cfRule type="cellIs" dxfId="2678" priority="4226" stopIfTrue="1" operator="equal">
      <formula>"Napkin Hs"</formula>
    </cfRule>
  </conditionalFormatting>
  <conditionalFormatting sqref="C85">
    <cfRule type="cellIs" dxfId="2677" priority="4204" stopIfTrue="1" operator="equal">
      <formula>"Napkin Hs"</formula>
    </cfRule>
  </conditionalFormatting>
  <conditionalFormatting sqref="C85">
    <cfRule type="cellIs" dxfId="2676" priority="4203" stopIfTrue="1" operator="equal">
      <formula>"Towel"</formula>
    </cfRule>
  </conditionalFormatting>
  <conditionalFormatting sqref="C85">
    <cfRule type="cellIs" dxfId="2675" priority="4202" stopIfTrue="1" operator="equal">
      <formula>"Napkin Hs"</formula>
    </cfRule>
  </conditionalFormatting>
  <conditionalFormatting sqref="C85">
    <cfRule type="cellIs" dxfId="2674" priority="4201" stopIfTrue="1" operator="equal">
      <formula>"Towel"</formula>
    </cfRule>
  </conditionalFormatting>
  <conditionalFormatting sqref="C85">
    <cfRule type="cellIs" dxfId="2673" priority="4198" stopIfTrue="1" operator="equal">
      <formula>"Napkin Hs"</formula>
    </cfRule>
  </conditionalFormatting>
  <conditionalFormatting sqref="C85">
    <cfRule type="cellIs" dxfId="2672" priority="4197" stopIfTrue="1" operator="equal">
      <formula>"Towel"</formula>
    </cfRule>
  </conditionalFormatting>
  <conditionalFormatting sqref="C85">
    <cfRule type="cellIs" dxfId="2671" priority="4196" stopIfTrue="1" operator="equal">
      <formula>"Napkin Hs"</formula>
    </cfRule>
  </conditionalFormatting>
  <conditionalFormatting sqref="C85">
    <cfRule type="cellIs" dxfId="2670" priority="4195" stopIfTrue="1" operator="equal">
      <formula>"Towel"</formula>
    </cfRule>
  </conditionalFormatting>
  <conditionalFormatting sqref="C85">
    <cfRule type="cellIs" dxfId="2669" priority="4191" stopIfTrue="1" operator="equal">
      <formula>"Towel"</formula>
    </cfRule>
    <cfRule type="cellIs" dxfId="2668" priority="4192" stopIfTrue="1" operator="equal">
      <formula>"Napkin Hs"</formula>
    </cfRule>
  </conditionalFormatting>
  <conditionalFormatting sqref="C85">
    <cfRule type="cellIs" dxfId="2667" priority="4189" stopIfTrue="1" operator="equal">
      <formula>"Towel"</formula>
    </cfRule>
    <cfRule type="cellIs" dxfId="2666" priority="4190" stopIfTrue="1" operator="equal">
      <formula>"Napkin Hs"</formula>
    </cfRule>
  </conditionalFormatting>
  <conditionalFormatting sqref="C85">
    <cfRule type="cellIs" dxfId="2665" priority="4173" stopIfTrue="1" operator="equal">
      <formula>"Towel"</formula>
    </cfRule>
    <cfRule type="cellIs" dxfId="2664" priority="4174" stopIfTrue="1" operator="equal">
      <formula>"Napkin Hs"</formula>
    </cfRule>
  </conditionalFormatting>
  <conditionalFormatting sqref="C85">
    <cfRule type="cellIs" dxfId="2663" priority="4171" stopIfTrue="1" operator="equal">
      <formula>"Towel"</formula>
    </cfRule>
    <cfRule type="cellIs" dxfId="2662" priority="4172" stopIfTrue="1" operator="equal">
      <formula>"Napkin Hs"</formula>
    </cfRule>
  </conditionalFormatting>
  <conditionalFormatting sqref="B85:C85">
    <cfRule type="cellIs" dxfId="2661" priority="4132" stopIfTrue="1" operator="equal">
      <formula>"Napkin Hs"</formula>
    </cfRule>
  </conditionalFormatting>
  <conditionalFormatting sqref="B85:C85">
    <cfRule type="cellIs" dxfId="2660" priority="4131" stopIfTrue="1" operator="equal">
      <formula>"Towel"</formula>
    </cfRule>
  </conditionalFormatting>
  <conditionalFormatting sqref="C85">
    <cfRule type="cellIs" dxfId="2659" priority="4130" stopIfTrue="1" operator="equal">
      <formula>"Napkin Hs"</formula>
    </cfRule>
  </conditionalFormatting>
  <conditionalFormatting sqref="C85">
    <cfRule type="cellIs" dxfId="2658" priority="4127" stopIfTrue="1" operator="equal">
      <formula>"Towel"</formula>
    </cfRule>
    <cfRule type="cellIs" dxfId="2657" priority="4128" stopIfTrue="1" operator="equal">
      <formula>"Napkin Hs"</formula>
    </cfRule>
  </conditionalFormatting>
  <conditionalFormatting sqref="C85">
    <cfRule type="cellIs" dxfId="2656" priority="4129" stopIfTrue="1" operator="equal">
      <formula>"Towel"</formula>
    </cfRule>
  </conditionalFormatting>
  <conditionalFormatting sqref="B85:C85">
    <cfRule type="cellIs" dxfId="2655" priority="4126" stopIfTrue="1" operator="equal">
      <formula>"Napkin Hs"</formula>
    </cfRule>
  </conditionalFormatting>
  <conditionalFormatting sqref="B85:C85">
    <cfRule type="cellIs" dxfId="2654" priority="4125" stopIfTrue="1" operator="equal">
      <formula>"Towel"</formula>
    </cfRule>
  </conditionalFormatting>
  <conditionalFormatting sqref="C85">
    <cfRule type="cellIs" dxfId="2653" priority="4124" stopIfTrue="1" operator="equal">
      <formula>"Napkin Hs"</formula>
    </cfRule>
  </conditionalFormatting>
  <conditionalFormatting sqref="C85">
    <cfRule type="cellIs" dxfId="2652" priority="4123" stopIfTrue="1" operator="equal">
      <formula>"Towel"</formula>
    </cfRule>
  </conditionalFormatting>
  <conditionalFormatting sqref="C85">
    <cfRule type="cellIs" dxfId="2651" priority="4121" stopIfTrue="1" operator="equal">
      <formula>"Towel"</formula>
    </cfRule>
    <cfRule type="cellIs" dxfId="2650" priority="4122" stopIfTrue="1" operator="equal">
      <formula>"Napkin Hs"</formula>
    </cfRule>
  </conditionalFormatting>
  <conditionalFormatting sqref="C85">
    <cfRule type="cellIs" dxfId="2649" priority="4037" stopIfTrue="1" operator="equal">
      <formula>"Towel"</formula>
    </cfRule>
    <cfRule type="cellIs" dxfId="2648" priority="4038" stopIfTrue="1" operator="equal">
      <formula>"Napkin Hs"</formula>
    </cfRule>
  </conditionalFormatting>
  <conditionalFormatting sqref="C85">
    <cfRule type="cellIs" dxfId="2647" priority="4031" stopIfTrue="1" operator="equal">
      <formula>"Towel"</formula>
    </cfRule>
    <cfRule type="cellIs" dxfId="2646" priority="4032" stopIfTrue="1" operator="equal">
      <formula>"Napkin Hs"</formula>
    </cfRule>
  </conditionalFormatting>
  <conditionalFormatting sqref="C85">
    <cfRule type="cellIs" dxfId="2645" priority="4012" stopIfTrue="1" operator="equal">
      <formula>"Napkin Hs"</formula>
    </cfRule>
  </conditionalFormatting>
  <conditionalFormatting sqref="C85">
    <cfRule type="cellIs" dxfId="2644" priority="4011" stopIfTrue="1" operator="equal">
      <formula>"Towel"</formula>
    </cfRule>
  </conditionalFormatting>
  <conditionalFormatting sqref="C85">
    <cfRule type="cellIs" dxfId="2643" priority="4010" stopIfTrue="1" operator="equal">
      <formula>"Napkin Hs"</formula>
    </cfRule>
  </conditionalFormatting>
  <conditionalFormatting sqref="C85">
    <cfRule type="cellIs" dxfId="2642" priority="4007" stopIfTrue="1" operator="equal">
      <formula>"Towel"</formula>
    </cfRule>
    <cfRule type="cellIs" dxfId="2641" priority="4008" stopIfTrue="1" operator="equal">
      <formula>"Napkin Hs"</formula>
    </cfRule>
  </conditionalFormatting>
  <conditionalFormatting sqref="C85">
    <cfRule type="cellIs" dxfId="2640" priority="4009" stopIfTrue="1" operator="equal">
      <formula>"Towel"</formula>
    </cfRule>
  </conditionalFormatting>
  <conditionalFormatting sqref="C85">
    <cfRule type="cellIs" dxfId="2639" priority="4006" stopIfTrue="1" operator="equal">
      <formula>"Napkin Hs"</formula>
    </cfRule>
  </conditionalFormatting>
  <conditionalFormatting sqref="C85">
    <cfRule type="cellIs" dxfId="2638" priority="4005" stopIfTrue="1" operator="equal">
      <formula>"Towel"</formula>
    </cfRule>
  </conditionalFormatting>
  <conditionalFormatting sqref="C85">
    <cfRule type="cellIs" dxfId="2637" priority="4004" stopIfTrue="1" operator="equal">
      <formula>"Napkin Hs"</formula>
    </cfRule>
  </conditionalFormatting>
  <conditionalFormatting sqref="C85">
    <cfRule type="cellIs" dxfId="2636" priority="4001" stopIfTrue="1" operator="equal">
      <formula>"Towel"</formula>
    </cfRule>
    <cfRule type="cellIs" dxfId="2635" priority="4002" stopIfTrue="1" operator="equal">
      <formula>"Napkin Hs"</formula>
    </cfRule>
  </conditionalFormatting>
  <conditionalFormatting sqref="C85">
    <cfRule type="cellIs" dxfId="2634" priority="4003" stopIfTrue="1" operator="equal">
      <formula>"Towel"</formula>
    </cfRule>
  </conditionalFormatting>
  <conditionalFormatting sqref="C85">
    <cfRule type="cellIs" dxfId="2633" priority="4107" stopIfTrue="1" operator="equal">
      <formula>"Towel"</formula>
    </cfRule>
    <cfRule type="cellIs" dxfId="2632" priority="4108" stopIfTrue="1" operator="equal">
      <formula>"Napkin Hs"</formula>
    </cfRule>
  </conditionalFormatting>
  <conditionalFormatting sqref="C85">
    <cfRule type="cellIs" dxfId="2631" priority="4105" stopIfTrue="1" operator="equal">
      <formula>"Towel"</formula>
    </cfRule>
    <cfRule type="cellIs" dxfId="2630" priority="4106" stopIfTrue="1" operator="equal">
      <formula>"Napkin Hs"</formula>
    </cfRule>
  </conditionalFormatting>
  <conditionalFormatting sqref="C85">
    <cfRule type="cellIs" dxfId="2629" priority="4103" stopIfTrue="1" operator="equal">
      <formula>"Towel"</formula>
    </cfRule>
    <cfRule type="cellIs" dxfId="2628" priority="4104" stopIfTrue="1" operator="equal">
      <formula>"Napkin Hs"</formula>
    </cfRule>
  </conditionalFormatting>
  <conditionalFormatting sqref="C85">
    <cfRule type="cellIs" dxfId="2627" priority="4102" stopIfTrue="1" operator="equal">
      <formula>"Napkin Hs"</formula>
    </cfRule>
  </conditionalFormatting>
  <conditionalFormatting sqref="C85">
    <cfRule type="cellIs" dxfId="2626" priority="4101" stopIfTrue="1" operator="equal">
      <formula>"Towel"</formula>
    </cfRule>
  </conditionalFormatting>
  <conditionalFormatting sqref="C85">
    <cfRule type="cellIs" dxfId="2625" priority="4100" stopIfTrue="1" operator="equal">
      <formula>"Napkin Hs"</formula>
    </cfRule>
  </conditionalFormatting>
  <conditionalFormatting sqref="C85">
    <cfRule type="cellIs" dxfId="2624" priority="4099" stopIfTrue="1" operator="equal">
      <formula>"Towel"</formula>
    </cfRule>
  </conditionalFormatting>
  <conditionalFormatting sqref="C85">
    <cfRule type="cellIs" dxfId="2623" priority="4097" stopIfTrue="1" operator="equal">
      <formula>"Towel"</formula>
    </cfRule>
    <cfRule type="cellIs" dxfId="2622" priority="4098" stopIfTrue="1" operator="equal">
      <formula>"Napkin Hs"</formula>
    </cfRule>
  </conditionalFormatting>
  <conditionalFormatting sqref="C85">
    <cfRule type="cellIs" dxfId="2621" priority="4095" stopIfTrue="1" operator="equal">
      <formula>"Towel"</formula>
    </cfRule>
    <cfRule type="cellIs" dxfId="2620" priority="4096" stopIfTrue="1" operator="equal">
      <formula>"Napkin Hs"</formula>
    </cfRule>
  </conditionalFormatting>
  <conditionalFormatting sqref="C85">
    <cfRule type="cellIs" dxfId="2619" priority="4091" stopIfTrue="1" operator="equal">
      <formula>"Towel"</formula>
    </cfRule>
    <cfRule type="cellIs" dxfId="2618" priority="4092" stopIfTrue="1" operator="equal">
      <formula>"Napkin Hs"</formula>
    </cfRule>
  </conditionalFormatting>
  <conditionalFormatting sqref="C85">
    <cfRule type="cellIs" dxfId="2617" priority="4093" stopIfTrue="1" operator="equal">
      <formula>"Towel"</formula>
    </cfRule>
    <cfRule type="cellIs" dxfId="2616" priority="4094" stopIfTrue="1" operator="equal">
      <formula>"Napkin Hs"</formula>
    </cfRule>
  </conditionalFormatting>
  <conditionalFormatting sqref="C85">
    <cfRule type="cellIs" dxfId="2615" priority="4085" stopIfTrue="1" operator="equal">
      <formula>"Towel"</formula>
    </cfRule>
    <cfRule type="cellIs" dxfId="2614" priority="4086" stopIfTrue="1" operator="equal">
      <formula>"Napkin Hs"</formula>
    </cfRule>
  </conditionalFormatting>
  <conditionalFormatting sqref="C85">
    <cfRule type="cellIs" dxfId="2613" priority="4083" stopIfTrue="1" operator="equal">
      <formula>"Towel"</formula>
    </cfRule>
    <cfRule type="cellIs" dxfId="2612" priority="4084" stopIfTrue="1" operator="equal">
      <formula>"Napkin Hs"</formula>
    </cfRule>
  </conditionalFormatting>
  <conditionalFormatting sqref="C85">
    <cfRule type="cellIs" dxfId="2611" priority="4081" stopIfTrue="1" operator="equal">
      <formula>"Towel"</formula>
    </cfRule>
    <cfRule type="cellIs" dxfId="2610" priority="4082" stopIfTrue="1" operator="equal">
      <formula>"Napkin Hs"</formula>
    </cfRule>
  </conditionalFormatting>
  <conditionalFormatting sqref="C85">
    <cfRule type="cellIs" dxfId="2609" priority="4079" stopIfTrue="1" operator="equal">
      <formula>"Towel"</formula>
    </cfRule>
    <cfRule type="cellIs" dxfId="2608" priority="4080" stopIfTrue="1" operator="equal">
      <formula>"Napkin Hs"</formula>
    </cfRule>
  </conditionalFormatting>
  <conditionalFormatting sqref="C85">
    <cfRule type="cellIs" dxfId="2607" priority="4077" stopIfTrue="1" operator="equal">
      <formula>"Towel"</formula>
    </cfRule>
    <cfRule type="cellIs" dxfId="2606" priority="4078" stopIfTrue="1" operator="equal">
      <formula>"Napkin Hs"</formula>
    </cfRule>
  </conditionalFormatting>
  <conditionalFormatting sqref="C85">
    <cfRule type="cellIs" dxfId="2605" priority="4075" stopIfTrue="1" operator="equal">
      <formula>"Towel"</formula>
    </cfRule>
    <cfRule type="cellIs" dxfId="2604" priority="4076" stopIfTrue="1" operator="equal">
      <formula>"Napkin Hs"</formula>
    </cfRule>
  </conditionalFormatting>
  <conditionalFormatting sqref="C85">
    <cfRule type="cellIs" dxfId="2603" priority="4073" stopIfTrue="1" operator="equal">
      <formula>"Towel"</formula>
    </cfRule>
    <cfRule type="cellIs" dxfId="2602" priority="4074" stopIfTrue="1" operator="equal">
      <formula>"Napkin Hs"</formula>
    </cfRule>
  </conditionalFormatting>
  <conditionalFormatting sqref="C85">
    <cfRule type="cellIs" dxfId="2601" priority="4071" stopIfTrue="1" operator="equal">
      <formula>"Towel"</formula>
    </cfRule>
    <cfRule type="cellIs" dxfId="2600" priority="4072" stopIfTrue="1" operator="equal">
      <formula>"Napkin Hs"</formula>
    </cfRule>
  </conditionalFormatting>
  <conditionalFormatting sqref="C85">
    <cfRule type="cellIs" dxfId="2599" priority="4069" stopIfTrue="1" operator="equal">
      <formula>"Towel"</formula>
    </cfRule>
    <cfRule type="cellIs" dxfId="2598" priority="4070" stopIfTrue="1" operator="equal">
      <formula>"Napkin Hs"</formula>
    </cfRule>
  </conditionalFormatting>
  <conditionalFormatting sqref="C85">
    <cfRule type="cellIs" dxfId="2597" priority="4067" stopIfTrue="1" operator="equal">
      <formula>"Towel"</formula>
    </cfRule>
    <cfRule type="cellIs" dxfId="2596" priority="4068" stopIfTrue="1" operator="equal">
      <formula>"Napkin Hs"</formula>
    </cfRule>
  </conditionalFormatting>
  <conditionalFormatting sqref="C85">
    <cfRule type="cellIs" dxfId="2595" priority="4061" stopIfTrue="1" operator="equal">
      <formula>"Towel"</formula>
    </cfRule>
    <cfRule type="cellIs" dxfId="2594" priority="4062" stopIfTrue="1" operator="equal">
      <formula>"Napkin Hs"</formula>
    </cfRule>
  </conditionalFormatting>
  <conditionalFormatting sqref="C85">
    <cfRule type="cellIs" dxfId="2593" priority="4055" stopIfTrue="1" operator="equal">
      <formula>"Towel"</formula>
    </cfRule>
    <cfRule type="cellIs" dxfId="2592" priority="4056" stopIfTrue="1" operator="equal">
      <formula>"Napkin Hs"</formula>
    </cfRule>
  </conditionalFormatting>
  <conditionalFormatting sqref="C85">
    <cfRule type="cellIs" dxfId="2591" priority="4049" stopIfTrue="1" operator="equal">
      <formula>"Towel"</formula>
    </cfRule>
    <cfRule type="cellIs" dxfId="2590" priority="4050" stopIfTrue="1" operator="equal">
      <formula>"Napkin Hs"</formula>
    </cfRule>
  </conditionalFormatting>
  <conditionalFormatting sqref="C85">
    <cfRule type="cellIs" dxfId="2589" priority="4048" stopIfTrue="1" operator="equal">
      <formula>"Napkin Hs"</formula>
    </cfRule>
  </conditionalFormatting>
  <conditionalFormatting sqref="C85">
    <cfRule type="cellIs" dxfId="2588" priority="4047" stopIfTrue="1" operator="equal">
      <formula>"Towel"</formula>
    </cfRule>
  </conditionalFormatting>
  <conditionalFormatting sqref="C85">
    <cfRule type="cellIs" dxfId="2587" priority="4046" stopIfTrue="1" operator="equal">
      <formula>"Napkin Hs"</formula>
    </cfRule>
  </conditionalFormatting>
  <conditionalFormatting sqref="C85">
    <cfRule type="cellIs" dxfId="2586" priority="4045" stopIfTrue="1" operator="equal">
      <formula>"Towel"</formula>
    </cfRule>
  </conditionalFormatting>
  <conditionalFormatting sqref="C85">
    <cfRule type="cellIs" dxfId="2585" priority="4043" stopIfTrue="1" operator="equal">
      <formula>"Towel"</formula>
    </cfRule>
    <cfRule type="cellIs" dxfId="2584" priority="4044" stopIfTrue="1" operator="equal">
      <formula>"Napkin Hs"</formula>
    </cfRule>
  </conditionalFormatting>
  <conditionalFormatting sqref="C85">
    <cfRule type="cellIs" dxfId="2583" priority="4041" stopIfTrue="1" operator="equal">
      <formula>"Towel"</formula>
    </cfRule>
    <cfRule type="cellIs" dxfId="2582" priority="4042" stopIfTrue="1" operator="equal">
      <formula>"Napkin Hs"</formula>
    </cfRule>
  </conditionalFormatting>
  <conditionalFormatting sqref="C85">
    <cfRule type="cellIs" dxfId="2581" priority="4039" stopIfTrue="1" operator="equal">
      <formula>"Towel"</formula>
    </cfRule>
    <cfRule type="cellIs" dxfId="2580" priority="4040" stopIfTrue="1" operator="equal">
      <formula>"Napkin Hs"</formula>
    </cfRule>
  </conditionalFormatting>
  <conditionalFormatting sqref="C85">
    <cfRule type="cellIs" dxfId="2579" priority="4029" stopIfTrue="1" operator="equal">
      <formula>"Towel"</formula>
    </cfRule>
    <cfRule type="cellIs" dxfId="2578" priority="4030" stopIfTrue="1" operator="equal">
      <formula>"Napkin Hs"</formula>
    </cfRule>
  </conditionalFormatting>
  <conditionalFormatting sqref="C85">
    <cfRule type="cellIs" dxfId="2577" priority="4027" stopIfTrue="1" operator="equal">
      <formula>"Towel"</formula>
    </cfRule>
    <cfRule type="cellIs" dxfId="2576" priority="4028" stopIfTrue="1" operator="equal">
      <formula>"Napkin Hs"</formula>
    </cfRule>
  </conditionalFormatting>
  <conditionalFormatting sqref="C85">
    <cfRule type="cellIs" dxfId="2575" priority="4025" stopIfTrue="1" operator="equal">
      <formula>"Towel"</formula>
    </cfRule>
    <cfRule type="cellIs" dxfId="2574" priority="4026" stopIfTrue="1" operator="equal">
      <formula>"Napkin Hs"</formula>
    </cfRule>
  </conditionalFormatting>
  <conditionalFormatting sqref="C85">
    <cfRule type="cellIs" dxfId="2573" priority="4023" stopIfTrue="1" operator="equal">
      <formula>"Towel"</formula>
    </cfRule>
    <cfRule type="cellIs" dxfId="2572" priority="4024" stopIfTrue="1" operator="equal">
      <formula>"Napkin Hs"</formula>
    </cfRule>
  </conditionalFormatting>
  <conditionalFormatting sqref="C85">
    <cfRule type="cellIs" dxfId="2571" priority="4021" stopIfTrue="1" operator="equal">
      <formula>"Towel"</formula>
    </cfRule>
    <cfRule type="cellIs" dxfId="2570" priority="4022" stopIfTrue="1" operator="equal">
      <formula>"Napkin Hs"</formula>
    </cfRule>
  </conditionalFormatting>
  <conditionalFormatting sqref="C85">
    <cfRule type="cellIs" dxfId="2569" priority="4019" stopIfTrue="1" operator="equal">
      <formula>"Towel"</formula>
    </cfRule>
    <cfRule type="cellIs" dxfId="2568" priority="4020" stopIfTrue="1" operator="equal">
      <formula>"Napkin Hs"</formula>
    </cfRule>
  </conditionalFormatting>
  <conditionalFormatting sqref="C85">
    <cfRule type="cellIs" dxfId="2567" priority="4017" stopIfTrue="1" operator="equal">
      <formula>"Towel"</formula>
    </cfRule>
    <cfRule type="cellIs" dxfId="2566" priority="4018" stopIfTrue="1" operator="equal">
      <formula>"Napkin Hs"</formula>
    </cfRule>
  </conditionalFormatting>
  <conditionalFormatting sqref="C85">
    <cfRule type="cellIs" dxfId="2565" priority="4015" stopIfTrue="1" operator="equal">
      <formula>"Towel"</formula>
    </cfRule>
    <cfRule type="cellIs" dxfId="2564" priority="4016" stopIfTrue="1" operator="equal">
      <formula>"Napkin Hs"</formula>
    </cfRule>
  </conditionalFormatting>
  <conditionalFormatting sqref="C85">
    <cfRule type="cellIs" dxfId="2563" priority="4013" stopIfTrue="1" operator="equal">
      <formula>"Towel"</formula>
    </cfRule>
    <cfRule type="cellIs" dxfId="2562" priority="4014" stopIfTrue="1" operator="equal">
      <formula>"Napkin Hs"</formula>
    </cfRule>
  </conditionalFormatting>
  <conditionalFormatting sqref="C85">
    <cfRule type="cellIs" dxfId="2561" priority="4000" stopIfTrue="1" operator="equal">
      <formula>"Napkin Hs"</formula>
    </cfRule>
  </conditionalFormatting>
  <conditionalFormatting sqref="C85">
    <cfRule type="cellIs" dxfId="2560" priority="3999" stopIfTrue="1" operator="equal">
      <formula>"Towel"</formula>
    </cfRule>
  </conditionalFormatting>
  <conditionalFormatting sqref="C85">
    <cfRule type="cellIs" dxfId="2559" priority="3998" stopIfTrue="1" operator="equal">
      <formula>"Napkin Hs"</formula>
    </cfRule>
  </conditionalFormatting>
  <conditionalFormatting sqref="C85">
    <cfRule type="cellIs" dxfId="2558" priority="3995" stopIfTrue="1" operator="equal">
      <formula>"Towel"</formula>
    </cfRule>
    <cfRule type="cellIs" dxfId="2557" priority="3996" stopIfTrue="1" operator="equal">
      <formula>"Napkin Hs"</formula>
    </cfRule>
  </conditionalFormatting>
  <conditionalFormatting sqref="C85">
    <cfRule type="cellIs" dxfId="2556" priority="3997" stopIfTrue="1" operator="equal">
      <formula>"Towel"</formula>
    </cfRule>
  </conditionalFormatting>
  <conditionalFormatting sqref="C85">
    <cfRule type="cellIs" dxfId="2555" priority="4115" stopIfTrue="1" operator="equal">
      <formula>"Towel"</formula>
    </cfRule>
    <cfRule type="cellIs" dxfId="2554" priority="4116" stopIfTrue="1" operator="equal">
      <formula>"Napkin Hs"</formula>
    </cfRule>
  </conditionalFormatting>
  <conditionalFormatting sqref="C85">
    <cfRule type="cellIs" dxfId="2553" priority="4114" stopIfTrue="1" operator="equal">
      <formula>"Napkin Hs"</formula>
    </cfRule>
  </conditionalFormatting>
  <conditionalFormatting sqref="C85">
    <cfRule type="cellIs" dxfId="2552" priority="4113" stopIfTrue="1" operator="equal">
      <formula>"Towel"</formula>
    </cfRule>
  </conditionalFormatting>
  <conditionalFormatting sqref="C85">
    <cfRule type="cellIs" dxfId="2551" priority="4112" stopIfTrue="1" operator="equal">
      <formula>"Napkin Hs"</formula>
    </cfRule>
  </conditionalFormatting>
  <conditionalFormatting sqref="C85">
    <cfRule type="cellIs" dxfId="2550" priority="4109" stopIfTrue="1" operator="equal">
      <formula>"Towel"</formula>
    </cfRule>
    <cfRule type="cellIs" dxfId="2549" priority="4110" stopIfTrue="1" operator="equal">
      <formula>"Napkin Hs"</formula>
    </cfRule>
  </conditionalFormatting>
  <conditionalFormatting sqref="C85">
    <cfRule type="cellIs" dxfId="2548" priority="4111" stopIfTrue="1" operator="equal">
      <formula>"Towel"</formula>
    </cfRule>
  </conditionalFormatting>
  <conditionalFormatting sqref="C85">
    <cfRule type="cellIs" dxfId="2547" priority="4119" stopIfTrue="1" operator="equal">
      <formula>"Towel"</formula>
    </cfRule>
    <cfRule type="cellIs" dxfId="2546" priority="4120" stopIfTrue="1" operator="equal">
      <formula>"Napkin Hs"</formula>
    </cfRule>
  </conditionalFormatting>
  <conditionalFormatting sqref="C85">
    <cfRule type="cellIs" dxfId="2545" priority="4117" stopIfTrue="1" operator="equal">
      <formula>"Towel"</formula>
    </cfRule>
    <cfRule type="cellIs" dxfId="2544" priority="4118" stopIfTrue="1" operator="equal">
      <formula>"Napkin Hs"</formula>
    </cfRule>
  </conditionalFormatting>
  <conditionalFormatting sqref="C85">
    <cfRule type="cellIs" dxfId="2543" priority="4089" stopIfTrue="1" operator="equal">
      <formula>"Towel"</formula>
    </cfRule>
    <cfRule type="cellIs" dxfId="2542" priority="4090" stopIfTrue="1" operator="equal">
      <formula>"Napkin Hs"</formula>
    </cfRule>
  </conditionalFormatting>
  <conditionalFormatting sqref="C85">
    <cfRule type="cellIs" dxfId="2541" priority="4087" stopIfTrue="1" operator="equal">
      <formula>"Towel"</formula>
    </cfRule>
    <cfRule type="cellIs" dxfId="2540" priority="4088" stopIfTrue="1" operator="equal">
      <formula>"Napkin Hs"</formula>
    </cfRule>
  </conditionalFormatting>
  <conditionalFormatting sqref="C85">
    <cfRule type="cellIs" dxfId="2539" priority="4066" stopIfTrue="1" operator="equal">
      <formula>"Napkin Hs"</formula>
    </cfRule>
  </conditionalFormatting>
  <conditionalFormatting sqref="C85">
    <cfRule type="cellIs" dxfId="2538" priority="4065" stopIfTrue="1" operator="equal">
      <formula>"Towel"</formula>
    </cfRule>
  </conditionalFormatting>
  <conditionalFormatting sqref="C85">
    <cfRule type="cellIs" dxfId="2537" priority="4064" stopIfTrue="1" operator="equal">
      <formula>"Napkin Hs"</formula>
    </cfRule>
  </conditionalFormatting>
  <conditionalFormatting sqref="C85">
    <cfRule type="cellIs" dxfId="2536" priority="4063" stopIfTrue="1" operator="equal">
      <formula>"Towel"</formula>
    </cfRule>
  </conditionalFormatting>
  <conditionalFormatting sqref="C85">
    <cfRule type="cellIs" dxfId="2535" priority="4060" stopIfTrue="1" operator="equal">
      <formula>"Napkin Hs"</formula>
    </cfRule>
  </conditionalFormatting>
  <conditionalFormatting sqref="C85">
    <cfRule type="cellIs" dxfId="2534" priority="4059" stopIfTrue="1" operator="equal">
      <formula>"Towel"</formula>
    </cfRule>
  </conditionalFormatting>
  <conditionalFormatting sqref="C85">
    <cfRule type="cellIs" dxfId="2533" priority="4058" stopIfTrue="1" operator="equal">
      <formula>"Napkin Hs"</formula>
    </cfRule>
  </conditionalFormatting>
  <conditionalFormatting sqref="C85">
    <cfRule type="cellIs" dxfId="2532" priority="4057" stopIfTrue="1" operator="equal">
      <formula>"Towel"</formula>
    </cfRule>
  </conditionalFormatting>
  <conditionalFormatting sqref="C85">
    <cfRule type="cellIs" dxfId="2531" priority="4053" stopIfTrue="1" operator="equal">
      <formula>"Towel"</formula>
    </cfRule>
    <cfRule type="cellIs" dxfId="2530" priority="4054" stopIfTrue="1" operator="equal">
      <formula>"Napkin Hs"</formula>
    </cfRule>
  </conditionalFormatting>
  <conditionalFormatting sqref="C85">
    <cfRule type="cellIs" dxfId="2529" priority="4051" stopIfTrue="1" operator="equal">
      <formula>"Towel"</formula>
    </cfRule>
    <cfRule type="cellIs" dxfId="2528" priority="4052" stopIfTrue="1" operator="equal">
      <formula>"Napkin Hs"</formula>
    </cfRule>
  </conditionalFormatting>
  <conditionalFormatting sqref="C85">
    <cfRule type="cellIs" dxfId="2527" priority="4035" stopIfTrue="1" operator="equal">
      <formula>"Towel"</formula>
    </cfRule>
    <cfRule type="cellIs" dxfId="2526" priority="4036" stopIfTrue="1" operator="equal">
      <formula>"Napkin Hs"</formula>
    </cfRule>
  </conditionalFormatting>
  <conditionalFormatting sqref="C85">
    <cfRule type="cellIs" dxfId="2525" priority="4033" stopIfTrue="1" operator="equal">
      <formula>"Towel"</formula>
    </cfRule>
    <cfRule type="cellIs" dxfId="2524" priority="4034" stopIfTrue="1" operator="equal">
      <formula>"Napkin Hs"</formula>
    </cfRule>
  </conditionalFormatting>
  <conditionalFormatting sqref="B85:C85">
    <cfRule type="cellIs" dxfId="2523" priority="3994" stopIfTrue="1" operator="equal">
      <formula>"Napkin Hs"</formula>
    </cfRule>
  </conditionalFormatting>
  <conditionalFormatting sqref="B85:C85">
    <cfRule type="cellIs" dxfId="2522" priority="3993" stopIfTrue="1" operator="equal">
      <formula>"Towel"</formula>
    </cfRule>
  </conditionalFormatting>
  <conditionalFormatting sqref="C85">
    <cfRule type="cellIs" dxfId="2521" priority="3992" stopIfTrue="1" operator="equal">
      <formula>"Napkin Hs"</formula>
    </cfRule>
  </conditionalFormatting>
  <conditionalFormatting sqref="C85">
    <cfRule type="cellIs" dxfId="2520" priority="3989" stopIfTrue="1" operator="equal">
      <formula>"Towel"</formula>
    </cfRule>
    <cfRule type="cellIs" dxfId="2519" priority="3990" stopIfTrue="1" operator="equal">
      <formula>"Napkin Hs"</formula>
    </cfRule>
  </conditionalFormatting>
  <conditionalFormatting sqref="C85">
    <cfRule type="cellIs" dxfId="2518" priority="3991" stopIfTrue="1" operator="equal">
      <formula>"Towel"</formula>
    </cfRule>
  </conditionalFormatting>
  <conditionalFormatting sqref="B101:C101">
    <cfRule type="cellIs" dxfId="2517" priority="3987" stopIfTrue="1" operator="equal">
      <formula>"Towel"</formula>
    </cfRule>
    <cfRule type="cellIs" dxfId="2516" priority="3988" stopIfTrue="1" operator="equal">
      <formula>"Napkin Hs"</formula>
    </cfRule>
  </conditionalFormatting>
  <conditionalFormatting sqref="B102:C102">
    <cfRule type="cellIs" dxfId="2515" priority="3981" stopIfTrue="1" operator="equal">
      <formula>"Towel"</formula>
    </cfRule>
    <cfRule type="cellIs" dxfId="2514" priority="3982" stopIfTrue="1" operator="equal">
      <formula>"Napkin Hs"</formula>
    </cfRule>
  </conditionalFormatting>
  <conditionalFormatting sqref="B103:C103">
    <cfRule type="cellIs" dxfId="2513" priority="3977" stopIfTrue="1" operator="equal">
      <formula>"Towel"</formula>
    </cfRule>
    <cfRule type="cellIs" dxfId="2512" priority="3978" stopIfTrue="1" operator="equal">
      <formula>"Napkin Hs"</formula>
    </cfRule>
  </conditionalFormatting>
  <conditionalFormatting sqref="C101:C102">
    <cfRule type="cellIs" dxfId="2511" priority="3983" stopIfTrue="1" operator="equal">
      <formula>"Towel"</formula>
    </cfRule>
    <cfRule type="cellIs" dxfId="2510" priority="3984" stopIfTrue="1" operator="equal">
      <formula>"Napkin Hs"</formula>
    </cfRule>
  </conditionalFormatting>
  <conditionalFormatting sqref="C101">
    <cfRule type="cellIs" dxfId="2509" priority="3985" stopIfTrue="1" operator="equal">
      <formula>"Towel"</formula>
    </cfRule>
    <cfRule type="cellIs" dxfId="2508" priority="3986" stopIfTrue="1" operator="equal">
      <formula>"Napkin Hs"</formula>
    </cfRule>
  </conditionalFormatting>
  <conditionalFormatting sqref="C102:C103">
    <cfRule type="cellIs" dxfId="2507" priority="3979" stopIfTrue="1" operator="equal">
      <formula>"Towel"</formula>
    </cfRule>
    <cfRule type="cellIs" dxfId="2506" priority="3980" stopIfTrue="1" operator="equal">
      <formula>"Napkin Hs"</formula>
    </cfRule>
  </conditionalFormatting>
  <conditionalFormatting sqref="C103">
    <cfRule type="cellIs" dxfId="2505" priority="3975" stopIfTrue="1" operator="equal">
      <formula>"Towel"</formula>
    </cfRule>
    <cfRule type="cellIs" dxfId="2504" priority="3976" stopIfTrue="1" operator="equal">
      <formula>"Napkin Hs"</formula>
    </cfRule>
  </conditionalFormatting>
  <conditionalFormatting sqref="B102:C103">
    <cfRule type="cellIs" dxfId="2503" priority="3968" stopIfTrue="1" operator="equal">
      <formula>"Napkin Hs"</formula>
    </cfRule>
  </conditionalFormatting>
  <conditionalFormatting sqref="B102:C103">
    <cfRule type="cellIs" dxfId="2502" priority="3967" stopIfTrue="1" operator="equal">
      <formula>"Towel"</formula>
    </cfRule>
  </conditionalFormatting>
  <conditionalFormatting sqref="B101:C101">
    <cfRule type="cellIs" dxfId="2501" priority="3961" stopIfTrue="1" operator="equal">
      <formula>"Towel"</formula>
    </cfRule>
    <cfRule type="cellIs" dxfId="2500" priority="3962" stopIfTrue="1" operator="equal">
      <formula>"Napkin Hs"</formula>
    </cfRule>
  </conditionalFormatting>
  <conditionalFormatting sqref="C102:C103">
    <cfRule type="cellIs" dxfId="2499" priority="3966" stopIfTrue="1" operator="equal">
      <formula>"Napkin Hs"</formula>
    </cfRule>
  </conditionalFormatting>
  <conditionalFormatting sqref="C102:C103">
    <cfRule type="cellIs" dxfId="2498" priority="3965" stopIfTrue="1" operator="equal">
      <formula>"Towel"</formula>
    </cfRule>
  </conditionalFormatting>
  <conditionalFormatting sqref="C101:C103">
    <cfRule type="cellIs" dxfId="2497" priority="3963" stopIfTrue="1" operator="equal">
      <formula>"Towel"</formula>
    </cfRule>
    <cfRule type="cellIs" dxfId="2496" priority="3964" stopIfTrue="1" operator="equal">
      <formula>"Napkin Hs"</formula>
    </cfRule>
  </conditionalFormatting>
  <conditionalFormatting sqref="C101">
    <cfRule type="cellIs" dxfId="2495" priority="3959" stopIfTrue="1" operator="equal">
      <formula>"Towel"</formula>
    </cfRule>
    <cfRule type="cellIs" dxfId="2494" priority="3960" stopIfTrue="1" operator="equal">
      <formula>"Napkin Hs"</formula>
    </cfRule>
  </conditionalFormatting>
  <conditionalFormatting sqref="B100:C100">
    <cfRule type="cellIs" dxfId="2493" priority="3958" stopIfTrue="1" operator="equal">
      <formula>"Napkin Hs"</formula>
    </cfRule>
  </conditionalFormatting>
  <conditionalFormatting sqref="B100:C100">
    <cfRule type="cellIs" dxfId="2492" priority="3957" stopIfTrue="1" operator="equal">
      <formula>"Towel"</formula>
    </cfRule>
  </conditionalFormatting>
  <conditionalFormatting sqref="C100">
    <cfRule type="cellIs" dxfId="2491" priority="3956" stopIfTrue="1" operator="equal">
      <formula>"Napkin Hs"</formula>
    </cfRule>
  </conditionalFormatting>
  <conditionalFormatting sqref="C100">
    <cfRule type="cellIs" dxfId="2490" priority="3955" stopIfTrue="1" operator="equal">
      <formula>"Towel"</formula>
    </cfRule>
  </conditionalFormatting>
  <conditionalFormatting sqref="C100">
    <cfRule type="cellIs" dxfId="2489" priority="3953" stopIfTrue="1" operator="equal">
      <formula>"Towel"</formula>
    </cfRule>
    <cfRule type="cellIs" dxfId="2488" priority="3954" stopIfTrue="1" operator="equal">
      <formula>"Napkin Hs"</formula>
    </cfRule>
  </conditionalFormatting>
  <conditionalFormatting sqref="B100:C100">
    <cfRule type="cellIs" dxfId="2487" priority="3951" stopIfTrue="1" operator="equal">
      <formula>"Towel"</formula>
    </cfRule>
    <cfRule type="cellIs" dxfId="2486" priority="3952" stopIfTrue="1" operator="equal">
      <formula>"Napkin Hs"</formula>
    </cfRule>
  </conditionalFormatting>
  <conditionalFormatting sqref="C100">
    <cfRule type="cellIs" dxfId="2485" priority="3947" stopIfTrue="1" operator="equal">
      <formula>"Towel"</formula>
    </cfRule>
    <cfRule type="cellIs" dxfId="2484" priority="3948" stopIfTrue="1" operator="equal">
      <formula>"Napkin Hs"</formula>
    </cfRule>
  </conditionalFormatting>
  <conditionalFormatting sqref="C100">
    <cfRule type="cellIs" dxfId="2483" priority="3949" stopIfTrue="1" operator="equal">
      <formula>"Towel"</formula>
    </cfRule>
    <cfRule type="cellIs" dxfId="2482" priority="3950" stopIfTrue="1" operator="equal">
      <formula>"Napkin Hs"</formula>
    </cfRule>
  </conditionalFormatting>
  <conditionalFormatting sqref="B100:C100">
    <cfRule type="cellIs" dxfId="2481" priority="3946" stopIfTrue="1" operator="equal">
      <formula>"Napkin Hs"</formula>
    </cfRule>
  </conditionalFormatting>
  <conditionalFormatting sqref="B100:C100">
    <cfRule type="cellIs" dxfId="2480" priority="3945" stopIfTrue="1" operator="equal">
      <formula>"Towel"</formula>
    </cfRule>
  </conditionalFormatting>
  <conditionalFormatting sqref="C100">
    <cfRule type="cellIs" dxfId="2479" priority="3944" stopIfTrue="1" operator="equal">
      <formula>"Napkin Hs"</formula>
    </cfRule>
  </conditionalFormatting>
  <conditionalFormatting sqref="C100">
    <cfRule type="cellIs" dxfId="2478" priority="3943" stopIfTrue="1" operator="equal">
      <formula>"Towel"</formula>
    </cfRule>
  </conditionalFormatting>
  <conditionalFormatting sqref="C100">
    <cfRule type="cellIs" dxfId="2477" priority="3941" stopIfTrue="1" operator="equal">
      <formula>"Towel"</formula>
    </cfRule>
    <cfRule type="cellIs" dxfId="2476" priority="3942" stopIfTrue="1" operator="equal">
      <formula>"Napkin Hs"</formula>
    </cfRule>
  </conditionalFormatting>
  <conditionalFormatting sqref="B100:C100">
    <cfRule type="cellIs" dxfId="2475" priority="3939" stopIfTrue="1" operator="equal">
      <formula>"Towel"</formula>
    </cfRule>
    <cfRule type="cellIs" dxfId="2474" priority="3940" stopIfTrue="1" operator="equal">
      <formula>"Napkin Hs"</formula>
    </cfRule>
  </conditionalFormatting>
  <conditionalFormatting sqref="C100">
    <cfRule type="cellIs" dxfId="2473" priority="3937" stopIfTrue="1" operator="equal">
      <formula>"Towel"</formula>
    </cfRule>
    <cfRule type="cellIs" dxfId="2472" priority="3938" stopIfTrue="1" operator="equal">
      <formula>"Napkin Hs"</formula>
    </cfRule>
  </conditionalFormatting>
  <conditionalFormatting sqref="C100">
    <cfRule type="cellIs" dxfId="2471" priority="3935" stopIfTrue="1" operator="equal">
      <formula>"Towel"</formula>
    </cfRule>
    <cfRule type="cellIs" dxfId="2470" priority="3936" stopIfTrue="1" operator="equal">
      <formula>"Napkin Hs"</formula>
    </cfRule>
  </conditionalFormatting>
  <conditionalFormatting sqref="B100:C100">
    <cfRule type="cellIs" dxfId="2469" priority="3933" stopIfTrue="1" operator="equal">
      <formula>"Towel"</formula>
    </cfRule>
    <cfRule type="cellIs" dxfId="2468" priority="3934" stopIfTrue="1" operator="equal">
      <formula>"Napkin Hs"</formula>
    </cfRule>
  </conditionalFormatting>
  <conditionalFormatting sqref="C100">
    <cfRule type="cellIs" dxfId="2467" priority="3931" stopIfTrue="1" operator="equal">
      <formula>"Towel"</formula>
    </cfRule>
    <cfRule type="cellIs" dxfId="2466" priority="3932" stopIfTrue="1" operator="equal">
      <formula>"Napkin Hs"</formula>
    </cfRule>
  </conditionalFormatting>
  <conditionalFormatting sqref="C100">
    <cfRule type="cellIs" dxfId="2465" priority="3929" stopIfTrue="1" operator="equal">
      <formula>"Towel"</formula>
    </cfRule>
    <cfRule type="cellIs" dxfId="2464" priority="3930" stopIfTrue="1" operator="equal">
      <formula>"Napkin Hs"</formula>
    </cfRule>
  </conditionalFormatting>
  <conditionalFormatting sqref="B100:C100">
    <cfRule type="cellIs" dxfId="2463" priority="3927" stopIfTrue="1" operator="equal">
      <formula>"Towel"</formula>
    </cfRule>
    <cfRule type="cellIs" dxfId="2462" priority="3928" stopIfTrue="1" operator="equal">
      <formula>"Napkin Hs"</formula>
    </cfRule>
  </conditionalFormatting>
  <conditionalFormatting sqref="C100">
    <cfRule type="cellIs" dxfId="2461" priority="3925" stopIfTrue="1" operator="equal">
      <formula>"Towel"</formula>
    </cfRule>
    <cfRule type="cellIs" dxfId="2460" priority="3926" stopIfTrue="1" operator="equal">
      <formula>"Napkin Hs"</formula>
    </cfRule>
  </conditionalFormatting>
  <conditionalFormatting sqref="C100">
    <cfRule type="cellIs" dxfId="2459" priority="3923" stopIfTrue="1" operator="equal">
      <formula>"Towel"</formula>
    </cfRule>
    <cfRule type="cellIs" dxfId="2458" priority="3924" stopIfTrue="1" operator="equal">
      <formula>"Napkin Hs"</formula>
    </cfRule>
  </conditionalFormatting>
  <conditionalFormatting sqref="B100:C100">
    <cfRule type="cellIs" dxfId="2457" priority="3921" stopIfTrue="1" operator="equal">
      <formula>"Towel"</formula>
    </cfRule>
    <cfRule type="cellIs" dxfId="2456" priority="3922" stopIfTrue="1" operator="equal">
      <formula>"Napkin Hs"</formula>
    </cfRule>
  </conditionalFormatting>
  <conditionalFormatting sqref="C100">
    <cfRule type="cellIs" dxfId="2455" priority="3919" stopIfTrue="1" operator="equal">
      <formula>"Towel"</formula>
    </cfRule>
    <cfRule type="cellIs" dxfId="2454" priority="3920" stopIfTrue="1" operator="equal">
      <formula>"Napkin Hs"</formula>
    </cfRule>
  </conditionalFormatting>
  <conditionalFormatting sqref="C100">
    <cfRule type="cellIs" dxfId="2453" priority="3917" stopIfTrue="1" operator="equal">
      <formula>"Towel"</formula>
    </cfRule>
    <cfRule type="cellIs" dxfId="2452" priority="3918" stopIfTrue="1" operator="equal">
      <formula>"Napkin Hs"</formula>
    </cfRule>
  </conditionalFormatting>
  <conditionalFormatting sqref="B100:C100">
    <cfRule type="cellIs" dxfId="2451" priority="3915" stopIfTrue="1" operator="equal">
      <formula>"Towel"</formula>
    </cfRule>
    <cfRule type="cellIs" dxfId="2450" priority="3916" stopIfTrue="1" operator="equal">
      <formula>"Napkin Hs"</formula>
    </cfRule>
  </conditionalFormatting>
  <conditionalFormatting sqref="C100">
    <cfRule type="cellIs" dxfId="2449" priority="3913" stopIfTrue="1" operator="equal">
      <formula>"Towel"</formula>
    </cfRule>
    <cfRule type="cellIs" dxfId="2448" priority="3914" stopIfTrue="1" operator="equal">
      <formula>"Napkin Hs"</formula>
    </cfRule>
  </conditionalFormatting>
  <conditionalFormatting sqref="C100">
    <cfRule type="cellIs" dxfId="2447" priority="3911" stopIfTrue="1" operator="equal">
      <formula>"Towel"</formula>
    </cfRule>
    <cfRule type="cellIs" dxfId="2446" priority="3912" stopIfTrue="1" operator="equal">
      <formula>"Napkin Hs"</formula>
    </cfRule>
  </conditionalFormatting>
  <conditionalFormatting sqref="B100:C100">
    <cfRule type="cellIs" dxfId="2445" priority="3910" stopIfTrue="1" operator="equal">
      <formula>"Napkin Hs"</formula>
    </cfRule>
  </conditionalFormatting>
  <conditionalFormatting sqref="B100:C100">
    <cfRule type="cellIs" dxfId="2444" priority="3909" stopIfTrue="1" operator="equal">
      <formula>"Towel"</formula>
    </cfRule>
  </conditionalFormatting>
  <conditionalFormatting sqref="C100">
    <cfRule type="cellIs" dxfId="2443" priority="3908" stopIfTrue="1" operator="equal">
      <formula>"Napkin Hs"</formula>
    </cfRule>
  </conditionalFormatting>
  <conditionalFormatting sqref="C100">
    <cfRule type="cellIs" dxfId="2442" priority="3905" stopIfTrue="1" operator="equal">
      <formula>"Towel"</formula>
    </cfRule>
    <cfRule type="cellIs" dxfId="2441" priority="3906" stopIfTrue="1" operator="equal">
      <formula>"Napkin Hs"</formula>
    </cfRule>
  </conditionalFormatting>
  <conditionalFormatting sqref="C100">
    <cfRule type="cellIs" dxfId="2440" priority="3907" stopIfTrue="1" operator="equal">
      <formula>"Towel"</formula>
    </cfRule>
  </conditionalFormatting>
  <conditionalFormatting sqref="B102:C102">
    <cfRule type="cellIs" dxfId="2439" priority="3796" stopIfTrue="1" operator="equal">
      <formula>"Napkin Hs"</formula>
    </cfRule>
  </conditionalFormatting>
  <conditionalFormatting sqref="B102:C102">
    <cfRule type="cellIs" dxfId="2438" priority="3795" stopIfTrue="1" operator="equal">
      <formula>"Towel"</formula>
    </cfRule>
  </conditionalFormatting>
  <conditionalFormatting sqref="B101:C101">
    <cfRule type="cellIs" dxfId="2437" priority="3789" stopIfTrue="1" operator="equal">
      <formula>"Towel"</formula>
    </cfRule>
    <cfRule type="cellIs" dxfId="2436" priority="3790" stopIfTrue="1" operator="equal">
      <formula>"Napkin Hs"</formula>
    </cfRule>
  </conditionalFormatting>
  <conditionalFormatting sqref="C102">
    <cfRule type="cellIs" dxfId="2435" priority="3794" stopIfTrue="1" operator="equal">
      <formula>"Napkin Hs"</formula>
    </cfRule>
  </conditionalFormatting>
  <conditionalFormatting sqref="C102">
    <cfRule type="cellIs" dxfId="2434" priority="3793" stopIfTrue="1" operator="equal">
      <formula>"Towel"</formula>
    </cfRule>
  </conditionalFormatting>
  <conditionalFormatting sqref="C101:C102">
    <cfRule type="cellIs" dxfId="2433" priority="3791" stopIfTrue="1" operator="equal">
      <formula>"Towel"</formula>
    </cfRule>
    <cfRule type="cellIs" dxfId="2432" priority="3792" stopIfTrue="1" operator="equal">
      <formula>"Napkin Hs"</formula>
    </cfRule>
  </conditionalFormatting>
  <conditionalFormatting sqref="C101">
    <cfRule type="cellIs" dxfId="2431" priority="3787" stopIfTrue="1" operator="equal">
      <formula>"Towel"</formula>
    </cfRule>
    <cfRule type="cellIs" dxfId="2430" priority="3788" stopIfTrue="1" operator="equal">
      <formula>"Napkin Hs"</formula>
    </cfRule>
  </conditionalFormatting>
  <conditionalFormatting sqref="B102:C102">
    <cfRule type="cellIs" dxfId="2429" priority="3765" stopIfTrue="1" operator="equal">
      <formula>"Towel"</formula>
    </cfRule>
    <cfRule type="cellIs" dxfId="2428" priority="3766" stopIfTrue="1" operator="equal">
      <formula>"Napkin Hs"</formula>
    </cfRule>
  </conditionalFormatting>
  <conditionalFormatting sqref="C102">
    <cfRule type="cellIs" dxfId="2427" priority="3761" stopIfTrue="1" operator="equal">
      <formula>"Towel"</formula>
    </cfRule>
    <cfRule type="cellIs" dxfId="2426" priority="3762" stopIfTrue="1" operator="equal">
      <formula>"Napkin Hs"</formula>
    </cfRule>
  </conditionalFormatting>
  <conditionalFormatting sqref="C102">
    <cfRule type="cellIs" dxfId="2425" priority="3763" stopIfTrue="1" operator="equal">
      <formula>"Towel"</formula>
    </cfRule>
    <cfRule type="cellIs" dxfId="2424" priority="3764" stopIfTrue="1" operator="equal">
      <formula>"Napkin Hs"</formula>
    </cfRule>
  </conditionalFormatting>
  <conditionalFormatting sqref="B102:C102">
    <cfRule type="cellIs" dxfId="2423" priority="3760" stopIfTrue="1" operator="equal">
      <formula>"Napkin Hs"</formula>
    </cfRule>
  </conditionalFormatting>
  <conditionalFormatting sqref="B102:C102">
    <cfRule type="cellIs" dxfId="2422" priority="3759" stopIfTrue="1" operator="equal">
      <formula>"Towel"</formula>
    </cfRule>
  </conditionalFormatting>
  <conditionalFormatting sqref="C102">
    <cfRule type="cellIs" dxfId="2421" priority="3758" stopIfTrue="1" operator="equal">
      <formula>"Napkin Hs"</formula>
    </cfRule>
  </conditionalFormatting>
  <conditionalFormatting sqref="C102">
    <cfRule type="cellIs" dxfId="2420" priority="3757" stopIfTrue="1" operator="equal">
      <formula>"Towel"</formula>
    </cfRule>
  </conditionalFormatting>
  <conditionalFormatting sqref="C102">
    <cfRule type="cellIs" dxfId="2419" priority="3755" stopIfTrue="1" operator="equal">
      <formula>"Towel"</formula>
    </cfRule>
    <cfRule type="cellIs" dxfId="2418" priority="3756" stopIfTrue="1" operator="equal">
      <formula>"Napkin Hs"</formula>
    </cfRule>
  </conditionalFormatting>
  <conditionalFormatting sqref="B102:C102">
    <cfRule type="cellIs" dxfId="2417" priority="3753" stopIfTrue="1" operator="equal">
      <formula>"Towel"</formula>
    </cfRule>
    <cfRule type="cellIs" dxfId="2416" priority="3754" stopIfTrue="1" operator="equal">
      <formula>"Napkin Hs"</formula>
    </cfRule>
  </conditionalFormatting>
  <conditionalFormatting sqref="C102">
    <cfRule type="cellIs" dxfId="2415" priority="3751" stopIfTrue="1" operator="equal">
      <formula>"Towel"</formula>
    </cfRule>
    <cfRule type="cellIs" dxfId="2414" priority="3752" stopIfTrue="1" operator="equal">
      <formula>"Napkin Hs"</formula>
    </cfRule>
  </conditionalFormatting>
  <conditionalFormatting sqref="C102">
    <cfRule type="cellIs" dxfId="2413" priority="3749" stopIfTrue="1" operator="equal">
      <formula>"Towel"</formula>
    </cfRule>
    <cfRule type="cellIs" dxfId="2412" priority="3750" stopIfTrue="1" operator="equal">
      <formula>"Napkin Hs"</formula>
    </cfRule>
  </conditionalFormatting>
  <conditionalFormatting sqref="B102:C102">
    <cfRule type="cellIs" dxfId="2411" priority="3747" stopIfTrue="1" operator="equal">
      <formula>"Towel"</formula>
    </cfRule>
    <cfRule type="cellIs" dxfId="2410" priority="3748" stopIfTrue="1" operator="equal">
      <formula>"Napkin Hs"</formula>
    </cfRule>
  </conditionalFormatting>
  <conditionalFormatting sqref="C102">
    <cfRule type="cellIs" dxfId="2409" priority="3745" stopIfTrue="1" operator="equal">
      <formula>"Towel"</formula>
    </cfRule>
    <cfRule type="cellIs" dxfId="2408" priority="3746" stopIfTrue="1" operator="equal">
      <formula>"Napkin Hs"</formula>
    </cfRule>
  </conditionalFormatting>
  <conditionalFormatting sqref="C102">
    <cfRule type="cellIs" dxfId="2407" priority="3743" stopIfTrue="1" operator="equal">
      <formula>"Towel"</formula>
    </cfRule>
    <cfRule type="cellIs" dxfId="2406" priority="3744" stopIfTrue="1" operator="equal">
      <formula>"Napkin Hs"</formula>
    </cfRule>
  </conditionalFormatting>
  <conditionalFormatting sqref="B102:C102">
    <cfRule type="cellIs" dxfId="2405" priority="3741" stopIfTrue="1" operator="equal">
      <formula>"Towel"</formula>
    </cfRule>
    <cfRule type="cellIs" dxfId="2404" priority="3742" stopIfTrue="1" operator="equal">
      <formula>"Napkin Hs"</formula>
    </cfRule>
  </conditionalFormatting>
  <conditionalFormatting sqref="C102">
    <cfRule type="cellIs" dxfId="2403" priority="3739" stopIfTrue="1" operator="equal">
      <formula>"Towel"</formula>
    </cfRule>
    <cfRule type="cellIs" dxfId="2402" priority="3740" stopIfTrue="1" operator="equal">
      <formula>"Napkin Hs"</formula>
    </cfRule>
  </conditionalFormatting>
  <conditionalFormatting sqref="C102">
    <cfRule type="cellIs" dxfId="2401" priority="3737" stopIfTrue="1" operator="equal">
      <formula>"Towel"</formula>
    </cfRule>
    <cfRule type="cellIs" dxfId="2400" priority="3738" stopIfTrue="1" operator="equal">
      <formula>"Napkin Hs"</formula>
    </cfRule>
  </conditionalFormatting>
  <conditionalFormatting sqref="B102:C102">
    <cfRule type="cellIs" dxfId="2399" priority="3735" stopIfTrue="1" operator="equal">
      <formula>"Towel"</formula>
    </cfRule>
    <cfRule type="cellIs" dxfId="2398" priority="3736" stopIfTrue="1" operator="equal">
      <formula>"Napkin Hs"</formula>
    </cfRule>
  </conditionalFormatting>
  <conditionalFormatting sqref="C102">
    <cfRule type="cellIs" dxfId="2397" priority="3733" stopIfTrue="1" operator="equal">
      <formula>"Towel"</formula>
    </cfRule>
    <cfRule type="cellIs" dxfId="2396" priority="3734" stopIfTrue="1" operator="equal">
      <formula>"Napkin Hs"</formula>
    </cfRule>
  </conditionalFormatting>
  <conditionalFormatting sqref="C102">
    <cfRule type="cellIs" dxfId="2395" priority="3731" stopIfTrue="1" operator="equal">
      <formula>"Towel"</formula>
    </cfRule>
    <cfRule type="cellIs" dxfId="2394" priority="3732" stopIfTrue="1" operator="equal">
      <formula>"Napkin Hs"</formula>
    </cfRule>
  </conditionalFormatting>
  <conditionalFormatting sqref="B102:C102">
    <cfRule type="cellIs" dxfId="2393" priority="3729" stopIfTrue="1" operator="equal">
      <formula>"Towel"</formula>
    </cfRule>
    <cfRule type="cellIs" dxfId="2392" priority="3730" stopIfTrue="1" operator="equal">
      <formula>"Napkin Hs"</formula>
    </cfRule>
  </conditionalFormatting>
  <conditionalFormatting sqref="C102">
    <cfRule type="cellIs" dxfId="2391" priority="3727" stopIfTrue="1" operator="equal">
      <formula>"Towel"</formula>
    </cfRule>
    <cfRule type="cellIs" dxfId="2390" priority="3728" stopIfTrue="1" operator="equal">
      <formula>"Napkin Hs"</formula>
    </cfRule>
  </conditionalFormatting>
  <conditionalFormatting sqref="C102">
    <cfRule type="cellIs" dxfId="2389" priority="3725" stopIfTrue="1" operator="equal">
      <formula>"Towel"</formula>
    </cfRule>
    <cfRule type="cellIs" dxfId="2388" priority="3726" stopIfTrue="1" operator="equal">
      <formula>"Napkin Hs"</formula>
    </cfRule>
  </conditionalFormatting>
  <conditionalFormatting sqref="B102:C102">
    <cfRule type="cellIs" dxfId="2387" priority="3724" stopIfTrue="1" operator="equal">
      <formula>"Napkin Hs"</formula>
    </cfRule>
  </conditionalFormatting>
  <conditionalFormatting sqref="B102:C102">
    <cfRule type="cellIs" dxfId="2386" priority="3723" stopIfTrue="1" operator="equal">
      <formula>"Towel"</formula>
    </cfRule>
  </conditionalFormatting>
  <conditionalFormatting sqref="C102">
    <cfRule type="cellIs" dxfId="2385" priority="3722" stopIfTrue="1" operator="equal">
      <formula>"Napkin Hs"</formula>
    </cfRule>
  </conditionalFormatting>
  <conditionalFormatting sqref="C102">
    <cfRule type="cellIs" dxfId="2384" priority="3719" stopIfTrue="1" operator="equal">
      <formula>"Towel"</formula>
    </cfRule>
    <cfRule type="cellIs" dxfId="2383" priority="3720" stopIfTrue="1" operator="equal">
      <formula>"Napkin Hs"</formula>
    </cfRule>
  </conditionalFormatting>
  <conditionalFormatting sqref="C102">
    <cfRule type="cellIs" dxfId="2382" priority="3721" stopIfTrue="1" operator="equal">
      <formula>"Towel"</formula>
    </cfRule>
  </conditionalFormatting>
  <conditionalFormatting sqref="B103:C103">
    <cfRule type="cellIs" dxfId="2381" priority="3718" stopIfTrue="1" operator="equal">
      <formula>"Napkin Hs"</formula>
    </cfRule>
  </conditionalFormatting>
  <conditionalFormatting sqref="B103:C103">
    <cfRule type="cellIs" dxfId="2380" priority="3717" stopIfTrue="1" operator="equal">
      <formula>"Towel"</formula>
    </cfRule>
  </conditionalFormatting>
  <conditionalFormatting sqref="C103">
    <cfRule type="cellIs" dxfId="2379" priority="3716" stopIfTrue="1" operator="equal">
      <formula>"Napkin Hs"</formula>
    </cfRule>
  </conditionalFormatting>
  <conditionalFormatting sqref="C103">
    <cfRule type="cellIs" dxfId="2378" priority="3715" stopIfTrue="1" operator="equal">
      <formula>"Towel"</formula>
    </cfRule>
  </conditionalFormatting>
  <conditionalFormatting sqref="C103">
    <cfRule type="cellIs" dxfId="2377" priority="3713" stopIfTrue="1" operator="equal">
      <formula>"Towel"</formula>
    </cfRule>
    <cfRule type="cellIs" dxfId="2376" priority="3714" stopIfTrue="1" operator="equal">
      <formula>"Napkin Hs"</formula>
    </cfRule>
  </conditionalFormatting>
  <conditionalFormatting sqref="B103:C103">
    <cfRule type="cellIs" dxfId="2375" priority="3711" stopIfTrue="1" operator="equal">
      <formula>"Towel"</formula>
    </cfRule>
    <cfRule type="cellIs" dxfId="2374" priority="3712" stopIfTrue="1" operator="equal">
      <formula>"Napkin Hs"</formula>
    </cfRule>
  </conditionalFormatting>
  <conditionalFormatting sqref="C103">
    <cfRule type="cellIs" dxfId="2373" priority="3707" stopIfTrue="1" operator="equal">
      <formula>"Towel"</formula>
    </cfRule>
    <cfRule type="cellIs" dxfId="2372" priority="3708" stopIfTrue="1" operator="equal">
      <formula>"Napkin Hs"</formula>
    </cfRule>
  </conditionalFormatting>
  <conditionalFormatting sqref="C103">
    <cfRule type="cellIs" dxfId="2371" priority="3709" stopIfTrue="1" operator="equal">
      <formula>"Towel"</formula>
    </cfRule>
    <cfRule type="cellIs" dxfId="2370" priority="3710" stopIfTrue="1" operator="equal">
      <formula>"Napkin Hs"</formula>
    </cfRule>
  </conditionalFormatting>
  <conditionalFormatting sqref="B103:C103">
    <cfRule type="cellIs" dxfId="2369" priority="3706" stopIfTrue="1" operator="equal">
      <formula>"Napkin Hs"</formula>
    </cfRule>
  </conditionalFormatting>
  <conditionalFormatting sqref="B103:C103">
    <cfRule type="cellIs" dxfId="2368" priority="3705" stopIfTrue="1" operator="equal">
      <formula>"Towel"</formula>
    </cfRule>
  </conditionalFormatting>
  <conditionalFormatting sqref="C103">
    <cfRule type="cellIs" dxfId="2367" priority="3704" stopIfTrue="1" operator="equal">
      <formula>"Napkin Hs"</formula>
    </cfRule>
  </conditionalFormatting>
  <conditionalFormatting sqref="C103">
    <cfRule type="cellIs" dxfId="2366" priority="3703" stopIfTrue="1" operator="equal">
      <formula>"Towel"</formula>
    </cfRule>
  </conditionalFormatting>
  <conditionalFormatting sqref="C103">
    <cfRule type="cellIs" dxfId="2365" priority="3701" stopIfTrue="1" operator="equal">
      <formula>"Towel"</formula>
    </cfRule>
    <cfRule type="cellIs" dxfId="2364" priority="3702" stopIfTrue="1" operator="equal">
      <formula>"Napkin Hs"</formula>
    </cfRule>
  </conditionalFormatting>
  <conditionalFormatting sqref="B103:C103">
    <cfRule type="cellIs" dxfId="2363" priority="3699" stopIfTrue="1" operator="equal">
      <formula>"Towel"</formula>
    </cfRule>
    <cfRule type="cellIs" dxfId="2362" priority="3700" stopIfTrue="1" operator="equal">
      <formula>"Napkin Hs"</formula>
    </cfRule>
  </conditionalFormatting>
  <conditionalFormatting sqref="C103">
    <cfRule type="cellIs" dxfId="2361" priority="3697" stopIfTrue="1" operator="equal">
      <formula>"Towel"</formula>
    </cfRule>
    <cfRule type="cellIs" dxfId="2360" priority="3698" stopIfTrue="1" operator="equal">
      <formula>"Napkin Hs"</formula>
    </cfRule>
  </conditionalFormatting>
  <conditionalFormatting sqref="C103">
    <cfRule type="cellIs" dxfId="2359" priority="3695" stopIfTrue="1" operator="equal">
      <formula>"Towel"</formula>
    </cfRule>
    <cfRule type="cellIs" dxfId="2358" priority="3696" stopIfTrue="1" operator="equal">
      <formula>"Napkin Hs"</formula>
    </cfRule>
  </conditionalFormatting>
  <conditionalFormatting sqref="B103:C103">
    <cfRule type="cellIs" dxfId="2357" priority="3693" stopIfTrue="1" operator="equal">
      <formula>"Towel"</formula>
    </cfRule>
    <cfRule type="cellIs" dxfId="2356" priority="3694" stopIfTrue="1" operator="equal">
      <formula>"Napkin Hs"</formula>
    </cfRule>
  </conditionalFormatting>
  <conditionalFormatting sqref="C103">
    <cfRule type="cellIs" dxfId="2355" priority="3691" stopIfTrue="1" operator="equal">
      <formula>"Towel"</formula>
    </cfRule>
    <cfRule type="cellIs" dxfId="2354" priority="3692" stopIfTrue="1" operator="equal">
      <formula>"Napkin Hs"</formula>
    </cfRule>
  </conditionalFormatting>
  <conditionalFormatting sqref="C103">
    <cfRule type="cellIs" dxfId="2353" priority="3689" stopIfTrue="1" operator="equal">
      <formula>"Towel"</formula>
    </cfRule>
    <cfRule type="cellIs" dxfId="2352" priority="3690" stopIfTrue="1" operator="equal">
      <formula>"Napkin Hs"</formula>
    </cfRule>
  </conditionalFormatting>
  <conditionalFormatting sqref="B103:C103">
    <cfRule type="cellIs" dxfId="2351" priority="3687" stopIfTrue="1" operator="equal">
      <formula>"Towel"</formula>
    </cfRule>
    <cfRule type="cellIs" dxfId="2350" priority="3688" stopIfTrue="1" operator="equal">
      <formula>"Napkin Hs"</formula>
    </cfRule>
  </conditionalFormatting>
  <conditionalFormatting sqref="C103">
    <cfRule type="cellIs" dxfId="2349" priority="3685" stopIfTrue="1" operator="equal">
      <formula>"Towel"</formula>
    </cfRule>
    <cfRule type="cellIs" dxfId="2348" priority="3686" stopIfTrue="1" operator="equal">
      <formula>"Napkin Hs"</formula>
    </cfRule>
  </conditionalFormatting>
  <conditionalFormatting sqref="C103">
    <cfRule type="cellIs" dxfId="2347" priority="3683" stopIfTrue="1" operator="equal">
      <formula>"Towel"</formula>
    </cfRule>
    <cfRule type="cellIs" dxfId="2346" priority="3684" stopIfTrue="1" operator="equal">
      <formula>"Napkin Hs"</formula>
    </cfRule>
  </conditionalFormatting>
  <conditionalFormatting sqref="B103:C103">
    <cfRule type="cellIs" dxfId="2345" priority="3681" stopIfTrue="1" operator="equal">
      <formula>"Towel"</formula>
    </cfRule>
    <cfRule type="cellIs" dxfId="2344" priority="3682" stopIfTrue="1" operator="equal">
      <formula>"Napkin Hs"</formula>
    </cfRule>
  </conditionalFormatting>
  <conditionalFormatting sqref="C103">
    <cfRule type="cellIs" dxfId="2343" priority="3679" stopIfTrue="1" operator="equal">
      <formula>"Towel"</formula>
    </cfRule>
    <cfRule type="cellIs" dxfId="2342" priority="3680" stopIfTrue="1" operator="equal">
      <formula>"Napkin Hs"</formula>
    </cfRule>
  </conditionalFormatting>
  <conditionalFormatting sqref="C103">
    <cfRule type="cellIs" dxfId="2341" priority="3677" stopIfTrue="1" operator="equal">
      <formula>"Towel"</formula>
    </cfRule>
    <cfRule type="cellIs" dxfId="2340" priority="3678" stopIfTrue="1" operator="equal">
      <formula>"Napkin Hs"</formula>
    </cfRule>
  </conditionalFormatting>
  <conditionalFormatting sqref="B103:C103">
    <cfRule type="cellIs" dxfId="2339" priority="3675" stopIfTrue="1" operator="equal">
      <formula>"Towel"</formula>
    </cfRule>
    <cfRule type="cellIs" dxfId="2338" priority="3676" stopIfTrue="1" operator="equal">
      <formula>"Napkin Hs"</formula>
    </cfRule>
  </conditionalFormatting>
  <conditionalFormatting sqref="C103">
    <cfRule type="cellIs" dxfId="2337" priority="3673" stopIfTrue="1" operator="equal">
      <formula>"Towel"</formula>
    </cfRule>
    <cfRule type="cellIs" dxfId="2336" priority="3674" stopIfTrue="1" operator="equal">
      <formula>"Napkin Hs"</formula>
    </cfRule>
  </conditionalFormatting>
  <conditionalFormatting sqref="C103">
    <cfRule type="cellIs" dxfId="2335" priority="3671" stopIfTrue="1" operator="equal">
      <formula>"Towel"</formula>
    </cfRule>
    <cfRule type="cellIs" dxfId="2334" priority="3672" stopIfTrue="1" operator="equal">
      <formula>"Napkin Hs"</formula>
    </cfRule>
  </conditionalFormatting>
  <conditionalFormatting sqref="B103:C103">
    <cfRule type="cellIs" dxfId="2333" priority="3670" stopIfTrue="1" operator="equal">
      <formula>"Napkin Hs"</formula>
    </cfRule>
  </conditionalFormatting>
  <conditionalFormatting sqref="B103:C103">
    <cfRule type="cellIs" dxfId="2332" priority="3669" stopIfTrue="1" operator="equal">
      <formula>"Towel"</formula>
    </cfRule>
  </conditionalFormatting>
  <conditionalFormatting sqref="C103">
    <cfRule type="cellIs" dxfId="2331" priority="3668" stopIfTrue="1" operator="equal">
      <formula>"Napkin Hs"</formula>
    </cfRule>
  </conditionalFormatting>
  <conditionalFormatting sqref="C103">
    <cfRule type="cellIs" dxfId="2330" priority="3665" stopIfTrue="1" operator="equal">
      <formula>"Towel"</formula>
    </cfRule>
    <cfRule type="cellIs" dxfId="2329" priority="3666" stopIfTrue="1" operator="equal">
      <formula>"Napkin Hs"</formula>
    </cfRule>
  </conditionalFormatting>
  <conditionalFormatting sqref="C103">
    <cfRule type="cellIs" dxfId="2328" priority="3667" stopIfTrue="1" operator="equal">
      <formula>"Towel"</formula>
    </cfRule>
  </conditionalFormatting>
  <conditionalFormatting sqref="B101:C101">
    <cfRule type="cellIs" dxfId="2327" priority="3663" stopIfTrue="1" operator="equal">
      <formula>"Towel"</formula>
    </cfRule>
    <cfRule type="cellIs" dxfId="2326" priority="3664" stopIfTrue="1" operator="equal">
      <formula>"Napkin Hs"</formula>
    </cfRule>
  </conditionalFormatting>
  <conditionalFormatting sqref="C101">
    <cfRule type="cellIs" dxfId="2325" priority="3659" stopIfTrue="1" operator="equal">
      <formula>"Towel"</formula>
    </cfRule>
    <cfRule type="cellIs" dxfId="2324" priority="3660" stopIfTrue="1" operator="equal">
      <formula>"Napkin Hs"</formula>
    </cfRule>
  </conditionalFormatting>
  <conditionalFormatting sqref="C101">
    <cfRule type="cellIs" dxfId="2323" priority="3661" stopIfTrue="1" operator="equal">
      <formula>"Towel"</formula>
    </cfRule>
    <cfRule type="cellIs" dxfId="2322" priority="3662" stopIfTrue="1" operator="equal">
      <formula>"Napkin Hs"</formula>
    </cfRule>
  </conditionalFormatting>
  <conditionalFormatting sqref="B101:C101">
    <cfRule type="cellIs" dxfId="2321" priority="3657" stopIfTrue="1" operator="equal">
      <formula>"Towel"</formula>
    </cfRule>
    <cfRule type="cellIs" dxfId="2320" priority="3658" stopIfTrue="1" operator="equal">
      <formula>"Napkin Hs"</formula>
    </cfRule>
  </conditionalFormatting>
  <conditionalFormatting sqref="C101">
    <cfRule type="cellIs" dxfId="2319" priority="3653" stopIfTrue="1" operator="equal">
      <formula>"Towel"</formula>
    </cfRule>
    <cfRule type="cellIs" dxfId="2318" priority="3654" stopIfTrue="1" operator="equal">
      <formula>"Napkin Hs"</formula>
    </cfRule>
  </conditionalFormatting>
  <conditionalFormatting sqref="C101">
    <cfRule type="cellIs" dxfId="2317" priority="3655" stopIfTrue="1" operator="equal">
      <formula>"Towel"</formula>
    </cfRule>
    <cfRule type="cellIs" dxfId="2316" priority="3656" stopIfTrue="1" operator="equal">
      <formula>"Napkin Hs"</formula>
    </cfRule>
  </conditionalFormatting>
  <conditionalFormatting sqref="B101:C101">
    <cfRule type="cellIs" dxfId="2315" priority="3651" stopIfTrue="1" operator="equal">
      <formula>"Towel"</formula>
    </cfRule>
    <cfRule type="cellIs" dxfId="2314" priority="3652" stopIfTrue="1" operator="equal">
      <formula>"Napkin Hs"</formula>
    </cfRule>
  </conditionalFormatting>
  <conditionalFormatting sqref="C101">
    <cfRule type="cellIs" dxfId="2313" priority="3649" stopIfTrue="1" operator="equal">
      <formula>"Towel"</formula>
    </cfRule>
    <cfRule type="cellIs" dxfId="2312" priority="3650" stopIfTrue="1" operator="equal">
      <formula>"Napkin Hs"</formula>
    </cfRule>
  </conditionalFormatting>
  <conditionalFormatting sqref="C101">
    <cfRule type="cellIs" dxfId="2311" priority="3647" stopIfTrue="1" operator="equal">
      <formula>"Towel"</formula>
    </cfRule>
    <cfRule type="cellIs" dxfId="2310" priority="3648" stopIfTrue="1" operator="equal">
      <formula>"Napkin Hs"</formula>
    </cfRule>
  </conditionalFormatting>
  <conditionalFormatting sqref="B101:C101">
    <cfRule type="cellIs" dxfId="2309" priority="3645" stopIfTrue="1" operator="equal">
      <formula>"Towel"</formula>
    </cfRule>
    <cfRule type="cellIs" dxfId="2308" priority="3646" stopIfTrue="1" operator="equal">
      <formula>"Napkin Hs"</formula>
    </cfRule>
  </conditionalFormatting>
  <conditionalFormatting sqref="C101">
    <cfRule type="cellIs" dxfId="2307" priority="3643" stopIfTrue="1" operator="equal">
      <formula>"Towel"</formula>
    </cfRule>
    <cfRule type="cellIs" dxfId="2306" priority="3644" stopIfTrue="1" operator="equal">
      <formula>"Napkin Hs"</formula>
    </cfRule>
  </conditionalFormatting>
  <conditionalFormatting sqref="C101">
    <cfRule type="cellIs" dxfId="2305" priority="3641" stopIfTrue="1" operator="equal">
      <formula>"Towel"</formula>
    </cfRule>
    <cfRule type="cellIs" dxfId="2304" priority="3642" stopIfTrue="1" operator="equal">
      <formula>"Napkin Hs"</formula>
    </cfRule>
  </conditionalFormatting>
  <conditionalFormatting sqref="B101:C101">
    <cfRule type="cellIs" dxfId="2303" priority="3639" stopIfTrue="1" operator="equal">
      <formula>"Towel"</formula>
    </cfRule>
    <cfRule type="cellIs" dxfId="2302" priority="3640" stopIfTrue="1" operator="equal">
      <formula>"Napkin Hs"</formula>
    </cfRule>
  </conditionalFormatting>
  <conditionalFormatting sqref="C101">
    <cfRule type="cellIs" dxfId="2301" priority="3637" stopIfTrue="1" operator="equal">
      <formula>"Towel"</formula>
    </cfRule>
    <cfRule type="cellIs" dxfId="2300" priority="3638" stopIfTrue="1" operator="equal">
      <formula>"Napkin Hs"</formula>
    </cfRule>
  </conditionalFormatting>
  <conditionalFormatting sqref="C101">
    <cfRule type="cellIs" dxfId="2299" priority="3635" stopIfTrue="1" operator="equal">
      <formula>"Towel"</formula>
    </cfRule>
    <cfRule type="cellIs" dxfId="2298" priority="3636" stopIfTrue="1" operator="equal">
      <formula>"Napkin Hs"</formula>
    </cfRule>
  </conditionalFormatting>
  <conditionalFormatting sqref="B101:C101">
    <cfRule type="cellIs" dxfId="2297" priority="3634" stopIfTrue="1" operator="equal">
      <formula>"Napkin Hs"</formula>
    </cfRule>
  </conditionalFormatting>
  <conditionalFormatting sqref="B101:C101">
    <cfRule type="cellIs" dxfId="2296" priority="3633" stopIfTrue="1" operator="equal">
      <formula>"Towel"</formula>
    </cfRule>
  </conditionalFormatting>
  <conditionalFormatting sqref="C101">
    <cfRule type="cellIs" dxfId="2295" priority="3632" stopIfTrue="1" operator="equal">
      <formula>"Napkin Hs"</formula>
    </cfRule>
  </conditionalFormatting>
  <conditionalFormatting sqref="C101">
    <cfRule type="cellIs" dxfId="2294" priority="3629" stopIfTrue="1" operator="equal">
      <formula>"Towel"</formula>
    </cfRule>
    <cfRule type="cellIs" dxfId="2293" priority="3630" stopIfTrue="1" operator="equal">
      <formula>"Napkin Hs"</formula>
    </cfRule>
  </conditionalFormatting>
  <conditionalFormatting sqref="C101">
    <cfRule type="cellIs" dxfId="2292" priority="3631" stopIfTrue="1" operator="equal">
      <formula>"Towel"</formula>
    </cfRule>
  </conditionalFormatting>
  <conditionalFormatting sqref="B100:C100">
    <cfRule type="cellIs" dxfId="2291" priority="3625" stopIfTrue="1" operator="equal">
      <formula>"Towel"</formula>
    </cfRule>
    <cfRule type="cellIs" dxfId="2290" priority="3626" stopIfTrue="1" operator="equal">
      <formula>"Napkin Hs"</formula>
    </cfRule>
  </conditionalFormatting>
  <conditionalFormatting sqref="C100">
    <cfRule type="cellIs" dxfId="2289" priority="3627" stopIfTrue="1" operator="equal">
      <formula>"Towel"</formula>
    </cfRule>
    <cfRule type="cellIs" dxfId="2288" priority="3628" stopIfTrue="1" operator="equal">
      <formula>"Napkin Hs"</formula>
    </cfRule>
  </conditionalFormatting>
  <conditionalFormatting sqref="C100">
    <cfRule type="cellIs" dxfId="2287" priority="3623" stopIfTrue="1" operator="equal">
      <formula>"Towel"</formula>
    </cfRule>
    <cfRule type="cellIs" dxfId="2286" priority="3624" stopIfTrue="1" operator="equal">
      <formula>"Napkin Hs"</formula>
    </cfRule>
  </conditionalFormatting>
  <conditionalFormatting sqref="B100:C100">
    <cfRule type="cellIs" dxfId="2285" priority="3621" stopIfTrue="1" operator="equal">
      <formula>"Towel"</formula>
    </cfRule>
    <cfRule type="cellIs" dxfId="2284" priority="3622" stopIfTrue="1" operator="equal">
      <formula>"Napkin Hs"</formula>
    </cfRule>
  </conditionalFormatting>
  <conditionalFormatting sqref="C100">
    <cfRule type="cellIs" dxfId="2283" priority="3617" stopIfTrue="1" operator="equal">
      <formula>"Towel"</formula>
    </cfRule>
    <cfRule type="cellIs" dxfId="2282" priority="3618" stopIfTrue="1" operator="equal">
      <formula>"Napkin Hs"</formula>
    </cfRule>
  </conditionalFormatting>
  <conditionalFormatting sqref="C100">
    <cfRule type="cellIs" dxfId="2281" priority="3619" stopIfTrue="1" operator="equal">
      <formula>"Towel"</formula>
    </cfRule>
    <cfRule type="cellIs" dxfId="2280" priority="3620" stopIfTrue="1" operator="equal">
      <formula>"Napkin Hs"</formula>
    </cfRule>
  </conditionalFormatting>
  <conditionalFormatting sqref="B100:C100">
    <cfRule type="cellIs" dxfId="2279" priority="3615" stopIfTrue="1" operator="equal">
      <formula>"Towel"</formula>
    </cfRule>
    <cfRule type="cellIs" dxfId="2278" priority="3616" stopIfTrue="1" operator="equal">
      <formula>"Napkin Hs"</formula>
    </cfRule>
  </conditionalFormatting>
  <conditionalFormatting sqref="C100">
    <cfRule type="cellIs" dxfId="2277" priority="3611" stopIfTrue="1" operator="equal">
      <formula>"Towel"</formula>
    </cfRule>
    <cfRule type="cellIs" dxfId="2276" priority="3612" stopIfTrue="1" operator="equal">
      <formula>"Napkin Hs"</formula>
    </cfRule>
  </conditionalFormatting>
  <conditionalFormatting sqref="C100">
    <cfRule type="cellIs" dxfId="2275" priority="3613" stopIfTrue="1" operator="equal">
      <formula>"Towel"</formula>
    </cfRule>
    <cfRule type="cellIs" dxfId="2274" priority="3614" stopIfTrue="1" operator="equal">
      <formula>"Napkin Hs"</formula>
    </cfRule>
  </conditionalFormatting>
  <conditionalFormatting sqref="B100:C100">
    <cfRule type="cellIs" dxfId="2273" priority="3609" stopIfTrue="1" operator="equal">
      <formula>"Towel"</formula>
    </cfRule>
    <cfRule type="cellIs" dxfId="2272" priority="3610" stopIfTrue="1" operator="equal">
      <formula>"Napkin Hs"</formula>
    </cfRule>
  </conditionalFormatting>
  <conditionalFormatting sqref="C100">
    <cfRule type="cellIs" dxfId="2271" priority="3607" stopIfTrue="1" operator="equal">
      <formula>"Towel"</formula>
    </cfRule>
    <cfRule type="cellIs" dxfId="2270" priority="3608" stopIfTrue="1" operator="equal">
      <formula>"Napkin Hs"</formula>
    </cfRule>
  </conditionalFormatting>
  <conditionalFormatting sqref="C100">
    <cfRule type="cellIs" dxfId="2269" priority="3605" stopIfTrue="1" operator="equal">
      <formula>"Towel"</formula>
    </cfRule>
    <cfRule type="cellIs" dxfId="2268" priority="3606" stopIfTrue="1" operator="equal">
      <formula>"Napkin Hs"</formula>
    </cfRule>
  </conditionalFormatting>
  <conditionalFormatting sqref="B100:C100">
    <cfRule type="cellIs" dxfId="2267" priority="3603" stopIfTrue="1" operator="equal">
      <formula>"Towel"</formula>
    </cfRule>
    <cfRule type="cellIs" dxfId="2266" priority="3604" stopIfTrue="1" operator="equal">
      <formula>"Napkin Hs"</formula>
    </cfRule>
  </conditionalFormatting>
  <conditionalFormatting sqref="C100">
    <cfRule type="cellIs" dxfId="2265" priority="3601" stopIfTrue="1" operator="equal">
      <formula>"Towel"</formula>
    </cfRule>
    <cfRule type="cellIs" dxfId="2264" priority="3602" stopIfTrue="1" operator="equal">
      <formula>"Napkin Hs"</formula>
    </cfRule>
  </conditionalFormatting>
  <conditionalFormatting sqref="C100">
    <cfRule type="cellIs" dxfId="2263" priority="3599" stopIfTrue="1" operator="equal">
      <formula>"Towel"</formula>
    </cfRule>
    <cfRule type="cellIs" dxfId="2262" priority="3600" stopIfTrue="1" operator="equal">
      <formula>"Napkin Hs"</formula>
    </cfRule>
  </conditionalFormatting>
  <conditionalFormatting sqref="B100:C100">
    <cfRule type="cellIs" dxfId="2261" priority="3597" stopIfTrue="1" operator="equal">
      <formula>"Towel"</formula>
    </cfRule>
    <cfRule type="cellIs" dxfId="2260" priority="3598" stopIfTrue="1" operator="equal">
      <formula>"Napkin Hs"</formula>
    </cfRule>
  </conditionalFormatting>
  <conditionalFormatting sqref="C100">
    <cfRule type="cellIs" dxfId="2259" priority="3595" stopIfTrue="1" operator="equal">
      <formula>"Towel"</formula>
    </cfRule>
    <cfRule type="cellIs" dxfId="2258" priority="3596" stopIfTrue="1" operator="equal">
      <formula>"Napkin Hs"</formula>
    </cfRule>
  </conditionalFormatting>
  <conditionalFormatting sqref="C100">
    <cfRule type="cellIs" dxfId="2257" priority="3593" stopIfTrue="1" operator="equal">
      <formula>"Towel"</formula>
    </cfRule>
    <cfRule type="cellIs" dxfId="2256" priority="3594" stopIfTrue="1" operator="equal">
      <formula>"Napkin Hs"</formula>
    </cfRule>
  </conditionalFormatting>
  <conditionalFormatting sqref="B100:C100">
    <cfRule type="cellIs" dxfId="2255" priority="3592" stopIfTrue="1" operator="equal">
      <formula>"Napkin Hs"</formula>
    </cfRule>
  </conditionalFormatting>
  <conditionalFormatting sqref="B100:C100">
    <cfRule type="cellIs" dxfId="2254" priority="3591" stopIfTrue="1" operator="equal">
      <formula>"Towel"</formula>
    </cfRule>
  </conditionalFormatting>
  <conditionalFormatting sqref="C100">
    <cfRule type="cellIs" dxfId="2253" priority="3590" stopIfTrue="1" operator="equal">
      <formula>"Napkin Hs"</formula>
    </cfRule>
  </conditionalFormatting>
  <conditionalFormatting sqref="C100">
    <cfRule type="cellIs" dxfId="2252" priority="3587" stopIfTrue="1" operator="equal">
      <formula>"Towel"</formula>
    </cfRule>
    <cfRule type="cellIs" dxfId="2251" priority="3588" stopIfTrue="1" operator="equal">
      <formula>"Napkin Hs"</formula>
    </cfRule>
  </conditionalFormatting>
  <conditionalFormatting sqref="C100">
    <cfRule type="cellIs" dxfId="2250" priority="3589" stopIfTrue="1" operator="equal">
      <formula>"Towel"</formula>
    </cfRule>
  </conditionalFormatting>
  <conditionalFormatting sqref="B108:C108">
    <cfRule type="cellIs" dxfId="2249" priority="3586" stopIfTrue="1" operator="equal">
      <formula>"Napkin Hs"</formula>
    </cfRule>
  </conditionalFormatting>
  <conditionalFormatting sqref="B108:C108">
    <cfRule type="cellIs" dxfId="2248" priority="3585" stopIfTrue="1" operator="equal">
      <formula>"Towel"</formula>
    </cfRule>
  </conditionalFormatting>
  <conditionalFormatting sqref="C108">
    <cfRule type="cellIs" dxfId="2247" priority="3584" stopIfTrue="1" operator="equal">
      <formula>"Napkin Hs"</formula>
    </cfRule>
  </conditionalFormatting>
  <conditionalFormatting sqref="C108">
    <cfRule type="cellIs" dxfId="2246" priority="3583" stopIfTrue="1" operator="equal">
      <formula>"Towel"</formula>
    </cfRule>
  </conditionalFormatting>
  <conditionalFormatting sqref="C108">
    <cfRule type="cellIs" dxfId="2245" priority="3581" stopIfTrue="1" operator="equal">
      <formula>"Towel"</formula>
    </cfRule>
    <cfRule type="cellIs" dxfId="2244" priority="3582" stopIfTrue="1" operator="equal">
      <formula>"Napkin Hs"</formula>
    </cfRule>
  </conditionalFormatting>
  <conditionalFormatting sqref="B108:C108">
    <cfRule type="cellIs" dxfId="2243" priority="3579" stopIfTrue="1" operator="equal">
      <formula>"Towel"</formula>
    </cfRule>
    <cfRule type="cellIs" dxfId="2242" priority="3580" stopIfTrue="1" operator="equal">
      <formula>"Napkin Hs"</formula>
    </cfRule>
  </conditionalFormatting>
  <conditionalFormatting sqref="C108">
    <cfRule type="cellIs" dxfId="2241" priority="3575" stopIfTrue="1" operator="equal">
      <formula>"Towel"</formula>
    </cfRule>
    <cfRule type="cellIs" dxfId="2240" priority="3576" stopIfTrue="1" operator="equal">
      <formula>"Napkin Hs"</formula>
    </cfRule>
  </conditionalFormatting>
  <conditionalFormatting sqref="C108">
    <cfRule type="cellIs" dxfId="2239" priority="3577" stopIfTrue="1" operator="equal">
      <formula>"Towel"</formula>
    </cfRule>
    <cfRule type="cellIs" dxfId="2238" priority="3578" stopIfTrue="1" operator="equal">
      <formula>"Napkin Hs"</formula>
    </cfRule>
  </conditionalFormatting>
  <conditionalFormatting sqref="B108:C108">
    <cfRule type="cellIs" dxfId="2237" priority="3574" stopIfTrue="1" operator="equal">
      <formula>"Napkin Hs"</formula>
    </cfRule>
  </conditionalFormatting>
  <conditionalFormatting sqref="B108:C108">
    <cfRule type="cellIs" dxfId="2236" priority="3573" stopIfTrue="1" operator="equal">
      <formula>"Towel"</formula>
    </cfRule>
  </conditionalFormatting>
  <conditionalFormatting sqref="C108">
    <cfRule type="cellIs" dxfId="2235" priority="3572" stopIfTrue="1" operator="equal">
      <formula>"Napkin Hs"</formula>
    </cfRule>
  </conditionalFormatting>
  <conditionalFormatting sqref="C108">
    <cfRule type="cellIs" dxfId="2234" priority="3571" stopIfTrue="1" operator="equal">
      <formula>"Towel"</formula>
    </cfRule>
  </conditionalFormatting>
  <conditionalFormatting sqref="C108">
    <cfRule type="cellIs" dxfId="2233" priority="3569" stopIfTrue="1" operator="equal">
      <formula>"Towel"</formula>
    </cfRule>
    <cfRule type="cellIs" dxfId="2232" priority="3570" stopIfTrue="1" operator="equal">
      <formula>"Napkin Hs"</formula>
    </cfRule>
  </conditionalFormatting>
  <conditionalFormatting sqref="B108:C108">
    <cfRule type="cellIs" dxfId="2231" priority="3567" stopIfTrue="1" operator="equal">
      <formula>"Towel"</formula>
    </cfRule>
    <cfRule type="cellIs" dxfId="2230" priority="3568" stopIfTrue="1" operator="equal">
      <formula>"Napkin Hs"</formula>
    </cfRule>
  </conditionalFormatting>
  <conditionalFormatting sqref="C108">
    <cfRule type="cellIs" dxfId="2229" priority="3565" stopIfTrue="1" operator="equal">
      <formula>"Towel"</formula>
    </cfRule>
    <cfRule type="cellIs" dxfId="2228" priority="3566" stopIfTrue="1" operator="equal">
      <formula>"Napkin Hs"</formula>
    </cfRule>
  </conditionalFormatting>
  <conditionalFormatting sqref="C108">
    <cfRule type="cellIs" dxfId="2227" priority="3563" stopIfTrue="1" operator="equal">
      <formula>"Towel"</formula>
    </cfRule>
    <cfRule type="cellIs" dxfId="2226" priority="3564" stopIfTrue="1" operator="equal">
      <formula>"Napkin Hs"</formula>
    </cfRule>
  </conditionalFormatting>
  <conditionalFormatting sqref="B108:C108">
    <cfRule type="cellIs" dxfId="2225" priority="3561" stopIfTrue="1" operator="equal">
      <formula>"Towel"</formula>
    </cfRule>
    <cfRule type="cellIs" dxfId="2224" priority="3562" stopIfTrue="1" operator="equal">
      <formula>"Napkin Hs"</formula>
    </cfRule>
  </conditionalFormatting>
  <conditionalFormatting sqref="C108">
    <cfRule type="cellIs" dxfId="2223" priority="3559" stopIfTrue="1" operator="equal">
      <formula>"Towel"</formula>
    </cfRule>
    <cfRule type="cellIs" dxfId="2222" priority="3560" stopIfTrue="1" operator="equal">
      <formula>"Napkin Hs"</formula>
    </cfRule>
  </conditionalFormatting>
  <conditionalFormatting sqref="C108">
    <cfRule type="cellIs" dxfId="2221" priority="3557" stopIfTrue="1" operator="equal">
      <formula>"Towel"</formula>
    </cfRule>
    <cfRule type="cellIs" dxfId="2220" priority="3558" stopIfTrue="1" operator="equal">
      <formula>"Napkin Hs"</formula>
    </cfRule>
  </conditionalFormatting>
  <conditionalFormatting sqref="B108:C108">
    <cfRule type="cellIs" dxfId="2219" priority="3555" stopIfTrue="1" operator="equal">
      <formula>"Towel"</formula>
    </cfRule>
    <cfRule type="cellIs" dxfId="2218" priority="3556" stopIfTrue="1" operator="equal">
      <formula>"Napkin Hs"</formula>
    </cfRule>
  </conditionalFormatting>
  <conditionalFormatting sqref="C108">
    <cfRule type="cellIs" dxfId="2217" priority="3553" stopIfTrue="1" operator="equal">
      <formula>"Towel"</formula>
    </cfRule>
    <cfRule type="cellIs" dxfId="2216" priority="3554" stopIfTrue="1" operator="equal">
      <formula>"Napkin Hs"</formula>
    </cfRule>
  </conditionalFormatting>
  <conditionalFormatting sqref="C108">
    <cfRule type="cellIs" dxfId="2215" priority="3551" stopIfTrue="1" operator="equal">
      <formula>"Towel"</formula>
    </cfRule>
    <cfRule type="cellIs" dxfId="2214" priority="3552" stopIfTrue="1" operator="equal">
      <formula>"Napkin Hs"</formula>
    </cfRule>
  </conditionalFormatting>
  <conditionalFormatting sqref="B108:C108">
    <cfRule type="cellIs" dxfId="2213" priority="3549" stopIfTrue="1" operator="equal">
      <formula>"Towel"</formula>
    </cfRule>
    <cfRule type="cellIs" dxfId="2212" priority="3550" stopIfTrue="1" operator="equal">
      <formula>"Napkin Hs"</formula>
    </cfRule>
  </conditionalFormatting>
  <conditionalFormatting sqref="C108">
    <cfRule type="cellIs" dxfId="2211" priority="3547" stopIfTrue="1" operator="equal">
      <formula>"Towel"</formula>
    </cfRule>
    <cfRule type="cellIs" dxfId="2210" priority="3548" stopIfTrue="1" operator="equal">
      <formula>"Napkin Hs"</formula>
    </cfRule>
  </conditionalFormatting>
  <conditionalFormatting sqref="C108">
    <cfRule type="cellIs" dxfId="2209" priority="3545" stopIfTrue="1" operator="equal">
      <formula>"Towel"</formula>
    </cfRule>
    <cfRule type="cellIs" dxfId="2208" priority="3546" stopIfTrue="1" operator="equal">
      <formula>"Napkin Hs"</formula>
    </cfRule>
  </conditionalFormatting>
  <conditionalFormatting sqref="B108:C108">
    <cfRule type="cellIs" dxfId="2207" priority="3543" stopIfTrue="1" operator="equal">
      <formula>"Towel"</formula>
    </cfRule>
    <cfRule type="cellIs" dxfId="2206" priority="3544" stopIfTrue="1" operator="equal">
      <formula>"Napkin Hs"</formula>
    </cfRule>
  </conditionalFormatting>
  <conditionalFormatting sqref="C108">
    <cfRule type="cellIs" dxfId="2205" priority="3541" stopIfTrue="1" operator="equal">
      <formula>"Towel"</formula>
    </cfRule>
    <cfRule type="cellIs" dxfId="2204" priority="3542" stopIfTrue="1" operator="equal">
      <formula>"Napkin Hs"</formula>
    </cfRule>
  </conditionalFormatting>
  <conditionalFormatting sqref="C108">
    <cfRule type="cellIs" dxfId="2203" priority="3539" stopIfTrue="1" operator="equal">
      <formula>"Towel"</formula>
    </cfRule>
    <cfRule type="cellIs" dxfId="2202" priority="3540" stopIfTrue="1" operator="equal">
      <formula>"Napkin Hs"</formula>
    </cfRule>
  </conditionalFormatting>
  <conditionalFormatting sqref="B108:C108">
    <cfRule type="cellIs" dxfId="2201" priority="3538" stopIfTrue="1" operator="equal">
      <formula>"Napkin Hs"</formula>
    </cfRule>
  </conditionalFormatting>
  <conditionalFormatting sqref="B108:C108">
    <cfRule type="cellIs" dxfId="2200" priority="3537" stopIfTrue="1" operator="equal">
      <formula>"Towel"</formula>
    </cfRule>
  </conditionalFormatting>
  <conditionalFormatting sqref="C108">
    <cfRule type="cellIs" dxfId="2199" priority="3536" stopIfTrue="1" operator="equal">
      <formula>"Napkin Hs"</formula>
    </cfRule>
  </conditionalFormatting>
  <conditionalFormatting sqref="C108">
    <cfRule type="cellIs" dxfId="2198" priority="3533" stopIfTrue="1" operator="equal">
      <formula>"Towel"</formula>
    </cfRule>
    <cfRule type="cellIs" dxfId="2197" priority="3534" stopIfTrue="1" operator="equal">
      <formula>"Napkin Hs"</formula>
    </cfRule>
  </conditionalFormatting>
  <conditionalFormatting sqref="C108">
    <cfRule type="cellIs" dxfId="2196" priority="3535" stopIfTrue="1" operator="equal">
      <formula>"Towel"</formula>
    </cfRule>
  </conditionalFormatting>
  <conditionalFormatting sqref="B106:C106">
    <cfRule type="cellIs" dxfId="2195" priority="3127" stopIfTrue="1" operator="equal">
      <formula>"Towel"</formula>
    </cfRule>
    <cfRule type="cellIs" dxfId="2194" priority="3128" stopIfTrue="1" operator="equal">
      <formula>"Napkin Hs"</formula>
    </cfRule>
  </conditionalFormatting>
  <conditionalFormatting sqref="B107:C107">
    <cfRule type="cellIs" dxfId="2193" priority="3123" stopIfTrue="1" operator="equal">
      <formula>"Towel"</formula>
    </cfRule>
    <cfRule type="cellIs" dxfId="2192" priority="3124" stopIfTrue="1" operator="equal">
      <formula>"Napkin Hs"</formula>
    </cfRule>
  </conditionalFormatting>
  <conditionalFormatting sqref="C106">
    <cfRule type="cellIs" dxfId="2191" priority="3129" stopIfTrue="1" operator="equal">
      <formula>"Towel"</formula>
    </cfRule>
    <cfRule type="cellIs" dxfId="2190" priority="3130" stopIfTrue="1" operator="equal">
      <formula>"Napkin Hs"</formula>
    </cfRule>
  </conditionalFormatting>
  <conditionalFormatting sqref="C106:C107">
    <cfRule type="cellIs" dxfId="2189" priority="3125" stopIfTrue="1" operator="equal">
      <formula>"Towel"</formula>
    </cfRule>
    <cfRule type="cellIs" dxfId="2188" priority="3126" stopIfTrue="1" operator="equal">
      <formula>"Napkin Hs"</formula>
    </cfRule>
  </conditionalFormatting>
  <conditionalFormatting sqref="C107">
    <cfRule type="cellIs" dxfId="2187" priority="3121" stopIfTrue="1" operator="equal">
      <formula>"Towel"</formula>
    </cfRule>
    <cfRule type="cellIs" dxfId="2186" priority="3122" stopIfTrue="1" operator="equal">
      <formula>"Napkin Hs"</formula>
    </cfRule>
  </conditionalFormatting>
  <conditionalFormatting sqref="B106:C107">
    <cfRule type="cellIs" dxfId="2185" priority="3120" stopIfTrue="1" operator="equal">
      <formula>"Napkin Hs"</formula>
    </cfRule>
  </conditionalFormatting>
  <conditionalFormatting sqref="B106:C107">
    <cfRule type="cellIs" dxfId="2184" priority="3119" stopIfTrue="1" operator="equal">
      <formula>"Towel"</formula>
    </cfRule>
  </conditionalFormatting>
  <conditionalFormatting sqref="C106:C107">
    <cfRule type="cellIs" dxfId="2183" priority="3118" stopIfTrue="1" operator="equal">
      <formula>"Napkin Hs"</formula>
    </cfRule>
  </conditionalFormatting>
  <conditionalFormatting sqref="C106:C107">
    <cfRule type="cellIs" dxfId="2182" priority="3117" stopIfTrue="1" operator="equal">
      <formula>"Towel"</formula>
    </cfRule>
  </conditionalFormatting>
  <conditionalFormatting sqref="C106:C107">
    <cfRule type="cellIs" dxfId="2181" priority="3115" stopIfTrue="1" operator="equal">
      <formula>"Towel"</formula>
    </cfRule>
    <cfRule type="cellIs" dxfId="2180" priority="3116" stopIfTrue="1" operator="equal">
      <formula>"Napkin Hs"</formula>
    </cfRule>
  </conditionalFormatting>
  <conditionalFormatting sqref="B104:C104">
    <cfRule type="cellIs" dxfId="2179" priority="3114" stopIfTrue="1" operator="equal">
      <formula>"Napkin Hs"</formula>
    </cfRule>
  </conditionalFormatting>
  <conditionalFormatting sqref="B104:C104">
    <cfRule type="cellIs" dxfId="2178" priority="3113" stopIfTrue="1" operator="equal">
      <formula>"Towel"</formula>
    </cfRule>
  </conditionalFormatting>
  <conditionalFormatting sqref="C104">
    <cfRule type="cellIs" dxfId="2177" priority="3112" stopIfTrue="1" operator="equal">
      <formula>"Napkin Hs"</formula>
    </cfRule>
  </conditionalFormatting>
  <conditionalFormatting sqref="C104">
    <cfRule type="cellIs" dxfId="2176" priority="3111" stopIfTrue="1" operator="equal">
      <formula>"Towel"</formula>
    </cfRule>
  </conditionalFormatting>
  <conditionalFormatting sqref="C104">
    <cfRule type="cellIs" dxfId="2175" priority="3109" stopIfTrue="1" operator="equal">
      <formula>"Towel"</formula>
    </cfRule>
    <cfRule type="cellIs" dxfId="2174" priority="3110" stopIfTrue="1" operator="equal">
      <formula>"Napkin Hs"</formula>
    </cfRule>
  </conditionalFormatting>
  <conditionalFormatting sqref="B104:C104">
    <cfRule type="cellIs" dxfId="2173" priority="3107" stopIfTrue="1" operator="equal">
      <formula>"Towel"</formula>
    </cfRule>
    <cfRule type="cellIs" dxfId="2172" priority="3108" stopIfTrue="1" operator="equal">
      <formula>"Napkin Hs"</formula>
    </cfRule>
  </conditionalFormatting>
  <conditionalFormatting sqref="C104">
    <cfRule type="cellIs" dxfId="2171" priority="3103" stopIfTrue="1" operator="equal">
      <formula>"Towel"</formula>
    </cfRule>
    <cfRule type="cellIs" dxfId="2170" priority="3104" stopIfTrue="1" operator="equal">
      <formula>"Napkin Hs"</formula>
    </cfRule>
  </conditionalFormatting>
  <conditionalFormatting sqref="C104">
    <cfRule type="cellIs" dxfId="2169" priority="3105" stopIfTrue="1" operator="equal">
      <formula>"Towel"</formula>
    </cfRule>
    <cfRule type="cellIs" dxfId="2168" priority="3106" stopIfTrue="1" operator="equal">
      <formula>"Napkin Hs"</formula>
    </cfRule>
  </conditionalFormatting>
  <conditionalFormatting sqref="B104:C104">
    <cfRule type="cellIs" dxfId="2167" priority="3102" stopIfTrue="1" operator="equal">
      <formula>"Napkin Hs"</formula>
    </cfRule>
  </conditionalFormatting>
  <conditionalFormatting sqref="B104:C104">
    <cfRule type="cellIs" dxfId="2166" priority="3101" stopIfTrue="1" operator="equal">
      <formula>"Towel"</formula>
    </cfRule>
  </conditionalFormatting>
  <conditionalFormatting sqref="C104">
    <cfRule type="cellIs" dxfId="2165" priority="3100" stopIfTrue="1" operator="equal">
      <formula>"Napkin Hs"</formula>
    </cfRule>
  </conditionalFormatting>
  <conditionalFormatting sqref="C104">
    <cfRule type="cellIs" dxfId="2164" priority="3099" stopIfTrue="1" operator="equal">
      <formula>"Towel"</formula>
    </cfRule>
  </conditionalFormatting>
  <conditionalFormatting sqref="C104">
    <cfRule type="cellIs" dxfId="2163" priority="3097" stopIfTrue="1" operator="equal">
      <formula>"Towel"</formula>
    </cfRule>
    <cfRule type="cellIs" dxfId="2162" priority="3098" stopIfTrue="1" operator="equal">
      <formula>"Napkin Hs"</formula>
    </cfRule>
  </conditionalFormatting>
  <conditionalFormatting sqref="B104:C104">
    <cfRule type="cellIs" dxfId="2161" priority="3095" stopIfTrue="1" operator="equal">
      <formula>"Towel"</formula>
    </cfRule>
    <cfRule type="cellIs" dxfId="2160" priority="3096" stopIfTrue="1" operator="equal">
      <formula>"Napkin Hs"</formula>
    </cfRule>
  </conditionalFormatting>
  <conditionalFormatting sqref="C104">
    <cfRule type="cellIs" dxfId="2159" priority="3093" stopIfTrue="1" operator="equal">
      <formula>"Towel"</formula>
    </cfRule>
    <cfRule type="cellIs" dxfId="2158" priority="3094" stopIfTrue="1" operator="equal">
      <formula>"Napkin Hs"</formula>
    </cfRule>
  </conditionalFormatting>
  <conditionalFormatting sqref="C104">
    <cfRule type="cellIs" dxfId="2157" priority="3091" stopIfTrue="1" operator="equal">
      <formula>"Towel"</formula>
    </cfRule>
    <cfRule type="cellIs" dxfId="2156" priority="3092" stopIfTrue="1" operator="equal">
      <formula>"Napkin Hs"</formula>
    </cfRule>
  </conditionalFormatting>
  <conditionalFormatting sqref="B104:C104">
    <cfRule type="cellIs" dxfId="2155" priority="3089" stopIfTrue="1" operator="equal">
      <formula>"Towel"</formula>
    </cfRule>
    <cfRule type="cellIs" dxfId="2154" priority="3090" stopIfTrue="1" operator="equal">
      <formula>"Napkin Hs"</formula>
    </cfRule>
  </conditionalFormatting>
  <conditionalFormatting sqref="C104">
    <cfRule type="cellIs" dxfId="2153" priority="3087" stopIfTrue="1" operator="equal">
      <formula>"Towel"</formula>
    </cfRule>
    <cfRule type="cellIs" dxfId="2152" priority="3088" stopIfTrue="1" operator="equal">
      <formula>"Napkin Hs"</formula>
    </cfRule>
  </conditionalFormatting>
  <conditionalFormatting sqref="C104">
    <cfRule type="cellIs" dxfId="2151" priority="3085" stopIfTrue="1" operator="equal">
      <formula>"Towel"</formula>
    </cfRule>
    <cfRule type="cellIs" dxfId="2150" priority="3086" stopIfTrue="1" operator="equal">
      <formula>"Napkin Hs"</formula>
    </cfRule>
  </conditionalFormatting>
  <conditionalFormatting sqref="B104:C104">
    <cfRule type="cellIs" dxfId="2149" priority="3083" stopIfTrue="1" operator="equal">
      <formula>"Towel"</formula>
    </cfRule>
    <cfRule type="cellIs" dxfId="2148" priority="3084" stopIfTrue="1" operator="equal">
      <formula>"Napkin Hs"</formula>
    </cfRule>
  </conditionalFormatting>
  <conditionalFormatting sqref="C104">
    <cfRule type="cellIs" dxfId="2147" priority="3081" stopIfTrue="1" operator="equal">
      <formula>"Towel"</formula>
    </cfRule>
    <cfRule type="cellIs" dxfId="2146" priority="3082" stopIfTrue="1" operator="equal">
      <formula>"Napkin Hs"</formula>
    </cfRule>
  </conditionalFormatting>
  <conditionalFormatting sqref="C104">
    <cfRule type="cellIs" dxfId="2145" priority="3079" stopIfTrue="1" operator="equal">
      <formula>"Towel"</formula>
    </cfRule>
    <cfRule type="cellIs" dxfId="2144" priority="3080" stopIfTrue="1" operator="equal">
      <formula>"Napkin Hs"</formula>
    </cfRule>
  </conditionalFormatting>
  <conditionalFormatting sqref="B104:C104">
    <cfRule type="cellIs" dxfId="2143" priority="3077" stopIfTrue="1" operator="equal">
      <formula>"Towel"</formula>
    </cfRule>
    <cfRule type="cellIs" dxfId="2142" priority="3078" stopIfTrue="1" operator="equal">
      <formula>"Napkin Hs"</formula>
    </cfRule>
  </conditionalFormatting>
  <conditionalFormatting sqref="C104">
    <cfRule type="cellIs" dxfId="2141" priority="3075" stopIfTrue="1" operator="equal">
      <formula>"Towel"</formula>
    </cfRule>
    <cfRule type="cellIs" dxfId="2140" priority="3076" stopIfTrue="1" operator="equal">
      <formula>"Napkin Hs"</formula>
    </cfRule>
  </conditionalFormatting>
  <conditionalFormatting sqref="C104">
    <cfRule type="cellIs" dxfId="2139" priority="3073" stopIfTrue="1" operator="equal">
      <formula>"Towel"</formula>
    </cfRule>
    <cfRule type="cellIs" dxfId="2138" priority="3074" stopIfTrue="1" operator="equal">
      <formula>"Napkin Hs"</formula>
    </cfRule>
  </conditionalFormatting>
  <conditionalFormatting sqref="B104:C104">
    <cfRule type="cellIs" dxfId="2137" priority="3071" stopIfTrue="1" operator="equal">
      <formula>"Towel"</formula>
    </cfRule>
    <cfRule type="cellIs" dxfId="2136" priority="3072" stopIfTrue="1" operator="equal">
      <formula>"Napkin Hs"</formula>
    </cfRule>
  </conditionalFormatting>
  <conditionalFormatting sqref="C104">
    <cfRule type="cellIs" dxfId="2135" priority="3069" stopIfTrue="1" operator="equal">
      <formula>"Towel"</formula>
    </cfRule>
    <cfRule type="cellIs" dxfId="2134" priority="3070" stopIfTrue="1" operator="equal">
      <formula>"Napkin Hs"</formula>
    </cfRule>
  </conditionalFormatting>
  <conditionalFormatting sqref="C104">
    <cfRule type="cellIs" dxfId="2133" priority="3067" stopIfTrue="1" operator="equal">
      <formula>"Towel"</formula>
    </cfRule>
    <cfRule type="cellIs" dxfId="2132" priority="3068" stopIfTrue="1" operator="equal">
      <formula>"Napkin Hs"</formula>
    </cfRule>
  </conditionalFormatting>
  <conditionalFormatting sqref="B104:C104">
    <cfRule type="cellIs" dxfId="2131" priority="3066" stopIfTrue="1" operator="equal">
      <formula>"Napkin Hs"</formula>
    </cfRule>
  </conditionalFormatting>
  <conditionalFormatting sqref="B104:C104">
    <cfRule type="cellIs" dxfId="2130" priority="3065" stopIfTrue="1" operator="equal">
      <formula>"Towel"</formula>
    </cfRule>
  </conditionalFormatting>
  <conditionalFormatting sqref="C104">
    <cfRule type="cellIs" dxfId="2129" priority="3064" stopIfTrue="1" operator="equal">
      <formula>"Napkin Hs"</formula>
    </cfRule>
  </conditionalFormatting>
  <conditionalFormatting sqref="C104">
    <cfRule type="cellIs" dxfId="2128" priority="3061" stopIfTrue="1" operator="equal">
      <formula>"Towel"</formula>
    </cfRule>
    <cfRule type="cellIs" dxfId="2127" priority="3062" stopIfTrue="1" operator="equal">
      <formula>"Napkin Hs"</formula>
    </cfRule>
  </conditionalFormatting>
  <conditionalFormatting sqref="C104">
    <cfRule type="cellIs" dxfId="2126" priority="3063" stopIfTrue="1" operator="equal">
      <formula>"Towel"</formula>
    </cfRule>
  </conditionalFormatting>
  <conditionalFormatting sqref="B106:C106">
    <cfRule type="cellIs" dxfId="2125" priority="3060" stopIfTrue="1" operator="equal">
      <formula>"Napkin Hs"</formula>
    </cfRule>
  </conditionalFormatting>
  <conditionalFormatting sqref="B106:C106">
    <cfRule type="cellIs" dxfId="2124" priority="3059" stopIfTrue="1" operator="equal">
      <formula>"Towel"</formula>
    </cfRule>
  </conditionalFormatting>
  <conditionalFormatting sqref="C106">
    <cfRule type="cellIs" dxfId="2123" priority="3058" stopIfTrue="1" operator="equal">
      <formula>"Napkin Hs"</formula>
    </cfRule>
  </conditionalFormatting>
  <conditionalFormatting sqref="C106">
    <cfRule type="cellIs" dxfId="2122" priority="3057" stopIfTrue="1" operator="equal">
      <formula>"Towel"</formula>
    </cfRule>
  </conditionalFormatting>
  <conditionalFormatting sqref="C106">
    <cfRule type="cellIs" dxfId="2121" priority="3055" stopIfTrue="1" operator="equal">
      <formula>"Towel"</formula>
    </cfRule>
    <cfRule type="cellIs" dxfId="2120" priority="3056" stopIfTrue="1" operator="equal">
      <formula>"Napkin Hs"</formula>
    </cfRule>
  </conditionalFormatting>
  <conditionalFormatting sqref="B106:C106">
    <cfRule type="cellIs" dxfId="2119" priority="3053" stopIfTrue="1" operator="equal">
      <formula>"Towel"</formula>
    </cfRule>
    <cfRule type="cellIs" dxfId="2118" priority="3054" stopIfTrue="1" operator="equal">
      <formula>"Napkin Hs"</formula>
    </cfRule>
  </conditionalFormatting>
  <conditionalFormatting sqref="C106">
    <cfRule type="cellIs" dxfId="2117" priority="3049" stopIfTrue="1" operator="equal">
      <formula>"Towel"</formula>
    </cfRule>
    <cfRule type="cellIs" dxfId="2116" priority="3050" stopIfTrue="1" operator="equal">
      <formula>"Napkin Hs"</formula>
    </cfRule>
  </conditionalFormatting>
  <conditionalFormatting sqref="C106">
    <cfRule type="cellIs" dxfId="2115" priority="3051" stopIfTrue="1" operator="equal">
      <formula>"Towel"</formula>
    </cfRule>
    <cfRule type="cellIs" dxfId="2114" priority="3052" stopIfTrue="1" operator="equal">
      <formula>"Napkin Hs"</formula>
    </cfRule>
  </conditionalFormatting>
  <conditionalFormatting sqref="B106:C106">
    <cfRule type="cellIs" dxfId="2113" priority="3048" stopIfTrue="1" operator="equal">
      <formula>"Napkin Hs"</formula>
    </cfRule>
  </conditionalFormatting>
  <conditionalFormatting sqref="B106:C106">
    <cfRule type="cellIs" dxfId="2112" priority="3047" stopIfTrue="1" operator="equal">
      <formula>"Towel"</formula>
    </cfRule>
  </conditionalFormatting>
  <conditionalFormatting sqref="C106">
    <cfRule type="cellIs" dxfId="2111" priority="3046" stopIfTrue="1" operator="equal">
      <formula>"Napkin Hs"</formula>
    </cfRule>
  </conditionalFormatting>
  <conditionalFormatting sqref="C106">
    <cfRule type="cellIs" dxfId="2110" priority="3045" stopIfTrue="1" operator="equal">
      <formula>"Towel"</formula>
    </cfRule>
  </conditionalFormatting>
  <conditionalFormatting sqref="C106">
    <cfRule type="cellIs" dxfId="2109" priority="3043" stopIfTrue="1" operator="equal">
      <formula>"Towel"</formula>
    </cfRule>
    <cfRule type="cellIs" dxfId="2108" priority="3044" stopIfTrue="1" operator="equal">
      <formula>"Napkin Hs"</formula>
    </cfRule>
  </conditionalFormatting>
  <conditionalFormatting sqref="B106:C106">
    <cfRule type="cellIs" dxfId="2107" priority="3041" stopIfTrue="1" operator="equal">
      <formula>"Towel"</formula>
    </cfRule>
    <cfRule type="cellIs" dxfId="2106" priority="3042" stopIfTrue="1" operator="equal">
      <formula>"Napkin Hs"</formula>
    </cfRule>
  </conditionalFormatting>
  <conditionalFormatting sqref="C106">
    <cfRule type="cellIs" dxfId="2105" priority="3039" stopIfTrue="1" operator="equal">
      <formula>"Towel"</formula>
    </cfRule>
    <cfRule type="cellIs" dxfId="2104" priority="3040" stopIfTrue="1" operator="equal">
      <formula>"Napkin Hs"</formula>
    </cfRule>
  </conditionalFormatting>
  <conditionalFormatting sqref="C106">
    <cfRule type="cellIs" dxfId="2103" priority="3037" stopIfTrue="1" operator="equal">
      <formula>"Towel"</formula>
    </cfRule>
    <cfRule type="cellIs" dxfId="2102" priority="3038" stopIfTrue="1" operator="equal">
      <formula>"Napkin Hs"</formula>
    </cfRule>
  </conditionalFormatting>
  <conditionalFormatting sqref="B106:C106">
    <cfRule type="cellIs" dxfId="2101" priority="3035" stopIfTrue="1" operator="equal">
      <formula>"Towel"</formula>
    </cfRule>
    <cfRule type="cellIs" dxfId="2100" priority="3036" stopIfTrue="1" operator="equal">
      <formula>"Napkin Hs"</formula>
    </cfRule>
  </conditionalFormatting>
  <conditionalFormatting sqref="C106">
    <cfRule type="cellIs" dxfId="2099" priority="3033" stopIfTrue="1" operator="equal">
      <formula>"Towel"</formula>
    </cfRule>
    <cfRule type="cellIs" dxfId="2098" priority="3034" stopIfTrue="1" operator="equal">
      <formula>"Napkin Hs"</formula>
    </cfRule>
  </conditionalFormatting>
  <conditionalFormatting sqref="C106">
    <cfRule type="cellIs" dxfId="2097" priority="3031" stopIfTrue="1" operator="equal">
      <formula>"Towel"</formula>
    </cfRule>
    <cfRule type="cellIs" dxfId="2096" priority="3032" stopIfTrue="1" operator="equal">
      <formula>"Napkin Hs"</formula>
    </cfRule>
  </conditionalFormatting>
  <conditionalFormatting sqref="B106:C106">
    <cfRule type="cellIs" dxfId="2095" priority="3029" stopIfTrue="1" operator="equal">
      <formula>"Towel"</formula>
    </cfRule>
    <cfRule type="cellIs" dxfId="2094" priority="3030" stopIfTrue="1" operator="equal">
      <formula>"Napkin Hs"</formula>
    </cfRule>
  </conditionalFormatting>
  <conditionalFormatting sqref="C106">
    <cfRule type="cellIs" dxfId="2093" priority="3027" stopIfTrue="1" operator="equal">
      <formula>"Towel"</formula>
    </cfRule>
    <cfRule type="cellIs" dxfId="2092" priority="3028" stopIfTrue="1" operator="equal">
      <formula>"Napkin Hs"</formula>
    </cfRule>
  </conditionalFormatting>
  <conditionalFormatting sqref="C106">
    <cfRule type="cellIs" dxfId="2091" priority="3025" stopIfTrue="1" operator="equal">
      <formula>"Towel"</formula>
    </cfRule>
    <cfRule type="cellIs" dxfId="2090" priority="3026" stopIfTrue="1" operator="equal">
      <formula>"Napkin Hs"</formula>
    </cfRule>
  </conditionalFormatting>
  <conditionalFormatting sqref="B106:C106">
    <cfRule type="cellIs" dxfId="2089" priority="3023" stopIfTrue="1" operator="equal">
      <formula>"Towel"</formula>
    </cfRule>
    <cfRule type="cellIs" dxfId="2088" priority="3024" stopIfTrue="1" operator="equal">
      <formula>"Napkin Hs"</formula>
    </cfRule>
  </conditionalFormatting>
  <conditionalFormatting sqref="C106">
    <cfRule type="cellIs" dxfId="2087" priority="3021" stopIfTrue="1" operator="equal">
      <formula>"Towel"</formula>
    </cfRule>
    <cfRule type="cellIs" dxfId="2086" priority="3022" stopIfTrue="1" operator="equal">
      <formula>"Napkin Hs"</formula>
    </cfRule>
  </conditionalFormatting>
  <conditionalFormatting sqref="C106">
    <cfRule type="cellIs" dxfId="2085" priority="3019" stopIfTrue="1" operator="equal">
      <formula>"Towel"</formula>
    </cfRule>
    <cfRule type="cellIs" dxfId="2084" priority="3020" stopIfTrue="1" operator="equal">
      <formula>"Napkin Hs"</formula>
    </cfRule>
  </conditionalFormatting>
  <conditionalFormatting sqref="B106:C106">
    <cfRule type="cellIs" dxfId="2083" priority="3017" stopIfTrue="1" operator="equal">
      <formula>"Towel"</formula>
    </cfRule>
    <cfRule type="cellIs" dxfId="2082" priority="3018" stopIfTrue="1" operator="equal">
      <formula>"Napkin Hs"</formula>
    </cfRule>
  </conditionalFormatting>
  <conditionalFormatting sqref="C106">
    <cfRule type="cellIs" dxfId="2081" priority="3015" stopIfTrue="1" operator="equal">
      <formula>"Towel"</formula>
    </cfRule>
    <cfRule type="cellIs" dxfId="2080" priority="3016" stopIfTrue="1" operator="equal">
      <formula>"Napkin Hs"</formula>
    </cfRule>
  </conditionalFormatting>
  <conditionalFormatting sqref="C106">
    <cfRule type="cellIs" dxfId="2079" priority="3013" stopIfTrue="1" operator="equal">
      <formula>"Towel"</formula>
    </cfRule>
    <cfRule type="cellIs" dxfId="2078" priority="3014" stopIfTrue="1" operator="equal">
      <formula>"Napkin Hs"</formula>
    </cfRule>
  </conditionalFormatting>
  <conditionalFormatting sqref="B106:C106">
    <cfRule type="cellIs" dxfId="2077" priority="3012" stopIfTrue="1" operator="equal">
      <formula>"Napkin Hs"</formula>
    </cfRule>
  </conditionalFormatting>
  <conditionalFormatting sqref="B106:C106">
    <cfRule type="cellIs" dxfId="2076" priority="3011" stopIfTrue="1" operator="equal">
      <formula>"Towel"</formula>
    </cfRule>
  </conditionalFormatting>
  <conditionalFormatting sqref="C106">
    <cfRule type="cellIs" dxfId="2075" priority="3010" stopIfTrue="1" operator="equal">
      <formula>"Napkin Hs"</formula>
    </cfRule>
  </conditionalFormatting>
  <conditionalFormatting sqref="C106">
    <cfRule type="cellIs" dxfId="2074" priority="3007" stopIfTrue="1" operator="equal">
      <formula>"Towel"</formula>
    </cfRule>
    <cfRule type="cellIs" dxfId="2073" priority="3008" stopIfTrue="1" operator="equal">
      <formula>"Napkin Hs"</formula>
    </cfRule>
  </conditionalFormatting>
  <conditionalFormatting sqref="C106">
    <cfRule type="cellIs" dxfId="2072" priority="3009" stopIfTrue="1" operator="equal">
      <formula>"Towel"</formula>
    </cfRule>
  </conditionalFormatting>
  <conditionalFormatting sqref="B107:C107">
    <cfRule type="cellIs" dxfId="2071" priority="3006" stopIfTrue="1" operator="equal">
      <formula>"Napkin Hs"</formula>
    </cfRule>
  </conditionalFormatting>
  <conditionalFormatting sqref="B107:C107">
    <cfRule type="cellIs" dxfId="2070" priority="3005" stopIfTrue="1" operator="equal">
      <formula>"Towel"</formula>
    </cfRule>
  </conditionalFormatting>
  <conditionalFormatting sqref="C107">
    <cfRule type="cellIs" dxfId="2069" priority="3004" stopIfTrue="1" operator="equal">
      <formula>"Napkin Hs"</formula>
    </cfRule>
  </conditionalFormatting>
  <conditionalFormatting sqref="C107">
    <cfRule type="cellIs" dxfId="2068" priority="3003" stopIfTrue="1" operator="equal">
      <formula>"Towel"</formula>
    </cfRule>
  </conditionalFormatting>
  <conditionalFormatting sqref="C107">
    <cfRule type="cellIs" dxfId="2067" priority="3001" stopIfTrue="1" operator="equal">
      <formula>"Towel"</formula>
    </cfRule>
    <cfRule type="cellIs" dxfId="2066" priority="3002" stopIfTrue="1" operator="equal">
      <formula>"Napkin Hs"</formula>
    </cfRule>
  </conditionalFormatting>
  <conditionalFormatting sqref="B107:C107">
    <cfRule type="cellIs" dxfId="2065" priority="2999" stopIfTrue="1" operator="equal">
      <formula>"Towel"</formula>
    </cfRule>
    <cfRule type="cellIs" dxfId="2064" priority="3000" stopIfTrue="1" operator="equal">
      <formula>"Napkin Hs"</formula>
    </cfRule>
  </conditionalFormatting>
  <conditionalFormatting sqref="C107">
    <cfRule type="cellIs" dxfId="2063" priority="2995" stopIfTrue="1" operator="equal">
      <formula>"Towel"</formula>
    </cfRule>
    <cfRule type="cellIs" dxfId="2062" priority="2996" stopIfTrue="1" operator="equal">
      <formula>"Napkin Hs"</formula>
    </cfRule>
  </conditionalFormatting>
  <conditionalFormatting sqref="C107">
    <cfRule type="cellIs" dxfId="2061" priority="2997" stopIfTrue="1" operator="equal">
      <formula>"Towel"</formula>
    </cfRule>
    <cfRule type="cellIs" dxfId="2060" priority="2998" stopIfTrue="1" operator="equal">
      <formula>"Napkin Hs"</formula>
    </cfRule>
  </conditionalFormatting>
  <conditionalFormatting sqref="B107:C107">
    <cfRule type="cellIs" dxfId="2059" priority="2994" stopIfTrue="1" operator="equal">
      <formula>"Napkin Hs"</formula>
    </cfRule>
  </conditionalFormatting>
  <conditionalFormatting sqref="B107:C107">
    <cfRule type="cellIs" dxfId="2058" priority="2993" stopIfTrue="1" operator="equal">
      <formula>"Towel"</formula>
    </cfRule>
  </conditionalFormatting>
  <conditionalFormatting sqref="C107">
    <cfRule type="cellIs" dxfId="2057" priority="2992" stopIfTrue="1" operator="equal">
      <formula>"Napkin Hs"</formula>
    </cfRule>
  </conditionalFormatting>
  <conditionalFormatting sqref="C107">
    <cfRule type="cellIs" dxfId="2056" priority="2991" stopIfTrue="1" operator="equal">
      <formula>"Towel"</formula>
    </cfRule>
  </conditionalFormatting>
  <conditionalFormatting sqref="C107">
    <cfRule type="cellIs" dxfId="2055" priority="2989" stopIfTrue="1" operator="equal">
      <formula>"Towel"</formula>
    </cfRule>
    <cfRule type="cellIs" dxfId="2054" priority="2990" stopIfTrue="1" operator="equal">
      <formula>"Napkin Hs"</formula>
    </cfRule>
  </conditionalFormatting>
  <conditionalFormatting sqref="B107:C107">
    <cfRule type="cellIs" dxfId="2053" priority="2987" stopIfTrue="1" operator="equal">
      <formula>"Towel"</formula>
    </cfRule>
    <cfRule type="cellIs" dxfId="2052" priority="2988" stopIfTrue="1" operator="equal">
      <formula>"Napkin Hs"</formula>
    </cfRule>
  </conditionalFormatting>
  <conditionalFormatting sqref="C107">
    <cfRule type="cellIs" dxfId="2051" priority="2985" stopIfTrue="1" operator="equal">
      <formula>"Towel"</formula>
    </cfRule>
    <cfRule type="cellIs" dxfId="2050" priority="2986" stopIfTrue="1" operator="equal">
      <formula>"Napkin Hs"</formula>
    </cfRule>
  </conditionalFormatting>
  <conditionalFormatting sqref="C107">
    <cfRule type="cellIs" dxfId="2049" priority="2983" stopIfTrue="1" operator="equal">
      <formula>"Towel"</formula>
    </cfRule>
    <cfRule type="cellIs" dxfId="2048" priority="2984" stopIfTrue="1" operator="equal">
      <formula>"Napkin Hs"</formula>
    </cfRule>
  </conditionalFormatting>
  <conditionalFormatting sqref="B107:C107">
    <cfRule type="cellIs" dxfId="2047" priority="2981" stopIfTrue="1" operator="equal">
      <formula>"Towel"</formula>
    </cfRule>
    <cfRule type="cellIs" dxfId="2046" priority="2982" stopIfTrue="1" operator="equal">
      <formula>"Napkin Hs"</formula>
    </cfRule>
  </conditionalFormatting>
  <conditionalFormatting sqref="C107">
    <cfRule type="cellIs" dxfId="2045" priority="2979" stopIfTrue="1" operator="equal">
      <formula>"Towel"</formula>
    </cfRule>
    <cfRule type="cellIs" dxfId="2044" priority="2980" stopIfTrue="1" operator="equal">
      <formula>"Napkin Hs"</formula>
    </cfRule>
  </conditionalFormatting>
  <conditionalFormatting sqref="C107">
    <cfRule type="cellIs" dxfId="2043" priority="2977" stopIfTrue="1" operator="equal">
      <formula>"Towel"</formula>
    </cfRule>
    <cfRule type="cellIs" dxfId="2042" priority="2978" stopIfTrue="1" operator="equal">
      <formula>"Napkin Hs"</formula>
    </cfRule>
  </conditionalFormatting>
  <conditionalFormatting sqref="B107:C107">
    <cfRule type="cellIs" dxfId="2041" priority="2975" stopIfTrue="1" operator="equal">
      <formula>"Towel"</formula>
    </cfRule>
    <cfRule type="cellIs" dxfId="2040" priority="2976" stopIfTrue="1" operator="equal">
      <formula>"Napkin Hs"</formula>
    </cfRule>
  </conditionalFormatting>
  <conditionalFormatting sqref="C107">
    <cfRule type="cellIs" dxfId="2039" priority="2973" stopIfTrue="1" operator="equal">
      <formula>"Towel"</formula>
    </cfRule>
    <cfRule type="cellIs" dxfId="2038" priority="2974" stopIfTrue="1" operator="equal">
      <formula>"Napkin Hs"</formula>
    </cfRule>
  </conditionalFormatting>
  <conditionalFormatting sqref="C107">
    <cfRule type="cellIs" dxfId="2037" priority="2971" stopIfTrue="1" operator="equal">
      <formula>"Towel"</formula>
    </cfRule>
    <cfRule type="cellIs" dxfId="2036" priority="2972" stopIfTrue="1" operator="equal">
      <formula>"Napkin Hs"</formula>
    </cfRule>
  </conditionalFormatting>
  <conditionalFormatting sqref="B107:C107">
    <cfRule type="cellIs" dxfId="2035" priority="2969" stopIfTrue="1" operator="equal">
      <formula>"Towel"</formula>
    </cfRule>
    <cfRule type="cellIs" dxfId="2034" priority="2970" stopIfTrue="1" operator="equal">
      <formula>"Napkin Hs"</formula>
    </cfRule>
  </conditionalFormatting>
  <conditionalFormatting sqref="C107">
    <cfRule type="cellIs" dxfId="2033" priority="2967" stopIfTrue="1" operator="equal">
      <formula>"Towel"</formula>
    </cfRule>
    <cfRule type="cellIs" dxfId="2032" priority="2968" stopIfTrue="1" operator="equal">
      <formula>"Napkin Hs"</formula>
    </cfRule>
  </conditionalFormatting>
  <conditionalFormatting sqref="C107">
    <cfRule type="cellIs" dxfId="2031" priority="2965" stopIfTrue="1" operator="equal">
      <formula>"Towel"</formula>
    </cfRule>
    <cfRule type="cellIs" dxfId="2030" priority="2966" stopIfTrue="1" operator="equal">
      <formula>"Napkin Hs"</formula>
    </cfRule>
  </conditionalFormatting>
  <conditionalFormatting sqref="B107:C107">
    <cfRule type="cellIs" dxfId="2029" priority="2963" stopIfTrue="1" operator="equal">
      <formula>"Towel"</formula>
    </cfRule>
    <cfRule type="cellIs" dxfId="2028" priority="2964" stopIfTrue="1" operator="equal">
      <formula>"Napkin Hs"</formula>
    </cfRule>
  </conditionalFormatting>
  <conditionalFormatting sqref="C107">
    <cfRule type="cellIs" dxfId="2027" priority="2961" stopIfTrue="1" operator="equal">
      <formula>"Towel"</formula>
    </cfRule>
    <cfRule type="cellIs" dxfId="2026" priority="2962" stopIfTrue="1" operator="equal">
      <formula>"Napkin Hs"</formula>
    </cfRule>
  </conditionalFormatting>
  <conditionalFormatting sqref="C107">
    <cfRule type="cellIs" dxfId="2025" priority="2959" stopIfTrue="1" operator="equal">
      <formula>"Towel"</formula>
    </cfRule>
    <cfRule type="cellIs" dxfId="2024" priority="2960" stopIfTrue="1" operator="equal">
      <formula>"Napkin Hs"</formula>
    </cfRule>
  </conditionalFormatting>
  <conditionalFormatting sqref="B107:C107">
    <cfRule type="cellIs" dxfId="2023" priority="2958" stopIfTrue="1" operator="equal">
      <formula>"Napkin Hs"</formula>
    </cfRule>
  </conditionalFormatting>
  <conditionalFormatting sqref="B107:C107">
    <cfRule type="cellIs" dxfId="2022" priority="2957" stopIfTrue="1" operator="equal">
      <formula>"Towel"</formula>
    </cfRule>
  </conditionalFormatting>
  <conditionalFormatting sqref="C107">
    <cfRule type="cellIs" dxfId="2021" priority="2956" stopIfTrue="1" operator="equal">
      <formula>"Napkin Hs"</formula>
    </cfRule>
  </conditionalFormatting>
  <conditionalFormatting sqref="C107">
    <cfRule type="cellIs" dxfId="2020" priority="2953" stopIfTrue="1" operator="equal">
      <formula>"Towel"</formula>
    </cfRule>
    <cfRule type="cellIs" dxfId="2019" priority="2954" stopIfTrue="1" operator="equal">
      <formula>"Napkin Hs"</formula>
    </cfRule>
  </conditionalFormatting>
  <conditionalFormatting sqref="C107">
    <cfRule type="cellIs" dxfId="2018" priority="2955" stopIfTrue="1" operator="equal">
      <formula>"Towel"</formula>
    </cfRule>
  </conditionalFormatting>
  <conditionalFormatting sqref="B104:C104">
    <cfRule type="cellIs" dxfId="2017" priority="2949" stopIfTrue="1" operator="equal">
      <formula>"Towel"</formula>
    </cfRule>
    <cfRule type="cellIs" dxfId="2016" priority="2950" stopIfTrue="1" operator="equal">
      <formula>"Napkin Hs"</formula>
    </cfRule>
  </conditionalFormatting>
  <conditionalFormatting sqref="C104">
    <cfRule type="cellIs" dxfId="2015" priority="2951" stopIfTrue="1" operator="equal">
      <formula>"Towel"</formula>
    </cfRule>
    <cfRule type="cellIs" dxfId="2014" priority="2952" stopIfTrue="1" operator="equal">
      <formula>"Napkin Hs"</formula>
    </cfRule>
  </conditionalFormatting>
  <conditionalFormatting sqref="C104">
    <cfRule type="cellIs" dxfId="2013" priority="2947" stopIfTrue="1" operator="equal">
      <formula>"Towel"</formula>
    </cfRule>
    <cfRule type="cellIs" dxfId="2012" priority="2948" stopIfTrue="1" operator="equal">
      <formula>"Napkin Hs"</formula>
    </cfRule>
  </conditionalFormatting>
  <conditionalFormatting sqref="B104:C104">
    <cfRule type="cellIs" dxfId="2011" priority="2945" stopIfTrue="1" operator="equal">
      <formula>"Towel"</formula>
    </cfRule>
    <cfRule type="cellIs" dxfId="2010" priority="2946" stopIfTrue="1" operator="equal">
      <formula>"Napkin Hs"</formula>
    </cfRule>
  </conditionalFormatting>
  <conditionalFormatting sqref="C104">
    <cfRule type="cellIs" dxfId="2009" priority="2941" stopIfTrue="1" operator="equal">
      <formula>"Towel"</formula>
    </cfRule>
    <cfRule type="cellIs" dxfId="2008" priority="2942" stopIfTrue="1" operator="equal">
      <formula>"Napkin Hs"</formula>
    </cfRule>
  </conditionalFormatting>
  <conditionalFormatting sqref="C104">
    <cfRule type="cellIs" dxfId="2007" priority="2943" stopIfTrue="1" operator="equal">
      <formula>"Towel"</formula>
    </cfRule>
    <cfRule type="cellIs" dxfId="2006" priority="2944" stopIfTrue="1" operator="equal">
      <formula>"Napkin Hs"</formula>
    </cfRule>
  </conditionalFormatting>
  <conditionalFormatting sqref="B104:C104">
    <cfRule type="cellIs" dxfId="2005" priority="2939" stopIfTrue="1" operator="equal">
      <formula>"Towel"</formula>
    </cfRule>
    <cfRule type="cellIs" dxfId="2004" priority="2940" stopIfTrue="1" operator="equal">
      <formula>"Napkin Hs"</formula>
    </cfRule>
  </conditionalFormatting>
  <conditionalFormatting sqref="C104">
    <cfRule type="cellIs" dxfId="2003" priority="2935" stopIfTrue="1" operator="equal">
      <formula>"Towel"</formula>
    </cfRule>
    <cfRule type="cellIs" dxfId="2002" priority="2936" stopIfTrue="1" operator="equal">
      <formula>"Napkin Hs"</formula>
    </cfRule>
  </conditionalFormatting>
  <conditionalFormatting sqref="C104">
    <cfRule type="cellIs" dxfId="2001" priority="2937" stopIfTrue="1" operator="equal">
      <formula>"Towel"</formula>
    </cfRule>
    <cfRule type="cellIs" dxfId="2000" priority="2938" stopIfTrue="1" operator="equal">
      <formula>"Napkin Hs"</formula>
    </cfRule>
  </conditionalFormatting>
  <conditionalFormatting sqref="B104:C104">
    <cfRule type="cellIs" dxfId="1999" priority="2933" stopIfTrue="1" operator="equal">
      <formula>"Towel"</formula>
    </cfRule>
    <cfRule type="cellIs" dxfId="1998" priority="2934" stopIfTrue="1" operator="equal">
      <formula>"Napkin Hs"</formula>
    </cfRule>
  </conditionalFormatting>
  <conditionalFormatting sqref="C104">
    <cfRule type="cellIs" dxfId="1997" priority="2931" stopIfTrue="1" operator="equal">
      <formula>"Towel"</formula>
    </cfRule>
    <cfRule type="cellIs" dxfId="1996" priority="2932" stopIfTrue="1" operator="equal">
      <formula>"Napkin Hs"</formula>
    </cfRule>
  </conditionalFormatting>
  <conditionalFormatting sqref="C104">
    <cfRule type="cellIs" dxfId="1995" priority="2929" stopIfTrue="1" operator="equal">
      <formula>"Towel"</formula>
    </cfRule>
    <cfRule type="cellIs" dxfId="1994" priority="2930" stopIfTrue="1" operator="equal">
      <formula>"Napkin Hs"</formula>
    </cfRule>
  </conditionalFormatting>
  <conditionalFormatting sqref="B104:C104">
    <cfRule type="cellIs" dxfId="1993" priority="2927" stopIfTrue="1" operator="equal">
      <formula>"Towel"</formula>
    </cfRule>
    <cfRule type="cellIs" dxfId="1992" priority="2928" stopIfTrue="1" operator="equal">
      <formula>"Napkin Hs"</formula>
    </cfRule>
  </conditionalFormatting>
  <conditionalFormatting sqref="C104">
    <cfRule type="cellIs" dxfId="1991" priority="2925" stopIfTrue="1" operator="equal">
      <formula>"Towel"</formula>
    </cfRule>
    <cfRule type="cellIs" dxfId="1990" priority="2926" stopIfTrue="1" operator="equal">
      <formula>"Napkin Hs"</formula>
    </cfRule>
  </conditionalFormatting>
  <conditionalFormatting sqref="C104">
    <cfRule type="cellIs" dxfId="1989" priority="2923" stopIfTrue="1" operator="equal">
      <formula>"Towel"</formula>
    </cfRule>
    <cfRule type="cellIs" dxfId="1988" priority="2924" stopIfTrue="1" operator="equal">
      <formula>"Napkin Hs"</formula>
    </cfRule>
  </conditionalFormatting>
  <conditionalFormatting sqref="B104:C104">
    <cfRule type="cellIs" dxfId="1987" priority="2921" stopIfTrue="1" operator="equal">
      <formula>"Towel"</formula>
    </cfRule>
    <cfRule type="cellIs" dxfId="1986" priority="2922" stopIfTrue="1" operator="equal">
      <formula>"Napkin Hs"</formula>
    </cfRule>
  </conditionalFormatting>
  <conditionalFormatting sqref="C104">
    <cfRule type="cellIs" dxfId="1985" priority="2919" stopIfTrue="1" operator="equal">
      <formula>"Towel"</formula>
    </cfRule>
    <cfRule type="cellIs" dxfId="1984" priority="2920" stopIfTrue="1" operator="equal">
      <formula>"Napkin Hs"</formula>
    </cfRule>
  </conditionalFormatting>
  <conditionalFormatting sqref="C104">
    <cfRule type="cellIs" dxfId="1983" priority="2917" stopIfTrue="1" operator="equal">
      <formula>"Towel"</formula>
    </cfRule>
    <cfRule type="cellIs" dxfId="1982" priority="2918" stopIfTrue="1" operator="equal">
      <formula>"Napkin Hs"</formula>
    </cfRule>
  </conditionalFormatting>
  <conditionalFormatting sqref="B104:C104">
    <cfRule type="cellIs" dxfId="1981" priority="2916" stopIfTrue="1" operator="equal">
      <formula>"Napkin Hs"</formula>
    </cfRule>
  </conditionalFormatting>
  <conditionalFormatting sqref="B104:C104">
    <cfRule type="cellIs" dxfId="1980" priority="2915" stopIfTrue="1" operator="equal">
      <formula>"Towel"</formula>
    </cfRule>
  </conditionalFormatting>
  <conditionalFormatting sqref="C104">
    <cfRule type="cellIs" dxfId="1979" priority="2914" stopIfTrue="1" operator="equal">
      <formula>"Napkin Hs"</formula>
    </cfRule>
  </conditionalFormatting>
  <conditionalFormatting sqref="C104">
    <cfRule type="cellIs" dxfId="1978" priority="2911" stopIfTrue="1" operator="equal">
      <formula>"Towel"</formula>
    </cfRule>
    <cfRule type="cellIs" dxfId="1977" priority="2912" stopIfTrue="1" operator="equal">
      <formula>"Napkin Hs"</formula>
    </cfRule>
  </conditionalFormatting>
  <conditionalFormatting sqref="C104">
    <cfRule type="cellIs" dxfId="1976" priority="2913" stopIfTrue="1" operator="equal">
      <formula>"Towel"</formula>
    </cfRule>
  </conditionalFormatting>
  <conditionalFormatting sqref="B105:C105">
    <cfRule type="cellIs" dxfId="1975" priority="2909" stopIfTrue="1" operator="equal">
      <formula>"Towel"</formula>
    </cfRule>
    <cfRule type="cellIs" dxfId="1974" priority="2910" stopIfTrue="1" operator="equal">
      <formula>"Napkin Hs"</formula>
    </cfRule>
  </conditionalFormatting>
  <conditionalFormatting sqref="C105">
    <cfRule type="cellIs" dxfId="1973" priority="2907" stopIfTrue="1" operator="equal">
      <formula>"Towel"</formula>
    </cfRule>
    <cfRule type="cellIs" dxfId="1972" priority="2908" stopIfTrue="1" operator="equal">
      <formula>"Napkin Hs"</formula>
    </cfRule>
  </conditionalFormatting>
  <conditionalFormatting sqref="C105">
    <cfRule type="cellIs" dxfId="1971" priority="2905" stopIfTrue="1" operator="equal">
      <formula>"Towel"</formula>
    </cfRule>
    <cfRule type="cellIs" dxfId="1970" priority="2906" stopIfTrue="1" operator="equal">
      <formula>"Napkin Hs"</formula>
    </cfRule>
  </conditionalFormatting>
  <conditionalFormatting sqref="B105:C105">
    <cfRule type="cellIs" dxfId="1969" priority="2904" stopIfTrue="1" operator="equal">
      <formula>"Napkin Hs"</formula>
    </cfRule>
  </conditionalFormatting>
  <conditionalFormatting sqref="B105:C105">
    <cfRule type="cellIs" dxfId="1968" priority="2903" stopIfTrue="1" operator="equal">
      <formula>"Towel"</formula>
    </cfRule>
  </conditionalFormatting>
  <conditionalFormatting sqref="C105">
    <cfRule type="cellIs" dxfId="1967" priority="2902" stopIfTrue="1" operator="equal">
      <formula>"Napkin Hs"</formula>
    </cfRule>
  </conditionalFormatting>
  <conditionalFormatting sqref="C105">
    <cfRule type="cellIs" dxfId="1966" priority="2901" stopIfTrue="1" operator="equal">
      <formula>"Towel"</formula>
    </cfRule>
  </conditionalFormatting>
  <conditionalFormatting sqref="C105">
    <cfRule type="cellIs" dxfId="1965" priority="2899" stopIfTrue="1" operator="equal">
      <formula>"Towel"</formula>
    </cfRule>
    <cfRule type="cellIs" dxfId="1964" priority="2900" stopIfTrue="1" operator="equal">
      <formula>"Napkin Hs"</formula>
    </cfRule>
  </conditionalFormatting>
  <conditionalFormatting sqref="B105:C105">
    <cfRule type="cellIs" dxfId="1963" priority="2897" stopIfTrue="1" operator="equal">
      <formula>"Towel"</formula>
    </cfRule>
    <cfRule type="cellIs" dxfId="1962" priority="2898" stopIfTrue="1" operator="equal">
      <formula>"Napkin Hs"</formula>
    </cfRule>
  </conditionalFormatting>
  <conditionalFormatting sqref="C105">
    <cfRule type="cellIs" dxfId="1961" priority="2893" stopIfTrue="1" operator="equal">
      <formula>"Towel"</formula>
    </cfRule>
    <cfRule type="cellIs" dxfId="1960" priority="2894" stopIfTrue="1" operator="equal">
      <formula>"Napkin Hs"</formula>
    </cfRule>
  </conditionalFormatting>
  <conditionalFormatting sqref="C105">
    <cfRule type="cellIs" dxfId="1959" priority="2895" stopIfTrue="1" operator="equal">
      <formula>"Towel"</formula>
    </cfRule>
    <cfRule type="cellIs" dxfId="1958" priority="2896" stopIfTrue="1" operator="equal">
      <formula>"Napkin Hs"</formula>
    </cfRule>
  </conditionalFormatting>
  <conditionalFormatting sqref="B105:C105">
    <cfRule type="cellIs" dxfId="1957" priority="2892" stopIfTrue="1" operator="equal">
      <formula>"Napkin Hs"</formula>
    </cfRule>
  </conditionalFormatting>
  <conditionalFormatting sqref="B105:C105">
    <cfRule type="cellIs" dxfId="1956" priority="2891" stopIfTrue="1" operator="equal">
      <formula>"Towel"</formula>
    </cfRule>
  </conditionalFormatting>
  <conditionalFormatting sqref="C105">
    <cfRule type="cellIs" dxfId="1955" priority="2890" stopIfTrue="1" operator="equal">
      <formula>"Napkin Hs"</formula>
    </cfRule>
  </conditionalFormatting>
  <conditionalFormatting sqref="C105">
    <cfRule type="cellIs" dxfId="1954" priority="2889" stopIfTrue="1" operator="equal">
      <formula>"Towel"</formula>
    </cfRule>
  </conditionalFormatting>
  <conditionalFormatting sqref="C105">
    <cfRule type="cellIs" dxfId="1953" priority="2887" stopIfTrue="1" operator="equal">
      <formula>"Towel"</formula>
    </cfRule>
    <cfRule type="cellIs" dxfId="1952" priority="2888" stopIfTrue="1" operator="equal">
      <formula>"Napkin Hs"</formula>
    </cfRule>
  </conditionalFormatting>
  <conditionalFormatting sqref="B105:C105">
    <cfRule type="cellIs" dxfId="1951" priority="2885" stopIfTrue="1" operator="equal">
      <formula>"Towel"</formula>
    </cfRule>
    <cfRule type="cellIs" dxfId="1950" priority="2886" stopIfTrue="1" operator="equal">
      <formula>"Napkin Hs"</formula>
    </cfRule>
  </conditionalFormatting>
  <conditionalFormatting sqref="C105">
    <cfRule type="cellIs" dxfId="1949" priority="2883" stopIfTrue="1" operator="equal">
      <formula>"Towel"</formula>
    </cfRule>
    <cfRule type="cellIs" dxfId="1948" priority="2884" stopIfTrue="1" operator="equal">
      <formula>"Napkin Hs"</formula>
    </cfRule>
  </conditionalFormatting>
  <conditionalFormatting sqref="C105">
    <cfRule type="cellIs" dxfId="1947" priority="2881" stopIfTrue="1" operator="equal">
      <formula>"Towel"</formula>
    </cfRule>
    <cfRule type="cellIs" dxfId="1946" priority="2882" stopIfTrue="1" operator="equal">
      <formula>"Napkin Hs"</formula>
    </cfRule>
  </conditionalFormatting>
  <conditionalFormatting sqref="B105:C105">
    <cfRule type="cellIs" dxfId="1945" priority="2879" stopIfTrue="1" operator="equal">
      <formula>"Towel"</formula>
    </cfRule>
    <cfRule type="cellIs" dxfId="1944" priority="2880" stopIfTrue="1" operator="equal">
      <formula>"Napkin Hs"</formula>
    </cfRule>
  </conditionalFormatting>
  <conditionalFormatting sqref="C105">
    <cfRule type="cellIs" dxfId="1943" priority="2877" stopIfTrue="1" operator="equal">
      <formula>"Towel"</formula>
    </cfRule>
    <cfRule type="cellIs" dxfId="1942" priority="2878" stopIfTrue="1" operator="equal">
      <formula>"Napkin Hs"</formula>
    </cfRule>
  </conditionalFormatting>
  <conditionalFormatting sqref="C105">
    <cfRule type="cellIs" dxfId="1941" priority="2875" stopIfTrue="1" operator="equal">
      <formula>"Towel"</formula>
    </cfRule>
    <cfRule type="cellIs" dxfId="1940" priority="2876" stopIfTrue="1" operator="equal">
      <formula>"Napkin Hs"</formula>
    </cfRule>
  </conditionalFormatting>
  <conditionalFormatting sqref="B105:C105">
    <cfRule type="cellIs" dxfId="1939" priority="2873" stopIfTrue="1" operator="equal">
      <formula>"Towel"</formula>
    </cfRule>
    <cfRule type="cellIs" dxfId="1938" priority="2874" stopIfTrue="1" operator="equal">
      <formula>"Napkin Hs"</formula>
    </cfRule>
  </conditionalFormatting>
  <conditionalFormatting sqref="C105">
    <cfRule type="cellIs" dxfId="1937" priority="2871" stopIfTrue="1" operator="equal">
      <formula>"Towel"</formula>
    </cfRule>
    <cfRule type="cellIs" dxfId="1936" priority="2872" stopIfTrue="1" operator="equal">
      <formula>"Napkin Hs"</formula>
    </cfRule>
  </conditionalFormatting>
  <conditionalFormatting sqref="C105">
    <cfRule type="cellIs" dxfId="1935" priority="2869" stopIfTrue="1" operator="equal">
      <formula>"Towel"</formula>
    </cfRule>
    <cfRule type="cellIs" dxfId="1934" priority="2870" stopIfTrue="1" operator="equal">
      <formula>"Napkin Hs"</formula>
    </cfRule>
  </conditionalFormatting>
  <conditionalFormatting sqref="B105:C105">
    <cfRule type="cellIs" dxfId="1933" priority="2867" stopIfTrue="1" operator="equal">
      <formula>"Towel"</formula>
    </cfRule>
    <cfRule type="cellIs" dxfId="1932" priority="2868" stopIfTrue="1" operator="equal">
      <formula>"Napkin Hs"</formula>
    </cfRule>
  </conditionalFormatting>
  <conditionalFormatting sqref="C105">
    <cfRule type="cellIs" dxfId="1931" priority="2865" stopIfTrue="1" operator="equal">
      <formula>"Towel"</formula>
    </cfRule>
    <cfRule type="cellIs" dxfId="1930" priority="2866" stopIfTrue="1" operator="equal">
      <formula>"Napkin Hs"</formula>
    </cfRule>
  </conditionalFormatting>
  <conditionalFormatting sqref="C105">
    <cfRule type="cellIs" dxfId="1929" priority="2863" stopIfTrue="1" operator="equal">
      <formula>"Towel"</formula>
    </cfRule>
    <cfRule type="cellIs" dxfId="1928" priority="2864" stopIfTrue="1" operator="equal">
      <formula>"Napkin Hs"</formula>
    </cfRule>
  </conditionalFormatting>
  <conditionalFormatting sqref="B105:C105">
    <cfRule type="cellIs" dxfId="1927" priority="2861" stopIfTrue="1" operator="equal">
      <formula>"Towel"</formula>
    </cfRule>
    <cfRule type="cellIs" dxfId="1926" priority="2862" stopIfTrue="1" operator="equal">
      <formula>"Napkin Hs"</formula>
    </cfRule>
  </conditionalFormatting>
  <conditionalFormatting sqref="C105">
    <cfRule type="cellIs" dxfId="1925" priority="2859" stopIfTrue="1" operator="equal">
      <formula>"Towel"</formula>
    </cfRule>
    <cfRule type="cellIs" dxfId="1924" priority="2860" stopIfTrue="1" operator="equal">
      <formula>"Napkin Hs"</formula>
    </cfRule>
  </conditionalFormatting>
  <conditionalFormatting sqref="C105">
    <cfRule type="cellIs" dxfId="1923" priority="2857" stopIfTrue="1" operator="equal">
      <formula>"Towel"</formula>
    </cfRule>
    <cfRule type="cellIs" dxfId="1922" priority="2858" stopIfTrue="1" operator="equal">
      <formula>"Napkin Hs"</formula>
    </cfRule>
  </conditionalFormatting>
  <conditionalFormatting sqref="B105:C105">
    <cfRule type="cellIs" dxfId="1921" priority="2856" stopIfTrue="1" operator="equal">
      <formula>"Napkin Hs"</formula>
    </cfRule>
  </conditionalFormatting>
  <conditionalFormatting sqref="B105:C105">
    <cfRule type="cellIs" dxfId="1920" priority="2855" stopIfTrue="1" operator="equal">
      <formula>"Towel"</formula>
    </cfRule>
  </conditionalFormatting>
  <conditionalFormatting sqref="C105">
    <cfRule type="cellIs" dxfId="1919" priority="2854" stopIfTrue="1" operator="equal">
      <formula>"Napkin Hs"</formula>
    </cfRule>
  </conditionalFormatting>
  <conditionalFormatting sqref="C105">
    <cfRule type="cellIs" dxfId="1918" priority="2851" stopIfTrue="1" operator="equal">
      <formula>"Towel"</formula>
    </cfRule>
    <cfRule type="cellIs" dxfId="1917" priority="2852" stopIfTrue="1" operator="equal">
      <formula>"Napkin Hs"</formula>
    </cfRule>
  </conditionalFormatting>
  <conditionalFormatting sqref="C105">
    <cfRule type="cellIs" dxfId="1916" priority="2853" stopIfTrue="1" operator="equal">
      <formula>"Towel"</formula>
    </cfRule>
  </conditionalFormatting>
  <conditionalFormatting sqref="B105:C105">
    <cfRule type="cellIs" dxfId="1915" priority="2850" stopIfTrue="1" operator="equal">
      <formula>"Napkin Hs"</formula>
    </cfRule>
  </conditionalFormatting>
  <conditionalFormatting sqref="B105:C105">
    <cfRule type="cellIs" dxfId="1914" priority="2849" stopIfTrue="1" operator="equal">
      <formula>"Towel"</formula>
    </cfRule>
  </conditionalFormatting>
  <conditionalFormatting sqref="C105">
    <cfRule type="cellIs" dxfId="1913" priority="2848" stopIfTrue="1" operator="equal">
      <formula>"Napkin Hs"</formula>
    </cfRule>
  </conditionalFormatting>
  <conditionalFormatting sqref="C105">
    <cfRule type="cellIs" dxfId="1912" priority="2847" stopIfTrue="1" operator="equal">
      <formula>"Towel"</formula>
    </cfRule>
  </conditionalFormatting>
  <conditionalFormatting sqref="C105">
    <cfRule type="cellIs" dxfId="1911" priority="2845" stopIfTrue="1" operator="equal">
      <formula>"Towel"</formula>
    </cfRule>
    <cfRule type="cellIs" dxfId="1910" priority="2846" stopIfTrue="1" operator="equal">
      <formula>"Napkin Hs"</formula>
    </cfRule>
  </conditionalFormatting>
  <conditionalFormatting sqref="B105:C105">
    <cfRule type="cellIs" dxfId="1909" priority="2843" stopIfTrue="1" operator="equal">
      <formula>"Towel"</formula>
    </cfRule>
    <cfRule type="cellIs" dxfId="1908" priority="2844" stopIfTrue="1" operator="equal">
      <formula>"Napkin Hs"</formula>
    </cfRule>
  </conditionalFormatting>
  <conditionalFormatting sqref="C105">
    <cfRule type="cellIs" dxfId="1907" priority="2839" stopIfTrue="1" operator="equal">
      <formula>"Towel"</formula>
    </cfRule>
    <cfRule type="cellIs" dxfId="1906" priority="2840" stopIfTrue="1" operator="equal">
      <formula>"Napkin Hs"</formula>
    </cfRule>
  </conditionalFormatting>
  <conditionalFormatting sqref="C105">
    <cfRule type="cellIs" dxfId="1905" priority="2841" stopIfTrue="1" operator="equal">
      <formula>"Towel"</formula>
    </cfRule>
    <cfRule type="cellIs" dxfId="1904" priority="2842" stopIfTrue="1" operator="equal">
      <formula>"Napkin Hs"</formula>
    </cfRule>
  </conditionalFormatting>
  <conditionalFormatting sqref="B105:C105">
    <cfRule type="cellIs" dxfId="1903" priority="2838" stopIfTrue="1" operator="equal">
      <formula>"Napkin Hs"</formula>
    </cfRule>
  </conditionalFormatting>
  <conditionalFormatting sqref="B105:C105">
    <cfRule type="cellIs" dxfId="1902" priority="2837" stopIfTrue="1" operator="equal">
      <formula>"Towel"</formula>
    </cfRule>
  </conditionalFormatting>
  <conditionalFormatting sqref="C105">
    <cfRule type="cellIs" dxfId="1901" priority="2836" stopIfTrue="1" operator="equal">
      <formula>"Napkin Hs"</formula>
    </cfRule>
  </conditionalFormatting>
  <conditionalFormatting sqref="C105">
    <cfRule type="cellIs" dxfId="1900" priority="2835" stopIfTrue="1" operator="equal">
      <formula>"Towel"</formula>
    </cfRule>
  </conditionalFormatting>
  <conditionalFormatting sqref="C105">
    <cfRule type="cellIs" dxfId="1899" priority="2833" stopIfTrue="1" operator="equal">
      <formula>"Towel"</formula>
    </cfRule>
    <cfRule type="cellIs" dxfId="1898" priority="2834" stopIfTrue="1" operator="equal">
      <formula>"Napkin Hs"</formula>
    </cfRule>
  </conditionalFormatting>
  <conditionalFormatting sqref="B105:C105">
    <cfRule type="cellIs" dxfId="1897" priority="2831" stopIfTrue="1" operator="equal">
      <formula>"Towel"</formula>
    </cfRule>
    <cfRule type="cellIs" dxfId="1896" priority="2832" stopIfTrue="1" operator="equal">
      <formula>"Napkin Hs"</formula>
    </cfRule>
  </conditionalFormatting>
  <conditionalFormatting sqref="C105">
    <cfRule type="cellIs" dxfId="1895" priority="2829" stopIfTrue="1" operator="equal">
      <formula>"Towel"</formula>
    </cfRule>
    <cfRule type="cellIs" dxfId="1894" priority="2830" stopIfTrue="1" operator="equal">
      <formula>"Napkin Hs"</formula>
    </cfRule>
  </conditionalFormatting>
  <conditionalFormatting sqref="C105">
    <cfRule type="cellIs" dxfId="1893" priority="2827" stopIfTrue="1" operator="equal">
      <formula>"Towel"</formula>
    </cfRule>
    <cfRule type="cellIs" dxfId="1892" priority="2828" stopIfTrue="1" operator="equal">
      <formula>"Napkin Hs"</formula>
    </cfRule>
  </conditionalFormatting>
  <conditionalFormatting sqref="B105:C105">
    <cfRule type="cellIs" dxfId="1891" priority="2825" stopIfTrue="1" operator="equal">
      <formula>"Towel"</formula>
    </cfRule>
    <cfRule type="cellIs" dxfId="1890" priority="2826" stopIfTrue="1" operator="equal">
      <formula>"Napkin Hs"</formula>
    </cfRule>
  </conditionalFormatting>
  <conditionalFormatting sqref="C105">
    <cfRule type="cellIs" dxfId="1889" priority="2823" stopIfTrue="1" operator="equal">
      <formula>"Towel"</formula>
    </cfRule>
    <cfRule type="cellIs" dxfId="1888" priority="2824" stopIfTrue="1" operator="equal">
      <formula>"Napkin Hs"</formula>
    </cfRule>
  </conditionalFormatting>
  <conditionalFormatting sqref="C105">
    <cfRule type="cellIs" dxfId="1887" priority="2821" stopIfTrue="1" operator="equal">
      <formula>"Towel"</formula>
    </cfRule>
    <cfRule type="cellIs" dxfId="1886" priority="2822" stopIfTrue="1" operator="equal">
      <formula>"Napkin Hs"</formula>
    </cfRule>
  </conditionalFormatting>
  <conditionalFormatting sqref="B105:C105">
    <cfRule type="cellIs" dxfId="1885" priority="2819" stopIfTrue="1" operator="equal">
      <formula>"Towel"</formula>
    </cfRule>
    <cfRule type="cellIs" dxfId="1884" priority="2820" stopIfTrue="1" operator="equal">
      <formula>"Napkin Hs"</formula>
    </cfRule>
  </conditionalFormatting>
  <conditionalFormatting sqref="C105">
    <cfRule type="cellIs" dxfId="1883" priority="2817" stopIfTrue="1" operator="equal">
      <formula>"Towel"</formula>
    </cfRule>
    <cfRule type="cellIs" dxfId="1882" priority="2818" stopIfTrue="1" operator="equal">
      <formula>"Napkin Hs"</formula>
    </cfRule>
  </conditionalFormatting>
  <conditionalFormatting sqref="C105">
    <cfRule type="cellIs" dxfId="1881" priority="2815" stopIfTrue="1" operator="equal">
      <formula>"Towel"</formula>
    </cfRule>
    <cfRule type="cellIs" dxfId="1880" priority="2816" stopIfTrue="1" operator="equal">
      <formula>"Napkin Hs"</formula>
    </cfRule>
  </conditionalFormatting>
  <conditionalFormatting sqref="B105:C105">
    <cfRule type="cellIs" dxfId="1879" priority="2813" stopIfTrue="1" operator="equal">
      <formula>"Towel"</formula>
    </cfRule>
    <cfRule type="cellIs" dxfId="1878" priority="2814" stopIfTrue="1" operator="equal">
      <formula>"Napkin Hs"</formula>
    </cfRule>
  </conditionalFormatting>
  <conditionalFormatting sqref="C105">
    <cfRule type="cellIs" dxfId="1877" priority="2811" stopIfTrue="1" operator="equal">
      <formula>"Towel"</formula>
    </cfRule>
    <cfRule type="cellIs" dxfId="1876" priority="2812" stopIfTrue="1" operator="equal">
      <formula>"Napkin Hs"</formula>
    </cfRule>
  </conditionalFormatting>
  <conditionalFormatting sqref="C105">
    <cfRule type="cellIs" dxfId="1875" priority="2809" stopIfTrue="1" operator="equal">
      <formula>"Towel"</formula>
    </cfRule>
    <cfRule type="cellIs" dxfId="1874" priority="2810" stopIfTrue="1" operator="equal">
      <formula>"Napkin Hs"</formula>
    </cfRule>
  </conditionalFormatting>
  <conditionalFormatting sqref="B105:C105">
    <cfRule type="cellIs" dxfId="1873" priority="2807" stopIfTrue="1" operator="equal">
      <formula>"Towel"</formula>
    </cfRule>
    <cfRule type="cellIs" dxfId="1872" priority="2808" stopIfTrue="1" operator="equal">
      <formula>"Napkin Hs"</formula>
    </cfRule>
  </conditionalFormatting>
  <conditionalFormatting sqref="C105">
    <cfRule type="cellIs" dxfId="1871" priority="2805" stopIfTrue="1" operator="equal">
      <formula>"Towel"</formula>
    </cfRule>
    <cfRule type="cellIs" dxfId="1870" priority="2806" stopIfTrue="1" operator="equal">
      <formula>"Napkin Hs"</formula>
    </cfRule>
  </conditionalFormatting>
  <conditionalFormatting sqref="C105">
    <cfRule type="cellIs" dxfId="1869" priority="2803" stopIfTrue="1" operator="equal">
      <formula>"Towel"</formula>
    </cfRule>
    <cfRule type="cellIs" dxfId="1868" priority="2804" stopIfTrue="1" operator="equal">
      <formula>"Napkin Hs"</formula>
    </cfRule>
  </conditionalFormatting>
  <conditionalFormatting sqref="B105:C105">
    <cfRule type="cellIs" dxfId="1867" priority="2802" stopIfTrue="1" operator="equal">
      <formula>"Napkin Hs"</formula>
    </cfRule>
  </conditionalFormatting>
  <conditionalFormatting sqref="B105:C105">
    <cfRule type="cellIs" dxfId="1866" priority="2801" stopIfTrue="1" operator="equal">
      <formula>"Towel"</formula>
    </cfRule>
  </conditionalFormatting>
  <conditionalFormatting sqref="C105">
    <cfRule type="cellIs" dxfId="1865" priority="2800" stopIfTrue="1" operator="equal">
      <formula>"Napkin Hs"</formula>
    </cfRule>
  </conditionalFormatting>
  <conditionalFormatting sqref="C105">
    <cfRule type="cellIs" dxfId="1864" priority="2797" stopIfTrue="1" operator="equal">
      <formula>"Towel"</formula>
    </cfRule>
    <cfRule type="cellIs" dxfId="1863" priority="2798" stopIfTrue="1" operator="equal">
      <formula>"Napkin Hs"</formula>
    </cfRule>
  </conditionalFormatting>
  <conditionalFormatting sqref="C105">
    <cfRule type="cellIs" dxfId="1862" priority="2799" stopIfTrue="1" operator="equal">
      <formula>"Towel"</formula>
    </cfRule>
  </conditionalFormatting>
  <conditionalFormatting sqref="B105:C105">
    <cfRule type="cellIs" dxfId="1861" priority="2796" stopIfTrue="1" operator="equal">
      <formula>"Napkin Hs"</formula>
    </cfRule>
  </conditionalFormatting>
  <conditionalFormatting sqref="B105:C105">
    <cfRule type="cellIs" dxfId="1860" priority="2795" stopIfTrue="1" operator="equal">
      <formula>"Towel"</formula>
    </cfRule>
  </conditionalFormatting>
  <conditionalFormatting sqref="C105">
    <cfRule type="cellIs" dxfId="1859" priority="2794" stopIfTrue="1" operator="equal">
      <formula>"Napkin Hs"</formula>
    </cfRule>
  </conditionalFormatting>
  <conditionalFormatting sqref="C105">
    <cfRule type="cellIs" dxfId="1858" priority="2791" stopIfTrue="1" operator="equal">
      <formula>"Towel"</formula>
    </cfRule>
    <cfRule type="cellIs" dxfId="1857" priority="2792" stopIfTrue="1" operator="equal">
      <formula>"Napkin Hs"</formula>
    </cfRule>
  </conditionalFormatting>
  <conditionalFormatting sqref="C105">
    <cfRule type="cellIs" dxfId="1856" priority="2793" stopIfTrue="1" operator="equal">
      <formula>"Towel"</formula>
    </cfRule>
  </conditionalFormatting>
  <conditionalFormatting sqref="B105:C105">
    <cfRule type="cellIs" dxfId="1855" priority="2790" stopIfTrue="1" operator="equal">
      <formula>"Napkin Hs"</formula>
    </cfRule>
  </conditionalFormatting>
  <conditionalFormatting sqref="B105:C105">
    <cfRule type="cellIs" dxfId="1854" priority="2789" stopIfTrue="1" operator="equal">
      <formula>"Towel"</formula>
    </cfRule>
  </conditionalFormatting>
  <conditionalFormatting sqref="C105">
    <cfRule type="cellIs" dxfId="1853" priority="2788" stopIfTrue="1" operator="equal">
      <formula>"Napkin Hs"</formula>
    </cfRule>
  </conditionalFormatting>
  <conditionalFormatting sqref="C105">
    <cfRule type="cellIs" dxfId="1852" priority="2785" stopIfTrue="1" operator="equal">
      <formula>"Towel"</formula>
    </cfRule>
    <cfRule type="cellIs" dxfId="1851" priority="2786" stopIfTrue="1" operator="equal">
      <formula>"Napkin Hs"</formula>
    </cfRule>
  </conditionalFormatting>
  <conditionalFormatting sqref="C105">
    <cfRule type="cellIs" dxfId="1850" priority="2787" stopIfTrue="1" operator="equal">
      <formula>"Towel"</formula>
    </cfRule>
  </conditionalFormatting>
  <conditionalFormatting sqref="B111:C111">
    <cfRule type="cellIs" dxfId="1849" priority="2657" stopIfTrue="1" operator="equal">
      <formula>"Towel"</formula>
    </cfRule>
    <cfRule type="cellIs" dxfId="1848" priority="2658" stopIfTrue="1" operator="equal">
      <formula>"Napkin Hs"</formula>
    </cfRule>
  </conditionalFormatting>
  <conditionalFormatting sqref="B112:C112">
    <cfRule type="cellIs" dxfId="1847" priority="2653" stopIfTrue="1" operator="equal">
      <formula>"Towel"</formula>
    </cfRule>
    <cfRule type="cellIs" dxfId="1846" priority="2654" stopIfTrue="1" operator="equal">
      <formula>"Napkin Hs"</formula>
    </cfRule>
  </conditionalFormatting>
  <conditionalFormatting sqref="C111">
    <cfRule type="cellIs" dxfId="1845" priority="2659" stopIfTrue="1" operator="equal">
      <formula>"Towel"</formula>
    </cfRule>
    <cfRule type="cellIs" dxfId="1844" priority="2660" stopIfTrue="1" operator="equal">
      <formula>"Napkin Hs"</formula>
    </cfRule>
  </conditionalFormatting>
  <conditionalFormatting sqref="C111:C112">
    <cfRule type="cellIs" dxfId="1843" priority="2655" stopIfTrue="1" operator="equal">
      <formula>"Towel"</formula>
    </cfRule>
    <cfRule type="cellIs" dxfId="1842" priority="2656" stopIfTrue="1" operator="equal">
      <formula>"Napkin Hs"</formula>
    </cfRule>
  </conditionalFormatting>
  <conditionalFormatting sqref="C112">
    <cfRule type="cellIs" dxfId="1841" priority="2651" stopIfTrue="1" operator="equal">
      <formula>"Towel"</formula>
    </cfRule>
    <cfRule type="cellIs" dxfId="1840" priority="2652" stopIfTrue="1" operator="equal">
      <formula>"Napkin Hs"</formula>
    </cfRule>
  </conditionalFormatting>
  <conditionalFormatting sqref="B111:C112">
    <cfRule type="cellIs" dxfId="1839" priority="2650" stopIfTrue="1" operator="equal">
      <formula>"Napkin Hs"</formula>
    </cfRule>
  </conditionalFormatting>
  <conditionalFormatting sqref="B111:C112">
    <cfRule type="cellIs" dxfId="1838" priority="2649" stopIfTrue="1" operator="equal">
      <formula>"Towel"</formula>
    </cfRule>
  </conditionalFormatting>
  <conditionalFormatting sqref="C111:C112">
    <cfRule type="cellIs" dxfId="1837" priority="2648" stopIfTrue="1" operator="equal">
      <formula>"Napkin Hs"</formula>
    </cfRule>
  </conditionalFormatting>
  <conditionalFormatting sqref="C111:C112">
    <cfRule type="cellIs" dxfId="1836" priority="2647" stopIfTrue="1" operator="equal">
      <formula>"Towel"</formula>
    </cfRule>
  </conditionalFormatting>
  <conditionalFormatting sqref="C111:C112">
    <cfRule type="cellIs" dxfId="1835" priority="2645" stopIfTrue="1" operator="equal">
      <formula>"Towel"</formula>
    </cfRule>
    <cfRule type="cellIs" dxfId="1834" priority="2646" stopIfTrue="1" operator="equal">
      <formula>"Napkin Hs"</formula>
    </cfRule>
  </conditionalFormatting>
  <conditionalFormatting sqref="B111:C111">
    <cfRule type="cellIs" dxfId="1833" priority="2644" stopIfTrue="1" operator="equal">
      <formula>"Napkin Hs"</formula>
    </cfRule>
  </conditionalFormatting>
  <conditionalFormatting sqref="B111:C111">
    <cfRule type="cellIs" dxfId="1832" priority="2643" stopIfTrue="1" operator="equal">
      <formula>"Towel"</formula>
    </cfRule>
  </conditionalFormatting>
  <conditionalFormatting sqref="C111">
    <cfRule type="cellIs" dxfId="1831" priority="2642" stopIfTrue="1" operator="equal">
      <formula>"Napkin Hs"</formula>
    </cfRule>
  </conditionalFormatting>
  <conditionalFormatting sqref="C111">
    <cfRule type="cellIs" dxfId="1830" priority="2641" stopIfTrue="1" operator="equal">
      <formula>"Towel"</formula>
    </cfRule>
  </conditionalFormatting>
  <conditionalFormatting sqref="C111">
    <cfRule type="cellIs" dxfId="1829" priority="2639" stopIfTrue="1" operator="equal">
      <formula>"Towel"</formula>
    </cfRule>
    <cfRule type="cellIs" dxfId="1828" priority="2640" stopIfTrue="1" operator="equal">
      <formula>"Napkin Hs"</formula>
    </cfRule>
  </conditionalFormatting>
  <conditionalFormatting sqref="B111:C111">
    <cfRule type="cellIs" dxfId="1827" priority="2637" stopIfTrue="1" operator="equal">
      <formula>"Towel"</formula>
    </cfRule>
    <cfRule type="cellIs" dxfId="1826" priority="2638" stopIfTrue="1" operator="equal">
      <formula>"Napkin Hs"</formula>
    </cfRule>
  </conditionalFormatting>
  <conditionalFormatting sqref="C111">
    <cfRule type="cellIs" dxfId="1825" priority="2633" stopIfTrue="1" operator="equal">
      <formula>"Towel"</formula>
    </cfRule>
    <cfRule type="cellIs" dxfId="1824" priority="2634" stopIfTrue="1" operator="equal">
      <formula>"Napkin Hs"</formula>
    </cfRule>
  </conditionalFormatting>
  <conditionalFormatting sqref="C111">
    <cfRule type="cellIs" dxfId="1823" priority="2635" stopIfTrue="1" operator="equal">
      <formula>"Towel"</formula>
    </cfRule>
    <cfRule type="cellIs" dxfId="1822" priority="2636" stopIfTrue="1" operator="equal">
      <formula>"Napkin Hs"</formula>
    </cfRule>
  </conditionalFormatting>
  <conditionalFormatting sqref="B111:C111">
    <cfRule type="cellIs" dxfId="1821" priority="2632" stopIfTrue="1" operator="equal">
      <formula>"Napkin Hs"</formula>
    </cfRule>
  </conditionalFormatting>
  <conditionalFormatting sqref="B111:C111">
    <cfRule type="cellIs" dxfId="1820" priority="2631" stopIfTrue="1" operator="equal">
      <formula>"Towel"</formula>
    </cfRule>
  </conditionalFormatting>
  <conditionalFormatting sqref="C111">
    <cfRule type="cellIs" dxfId="1819" priority="2630" stopIfTrue="1" operator="equal">
      <formula>"Napkin Hs"</formula>
    </cfRule>
  </conditionalFormatting>
  <conditionalFormatting sqref="C111">
    <cfRule type="cellIs" dxfId="1818" priority="2629" stopIfTrue="1" operator="equal">
      <formula>"Towel"</formula>
    </cfRule>
  </conditionalFormatting>
  <conditionalFormatting sqref="C111">
    <cfRule type="cellIs" dxfId="1817" priority="2627" stopIfTrue="1" operator="equal">
      <formula>"Towel"</formula>
    </cfRule>
    <cfRule type="cellIs" dxfId="1816" priority="2628" stopIfTrue="1" operator="equal">
      <formula>"Napkin Hs"</formula>
    </cfRule>
  </conditionalFormatting>
  <conditionalFormatting sqref="B111:C111">
    <cfRule type="cellIs" dxfId="1815" priority="2625" stopIfTrue="1" operator="equal">
      <formula>"Towel"</formula>
    </cfRule>
    <cfRule type="cellIs" dxfId="1814" priority="2626" stopIfTrue="1" operator="equal">
      <formula>"Napkin Hs"</formula>
    </cfRule>
  </conditionalFormatting>
  <conditionalFormatting sqref="C111">
    <cfRule type="cellIs" dxfId="1813" priority="2623" stopIfTrue="1" operator="equal">
      <formula>"Towel"</formula>
    </cfRule>
    <cfRule type="cellIs" dxfId="1812" priority="2624" stopIfTrue="1" operator="equal">
      <formula>"Napkin Hs"</formula>
    </cfRule>
  </conditionalFormatting>
  <conditionalFormatting sqref="C111">
    <cfRule type="cellIs" dxfId="1811" priority="2621" stopIfTrue="1" operator="equal">
      <formula>"Towel"</formula>
    </cfRule>
    <cfRule type="cellIs" dxfId="1810" priority="2622" stopIfTrue="1" operator="equal">
      <formula>"Napkin Hs"</formula>
    </cfRule>
  </conditionalFormatting>
  <conditionalFormatting sqref="B111:C111">
    <cfRule type="cellIs" dxfId="1809" priority="2619" stopIfTrue="1" operator="equal">
      <formula>"Towel"</formula>
    </cfRule>
    <cfRule type="cellIs" dxfId="1808" priority="2620" stopIfTrue="1" operator="equal">
      <formula>"Napkin Hs"</formula>
    </cfRule>
  </conditionalFormatting>
  <conditionalFormatting sqref="C111">
    <cfRule type="cellIs" dxfId="1807" priority="2617" stopIfTrue="1" operator="equal">
      <formula>"Towel"</formula>
    </cfRule>
    <cfRule type="cellIs" dxfId="1806" priority="2618" stopIfTrue="1" operator="equal">
      <formula>"Napkin Hs"</formula>
    </cfRule>
  </conditionalFormatting>
  <conditionalFormatting sqref="C111">
    <cfRule type="cellIs" dxfId="1805" priority="2615" stopIfTrue="1" operator="equal">
      <formula>"Towel"</formula>
    </cfRule>
    <cfRule type="cellIs" dxfId="1804" priority="2616" stopIfTrue="1" operator="equal">
      <formula>"Napkin Hs"</formula>
    </cfRule>
  </conditionalFormatting>
  <conditionalFormatting sqref="B111:C111">
    <cfRule type="cellIs" dxfId="1803" priority="2613" stopIfTrue="1" operator="equal">
      <formula>"Towel"</formula>
    </cfRule>
    <cfRule type="cellIs" dxfId="1802" priority="2614" stopIfTrue="1" operator="equal">
      <formula>"Napkin Hs"</formula>
    </cfRule>
  </conditionalFormatting>
  <conditionalFormatting sqref="C111">
    <cfRule type="cellIs" dxfId="1801" priority="2611" stopIfTrue="1" operator="equal">
      <formula>"Towel"</formula>
    </cfRule>
    <cfRule type="cellIs" dxfId="1800" priority="2612" stopIfTrue="1" operator="equal">
      <formula>"Napkin Hs"</formula>
    </cfRule>
  </conditionalFormatting>
  <conditionalFormatting sqref="C111">
    <cfRule type="cellIs" dxfId="1799" priority="2609" stopIfTrue="1" operator="equal">
      <formula>"Towel"</formula>
    </cfRule>
    <cfRule type="cellIs" dxfId="1798" priority="2610" stopIfTrue="1" operator="equal">
      <formula>"Napkin Hs"</formula>
    </cfRule>
  </conditionalFormatting>
  <conditionalFormatting sqref="B111:C111">
    <cfRule type="cellIs" dxfId="1797" priority="2607" stopIfTrue="1" operator="equal">
      <formula>"Towel"</formula>
    </cfRule>
    <cfRule type="cellIs" dxfId="1796" priority="2608" stopIfTrue="1" operator="equal">
      <formula>"Napkin Hs"</formula>
    </cfRule>
  </conditionalFormatting>
  <conditionalFormatting sqref="C111">
    <cfRule type="cellIs" dxfId="1795" priority="2605" stopIfTrue="1" operator="equal">
      <formula>"Towel"</formula>
    </cfRule>
    <cfRule type="cellIs" dxfId="1794" priority="2606" stopIfTrue="1" operator="equal">
      <formula>"Napkin Hs"</formula>
    </cfRule>
  </conditionalFormatting>
  <conditionalFormatting sqref="C111">
    <cfRule type="cellIs" dxfId="1793" priority="2603" stopIfTrue="1" operator="equal">
      <formula>"Towel"</formula>
    </cfRule>
    <cfRule type="cellIs" dxfId="1792" priority="2604" stopIfTrue="1" operator="equal">
      <formula>"Napkin Hs"</formula>
    </cfRule>
  </conditionalFormatting>
  <conditionalFormatting sqref="B111:C111">
    <cfRule type="cellIs" dxfId="1791" priority="2601" stopIfTrue="1" operator="equal">
      <formula>"Towel"</formula>
    </cfRule>
    <cfRule type="cellIs" dxfId="1790" priority="2602" stopIfTrue="1" operator="equal">
      <formula>"Napkin Hs"</formula>
    </cfRule>
  </conditionalFormatting>
  <conditionalFormatting sqref="C111">
    <cfRule type="cellIs" dxfId="1789" priority="2599" stopIfTrue="1" operator="equal">
      <formula>"Towel"</formula>
    </cfRule>
    <cfRule type="cellIs" dxfId="1788" priority="2600" stopIfTrue="1" operator="equal">
      <formula>"Napkin Hs"</formula>
    </cfRule>
  </conditionalFormatting>
  <conditionalFormatting sqref="C111">
    <cfRule type="cellIs" dxfId="1787" priority="2597" stopIfTrue="1" operator="equal">
      <formula>"Towel"</formula>
    </cfRule>
    <cfRule type="cellIs" dxfId="1786" priority="2598" stopIfTrue="1" operator="equal">
      <formula>"Napkin Hs"</formula>
    </cfRule>
  </conditionalFormatting>
  <conditionalFormatting sqref="B111:C111">
    <cfRule type="cellIs" dxfId="1785" priority="2596" stopIfTrue="1" operator="equal">
      <formula>"Napkin Hs"</formula>
    </cfRule>
  </conditionalFormatting>
  <conditionalFormatting sqref="B111:C111">
    <cfRule type="cellIs" dxfId="1784" priority="2595" stopIfTrue="1" operator="equal">
      <formula>"Towel"</formula>
    </cfRule>
  </conditionalFormatting>
  <conditionalFormatting sqref="C111">
    <cfRule type="cellIs" dxfId="1783" priority="2594" stopIfTrue="1" operator="equal">
      <formula>"Napkin Hs"</formula>
    </cfRule>
  </conditionalFormatting>
  <conditionalFormatting sqref="C111">
    <cfRule type="cellIs" dxfId="1782" priority="2591" stopIfTrue="1" operator="equal">
      <formula>"Towel"</formula>
    </cfRule>
    <cfRule type="cellIs" dxfId="1781" priority="2592" stopIfTrue="1" operator="equal">
      <formula>"Napkin Hs"</formula>
    </cfRule>
  </conditionalFormatting>
  <conditionalFormatting sqref="C111">
    <cfRule type="cellIs" dxfId="1780" priority="2593" stopIfTrue="1" operator="equal">
      <formula>"Towel"</formula>
    </cfRule>
  </conditionalFormatting>
  <conditionalFormatting sqref="B112:C112">
    <cfRule type="cellIs" dxfId="1779" priority="2590" stopIfTrue="1" operator="equal">
      <formula>"Napkin Hs"</formula>
    </cfRule>
  </conditionalFormatting>
  <conditionalFormatting sqref="B112:C112">
    <cfRule type="cellIs" dxfId="1778" priority="2589" stopIfTrue="1" operator="equal">
      <formula>"Towel"</formula>
    </cfRule>
  </conditionalFormatting>
  <conditionalFormatting sqref="C112">
    <cfRule type="cellIs" dxfId="1777" priority="2588" stopIfTrue="1" operator="equal">
      <formula>"Napkin Hs"</formula>
    </cfRule>
  </conditionalFormatting>
  <conditionalFormatting sqref="C112">
    <cfRule type="cellIs" dxfId="1776" priority="2587" stopIfTrue="1" operator="equal">
      <formula>"Towel"</formula>
    </cfRule>
  </conditionalFormatting>
  <conditionalFormatting sqref="C112">
    <cfRule type="cellIs" dxfId="1775" priority="2585" stopIfTrue="1" operator="equal">
      <formula>"Towel"</formula>
    </cfRule>
    <cfRule type="cellIs" dxfId="1774" priority="2586" stopIfTrue="1" operator="equal">
      <formula>"Napkin Hs"</formula>
    </cfRule>
  </conditionalFormatting>
  <conditionalFormatting sqref="B112:C112">
    <cfRule type="cellIs" dxfId="1773" priority="2583" stopIfTrue="1" operator="equal">
      <formula>"Towel"</formula>
    </cfRule>
    <cfRule type="cellIs" dxfId="1772" priority="2584" stopIfTrue="1" operator="equal">
      <formula>"Napkin Hs"</formula>
    </cfRule>
  </conditionalFormatting>
  <conditionalFormatting sqref="C112">
    <cfRule type="cellIs" dxfId="1771" priority="2579" stopIfTrue="1" operator="equal">
      <formula>"Towel"</formula>
    </cfRule>
    <cfRule type="cellIs" dxfId="1770" priority="2580" stopIfTrue="1" operator="equal">
      <formula>"Napkin Hs"</formula>
    </cfRule>
  </conditionalFormatting>
  <conditionalFormatting sqref="C112">
    <cfRule type="cellIs" dxfId="1769" priority="2581" stopIfTrue="1" operator="equal">
      <formula>"Towel"</formula>
    </cfRule>
    <cfRule type="cellIs" dxfId="1768" priority="2582" stopIfTrue="1" operator="equal">
      <formula>"Napkin Hs"</formula>
    </cfRule>
  </conditionalFormatting>
  <conditionalFormatting sqref="B112:C112">
    <cfRule type="cellIs" dxfId="1767" priority="2578" stopIfTrue="1" operator="equal">
      <formula>"Napkin Hs"</formula>
    </cfRule>
  </conditionalFormatting>
  <conditionalFormatting sqref="B112:C112">
    <cfRule type="cellIs" dxfId="1766" priority="2577" stopIfTrue="1" operator="equal">
      <formula>"Towel"</formula>
    </cfRule>
  </conditionalFormatting>
  <conditionalFormatting sqref="C112">
    <cfRule type="cellIs" dxfId="1765" priority="2576" stopIfTrue="1" operator="equal">
      <formula>"Napkin Hs"</formula>
    </cfRule>
  </conditionalFormatting>
  <conditionalFormatting sqref="C112">
    <cfRule type="cellIs" dxfId="1764" priority="2575" stopIfTrue="1" operator="equal">
      <formula>"Towel"</formula>
    </cfRule>
  </conditionalFormatting>
  <conditionalFormatting sqref="C112">
    <cfRule type="cellIs" dxfId="1763" priority="2573" stopIfTrue="1" operator="equal">
      <formula>"Towel"</formula>
    </cfRule>
    <cfRule type="cellIs" dxfId="1762" priority="2574" stopIfTrue="1" operator="equal">
      <formula>"Napkin Hs"</formula>
    </cfRule>
  </conditionalFormatting>
  <conditionalFormatting sqref="B112:C112">
    <cfRule type="cellIs" dxfId="1761" priority="2571" stopIfTrue="1" operator="equal">
      <formula>"Towel"</formula>
    </cfRule>
    <cfRule type="cellIs" dxfId="1760" priority="2572" stopIfTrue="1" operator="equal">
      <formula>"Napkin Hs"</formula>
    </cfRule>
  </conditionalFormatting>
  <conditionalFormatting sqref="C112">
    <cfRule type="cellIs" dxfId="1759" priority="2569" stopIfTrue="1" operator="equal">
      <formula>"Towel"</formula>
    </cfRule>
    <cfRule type="cellIs" dxfId="1758" priority="2570" stopIfTrue="1" operator="equal">
      <formula>"Napkin Hs"</formula>
    </cfRule>
  </conditionalFormatting>
  <conditionalFormatting sqref="C112">
    <cfRule type="cellIs" dxfId="1757" priority="2567" stopIfTrue="1" operator="equal">
      <formula>"Towel"</formula>
    </cfRule>
    <cfRule type="cellIs" dxfId="1756" priority="2568" stopIfTrue="1" operator="equal">
      <formula>"Napkin Hs"</formula>
    </cfRule>
  </conditionalFormatting>
  <conditionalFormatting sqref="B112:C112">
    <cfRule type="cellIs" dxfId="1755" priority="2565" stopIfTrue="1" operator="equal">
      <formula>"Towel"</formula>
    </cfRule>
    <cfRule type="cellIs" dxfId="1754" priority="2566" stopIfTrue="1" operator="equal">
      <formula>"Napkin Hs"</formula>
    </cfRule>
  </conditionalFormatting>
  <conditionalFormatting sqref="C112">
    <cfRule type="cellIs" dxfId="1753" priority="2563" stopIfTrue="1" operator="equal">
      <formula>"Towel"</formula>
    </cfRule>
    <cfRule type="cellIs" dxfId="1752" priority="2564" stopIfTrue="1" operator="equal">
      <formula>"Napkin Hs"</formula>
    </cfRule>
  </conditionalFormatting>
  <conditionalFormatting sqref="C112">
    <cfRule type="cellIs" dxfId="1751" priority="2561" stopIfTrue="1" operator="equal">
      <formula>"Towel"</formula>
    </cfRule>
    <cfRule type="cellIs" dxfId="1750" priority="2562" stopIfTrue="1" operator="equal">
      <formula>"Napkin Hs"</formula>
    </cfRule>
  </conditionalFormatting>
  <conditionalFormatting sqref="B112:C112">
    <cfRule type="cellIs" dxfId="1749" priority="2559" stopIfTrue="1" operator="equal">
      <formula>"Towel"</formula>
    </cfRule>
    <cfRule type="cellIs" dxfId="1748" priority="2560" stopIfTrue="1" operator="equal">
      <formula>"Napkin Hs"</formula>
    </cfRule>
  </conditionalFormatting>
  <conditionalFormatting sqref="C112">
    <cfRule type="cellIs" dxfId="1747" priority="2557" stopIfTrue="1" operator="equal">
      <formula>"Towel"</formula>
    </cfRule>
    <cfRule type="cellIs" dxfId="1746" priority="2558" stopIfTrue="1" operator="equal">
      <formula>"Napkin Hs"</formula>
    </cfRule>
  </conditionalFormatting>
  <conditionalFormatting sqref="C112">
    <cfRule type="cellIs" dxfId="1745" priority="2555" stopIfTrue="1" operator="equal">
      <formula>"Towel"</formula>
    </cfRule>
    <cfRule type="cellIs" dxfId="1744" priority="2556" stopIfTrue="1" operator="equal">
      <formula>"Napkin Hs"</formula>
    </cfRule>
  </conditionalFormatting>
  <conditionalFormatting sqref="B112:C112">
    <cfRule type="cellIs" dxfId="1743" priority="2553" stopIfTrue="1" operator="equal">
      <formula>"Towel"</formula>
    </cfRule>
    <cfRule type="cellIs" dxfId="1742" priority="2554" stopIfTrue="1" operator="equal">
      <formula>"Napkin Hs"</formula>
    </cfRule>
  </conditionalFormatting>
  <conditionalFormatting sqref="C112">
    <cfRule type="cellIs" dxfId="1741" priority="2551" stopIfTrue="1" operator="equal">
      <formula>"Towel"</formula>
    </cfRule>
    <cfRule type="cellIs" dxfId="1740" priority="2552" stopIfTrue="1" operator="equal">
      <formula>"Napkin Hs"</formula>
    </cfRule>
  </conditionalFormatting>
  <conditionalFormatting sqref="C112">
    <cfRule type="cellIs" dxfId="1739" priority="2549" stopIfTrue="1" operator="equal">
      <formula>"Towel"</formula>
    </cfRule>
    <cfRule type="cellIs" dxfId="1738" priority="2550" stopIfTrue="1" operator="equal">
      <formula>"Napkin Hs"</formula>
    </cfRule>
  </conditionalFormatting>
  <conditionalFormatting sqref="B112:C112">
    <cfRule type="cellIs" dxfId="1737" priority="2547" stopIfTrue="1" operator="equal">
      <formula>"Towel"</formula>
    </cfRule>
    <cfRule type="cellIs" dxfId="1736" priority="2548" stopIfTrue="1" operator="equal">
      <formula>"Napkin Hs"</formula>
    </cfRule>
  </conditionalFormatting>
  <conditionalFormatting sqref="C112">
    <cfRule type="cellIs" dxfId="1735" priority="2545" stopIfTrue="1" operator="equal">
      <formula>"Towel"</formula>
    </cfRule>
    <cfRule type="cellIs" dxfId="1734" priority="2546" stopIfTrue="1" operator="equal">
      <formula>"Napkin Hs"</formula>
    </cfRule>
  </conditionalFormatting>
  <conditionalFormatting sqref="C112">
    <cfRule type="cellIs" dxfId="1733" priority="2543" stopIfTrue="1" operator="equal">
      <formula>"Towel"</formula>
    </cfRule>
    <cfRule type="cellIs" dxfId="1732" priority="2544" stopIfTrue="1" operator="equal">
      <formula>"Napkin Hs"</formula>
    </cfRule>
  </conditionalFormatting>
  <conditionalFormatting sqref="B112:C112">
    <cfRule type="cellIs" dxfId="1731" priority="2542" stopIfTrue="1" operator="equal">
      <formula>"Napkin Hs"</formula>
    </cfRule>
  </conditionalFormatting>
  <conditionalFormatting sqref="B112:C112">
    <cfRule type="cellIs" dxfId="1730" priority="2541" stopIfTrue="1" operator="equal">
      <formula>"Towel"</formula>
    </cfRule>
  </conditionalFormatting>
  <conditionalFormatting sqref="C112">
    <cfRule type="cellIs" dxfId="1729" priority="2540" stopIfTrue="1" operator="equal">
      <formula>"Napkin Hs"</formula>
    </cfRule>
  </conditionalFormatting>
  <conditionalFormatting sqref="C112">
    <cfRule type="cellIs" dxfId="1728" priority="2537" stopIfTrue="1" operator="equal">
      <formula>"Towel"</formula>
    </cfRule>
    <cfRule type="cellIs" dxfId="1727" priority="2538" stopIfTrue="1" operator="equal">
      <formula>"Napkin Hs"</formula>
    </cfRule>
  </conditionalFormatting>
  <conditionalFormatting sqref="C112">
    <cfRule type="cellIs" dxfId="1726" priority="2539" stopIfTrue="1" operator="equal">
      <formula>"Towel"</formula>
    </cfRule>
  </conditionalFormatting>
  <conditionalFormatting sqref="B110:C110">
    <cfRule type="cellIs" dxfId="1725" priority="2535" stopIfTrue="1" operator="equal">
      <formula>"Towel"</formula>
    </cfRule>
    <cfRule type="cellIs" dxfId="1724" priority="2536" stopIfTrue="1" operator="equal">
      <formula>"Napkin Hs"</formula>
    </cfRule>
  </conditionalFormatting>
  <conditionalFormatting sqref="C110">
    <cfRule type="cellIs" dxfId="1723" priority="2533" stopIfTrue="1" operator="equal">
      <formula>"Towel"</formula>
    </cfRule>
    <cfRule type="cellIs" dxfId="1722" priority="2534" stopIfTrue="1" operator="equal">
      <formula>"Napkin Hs"</formula>
    </cfRule>
  </conditionalFormatting>
  <conditionalFormatting sqref="C110">
    <cfRule type="cellIs" dxfId="1721" priority="2531" stopIfTrue="1" operator="equal">
      <formula>"Towel"</formula>
    </cfRule>
    <cfRule type="cellIs" dxfId="1720" priority="2532" stopIfTrue="1" operator="equal">
      <formula>"Napkin Hs"</formula>
    </cfRule>
  </conditionalFormatting>
  <conditionalFormatting sqref="B110:C110">
    <cfRule type="cellIs" dxfId="1719" priority="2530" stopIfTrue="1" operator="equal">
      <formula>"Napkin Hs"</formula>
    </cfRule>
  </conditionalFormatting>
  <conditionalFormatting sqref="B110:C110">
    <cfRule type="cellIs" dxfId="1718" priority="2529" stopIfTrue="1" operator="equal">
      <formula>"Towel"</formula>
    </cfRule>
  </conditionalFormatting>
  <conditionalFormatting sqref="C110">
    <cfRule type="cellIs" dxfId="1717" priority="2528" stopIfTrue="1" operator="equal">
      <formula>"Napkin Hs"</formula>
    </cfRule>
  </conditionalFormatting>
  <conditionalFormatting sqref="C110">
    <cfRule type="cellIs" dxfId="1716" priority="2527" stopIfTrue="1" operator="equal">
      <formula>"Towel"</formula>
    </cfRule>
  </conditionalFormatting>
  <conditionalFormatting sqref="C110">
    <cfRule type="cellIs" dxfId="1715" priority="2525" stopIfTrue="1" operator="equal">
      <formula>"Towel"</formula>
    </cfRule>
    <cfRule type="cellIs" dxfId="1714" priority="2526" stopIfTrue="1" operator="equal">
      <formula>"Napkin Hs"</formula>
    </cfRule>
  </conditionalFormatting>
  <conditionalFormatting sqref="B110:C110">
    <cfRule type="cellIs" dxfId="1713" priority="2523" stopIfTrue="1" operator="equal">
      <formula>"Towel"</formula>
    </cfRule>
    <cfRule type="cellIs" dxfId="1712" priority="2524" stopIfTrue="1" operator="equal">
      <formula>"Napkin Hs"</formula>
    </cfRule>
  </conditionalFormatting>
  <conditionalFormatting sqref="C110">
    <cfRule type="cellIs" dxfId="1711" priority="2519" stopIfTrue="1" operator="equal">
      <formula>"Towel"</formula>
    </cfRule>
    <cfRule type="cellIs" dxfId="1710" priority="2520" stopIfTrue="1" operator="equal">
      <formula>"Napkin Hs"</formula>
    </cfRule>
  </conditionalFormatting>
  <conditionalFormatting sqref="C110">
    <cfRule type="cellIs" dxfId="1709" priority="2521" stopIfTrue="1" operator="equal">
      <formula>"Towel"</formula>
    </cfRule>
    <cfRule type="cellIs" dxfId="1708" priority="2522" stopIfTrue="1" operator="equal">
      <formula>"Napkin Hs"</formula>
    </cfRule>
  </conditionalFormatting>
  <conditionalFormatting sqref="B110:C110">
    <cfRule type="cellIs" dxfId="1707" priority="2518" stopIfTrue="1" operator="equal">
      <formula>"Napkin Hs"</formula>
    </cfRule>
  </conditionalFormatting>
  <conditionalFormatting sqref="B110:C110">
    <cfRule type="cellIs" dxfId="1706" priority="2517" stopIfTrue="1" operator="equal">
      <formula>"Towel"</formula>
    </cfRule>
  </conditionalFormatting>
  <conditionalFormatting sqref="C110">
    <cfRule type="cellIs" dxfId="1705" priority="2516" stopIfTrue="1" operator="equal">
      <formula>"Napkin Hs"</formula>
    </cfRule>
  </conditionalFormatting>
  <conditionalFormatting sqref="C110">
    <cfRule type="cellIs" dxfId="1704" priority="2515" stopIfTrue="1" operator="equal">
      <formula>"Towel"</formula>
    </cfRule>
  </conditionalFormatting>
  <conditionalFormatting sqref="C110">
    <cfRule type="cellIs" dxfId="1703" priority="2513" stopIfTrue="1" operator="equal">
      <formula>"Towel"</formula>
    </cfRule>
    <cfRule type="cellIs" dxfId="1702" priority="2514" stopIfTrue="1" operator="equal">
      <formula>"Napkin Hs"</formula>
    </cfRule>
  </conditionalFormatting>
  <conditionalFormatting sqref="B110:C110">
    <cfRule type="cellIs" dxfId="1701" priority="2511" stopIfTrue="1" operator="equal">
      <formula>"Towel"</formula>
    </cfRule>
    <cfRule type="cellIs" dxfId="1700" priority="2512" stopIfTrue="1" operator="equal">
      <formula>"Napkin Hs"</formula>
    </cfRule>
  </conditionalFormatting>
  <conditionalFormatting sqref="C110">
    <cfRule type="cellIs" dxfId="1699" priority="2509" stopIfTrue="1" operator="equal">
      <formula>"Towel"</formula>
    </cfRule>
    <cfRule type="cellIs" dxfId="1698" priority="2510" stopIfTrue="1" operator="equal">
      <formula>"Napkin Hs"</formula>
    </cfRule>
  </conditionalFormatting>
  <conditionalFormatting sqref="C110">
    <cfRule type="cellIs" dxfId="1697" priority="2507" stopIfTrue="1" operator="equal">
      <formula>"Towel"</formula>
    </cfRule>
    <cfRule type="cellIs" dxfId="1696" priority="2508" stopIfTrue="1" operator="equal">
      <formula>"Napkin Hs"</formula>
    </cfRule>
  </conditionalFormatting>
  <conditionalFormatting sqref="B110:C110">
    <cfRule type="cellIs" dxfId="1695" priority="2505" stopIfTrue="1" operator="equal">
      <formula>"Towel"</formula>
    </cfRule>
    <cfRule type="cellIs" dxfId="1694" priority="2506" stopIfTrue="1" operator="equal">
      <formula>"Napkin Hs"</formula>
    </cfRule>
  </conditionalFormatting>
  <conditionalFormatting sqref="C110">
    <cfRule type="cellIs" dxfId="1693" priority="2503" stopIfTrue="1" operator="equal">
      <formula>"Towel"</formula>
    </cfRule>
    <cfRule type="cellIs" dxfId="1692" priority="2504" stopIfTrue="1" operator="equal">
      <formula>"Napkin Hs"</formula>
    </cfRule>
  </conditionalFormatting>
  <conditionalFormatting sqref="C110">
    <cfRule type="cellIs" dxfId="1691" priority="2501" stopIfTrue="1" operator="equal">
      <formula>"Towel"</formula>
    </cfRule>
    <cfRule type="cellIs" dxfId="1690" priority="2502" stopIfTrue="1" operator="equal">
      <formula>"Napkin Hs"</formula>
    </cfRule>
  </conditionalFormatting>
  <conditionalFormatting sqref="B110:C110">
    <cfRule type="cellIs" dxfId="1689" priority="2499" stopIfTrue="1" operator="equal">
      <formula>"Towel"</formula>
    </cfRule>
    <cfRule type="cellIs" dxfId="1688" priority="2500" stopIfTrue="1" operator="equal">
      <formula>"Napkin Hs"</formula>
    </cfRule>
  </conditionalFormatting>
  <conditionalFormatting sqref="C110">
    <cfRule type="cellIs" dxfId="1687" priority="2497" stopIfTrue="1" operator="equal">
      <formula>"Towel"</formula>
    </cfRule>
    <cfRule type="cellIs" dxfId="1686" priority="2498" stopIfTrue="1" operator="equal">
      <formula>"Napkin Hs"</formula>
    </cfRule>
  </conditionalFormatting>
  <conditionalFormatting sqref="C110">
    <cfRule type="cellIs" dxfId="1685" priority="2495" stopIfTrue="1" operator="equal">
      <formula>"Towel"</formula>
    </cfRule>
    <cfRule type="cellIs" dxfId="1684" priority="2496" stopIfTrue="1" operator="equal">
      <formula>"Napkin Hs"</formula>
    </cfRule>
  </conditionalFormatting>
  <conditionalFormatting sqref="B110:C110">
    <cfRule type="cellIs" dxfId="1683" priority="2493" stopIfTrue="1" operator="equal">
      <formula>"Towel"</formula>
    </cfRule>
    <cfRule type="cellIs" dxfId="1682" priority="2494" stopIfTrue="1" operator="equal">
      <formula>"Napkin Hs"</formula>
    </cfRule>
  </conditionalFormatting>
  <conditionalFormatting sqref="C110">
    <cfRule type="cellIs" dxfId="1681" priority="2491" stopIfTrue="1" operator="equal">
      <formula>"Towel"</formula>
    </cfRule>
    <cfRule type="cellIs" dxfId="1680" priority="2492" stopIfTrue="1" operator="equal">
      <formula>"Napkin Hs"</formula>
    </cfRule>
  </conditionalFormatting>
  <conditionalFormatting sqref="C110">
    <cfRule type="cellIs" dxfId="1679" priority="2489" stopIfTrue="1" operator="equal">
      <formula>"Towel"</formula>
    </cfRule>
    <cfRule type="cellIs" dxfId="1678" priority="2490" stopIfTrue="1" operator="equal">
      <formula>"Napkin Hs"</formula>
    </cfRule>
  </conditionalFormatting>
  <conditionalFormatting sqref="B110:C110">
    <cfRule type="cellIs" dxfId="1677" priority="2487" stopIfTrue="1" operator="equal">
      <formula>"Towel"</formula>
    </cfRule>
    <cfRule type="cellIs" dxfId="1676" priority="2488" stopIfTrue="1" operator="equal">
      <formula>"Napkin Hs"</formula>
    </cfRule>
  </conditionalFormatting>
  <conditionalFormatting sqref="C110">
    <cfRule type="cellIs" dxfId="1675" priority="2485" stopIfTrue="1" operator="equal">
      <formula>"Towel"</formula>
    </cfRule>
    <cfRule type="cellIs" dxfId="1674" priority="2486" stopIfTrue="1" operator="equal">
      <formula>"Napkin Hs"</formula>
    </cfRule>
  </conditionalFormatting>
  <conditionalFormatting sqref="C110">
    <cfRule type="cellIs" dxfId="1673" priority="2483" stopIfTrue="1" operator="equal">
      <formula>"Towel"</formula>
    </cfRule>
    <cfRule type="cellIs" dxfId="1672" priority="2484" stopIfTrue="1" operator="equal">
      <formula>"Napkin Hs"</formula>
    </cfRule>
  </conditionalFormatting>
  <conditionalFormatting sqref="B110:C110">
    <cfRule type="cellIs" dxfId="1671" priority="2482" stopIfTrue="1" operator="equal">
      <formula>"Napkin Hs"</formula>
    </cfRule>
  </conditionalFormatting>
  <conditionalFormatting sqref="B110:C110">
    <cfRule type="cellIs" dxfId="1670" priority="2481" stopIfTrue="1" operator="equal">
      <formula>"Towel"</formula>
    </cfRule>
  </conditionalFormatting>
  <conditionalFormatting sqref="C110">
    <cfRule type="cellIs" dxfId="1669" priority="2480" stopIfTrue="1" operator="equal">
      <formula>"Napkin Hs"</formula>
    </cfRule>
  </conditionalFormatting>
  <conditionalFormatting sqref="C110">
    <cfRule type="cellIs" dxfId="1668" priority="2477" stopIfTrue="1" operator="equal">
      <formula>"Towel"</formula>
    </cfRule>
    <cfRule type="cellIs" dxfId="1667" priority="2478" stopIfTrue="1" operator="equal">
      <formula>"Napkin Hs"</formula>
    </cfRule>
  </conditionalFormatting>
  <conditionalFormatting sqref="C110">
    <cfRule type="cellIs" dxfId="1666" priority="2479" stopIfTrue="1" operator="equal">
      <formula>"Towel"</formula>
    </cfRule>
  </conditionalFormatting>
  <conditionalFormatting sqref="B110:C110">
    <cfRule type="cellIs" dxfId="1665" priority="2476" stopIfTrue="1" operator="equal">
      <formula>"Napkin Hs"</formula>
    </cfRule>
  </conditionalFormatting>
  <conditionalFormatting sqref="B110:C110">
    <cfRule type="cellIs" dxfId="1664" priority="2475" stopIfTrue="1" operator="equal">
      <formula>"Towel"</formula>
    </cfRule>
  </conditionalFormatting>
  <conditionalFormatting sqref="C110">
    <cfRule type="cellIs" dxfId="1663" priority="2474" stopIfTrue="1" operator="equal">
      <formula>"Napkin Hs"</formula>
    </cfRule>
  </conditionalFormatting>
  <conditionalFormatting sqref="C110">
    <cfRule type="cellIs" dxfId="1662" priority="2473" stopIfTrue="1" operator="equal">
      <formula>"Towel"</formula>
    </cfRule>
  </conditionalFormatting>
  <conditionalFormatting sqref="C110">
    <cfRule type="cellIs" dxfId="1661" priority="2471" stopIfTrue="1" operator="equal">
      <formula>"Towel"</formula>
    </cfRule>
    <cfRule type="cellIs" dxfId="1660" priority="2472" stopIfTrue="1" operator="equal">
      <formula>"Napkin Hs"</formula>
    </cfRule>
  </conditionalFormatting>
  <conditionalFormatting sqref="B110:C110">
    <cfRule type="cellIs" dxfId="1659" priority="2469" stopIfTrue="1" operator="equal">
      <formula>"Towel"</formula>
    </cfRule>
    <cfRule type="cellIs" dxfId="1658" priority="2470" stopIfTrue="1" operator="equal">
      <formula>"Napkin Hs"</formula>
    </cfRule>
  </conditionalFormatting>
  <conditionalFormatting sqref="C110">
    <cfRule type="cellIs" dxfId="1657" priority="2465" stopIfTrue="1" operator="equal">
      <formula>"Towel"</formula>
    </cfRule>
    <cfRule type="cellIs" dxfId="1656" priority="2466" stopIfTrue="1" operator="equal">
      <formula>"Napkin Hs"</formula>
    </cfRule>
  </conditionalFormatting>
  <conditionalFormatting sqref="C110">
    <cfRule type="cellIs" dxfId="1655" priority="2467" stopIfTrue="1" operator="equal">
      <formula>"Towel"</formula>
    </cfRule>
    <cfRule type="cellIs" dxfId="1654" priority="2468" stopIfTrue="1" operator="equal">
      <formula>"Napkin Hs"</formula>
    </cfRule>
  </conditionalFormatting>
  <conditionalFormatting sqref="B110:C110">
    <cfRule type="cellIs" dxfId="1653" priority="2464" stopIfTrue="1" operator="equal">
      <formula>"Napkin Hs"</formula>
    </cfRule>
  </conditionalFormatting>
  <conditionalFormatting sqref="B110:C110">
    <cfRule type="cellIs" dxfId="1652" priority="2463" stopIfTrue="1" operator="equal">
      <formula>"Towel"</formula>
    </cfRule>
  </conditionalFormatting>
  <conditionalFormatting sqref="C110">
    <cfRule type="cellIs" dxfId="1651" priority="2462" stopIfTrue="1" operator="equal">
      <formula>"Napkin Hs"</formula>
    </cfRule>
  </conditionalFormatting>
  <conditionalFormatting sqref="C110">
    <cfRule type="cellIs" dxfId="1650" priority="2461" stopIfTrue="1" operator="equal">
      <formula>"Towel"</formula>
    </cfRule>
  </conditionalFormatting>
  <conditionalFormatting sqref="C110">
    <cfRule type="cellIs" dxfId="1649" priority="2459" stopIfTrue="1" operator="equal">
      <formula>"Towel"</formula>
    </cfRule>
    <cfRule type="cellIs" dxfId="1648" priority="2460" stopIfTrue="1" operator="equal">
      <formula>"Napkin Hs"</formula>
    </cfRule>
  </conditionalFormatting>
  <conditionalFormatting sqref="B110:C110">
    <cfRule type="cellIs" dxfId="1647" priority="2457" stopIfTrue="1" operator="equal">
      <formula>"Towel"</formula>
    </cfRule>
    <cfRule type="cellIs" dxfId="1646" priority="2458" stopIfTrue="1" operator="equal">
      <formula>"Napkin Hs"</formula>
    </cfRule>
  </conditionalFormatting>
  <conditionalFormatting sqref="C110">
    <cfRule type="cellIs" dxfId="1645" priority="2455" stopIfTrue="1" operator="equal">
      <formula>"Towel"</formula>
    </cfRule>
    <cfRule type="cellIs" dxfId="1644" priority="2456" stopIfTrue="1" operator="equal">
      <formula>"Napkin Hs"</formula>
    </cfRule>
  </conditionalFormatting>
  <conditionalFormatting sqref="C110">
    <cfRule type="cellIs" dxfId="1643" priority="2453" stopIfTrue="1" operator="equal">
      <formula>"Towel"</formula>
    </cfRule>
    <cfRule type="cellIs" dxfId="1642" priority="2454" stopIfTrue="1" operator="equal">
      <formula>"Napkin Hs"</formula>
    </cfRule>
  </conditionalFormatting>
  <conditionalFormatting sqref="B110:C110">
    <cfRule type="cellIs" dxfId="1641" priority="2451" stopIfTrue="1" operator="equal">
      <formula>"Towel"</formula>
    </cfRule>
    <cfRule type="cellIs" dxfId="1640" priority="2452" stopIfTrue="1" operator="equal">
      <formula>"Napkin Hs"</formula>
    </cfRule>
  </conditionalFormatting>
  <conditionalFormatting sqref="C110">
    <cfRule type="cellIs" dxfId="1639" priority="2449" stopIfTrue="1" operator="equal">
      <formula>"Towel"</formula>
    </cfRule>
    <cfRule type="cellIs" dxfId="1638" priority="2450" stopIfTrue="1" operator="equal">
      <formula>"Napkin Hs"</formula>
    </cfRule>
  </conditionalFormatting>
  <conditionalFormatting sqref="C110">
    <cfRule type="cellIs" dxfId="1637" priority="2447" stopIfTrue="1" operator="equal">
      <formula>"Towel"</formula>
    </cfRule>
    <cfRule type="cellIs" dxfId="1636" priority="2448" stopIfTrue="1" operator="equal">
      <formula>"Napkin Hs"</formula>
    </cfRule>
  </conditionalFormatting>
  <conditionalFormatting sqref="B110:C110">
    <cfRule type="cellIs" dxfId="1635" priority="2445" stopIfTrue="1" operator="equal">
      <formula>"Towel"</formula>
    </cfRule>
    <cfRule type="cellIs" dxfId="1634" priority="2446" stopIfTrue="1" operator="equal">
      <formula>"Napkin Hs"</formula>
    </cfRule>
  </conditionalFormatting>
  <conditionalFormatting sqref="C110">
    <cfRule type="cellIs" dxfId="1633" priority="2443" stopIfTrue="1" operator="equal">
      <formula>"Towel"</formula>
    </cfRule>
    <cfRule type="cellIs" dxfId="1632" priority="2444" stopIfTrue="1" operator="equal">
      <formula>"Napkin Hs"</formula>
    </cfRule>
  </conditionalFormatting>
  <conditionalFormatting sqref="C110">
    <cfRule type="cellIs" dxfId="1631" priority="2441" stopIfTrue="1" operator="equal">
      <formula>"Towel"</formula>
    </cfRule>
    <cfRule type="cellIs" dxfId="1630" priority="2442" stopIfTrue="1" operator="equal">
      <formula>"Napkin Hs"</formula>
    </cfRule>
  </conditionalFormatting>
  <conditionalFormatting sqref="B110:C110">
    <cfRule type="cellIs" dxfId="1629" priority="2439" stopIfTrue="1" operator="equal">
      <formula>"Towel"</formula>
    </cfRule>
    <cfRule type="cellIs" dxfId="1628" priority="2440" stopIfTrue="1" operator="equal">
      <formula>"Napkin Hs"</formula>
    </cfRule>
  </conditionalFormatting>
  <conditionalFormatting sqref="C110">
    <cfRule type="cellIs" dxfId="1627" priority="2437" stopIfTrue="1" operator="equal">
      <formula>"Towel"</formula>
    </cfRule>
    <cfRule type="cellIs" dxfId="1626" priority="2438" stopIfTrue="1" operator="equal">
      <formula>"Napkin Hs"</formula>
    </cfRule>
  </conditionalFormatting>
  <conditionalFormatting sqref="C110">
    <cfRule type="cellIs" dxfId="1625" priority="2435" stopIfTrue="1" operator="equal">
      <formula>"Towel"</formula>
    </cfRule>
    <cfRule type="cellIs" dxfId="1624" priority="2436" stopIfTrue="1" operator="equal">
      <formula>"Napkin Hs"</formula>
    </cfRule>
  </conditionalFormatting>
  <conditionalFormatting sqref="B110:C110">
    <cfRule type="cellIs" dxfId="1623" priority="2433" stopIfTrue="1" operator="equal">
      <formula>"Towel"</formula>
    </cfRule>
    <cfRule type="cellIs" dxfId="1622" priority="2434" stopIfTrue="1" operator="equal">
      <formula>"Napkin Hs"</formula>
    </cfRule>
  </conditionalFormatting>
  <conditionalFormatting sqref="C110">
    <cfRule type="cellIs" dxfId="1621" priority="2431" stopIfTrue="1" operator="equal">
      <formula>"Towel"</formula>
    </cfRule>
    <cfRule type="cellIs" dxfId="1620" priority="2432" stopIfTrue="1" operator="equal">
      <formula>"Napkin Hs"</formula>
    </cfRule>
  </conditionalFormatting>
  <conditionalFormatting sqref="C110">
    <cfRule type="cellIs" dxfId="1619" priority="2429" stopIfTrue="1" operator="equal">
      <formula>"Towel"</formula>
    </cfRule>
    <cfRule type="cellIs" dxfId="1618" priority="2430" stopIfTrue="1" operator="equal">
      <formula>"Napkin Hs"</formula>
    </cfRule>
  </conditionalFormatting>
  <conditionalFormatting sqref="B110:C110">
    <cfRule type="cellIs" dxfId="1617" priority="2428" stopIfTrue="1" operator="equal">
      <formula>"Napkin Hs"</formula>
    </cfRule>
  </conditionalFormatting>
  <conditionalFormatting sqref="B110:C110">
    <cfRule type="cellIs" dxfId="1616" priority="2427" stopIfTrue="1" operator="equal">
      <formula>"Towel"</formula>
    </cfRule>
  </conditionalFormatting>
  <conditionalFormatting sqref="C110">
    <cfRule type="cellIs" dxfId="1615" priority="2426" stopIfTrue="1" operator="equal">
      <formula>"Napkin Hs"</formula>
    </cfRule>
  </conditionalFormatting>
  <conditionalFormatting sqref="C110">
    <cfRule type="cellIs" dxfId="1614" priority="2423" stopIfTrue="1" operator="equal">
      <formula>"Towel"</formula>
    </cfRule>
    <cfRule type="cellIs" dxfId="1613" priority="2424" stopIfTrue="1" operator="equal">
      <formula>"Napkin Hs"</formula>
    </cfRule>
  </conditionalFormatting>
  <conditionalFormatting sqref="C110">
    <cfRule type="cellIs" dxfId="1612" priority="2425" stopIfTrue="1" operator="equal">
      <formula>"Towel"</formula>
    </cfRule>
  </conditionalFormatting>
  <conditionalFormatting sqref="B110:C110">
    <cfRule type="cellIs" dxfId="1611" priority="2422" stopIfTrue="1" operator="equal">
      <formula>"Napkin Hs"</formula>
    </cfRule>
  </conditionalFormatting>
  <conditionalFormatting sqref="B110:C110">
    <cfRule type="cellIs" dxfId="1610" priority="2421" stopIfTrue="1" operator="equal">
      <formula>"Towel"</formula>
    </cfRule>
  </conditionalFormatting>
  <conditionalFormatting sqref="C110">
    <cfRule type="cellIs" dxfId="1609" priority="2420" stopIfTrue="1" operator="equal">
      <formula>"Napkin Hs"</formula>
    </cfRule>
  </conditionalFormatting>
  <conditionalFormatting sqref="C110">
    <cfRule type="cellIs" dxfId="1608" priority="2417" stopIfTrue="1" operator="equal">
      <formula>"Towel"</formula>
    </cfRule>
    <cfRule type="cellIs" dxfId="1607" priority="2418" stopIfTrue="1" operator="equal">
      <formula>"Napkin Hs"</formula>
    </cfRule>
  </conditionalFormatting>
  <conditionalFormatting sqref="C110">
    <cfRule type="cellIs" dxfId="1606" priority="2419" stopIfTrue="1" operator="equal">
      <formula>"Towel"</formula>
    </cfRule>
  </conditionalFormatting>
  <conditionalFormatting sqref="B110:C110">
    <cfRule type="cellIs" dxfId="1605" priority="2416" stopIfTrue="1" operator="equal">
      <formula>"Napkin Hs"</formula>
    </cfRule>
  </conditionalFormatting>
  <conditionalFormatting sqref="B110:C110">
    <cfRule type="cellIs" dxfId="1604" priority="2415" stopIfTrue="1" operator="equal">
      <formula>"Towel"</formula>
    </cfRule>
  </conditionalFormatting>
  <conditionalFormatting sqref="C110">
    <cfRule type="cellIs" dxfId="1603" priority="2414" stopIfTrue="1" operator="equal">
      <formula>"Napkin Hs"</formula>
    </cfRule>
  </conditionalFormatting>
  <conditionalFormatting sqref="C110">
    <cfRule type="cellIs" dxfId="1602" priority="2411" stopIfTrue="1" operator="equal">
      <formula>"Towel"</formula>
    </cfRule>
    <cfRule type="cellIs" dxfId="1601" priority="2412" stopIfTrue="1" operator="equal">
      <formula>"Napkin Hs"</formula>
    </cfRule>
  </conditionalFormatting>
  <conditionalFormatting sqref="C110">
    <cfRule type="cellIs" dxfId="1600" priority="2413" stopIfTrue="1" operator="equal">
      <formula>"Towel"</formula>
    </cfRule>
  </conditionalFormatting>
  <conditionalFormatting sqref="B109:C109">
    <cfRule type="cellIs" dxfId="1599" priority="2409" stopIfTrue="1" operator="equal">
      <formula>"Towel"</formula>
    </cfRule>
    <cfRule type="cellIs" dxfId="1598" priority="2410" stopIfTrue="1" operator="equal">
      <formula>"Napkin Hs"</formula>
    </cfRule>
  </conditionalFormatting>
  <conditionalFormatting sqref="C109">
    <cfRule type="cellIs" dxfId="1597" priority="2407" stopIfTrue="1" operator="equal">
      <formula>"Towel"</formula>
    </cfRule>
    <cfRule type="cellIs" dxfId="1596" priority="2408" stopIfTrue="1" operator="equal">
      <formula>"Napkin Hs"</formula>
    </cfRule>
  </conditionalFormatting>
  <conditionalFormatting sqref="C109">
    <cfRule type="cellIs" dxfId="1595" priority="2405" stopIfTrue="1" operator="equal">
      <formula>"Towel"</formula>
    </cfRule>
    <cfRule type="cellIs" dxfId="1594" priority="2406" stopIfTrue="1" operator="equal">
      <formula>"Napkin Hs"</formula>
    </cfRule>
  </conditionalFormatting>
  <conditionalFormatting sqref="B109:C109">
    <cfRule type="cellIs" dxfId="1593" priority="2404" stopIfTrue="1" operator="equal">
      <formula>"Napkin Hs"</formula>
    </cfRule>
  </conditionalFormatting>
  <conditionalFormatting sqref="B109:C109">
    <cfRule type="cellIs" dxfId="1592" priority="2403" stopIfTrue="1" operator="equal">
      <formula>"Towel"</formula>
    </cfRule>
  </conditionalFormatting>
  <conditionalFormatting sqref="C109">
    <cfRule type="cellIs" dxfId="1591" priority="2402" stopIfTrue="1" operator="equal">
      <formula>"Napkin Hs"</formula>
    </cfRule>
  </conditionalFormatting>
  <conditionalFormatting sqref="C109">
    <cfRule type="cellIs" dxfId="1590" priority="2401" stopIfTrue="1" operator="equal">
      <formula>"Towel"</formula>
    </cfRule>
  </conditionalFormatting>
  <conditionalFormatting sqref="C109">
    <cfRule type="cellIs" dxfId="1589" priority="2399" stopIfTrue="1" operator="equal">
      <formula>"Towel"</formula>
    </cfRule>
    <cfRule type="cellIs" dxfId="1588" priority="2400" stopIfTrue="1" operator="equal">
      <formula>"Napkin Hs"</formula>
    </cfRule>
  </conditionalFormatting>
  <conditionalFormatting sqref="B109:C109">
    <cfRule type="cellIs" dxfId="1587" priority="2397" stopIfTrue="1" operator="equal">
      <formula>"Towel"</formula>
    </cfRule>
    <cfRule type="cellIs" dxfId="1586" priority="2398" stopIfTrue="1" operator="equal">
      <formula>"Napkin Hs"</formula>
    </cfRule>
  </conditionalFormatting>
  <conditionalFormatting sqref="C109">
    <cfRule type="cellIs" dxfId="1585" priority="2393" stopIfTrue="1" operator="equal">
      <formula>"Towel"</formula>
    </cfRule>
    <cfRule type="cellIs" dxfId="1584" priority="2394" stopIfTrue="1" operator="equal">
      <formula>"Napkin Hs"</formula>
    </cfRule>
  </conditionalFormatting>
  <conditionalFormatting sqref="C109">
    <cfRule type="cellIs" dxfId="1583" priority="2395" stopIfTrue="1" operator="equal">
      <formula>"Towel"</formula>
    </cfRule>
    <cfRule type="cellIs" dxfId="1582" priority="2396" stopIfTrue="1" operator="equal">
      <formula>"Napkin Hs"</formula>
    </cfRule>
  </conditionalFormatting>
  <conditionalFormatting sqref="B109:C109">
    <cfRule type="cellIs" dxfId="1581" priority="2392" stopIfTrue="1" operator="equal">
      <formula>"Napkin Hs"</formula>
    </cfRule>
  </conditionalFormatting>
  <conditionalFormatting sqref="B109:C109">
    <cfRule type="cellIs" dxfId="1580" priority="2391" stopIfTrue="1" operator="equal">
      <formula>"Towel"</formula>
    </cfRule>
  </conditionalFormatting>
  <conditionalFormatting sqref="C109">
    <cfRule type="cellIs" dxfId="1579" priority="2390" stopIfTrue="1" operator="equal">
      <formula>"Napkin Hs"</formula>
    </cfRule>
  </conditionalFormatting>
  <conditionalFormatting sqref="C109">
    <cfRule type="cellIs" dxfId="1578" priority="2389" stopIfTrue="1" operator="equal">
      <formula>"Towel"</formula>
    </cfRule>
  </conditionalFormatting>
  <conditionalFormatting sqref="C109">
    <cfRule type="cellIs" dxfId="1577" priority="2387" stopIfTrue="1" operator="equal">
      <formula>"Towel"</formula>
    </cfRule>
    <cfRule type="cellIs" dxfId="1576" priority="2388" stopIfTrue="1" operator="equal">
      <formula>"Napkin Hs"</formula>
    </cfRule>
  </conditionalFormatting>
  <conditionalFormatting sqref="B109:C109">
    <cfRule type="cellIs" dxfId="1575" priority="2385" stopIfTrue="1" operator="equal">
      <formula>"Towel"</formula>
    </cfRule>
    <cfRule type="cellIs" dxfId="1574" priority="2386" stopIfTrue="1" operator="equal">
      <formula>"Napkin Hs"</formula>
    </cfRule>
  </conditionalFormatting>
  <conditionalFormatting sqref="C109">
    <cfRule type="cellIs" dxfId="1573" priority="2383" stopIfTrue="1" operator="equal">
      <formula>"Towel"</formula>
    </cfRule>
    <cfRule type="cellIs" dxfId="1572" priority="2384" stopIfTrue="1" operator="equal">
      <formula>"Napkin Hs"</formula>
    </cfRule>
  </conditionalFormatting>
  <conditionalFormatting sqref="C109">
    <cfRule type="cellIs" dxfId="1571" priority="2381" stopIfTrue="1" operator="equal">
      <formula>"Towel"</formula>
    </cfRule>
    <cfRule type="cellIs" dxfId="1570" priority="2382" stopIfTrue="1" operator="equal">
      <formula>"Napkin Hs"</formula>
    </cfRule>
  </conditionalFormatting>
  <conditionalFormatting sqref="B109:C109">
    <cfRule type="cellIs" dxfId="1569" priority="2379" stopIfTrue="1" operator="equal">
      <formula>"Towel"</formula>
    </cfRule>
    <cfRule type="cellIs" dxfId="1568" priority="2380" stopIfTrue="1" operator="equal">
      <formula>"Napkin Hs"</formula>
    </cfRule>
  </conditionalFormatting>
  <conditionalFormatting sqref="C109">
    <cfRule type="cellIs" dxfId="1567" priority="2377" stopIfTrue="1" operator="equal">
      <formula>"Towel"</formula>
    </cfRule>
    <cfRule type="cellIs" dxfId="1566" priority="2378" stopIfTrue="1" operator="equal">
      <formula>"Napkin Hs"</formula>
    </cfRule>
  </conditionalFormatting>
  <conditionalFormatting sqref="C109">
    <cfRule type="cellIs" dxfId="1565" priority="2375" stopIfTrue="1" operator="equal">
      <formula>"Towel"</formula>
    </cfRule>
    <cfRule type="cellIs" dxfId="1564" priority="2376" stopIfTrue="1" operator="equal">
      <formula>"Napkin Hs"</formula>
    </cfRule>
  </conditionalFormatting>
  <conditionalFormatting sqref="B109:C109">
    <cfRule type="cellIs" dxfId="1563" priority="2373" stopIfTrue="1" operator="equal">
      <formula>"Towel"</formula>
    </cfRule>
    <cfRule type="cellIs" dxfId="1562" priority="2374" stopIfTrue="1" operator="equal">
      <formula>"Napkin Hs"</formula>
    </cfRule>
  </conditionalFormatting>
  <conditionalFormatting sqref="C109">
    <cfRule type="cellIs" dxfId="1561" priority="2371" stopIfTrue="1" operator="equal">
      <formula>"Towel"</formula>
    </cfRule>
    <cfRule type="cellIs" dxfId="1560" priority="2372" stopIfTrue="1" operator="equal">
      <formula>"Napkin Hs"</formula>
    </cfRule>
  </conditionalFormatting>
  <conditionalFormatting sqref="C109">
    <cfRule type="cellIs" dxfId="1559" priority="2369" stopIfTrue="1" operator="equal">
      <formula>"Towel"</formula>
    </cfRule>
    <cfRule type="cellIs" dxfId="1558" priority="2370" stopIfTrue="1" operator="equal">
      <formula>"Napkin Hs"</formula>
    </cfRule>
  </conditionalFormatting>
  <conditionalFormatting sqref="B109:C109">
    <cfRule type="cellIs" dxfId="1557" priority="2367" stopIfTrue="1" operator="equal">
      <formula>"Towel"</formula>
    </cfRule>
    <cfRule type="cellIs" dxfId="1556" priority="2368" stopIfTrue="1" operator="equal">
      <formula>"Napkin Hs"</formula>
    </cfRule>
  </conditionalFormatting>
  <conditionalFormatting sqref="C109">
    <cfRule type="cellIs" dxfId="1555" priority="2365" stopIfTrue="1" operator="equal">
      <formula>"Towel"</formula>
    </cfRule>
    <cfRule type="cellIs" dxfId="1554" priority="2366" stopIfTrue="1" operator="equal">
      <formula>"Napkin Hs"</formula>
    </cfRule>
  </conditionalFormatting>
  <conditionalFormatting sqref="C109">
    <cfRule type="cellIs" dxfId="1553" priority="2363" stopIfTrue="1" operator="equal">
      <formula>"Towel"</formula>
    </cfRule>
    <cfRule type="cellIs" dxfId="1552" priority="2364" stopIfTrue="1" operator="equal">
      <formula>"Napkin Hs"</formula>
    </cfRule>
  </conditionalFormatting>
  <conditionalFormatting sqref="B109:C109">
    <cfRule type="cellIs" dxfId="1551" priority="2361" stopIfTrue="1" operator="equal">
      <formula>"Towel"</formula>
    </cfRule>
    <cfRule type="cellIs" dxfId="1550" priority="2362" stopIfTrue="1" operator="equal">
      <formula>"Napkin Hs"</formula>
    </cfRule>
  </conditionalFormatting>
  <conditionalFormatting sqref="C109">
    <cfRule type="cellIs" dxfId="1549" priority="2359" stopIfTrue="1" operator="equal">
      <formula>"Towel"</formula>
    </cfRule>
    <cfRule type="cellIs" dxfId="1548" priority="2360" stopIfTrue="1" operator="equal">
      <formula>"Napkin Hs"</formula>
    </cfRule>
  </conditionalFormatting>
  <conditionalFormatting sqref="C109">
    <cfRule type="cellIs" dxfId="1547" priority="2357" stopIfTrue="1" operator="equal">
      <formula>"Towel"</formula>
    </cfRule>
    <cfRule type="cellIs" dxfId="1546" priority="2358" stopIfTrue="1" operator="equal">
      <formula>"Napkin Hs"</formula>
    </cfRule>
  </conditionalFormatting>
  <conditionalFormatting sqref="B109:C109">
    <cfRule type="cellIs" dxfId="1545" priority="2356" stopIfTrue="1" operator="equal">
      <formula>"Napkin Hs"</formula>
    </cfRule>
  </conditionalFormatting>
  <conditionalFormatting sqref="B109:C109">
    <cfRule type="cellIs" dxfId="1544" priority="2355" stopIfTrue="1" operator="equal">
      <formula>"Towel"</formula>
    </cfRule>
  </conditionalFormatting>
  <conditionalFormatting sqref="C109">
    <cfRule type="cellIs" dxfId="1543" priority="2354" stopIfTrue="1" operator="equal">
      <formula>"Napkin Hs"</formula>
    </cfRule>
  </conditionalFormatting>
  <conditionalFormatting sqref="C109">
    <cfRule type="cellIs" dxfId="1542" priority="2351" stopIfTrue="1" operator="equal">
      <formula>"Towel"</formula>
    </cfRule>
    <cfRule type="cellIs" dxfId="1541" priority="2352" stopIfTrue="1" operator="equal">
      <formula>"Napkin Hs"</formula>
    </cfRule>
  </conditionalFormatting>
  <conditionalFormatting sqref="C109">
    <cfRule type="cellIs" dxfId="1540" priority="2353" stopIfTrue="1" operator="equal">
      <formula>"Towel"</formula>
    </cfRule>
  </conditionalFormatting>
  <conditionalFormatting sqref="B109:C109">
    <cfRule type="cellIs" dxfId="1539" priority="2350" stopIfTrue="1" operator="equal">
      <formula>"Napkin Hs"</formula>
    </cfRule>
  </conditionalFormatting>
  <conditionalFormatting sqref="B109:C109">
    <cfRule type="cellIs" dxfId="1538" priority="2349" stopIfTrue="1" operator="equal">
      <formula>"Towel"</formula>
    </cfRule>
  </conditionalFormatting>
  <conditionalFormatting sqref="C109">
    <cfRule type="cellIs" dxfId="1537" priority="2348" stopIfTrue="1" operator="equal">
      <formula>"Napkin Hs"</formula>
    </cfRule>
  </conditionalFormatting>
  <conditionalFormatting sqref="C109">
    <cfRule type="cellIs" dxfId="1536" priority="2347" stopIfTrue="1" operator="equal">
      <formula>"Towel"</formula>
    </cfRule>
  </conditionalFormatting>
  <conditionalFormatting sqref="C109">
    <cfRule type="cellIs" dxfId="1535" priority="2345" stopIfTrue="1" operator="equal">
      <formula>"Towel"</formula>
    </cfRule>
    <cfRule type="cellIs" dxfId="1534" priority="2346" stopIfTrue="1" operator="equal">
      <formula>"Napkin Hs"</formula>
    </cfRule>
  </conditionalFormatting>
  <conditionalFormatting sqref="B109:C109">
    <cfRule type="cellIs" dxfId="1533" priority="2343" stopIfTrue="1" operator="equal">
      <formula>"Towel"</formula>
    </cfRule>
    <cfRule type="cellIs" dxfId="1532" priority="2344" stopIfTrue="1" operator="equal">
      <formula>"Napkin Hs"</formula>
    </cfRule>
  </conditionalFormatting>
  <conditionalFormatting sqref="C109">
    <cfRule type="cellIs" dxfId="1531" priority="2339" stopIfTrue="1" operator="equal">
      <formula>"Towel"</formula>
    </cfRule>
    <cfRule type="cellIs" dxfId="1530" priority="2340" stopIfTrue="1" operator="equal">
      <formula>"Napkin Hs"</formula>
    </cfRule>
  </conditionalFormatting>
  <conditionalFormatting sqref="C109">
    <cfRule type="cellIs" dxfId="1529" priority="2341" stopIfTrue="1" operator="equal">
      <formula>"Towel"</formula>
    </cfRule>
    <cfRule type="cellIs" dxfId="1528" priority="2342" stopIfTrue="1" operator="equal">
      <formula>"Napkin Hs"</formula>
    </cfRule>
  </conditionalFormatting>
  <conditionalFormatting sqref="B109:C109">
    <cfRule type="cellIs" dxfId="1527" priority="2338" stopIfTrue="1" operator="equal">
      <formula>"Napkin Hs"</formula>
    </cfRule>
  </conditionalFormatting>
  <conditionalFormatting sqref="B109:C109">
    <cfRule type="cellIs" dxfId="1526" priority="2337" stopIfTrue="1" operator="equal">
      <formula>"Towel"</formula>
    </cfRule>
  </conditionalFormatting>
  <conditionalFormatting sqref="C109">
    <cfRule type="cellIs" dxfId="1525" priority="2336" stopIfTrue="1" operator="equal">
      <formula>"Napkin Hs"</formula>
    </cfRule>
  </conditionalFormatting>
  <conditionalFormatting sqref="C109">
    <cfRule type="cellIs" dxfId="1524" priority="2335" stopIfTrue="1" operator="equal">
      <formula>"Towel"</formula>
    </cfRule>
  </conditionalFormatting>
  <conditionalFormatting sqref="C109">
    <cfRule type="cellIs" dxfId="1523" priority="2333" stopIfTrue="1" operator="equal">
      <formula>"Towel"</formula>
    </cfRule>
    <cfRule type="cellIs" dxfId="1522" priority="2334" stopIfTrue="1" operator="equal">
      <formula>"Napkin Hs"</formula>
    </cfRule>
  </conditionalFormatting>
  <conditionalFormatting sqref="B109:C109">
    <cfRule type="cellIs" dxfId="1521" priority="2331" stopIfTrue="1" operator="equal">
      <formula>"Towel"</formula>
    </cfRule>
    <cfRule type="cellIs" dxfId="1520" priority="2332" stopIfTrue="1" operator="equal">
      <formula>"Napkin Hs"</formula>
    </cfRule>
  </conditionalFormatting>
  <conditionalFormatting sqref="C109">
    <cfRule type="cellIs" dxfId="1519" priority="2329" stopIfTrue="1" operator="equal">
      <formula>"Towel"</formula>
    </cfRule>
    <cfRule type="cellIs" dxfId="1518" priority="2330" stopIfTrue="1" operator="equal">
      <formula>"Napkin Hs"</formula>
    </cfRule>
  </conditionalFormatting>
  <conditionalFormatting sqref="C109">
    <cfRule type="cellIs" dxfId="1517" priority="2327" stopIfTrue="1" operator="equal">
      <formula>"Towel"</formula>
    </cfRule>
    <cfRule type="cellIs" dxfId="1516" priority="2328" stopIfTrue="1" operator="equal">
      <formula>"Napkin Hs"</formula>
    </cfRule>
  </conditionalFormatting>
  <conditionalFormatting sqref="B109:C109">
    <cfRule type="cellIs" dxfId="1515" priority="2325" stopIfTrue="1" operator="equal">
      <formula>"Towel"</formula>
    </cfRule>
    <cfRule type="cellIs" dxfId="1514" priority="2326" stopIfTrue="1" operator="equal">
      <formula>"Napkin Hs"</formula>
    </cfRule>
  </conditionalFormatting>
  <conditionalFormatting sqref="C109">
    <cfRule type="cellIs" dxfId="1513" priority="2323" stopIfTrue="1" operator="equal">
      <formula>"Towel"</formula>
    </cfRule>
    <cfRule type="cellIs" dxfId="1512" priority="2324" stopIfTrue="1" operator="equal">
      <formula>"Napkin Hs"</formula>
    </cfRule>
  </conditionalFormatting>
  <conditionalFormatting sqref="C109">
    <cfRule type="cellIs" dxfId="1511" priority="2321" stopIfTrue="1" operator="equal">
      <formula>"Towel"</formula>
    </cfRule>
    <cfRule type="cellIs" dxfId="1510" priority="2322" stopIfTrue="1" operator="equal">
      <formula>"Napkin Hs"</formula>
    </cfRule>
  </conditionalFormatting>
  <conditionalFormatting sqref="B109:C109">
    <cfRule type="cellIs" dxfId="1509" priority="2319" stopIfTrue="1" operator="equal">
      <formula>"Towel"</formula>
    </cfRule>
    <cfRule type="cellIs" dxfId="1508" priority="2320" stopIfTrue="1" operator="equal">
      <formula>"Napkin Hs"</formula>
    </cfRule>
  </conditionalFormatting>
  <conditionalFormatting sqref="C109">
    <cfRule type="cellIs" dxfId="1507" priority="2317" stopIfTrue="1" operator="equal">
      <formula>"Towel"</formula>
    </cfRule>
    <cfRule type="cellIs" dxfId="1506" priority="2318" stopIfTrue="1" operator="equal">
      <formula>"Napkin Hs"</formula>
    </cfRule>
  </conditionalFormatting>
  <conditionalFormatting sqref="C109">
    <cfRule type="cellIs" dxfId="1505" priority="2315" stopIfTrue="1" operator="equal">
      <formula>"Towel"</formula>
    </cfRule>
    <cfRule type="cellIs" dxfId="1504" priority="2316" stopIfTrue="1" operator="equal">
      <formula>"Napkin Hs"</formula>
    </cfRule>
  </conditionalFormatting>
  <conditionalFormatting sqref="B109:C109">
    <cfRule type="cellIs" dxfId="1503" priority="2313" stopIfTrue="1" operator="equal">
      <formula>"Towel"</formula>
    </cfRule>
    <cfRule type="cellIs" dxfId="1502" priority="2314" stopIfTrue="1" operator="equal">
      <formula>"Napkin Hs"</formula>
    </cfRule>
  </conditionalFormatting>
  <conditionalFormatting sqref="C109">
    <cfRule type="cellIs" dxfId="1501" priority="2311" stopIfTrue="1" operator="equal">
      <formula>"Towel"</formula>
    </cfRule>
    <cfRule type="cellIs" dxfId="1500" priority="2312" stopIfTrue="1" operator="equal">
      <formula>"Napkin Hs"</formula>
    </cfRule>
  </conditionalFormatting>
  <conditionalFormatting sqref="C109">
    <cfRule type="cellIs" dxfId="1499" priority="2309" stopIfTrue="1" operator="equal">
      <formula>"Towel"</formula>
    </cfRule>
    <cfRule type="cellIs" dxfId="1498" priority="2310" stopIfTrue="1" operator="equal">
      <formula>"Napkin Hs"</formula>
    </cfRule>
  </conditionalFormatting>
  <conditionalFormatting sqref="B109:C109">
    <cfRule type="cellIs" dxfId="1497" priority="2307" stopIfTrue="1" operator="equal">
      <formula>"Towel"</formula>
    </cfRule>
    <cfRule type="cellIs" dxfId="1496" priority="2308" stopIfTrue="1" operator="equal">
      <formula>"Napkin Hs"</formula>
    </cfRule>
  </conditionalFormatting>
  <conditionalFormatting sqref="C109">
    <cfRule type="cellIs" dxfId="1495" priority="2305" stopIfTrue="1" operator="equal">
      <formula>"Towel"</formula>
    </cfRule>
    <cfRule type="cellIs" dxfId="1494" priority="2306" stopIfTrue="1" operator="equal">
      <formula>"Napkin Hs"</formula>
    </cfRule>
  </conditionalFormatting>
  <conditionalFormatting sqref="C109">
    <cfRule type="cellIs" dxfId="1493" priority="2303" stopIfTrue="1" operator="equal">
      <formula>"Towel"</formula>
    </cfRule>
    <cfRule type="cellIs" dxfId="1492" priority="2304" stopIfTrue="1" operator="equal">
      <formula>"Napkin Hs"</formula>
    </cfRule>
  </conditionalFormatting>
  <conditionalFormatting sqref="B109:C109">
    <cfRule type="cellIs" dxfId="1491" priority="2302" stopIfTrue="1" operator="equal">
      <formula>"Napkin Hs"</formula>
    </cfRule>
  </conditionalFormatting>
  <conditionalFormatting sqref="B109:C109">
    <cfRule type="cellIs" dxfId="1490" priority="2301" stopIfTrue="1" operator="equal">
      <formula>"Towel"</formula>
    </cfRule>
  </conditionalFormatting>
  <conditionalFormatting sqref="C109">
    <cfRule type="cellIs" dxfId="1489" priority="2300" stopIfTrue="1" operator="equal">
      <formula>"Napkin Hs"</formula>
    </cfRule>
  </conditionalFormatting>
  <conditionalFormatting sqref="C109">
    <cfRule type="cellIs" dxfId="1488" priority="2297" stopIfTrue="1" operator="equal">
      <formula>"Towel"</formula>
    </cfRule>
    <cfRule type="cellIs" dxfId="1487" priority="2298" stopIfTrue="1" operator="equal">
      <formula>"Napkin Hs"</formula>
    </cfRule>
  </conditionalFormatting>
  <conditionalFormatting sqref="C109">
    <cfRule type="cellIs" dxfId="1486" priority="2299" stopIfTrue="1" operator="equal">
      <formula>"Towel"</formula>
    </cfRule>
  </conditionalFormatting>
  <conditionalFormatting sqref="B109:C109">
    <cfRule type="cellIs" dxfId="1485" priority="2296" stopIfTrue="1" operator="equal">
      <formula>"Napkin Hs"</formula>
    </cfRule>
  </conditionalFormatting>
  <conditionalFormatting sqref="B109:C109">
    <cfRule type="cellIs" dxfId="1484" priority="2295" stopIfTrue="1" operator="equal">
      <formula>"Towel"</formula>
    </cfRule>
  </conditionalFormatting>
  <conditionalFormatting sqref="C109">
    <cfRule type="cellIs" dxfId="1483" priority="2294" stopIfTrue="1" operator="equal">
      <formula>"Napkin Hs"</formula>
    </cfRule>
  </conditionalFormatting>
  <conditionalFormatting sqref="C109">
    <cfRule type="cellIs" dxfId="1482" priority="2291" stopIfTrue="1" operator="equal">
      <formula>"Towel"</formula>
    </cfRule>
    <cfRule type="cellIs" dxfId="1481" priority="2292" stopIfTrue="1" operator="equal">
      <formula>"Napkin Hs"</formula>
    </cfRule>
  </conditionalFormatting>
  <conditionalFormatting sqref="C109">
    <cfRule type="cellIs" dxfId="1480" priority="2293" stopIfTrue="1" operator="equal">
      <formula>"Towel"</formula>
    </cfRule>
  </conditionalFormatting>
  <conditionalFormatting sqref="B109:C109">
    <cfRule type="cellIs" dxfId="1479" priority="2290" stopIfTrue="1" operator="equal">
      <formula>"Napkin Hs"</formula>
    </cfRule>
  </conditionalFormatting>
  <conditionalFormatting sqref="B109:C109">
    <cfRule type="cellIs" dxfId="1478" priority="2289" stopIfTrue="1" operator="equal">
      <formula>"Towel"</formula>
    </cfRule>
  </conditionalFormatting>
  <conditionalFormatting sqref="C109">
    <cfRule type="cellIs" dxfId="1477" priority="2288" stopIfTrue="1" operator="equal">
      <formula>"Napkin Hs"</formula>
    </cfRule>
  </conditionalFormatting>
  <conditionalFormatting sqref="C109">
    <cfRule type="cellIs" dxfId="1476" priority="2285" stopIfTrue="1" operator="equal">
      <formula>"Towel"</formula>
    </cfRule>
    <cfRule type="cellIs" dxfId="1475" priority="2286" stopIfTrue="1" operator="equal">
      <formula>"Napkin Hs"</formula>
    </cfRule>
  </conditionalFormatting>
  <conditionalFormatting sqref="C109">
    <cfRule type="cellIs" dxfId="1474" priority="2287" stopIfTrue="1" operator="equal">
      <formula>"Towel"</formula>
    </cfRule>
  </conditionalFormatting>
  <conditionalFormatting sqref="C114:C115">
    <cfRule type="cellIs" dxfId="1473" priority="2277" stopIfTrue="1" operator="equal">
      <formula>"Towel"</formula>
    </cfRule>
    <cfRule type="cellIs" dxfId="1472" priority="2278" stopIfTrue="1" operator="equal">
      <formula>"Napkin Hs"</formula>
    </cfRule>
  </conditionalFormatting>
  <conditionalFormatting sqref="B114:C114">
    <cfRule type="cellIs" dxfId="1471" priority="2283" stopIfTrue="1" operator="equal">
      <formula>"Towel"</formula>
    </cfRule>
    <cfRule type="cellIs" dxfId="1470" priority="2284" stopIfTrue="1" operator="equal">
      <formula>"Napkin Hs"</formula>
    </cfRule>
  </conditionalFormatting>
  <conditionalFormatting sqref="B115:C115">
    <cfRule type="cellIs" dxfId="1469" priority="2279" stopIfTrue="1" operator="equal">
      <formula>"Towel"</formula>
    </cfRule>
    <cfRule type="cellIs" dxfId="1468" priority="2280" stopIfTrue="1" operator="equal">
      <formula>"Napkin Hs"</formula>
    </cfRule>
  </conditionalFormatting>
  <conditionalFormatting sqref="C114">
    <cfRule type="cellIs" dxfId="1467" priority="2281" stopIfTrue="1" operator="equal">
      <formula>"Towel"</formula>
    </cfRule>
    <cfRule type="cellIs" dxfId="1466" priority="2282" stopIfTrue="1" operator="equal">
      <formula>"Napkin Hs"</formula>
    </cfRule>
  </conditionalFormatting>
  <conditionalFormatting sqref="C115">
    <cfRule type="cellIs" dxfId="1465" priority="2275" stopIfTrue="1" operator="equal">
      <formula>"Towel"</formula>
    </cfRule>
    <cfRule type="cellIs" dxfId="1464" priority="2276" stopIfTrue="1" operator="equal">
      <formula>"Napkin Hs"</formula>
    </cfRule>
  </conditionalFormatting>
  <conditionalFormatting sqref="B115:C115">
    <cfRule type="cellIs" dxfId="1463" priority="2267" stopIfTrue="1" operator="equal">
      <formula>"Towel"</formula>
    </cfRule>
    <cfRule type="cellIs" dxfId="1462" priority="2268" stopIfTrue="1" operator="equal">
      <formula>"Napkin Hs"</formula>
    </cfRule>
  </conditionalFormatting>
  <conditionalFormatting sqref="C115">
    <cfRule type="cellIs" dxfId="1461" priority="2265" stopIfTrue="1" operator="equal">
      <formula>"Towel"</formula>
    </cfRule>
    <cfRule type="cellIs" dxfId="1460" priority="2266" stopIfTrue="1" operator="equal">
      <formula>"Napkin Hs"</formula>
    </cfRule>
  </conditionalFormatting>
  <conditionalFormatting sqref="C115">
    <cfRule type="cellIs" dxfId="1459" priority="2263" stopIfTrue="1" operator="equal">
      <formula>"Towel"</formula>
    </cfRule>
    <cfRule type="cellIs" dxfId="1458" priority="2264" stopIfTrue="1" operator="equal">
      <formula>"Napkin Hs"</formula>
    </cfRule>
  </conditionalFormatting>
  <conditionalFormatting sqref="B114:C114">
    <cfRule type="cellIs" dxfId="1457" priority="2262" stopIfTrue="1" operator="equal">
      <formula>"Napkin Hs"</formula>
    </cfRule>
  </conditionalFormatting>
  <conditionalFormatting sqref="B114:C114">
    <cfRule type="cellIs" dxfId="1456" priority="2261" stopIfTrue="1" operator="equal">
      <formula>"Towel"</formula>
    </cfRule>
  </conditionalFormatting>
  <conditionalFormatting sqref="C114">
    <cfRule type="cellIs" dxfId="1455" priority="2260" stopIfTrue="1" operator="equal">
      <formula>"Napkin Hs"</formula>
    </cfRule>
  </conditionalFormatting>
  <conditionalFormatting sqref="C114">
    <cfRule type="cellIs" dxfId="1454" priority="2259" stopIfTrue="1" operator="equal">
      <formula>"Towel"</formula>
    </cfRule>
  </conditionalFormatting>
  <conditionalFormatting sqref="C114">
    <cfRule type="cellIs" dxfId="1453" priority="2257" stopIfTrue="1" operator="equal">
      <formula>"Towel"</formula>
    </cfRule>
    <cfRule type="cellIs" dxfId="1452" priority="2258" stopIfTrue="1" operator="equal">
      <formula>"Napkin Hs"</formula>
    </cfRule>
  </conditionalFormatting>
  <conditionalFormatting sqref="B114:C114">
    <cfRule type="cellIs" dxfId="1451" priority="2255" stopIfTrue="1" operator="equal">
      <formula>"Towel"</formula>
    </cfRule>
    <cfRule type="cellIs" dxfId="1450" priority="2256" stopIfTrue="1" operator="equal">
      <formula>"Napkin Hs"</formula>
    </cfRule>
  </conditionalFormatting>
  <conditionalFormatting sqref="C114">
    <cfRule type="cellIs" dxfId="1449" priority="2251" stopIfTrue="1" operator="equal">
      <formula>"Towel"</formula>
    </cfRule>
    <cfRule type="cellIs" dxfId="1448" priority="2252" stopIfTrue="1" operator="equal">
      <formula>"Napkin Hs"</formula>
    </cfRule>
  </conditionalFormatting>
  <conditionalFormatting sqref="C114">
    <cfRule type="cellIs" dxfId="1447" priority="2253" stopIfTrue="1" operator="equal">
      <formula>"Towel"</formula>
    </cfRule>
    <cfRule type="cellIs" dxfId="1446" priority="2254" stopIfTrue="1" operator="equal">
      <formula>"Napkin Hs"</formula>
    </cfRule>
  </conditionalFormatting>
  <conditionalFormatting sqref="B114:C114">
    <cfRule type="cellIs" dxfId="1445" priority="2250" stopIfTrue="1" operator="equal">
      <formula>"Napkin Hs"</formula>
    </cfRule>
  </conditionalFormatting>
  <conditionalFormatting sqref="B114:C114">
    <cfRule type="cellIs" dxfId="1444" priority="2249" stopIfTrue="1" operator="equal">
      <formula>"Towel"</formula>
    </cfRule>
  </conditionalFormatting>
  <conditionalFormatting sqref="C114">
    <cfRule type="cellIs" dxfId="1443" priority="2248" stopIfTrue="1" operator="equal">
      <formula>"Napkin Hs"</formula>
    </cfRule>
  </conditionalFormatting>
  <conditionalFormatting sqref="C114">
    <cfRule type="cellIs" dxfId="1442" priority="2247" stopIfTrue="1" operator="equal">
      <formula>"Towel"</formula>
    </cfRule>
  </conditionalFormatting>
  <conditionalFormatting sqref="C114">
    <cfRule type="cellIs" dxfId="1441" priority="2245" stopIfTrue="1" operator="equal">
      <formula>"Towel"</formula>
    </cfRule>
    <cfRule type="cellIs" dxfId="1440" priority="2246" stopIfTrue="1" operator="equal">
      <formula>"Napkin Hs"</formula>
    </cfRule>
  </conditionalFormatting>
  <conditionalFormatting sqref="B114:C114">
    <cfRule type="cellIs" dxfId="1439" priority="2243" stopIfTrue="1" operator="equal">
      <formula>"Towel"</formula>
    </cfRule>
    <cfRule type="cellIs" dxfId="1438" priority="2244" stopIfTrue="1" operator="equal">
      <formula>"Napkin Hs"</formula>
    </cfRule>
  </conditionalFormatting>
  <conditionalFormatting sqref="C114">
    <cfRule type="cellIs" dxfId="1437" priority="2241" stopIfTrue="1" operator="equal">
      <formula>"Towel"</formula>
    </cfRule>
    <cfRule type="cellIs" dxfId="1436" priority="2242" stopIfTrue="1" operator="equal">
      <formula>"Napkin Hs"</formula>
    </cfRule>
  </conditionalFormatting>
  <conditionalFormatting sqref="C114">
    <cfRule type="cellIs" dxfId="1435" priority="2239" stopIfTrue="1" operator="equal">
      <formula>"Towel"</formula>
    </cfRule>
    <cfRule type="cellIs" dxfId="1434" priority="2240" stopIfTrue="1" operator="equal">
      <formula>"Napkin Hs"</formula>
    </cfRule>
  </conditionalFormatting>
  <conditionalFormatting sqref="B114:C114">
    <cfRule type="cellIs" dxfId="1433" priority="2237" stopIfTrue="1" operator="equal">
      <formula>"Towel"</formula>
    </cfRule>
    <cfRule type="cellIs" dxfId="1432" priority="2238" stopIfTrue="1" operator="equal">
      <formula>"Napkin Hs"</formula>
    </cfRule>
  </conditionalFormatting>
  <conditionalFormatting sqref="C114">
    <cfRule type="cellIs" dxfId="1431" priority="2235" stopIfTrue="1" operator="equal">
      <formula>"Towel"</formula>
    </cfRule>
    <cfRule type="cellIs" dxfId="1430" priority="2236" stopIfTrue="1" operator="equal">
      <formula>"Napkin Hs"</formula>
    </cfRule>
  </conditionalFormatting>
  <conditionalFormatting sqref="C114">
    <cfRule type="cellIs" dxfId="1429" priority="2233" stopIfTrue="1" operator="equal">
      <formula>"Towel"</formula>
    </cfRule>
    <cfRule type="cellIs" dxfId="1428" priority="2234" stopIfTrue="1" operator="equal">
      <formula>"Napkin Hs"</formula>
    </cfRule>
  </conditionalFormatting>
  <conditionalFormatting sqref="B114:C114">
    <cfRule type="cellIs" dxfId="1427" priority="2231" stopIfTrue="1" operator="equal">
      <formula>"Towel"</formula>
    </cfRule>
    <cfRule type="cellIs" dxfId="1426" priority="2232" stopIfTrue="1" operator="equal">
      <formula>"Napkin Hs"</formula>
    </cfRule>
  </conditionalFormatting>
  <conditionalFormatting sqref="C114">
    <cfRule type="cellIs" dxfId="1425" priority="2229" stopIfTrue="1" operator="equal">
      <formula>"Towel"</formula>
    </cfRule>
    <cfRule type="cellIs" dxfId="1424" priority="2230" stopIfTrue="1" operator="equal">
      <formula>"Napkin Hs"</formula>
    </cfRule>
  </conditionalFormatting>
  <conditionalFormatting sqref="C114">
    <cfRule type="cellIs" dxfId="1423" priority="2227" stopIfTrue="1" operator="equal">
      <formula>"Towel"</formula>
    </cfRule>
    <cfRule type="cellIs" dxfId="1422" priority="2228" stopIfTrue="1" operator="equal">
      <formula>"Napkin Hs"</formula>
    </cfRule>
  </conditionalFormatting>
  <conditionalFormatting sqref="B114:C114">
    <cfRule type="cellIs" dxfId="1421" priority="2225" stopIfTrue="1" operator="equal">
      <formula>"Towel"</formula>
    </cfRule>
    <cfRule type="cellIs" dxfId="1420" priority="2226" stopIfTrue="1" operator="equal">
      <formula>"Napkin Hs"</formula>
    </cfRule>
  </conditionalFormatting>
  <conditionalFormatting sqref="C114">
    <cfRule type="cellIs" dxfId="1419" priority="2223" stopIfTrue="1" operator="equal">
      <formula>"Towel"</formula>
    </cfRule>
    <cfRule type="cellIs" dxfId="1418" priority="2224" stopIfTrue="1" operator="equal">
      <formula>"Napkin Hs"</formula>
    </cfRule>
  </conditionalFormatting>
  <conditionalFormatting sqref="C114">
    <cfRule type="cellIs" dxfId="1417" priority="2221" stopIfTrue="1" operator="equal">
      <formula>"Towel"</formula>
    </cfRule>
    <cfRule type="cellIs" dxfId="1416" priority="2222" stopIfTrue="1" operator="equal">
      <formula>"Napkin Hs"</formula>
    </cfRule>
  </conditionalFormatting>
  <conditionalFormatting sqref="B114:C114">
    <cfRule type="cellIs" dxfId="1415" priority="2219" stopIfTrue="1" operator="equal">
      <formula>"Towel"</formula>
    </cfRule>
    <cfRule type="cellIs" dxfId="1414" priority="2220" stopIfTrue="1" operator="equal">
      <formula>"Napkin Hs"</formula>
    </cfRule>
  </conditionalFormatting>
  <conditionalFormatting sqref="C114">
    <cfRule type="cellIs" dxfId="1413" priority="2217" stopIfTrue="1" operator="equal">
      <formula>"Towel"</formula>
    </cfRule>
    <cfRule type="cellIs" dxfId="1412" priority="2218" stopIfTrue="1" operator="equal">
      <formula>"Napkin Hs"</formula>
    </cfRule>
  </conditionalFormatting>
  <conditionalFormatting sqref="C114">
    <cfRule type="cellIs" dxfId="1411" priority="2215" stopIfTrue="1" operator="equal">
      <formula>"Towel"</formula>
    </cfRule>
    <cfRule type="cellIs" dxfId="1410" priority="2216" stopIfTrue="1" operator="equal">
      <formula>"Napkin Hs"</formula>
    </cfRule>
  </conditionalFormatting>
  <conditionalFormatting sqref="B114:C114">
    <cfRule type="cellIs" dxfId="1409" priority="2214" stopIfTrue="1" operator="equal">
      <formula>"Napkin Hs"</formula>
    </cfRule>
  </conditionalFormatting>
  <conditionalFormatting sqref="B114:C114">
    <cfRule type="cellIs" dxfId="1408" priority="2213" stopIfTrue="1" operator="equal">
      <formula>"Towel"</formula>
    </cfRule>
  </conditionalFormatting>
  <conditionalFormatting sqref="C114">
    <cfRule type="cellIs" dxfId="1407" priority="2212" stopIfTrue="1" operator="equal">
      <formula>"Napkin Hs"</formula>
    </cfRule>
  </conditionalFormatting>
  <conditionalFormatting sqref="C114">
    <cfRule type="cellIs" dxfId="1406" priority="2209" stopIfTrue="1" operator="equal">
      <formula>"Towel"</formula>
    </cfRule>
    <cfRule type="cellIs" dxfId="1405" priority="2210" stopIfTrue="1" operator="equal">
      <formula>"Napkin Hs"</formula>
    </cfRule>
  </conditionalFormatting>
  <conditionalFormatting sqref="C114">
    <cfRule type="cellIs" dxfId="1404" priority="2211" stopIfTrue="1" operator="equal">
      <formula>"Towel"</formula>
    </cfRule>
  </conditionalFormatting>
  <conditionalFormatting sqref="B116:C116">
    <cfRule type="cellIs" dxfId="1403" priority="2142" stopIfTrue="1" operator="equal">
      <formula>"Napkin Hs"</formula>
    </cfRule>
  </conditionalFormatting>
  <conditionalFormatting sqref="B116:C116">
    <cfRule type="cellIs" dxfId="1402" priority="2141" stopIfTrue="1" operator="equal">
      <formula>"Towel"</formula>
    </cfRule>
  </conditionalFormatting>
  <conditionalFormatting sqref="C116">
    <cfRule type="cellIs" dxfId="1401" priority="2140" stopIfTrue="1" operator="equal">
      <formula>"Napkin Hs"</formula>
    </cfRule>
  </conditionalFormatting>
  <conditionalFormatting sqref="C116">
    <cfRule type="cellIs" dxfId="1400" priority="2139" stopIfTrue="1" operator="equal">
      <formula>"Towel"</formula>
    </cfRule>
  </conditionalFormatting>
  <conditionalFormatting sqref="C116">
    <cfRule type="cellIs" dxfId="1399" priority="2137" stopIfTrue="1" operator="equal">
      <formula>"Towel"</formula>
    </cfRule>
    <cfRule type="cellIs" dxfId="1398" priority="2138" stopIfTrue="1" operator="equal">
      <formula>"Napkin Hs"</formula>
    </cfRule>
  </conditionalFormatting>
  <conditionalFormatting sqref="B116:C116">
    <cfRule type="cellIs" dxfId="1397" priority="2136" stopIfTrue="1" operator="equal">
      <formula>"Napkin Hs"</formula>
    </cfRule>
  </conditionalFormatting>
  <conditionalFormatting sqref="B116:C116">
    <cfRule type="cellIs" dxfId="1396" priority="2135" stopIfTrue="1" operator="equal">
      <formula>"Towel"</formula>
    </cfRule>
  </conditionalFormatting>
  <conditionalFormatting sqref="C116">
    <cfRule type="cellIs" dxfId="1395" priority="2134" stopIfTrue="1" operator="equal">
      <formula>"Napkin Hs"</formula>
    </cfRule>
  </conditionalFormatting>
  <conditionalFormatting sqref="C116">
    <cfRule type="cellIs" dxfId="1394" priority="2133" stopIfTrue="1" operator="equal">
      <formula>"Towel"</formula>
    </cfRule>
  </conditionalFormatting>
  <conditionalFormatting sqref="C116">
    <cfRule type="cellIs" dxfId="1393" priority="2131" stopIfTrue="1" operator="equal">
      <formula>"Towel"</formula>
    </cfRule>
    <cfRule type="cellIs" dxfId="1392" priority="2132" stopIfTrue="1" operator="equal">
      <formula>"Napkin Hs"</formula>
    </cfRule>
  </conditionalFormatting>
  <conditionalFormatting sqref="B116:C116">
    <cfRule type="cellIs" dxfId="1391" priority="2129" stopIfTrue="1" operator="equal">
      <formula>"Towel"</formula>
    </cfRule>
    <cfRule type="cellIs" dxfId="1390" priority="2130" stopIfTrue="1" operator="equal">
      <formula>"Napkin Hs"</formula>
    </cfRule>
  </conditionalFormatting>
  <conditionalFormatting sqref="C116">
    <cfRule type="cellIs" dxfId="1389" priority="2125" stopIfTrue="1" operator="equal">
      <formula>"Towel"</formula>
    </cfRule>
    <cfRule type="cellIs" dxfId="1388" priority="2126" stopIfTrue="1" operator="equal">
      <formula>"Napkin Hs"</formula>
    </cfRule>
  </conditionalFormatting>
  <conditionalFormatting sqref="C116">
    <cfRule type="cellIs" dxfId="1387" priority="2127" stopIfTrue="1" operator="equal">
      <formula>"Towel"</formula>
    </cfRule>
    <cfRule type="cellIs" dxfId="1386" priority="2128" stopIfTrue="1" operator="equal">
      <formula>"Napkin Hs"</formula>
    </cfRule>
  </conditionalFormatting>
  <conditionalFormatting sqref="B116:C116">
    <cfRule type="cellIs" dxfId="1385" priority="2124" stopIfTrue="1" operator="equal">
      <formula>"Napkin Hs"</formula>
    </cfRule>
  </conditionalFormatting>
  <conditionalFormatting sqref="B116:C116">
    <cfRule type="cellIs" dxfId="1384" priority="2123" stopIfTrue="1" operator="equal">
      <formula>"Towel"</formula>
    </cfRule>
  </conditionalFormatting>
  <conditionalFormatting sqref="C116">
    <cfRule type="cellIs" dxfId="1383" priority="2122" stopIfTrue="1" operator="equal">
      <formula>"Napkin Hs"</formula>
    </cfRule>
  </conditionalFormatting>
  <conditionalFormatting sqref="C116">
    <cfRule type="cellIs" dxfId="1382" priority="2121" stopIfTrue="1" operator="equal">
      <formula>"Towel"</formula>
    </cfRule>
  </conditionalFormatting>
  <conditionalFormatting sqref="C116">
    <cfRule type="cellIs" dxfId="1381" priority="2119" stopIfTrue="1" operator="equal">
      <formula>"Towel"</formula>
    </cfRule>
    <cfRule type="cellIs" dxfId="1380" priority="2120" stopIfTrue="1" operator="equal">
      <formula>"Napkin Hs"</formula>
    </cfRule>
  </conditionalFormatting>
  <conditionalFormatting sqref="B116:C116">
    <cfRule type="cellIs" dxfId="1379" priority="2117" stopIfTrue="1" operator="equal">
      <formula>"Towel"</formula>
    </cfRule>
    <cfRule type="cellIs" dxfId="1378" priority="2118" stopIfTrue="1" operator="equal">
      <formula>"Napkin Hs"</formula>
    </cfRule>
  </conditionalFormatting>
  <conditionalFormatting sqref="C116">
    <cfRule type="cellIs" dxfId="1377" priority="2115" stopIfTrue="1" operator="equal">
      <formula>"Towel"</formula>
    </cfRule>
    <cfRule type="cellIs" dxfId="1376" priority="2116" stopIfTrue="1" operator="equal">
      <formula>"Napkin Hs"</formula>
    </cfRule>
  </conditionalFormatting>
  <conditionalFormatting sqref="C116">
    <cfRule type="cellIs" dxfId="1375" priority="2113" stopIfTrue="1" operator="equal">
      <formula>"Towel"</formula>
    </cfRule>
    <cfRule type="cellIs" dxfId="1374" priority="2114" stopIfTrue="1" operator="equal">
      <formula>"Napkin Hs"</formula>
    </cfRule>
  </conditionalFormatting>
  <conditionalFormatting sqref="B116:C116">
    <cfRule type="cellIs" dxfId="1373" priority="2111" stopIfTrue="1" operator="equal">
      <formula>"Towel"</formula>
    </cfRule>
    <cfRule type="cellIs" dxfId="1372" priority="2112" stopIfTrue="1" operator="equal">
      <formula>"Napkin Hs"</formula>
    </cfRule>
  </conditionalFormatting>
  <conditionalFormatting sqref="C116">
    <cfRule type="cellIs" dxfId="1371" priority="2109" stopIfTrue="1" operator="equal">
      <formula>"Towel"</formula>
    </cfRule>
    <cfRule type="cellIs" dxfId="1370" priority="2110" stopIfTrue="1" operator="equal">
      <formula>"Napkin Hs"</formula>
    </cfRule>
  </conditionalFormatting>
  <conditionalFormatting sqref="C116">
    <cfRule type="cellIs" dxfId="1369" priority="2107" stopIfTrue="1" operator="equal">
      <formula>"Towel"</formula>
    </cfRule>
    <cfRule type="cellIs" dxfId="1368" priority="2108" stopIfTrue="1" operator="equal">
      <formula>"Napkin Hs"</formula>
    </cfRule>
  </conditionalFormatting>
  <conditionalFormatting sqref="B116:C116">
    <cfRule type="cellIs" dxfId="1367" priority="2105" stopIfTrue="1" operator="equal">
      <formula>"Towel"</formula>
    </cfRule>
    <cfRule type="cellIs" dxfId="1366" priority="2106" stopIfTrue="1" operator="equal">
      <formula>"Napkin Hs"</formula>
    </cfRule>
  </conditionalFormatting>
  <conditionalFormatting sqref="C116">
    <cfRule type="cellIs" dxfId="1365" priority="2103" stopIfTrue="1" operator="equal">
      <formula>"Towel"</formula>
    </cfRule>
    <cfRule type="cellIs" dxfId="1364" priority="2104" stopIfTrue="1" operator="equal">
      <formula>"Napkin Hs"</formula>
    </cfRule>
  </conditionalFormatting>
  <conditionalFormatting sqref="C116">
    <cfRule type="cellIs" dxfId="1363" priority="2101" stopIfTrue="1" operator="equal">
      <formula>"Towel"</formula>
    </cfRule>
    <cfRule type="cellIs" dxfId="1362" priority="2102" stopIfTrue="1" operator="equal">
      <formula>"Napkin Hs"</formula>
    </cfRule>
  </conditionalFormatting>
  <conditionalFormatting sqref="B116:C116">
    <cfRule type="cellIs" dxfId="1361" priority="2099" stopIfTrue="1" operator="equal">
      <formula>"Towel"</formula>
    </cfRule>
    <cfRule type="cellIs" dxfId="1360" priority="2100" stopIfTrue="1" operator="equal">
      <formula>"Napkin Hs"</formula>
    </cfRule>
  </conditionalFormatting>
  <conditionalFormatting sqref="C116">
    <cfRule type="cellIs" dxfId="1359" priority="2097" stopIfTrue="1" operator="equal">
      <formula>"Towel"</formula>
    </cfRule>
    <cfRule type="cellIs" dxfId="1358" priority="2098" stopIfTrue="1" operator="equal">
      <formula>"Napkin Hs"</formula>
    </cfRule>
  </conditionalFormatting>
  <conditionalFormatting sqref="C116">
    <cfRule type="cellIs" dxfId="1357" priority="2095" stopIfTrue="1" operator="equal">
      <formula>"Towel"</formula>
    </cfRule>
    <cfRule type="cellIs" dxfId="1356" priority="2096" stopIfTrue="1" operator="equal">
      <formula>"Napkin Hs"</formula>
    </cfRule>
  </conditionalFormatting>
  <conditionalFormatting sqref="B116:C116">
    <cfRule type="cellIs" dxfId="1355" priority="2093" stopIfTrue="1" operator="equal">
      <formula>"Towel"</formula>
    </cfRule>
    <cfRule type="cellIs" dxfId="1354" priority="2094" stopIfTrue="1" operator="equal">
      <formula>"Napkin Hs"</formula>
    </cfRule>
  </conditionalFormatting>
  <conditionalFormatting sqref="C116">
    <cfRule type="cellIs" dxfId="1353" priority="2091" stopIfTrue="1" operator="equal">
      <formula>"Towel"</formula>
    </cfRule>
    <cfRule type="cellIs" dxfId="1352" priority="2092" stopIfTrue="1" operator="equal">
      <formula>"Napkin Hs"</formula>
    </cfRule>
  </conditionalFormatting>
  <conditionalFormatting sqref="C116">
    <cfRule type="cellIs" dxfId="1351" priority="2089" stopIfTrue="1" operator="equal">
      <formula>"Towel"</formula>
    </cfRule>
    <cfRule type="cellIs" dxfId="1350" priority="2090" stopIfTrue="1" operator="equal">
      <formula>"Napkin Hs"</formula>
    </cfRule>
  </conditionalFormatting>
  <conditionalFormatting sqref="B116:C116">
    <cfRule type="cellIs" dxfId="1349" priority="2088" stopIfTrue="1" operator="equal">
      <formula>"Napkin Hs"</formula>
    </cfRule>
  </conditionalFormatting>
  <conditionalFormatting sqref="B116:C116">
    <cfRule type="cellIs" dxfId="1348" priority="2087" stopIfTrue="1" operator="equal">
      <formula>"Towel"</formula>
    </cfRule>
  </conditionalFormatting>
  <conditionalFormatting sqref="C116">
    <cfRule type="cellIs" dxfId="1347" priority="2086" stopIfTrue="1" operator="equal">
      <formula>"Napkin Hs"</formula>
    </cfRule>
  </conditionalFormatting>
  <conditionalFormatting sqref="C116">
    <cfRule type="cellIs" dxfId="1346" priority="2083" stopIfTrue="1" operator="equal">
      <formula>"Towel"</formula>
    </cfRule>
    <cfRule type="cellIs" dxfId="1345" priority="2084" stopIfTrue="1" operator="equal">
      <formula>"Napkin Hs"</formula>
    </cfRule>
  </conditionalFormatting>
  <conditionalFormatting sqref="C116">
    <cfRule type="cellIs" dxfId="1344" priority="2085" stopIfTrue="1" operator="equal">
      <formula>"Towel"</formula>
    </cfRule>
  </conditionalFormatting>
  <conditionalFormatting sqref="B113:C113">
    <cfRule type="cellIs" dxfId="1343" priority="2082" stopIfTrue="1" operator="equal">
      <formula>"Napkin Hs"</formula>
    </cfRule>
  </conditionalFormatting>
  <conditionalFormatting sqref="B113:C113">
    <cfRule type="cellIs" dxfId="1342" priority="2081" stopIfTrue="1" operator="equal">
      <formula>"Towel"</formula>
    </cfRule>
  </conditionalFormatting>
  <conditionalFormatting sqref="C113">
    <cfRule type="cellIs" dxfId="1341" priority="2080" stopIfTrue="1" operator="equal">
      <formula>"Napkin Hs"</formula>
    </cfRule>
  </conditionalFormatting>
  <conditionalFormatting sqref="C113">
    <cfRule type="cellIs" dxfId="1340" priority="2079" stopIfTrue="1" operator="equal">
      <formula>"Towel"</formula>
    </cfRule>
  </conditionalFormatting>
  <conditionalFormatting sqref="C113">
    <cfRule type="cellIs" dxfId="1339" priority="2077" stopIfTrue="1" operator="equal">
      <formula>"Towel"</formula>
    </cfRule>
    <cfRule type="cellIs" dxfId="1338" priority="2078" stopIfTrue="1" operator="equal">
      <formula>"Napkin Hs"</formula>
    </cfRule>
  </conditionalFormatting>
  <conditionalFormatting sqref="B113:C113">
    <cfRule type="cellIs" dxfId="1337" priority="2075" stopIfTrue="1" operator="equal">
      <formula>"Towel"</formula>
    </cfRule>
    <cfRule type="cellIs" dxfId="1336" priority="2076" stopIfTrue="1" operator="equal">
      <formula>"Napkin Hs"</formula>
    </cfRule>
  </conditionalFormatting>
  <conditionalFormatting sqref="C113">
    <cfRule type="cellIs" dxfId="1335" priority="2071" stopIfTrue="1" operator="equal">
      <formula>"Towel"</formula>
    </cfRule>
    <cfRule type="cellIs" dxfId="1334" priority="2072" stopIfTrue="1" operator="equal">
      <formula>"Napkin Hs"</formula>
    </cfRule>
  </conditionalFormatting>
  <conditionalFormatting sqref="C113">
    <cfRule type="cellIs" dxfId="1333" priority="2073" stopIfTrue="1" operator="equal">
      <formula>"Towel"</formula>
    </cfRule>
    <cfRule type="cellIs" dxfId="1332" priority="2074" stopIfTrue="1" operator="equal">
      <formula>"Napkin Hs"</formula>
    </cfRule>
  </conditionalFormatting>
  <conditionalFormatting sqref="B113:C113">
    <cfRule type="cellIs" dxfId="1331" priority="2070" stopIfTrue="1" operator="equal">
      <formula>"Napkin Hs"</formula>
    </cfRule>
  </conditionalFormatting>
  <conditionalFormatting sqref="B113:C113">
    <cfRule type="cellIs" dxfId="1330" priority="2069" stopIfTrue="1" operator="equal">
      <formula>"Towel"</formula>
    </cfRule>
  </conditionalFormatting>
  <conditionalFormatting sqref="C113">
    <cfRule type="cellIs" dxfId="1329" priority="2068" stopIfTrue="1" operator="equal">
      <formula>"Napkin Hs"</formula>
    </cfRule>
  </conditionalFormatting>
  <conditionalFormatting sqref="C113">
    <cfRule type="cellIs" dxfId="1328" priority="2067" stopIfTrue="1" operator="equal">
      <formula>"Towel"</formula>
    </cfRule>
  </conditionalFormatting>
  <conditionalFormatting sqref="C113">
    <cfRule type="cellIs" dxfId="1327" priority="2065" stopIfTrue="1" operator="equal">
      <formula>"Towel"</formula>
    </cfRule>
    <cfRule type="cellIs" dxfId="1326" priority="2066" stopIfTrue="1" operator="equal">
      <formula>"Napkin Hs"</formula>
    </cfRule>
  </conditionalFormatting>
  <conditionalFormatting sqref="B113:C113">
    <cfRule type="cellIs" dxfId="1325" priority="2063" stopIfTrue="1" operator="equal">
      <formula>"Towel"</formula>
    </cfRule>
    <cfRule type="cellIs" dxfId="1324" priority="2064" stopIfTrue="1" operator="equal">
      <formula>"Napkin Hs"</formula>
    </cfRule>
  </conditionalFormatting>
  <conditionalFormatting sqref="C113">
    <cfRule type="cellIs" dxfId="1323" priority="2061" stopIfTrue="1" operator="equal">
      <formula>"Towel"</formula>
    </cfRule>
    <cfRule type="cellIs" dxfId="1322" priority="2062" stopIfTrue="1" operator="equal">
      <formula>"Napkin Hs"</formula>
    </cfRule>
  </conditionalFormatting>
  <conditionalFormatting sqref="C113">
    <cfRule type="cellIs" dxfId="1321" priority="2059" stopIfTrue="1" operator="equal">
      <formula>"Towel"</formula>
    </cfRule>
    <cfRule type="cellIs" dxfId="1320" priority="2060" stopIfTrue="1" operator="equal">
      <formula>"Napkin Hs"</formula>
    </cfRule>
  </conditionalFormatting>
  <conditionalFormatting sqref="B113:C113">
    <cfRule type="cellIs" dxfId="1319" priority="2057" stopIfTrue="1" operator="equal">
      <formula>"Towel"</formula>
    </cfRule>
    <cfRule type="cellIs" dxfId="1318" priority="2058" stopIfTrue="1" operator="equal">
      <formula>"Napkin Hs"</formula>
    </cfRule>
  </conditionalFormatting>
  <conditionalFormatting sqref="C113">
    <cfRule type="cellIs" dxfId="1317" priority="2055" stopIfTrue="1" operator="equal">
      <formula>"Towel"</formula>
    </cfRule>
    <cfRule type="cellIs" dxfId="1316" priority="2056" stopIfTrue="1" operator="equal">
      <formula>"Napkin Hs"</formula>
    </cfRule>
  </conditionalFormatting>
  <conditionalFormatting sqref="C113">
    <cfRule type="cellIs" dxfId="1315" priority="2053" stopIfTrue="1" operator="equal">
      <formula>"Towel"</formula>
    </cfRule>
    <cfRule type="cellIs" dxfId="1314" priority="2054" stopIfTrue="1" operator="equal">
      <formula>"Napkin Hs"</formula>
    </cfRule>
  </conditionalFormatting>
  <conditionalFormatting sqref="B113:C113">
    <cfRule type="cellIs" dxfId="1313" priority="2051" stopIfTrue="1" operator="equal">
      <formula>"Towel"</formula>
    </cfRule>
    <cfRule type="cellIs" dxfId="1312" priority="2052" stopIfTrue="1" operator="equal">
      <formula>"Napkin Hs"</formula>
    </cfRule>
  </conditionalFormatting>
  <conditionalFormatting sqref="C113">
    <cfRule type="cellIs" dxfId="1311" priority="2049" stopIfTrue="1" operator="equal">
      <formula>"Towel"</formula>
    </cfRule>
    <cfRule type="cellIs" dxfId="1310" priority="2050" stopIfTrue="1" operator="equal">
      <formula>"Napkin Hs"</formula>
    </cfRule>
  </conditionalFormatting>
  <conditionalFormatting sqref="C113">
    <cfRule type="cellIs" dxfId="1309" priority="2047" stopIfTrue="1" operator="equal">
      <formula>"Towel"</formula>
    </cfRule>
    <cfRule type="cellIs" dxfId="1308" priority="2048" stopIfTrue="1" operator="equal">
      <formula>"Napkin Hs"</formula>
    </cfRule>
  </conditionalFormatting>
  <conditionalFormatting sqref="B113:C113">
    <cfRule type="cellIs" dxfId="1307" priority="2045" stopIfTrue="1" operator="equal">
      <formula>"Towel"</formula>
    </cfRule>
    <cfRule type="cellIs" dxfId="1306" priority="2046" stopIfTrue="1" operator="equal">
      <formula>"Napkin Hs"</formula>
    </cfRule>
  </conditionalFormatting>
  <conditionalFormatting sqref="C113">
    <cfRule type="cellIs" dxfId="1305" priority="2043" stopIfTrue="1" operator="equal">
      <formula>"Towel"</formula>
    </cfRule>
    <cfRule type="cellIs" dxfId="1304" priority="2044" stopIfTrue="1" operator="equal">
      <formula>"Napkin Hs"</formula>
    </cfRule>
  </conditionalFormatting>
  <conditionalFormatting sqref="C113">
    <cfRule type="cellIs" dxfId="1303" priority="2041" stopIfTrue="1" operator="equal">
      <formula>"Towel"</formula>
    </cfRule>
    <cfRule type="cellIs" dxfId="1302" priority="2042" stopIfTrue="1" operator="equal">
      <formula>"Napkin Hs"</formula>
    </cfRule>
  </conditionalFormatting>
  <conditionalFormatting sqref="B113:C113">
    <cfRule type="cellIs" dxfId="1301" priority="2039" stopIfTrue="1" operator="equal">
      <formula>"Towel"</formula>
    </cfRule>
    <cfRule type="cellIs" dxfId="1300" priority="2040" stopIfTrue="1" operator="equal">
      <formula>"Napkin Hs"</formula>
    </cfRule>
  </conditionalFormatting>
  <conditionalFormatting sqref="C113">
    <cfRule type="cellIs" dxfId="1299" priority="2037" stopIfTrue="1" operator="equal">
      <formula>"Towel"</formula>
    </cfRule>
    <cfRule type="cellIs" dxfId="1298" priority="2038" stopIfTrue="1" operator="equal">
      <formula>"Napkin Hs"</formula>
    </cfRule>
  </conditionalFormatting>
  <conditionalFormatting sqref="C113">
    <cfRule type="cellIs" dxfId="1297" priority="2035" stopIfTrue="1" operator="equal">
      <formula>"Towel"</formula>
    </cfRule>
    <cfRule type="cellIs" dxfId="1296" priority="2036" stopIfTrue="1" operator="equal">
      <formula>"Napkin Hs"</formula>
    </cfRule>
  </conditionalFormatting>
  <conditionalFormatting sqref="B113:C113">
    <cfRule type="cellIs" dxfId="1295" priority="2034" stopIfTrue="1" operator="equal">
      <formula>"Napkin Hs"</formula>
    </cfRule>
  </conditionalFormatting>
  <conditionalFormatting sqref="B113:C113">
    <cfRule type="cellIs" dxfId="1294" priority="2033" stopIfTrue="1" operator="equal">
      <formula>"Towel"</formula>
    </cfRule>
  </conditionalFormatting>
  <conditionalFormatting sqref="C113">
    <cfRule type="cellIs" dxfId="1293" priority="2032" stopIfTrue="1" operator="equal">
      <formula>"Napkin Hs"</formula>
    </cfRule>
  </conditionalFormatting>
  <conditionalFormatting sqref="C113">
    <cfRule type="cellIs" dxfId="1292" priority="2029" stopIfTrue="1" operator="equal">
      <formula>"Towel"</formula>
    </cfRule>
    <cfRule type="cellIs" dxfId="1291" priority="2030" stopIfTrue="1" operator="equal">
      <formula>"Napkin Hs"</formula>
    </cfRule>
  </conditionalFormatting>
  <conditionalFormatting sqref="C113">
    <cfRule type="cellIs" dxfId="1290" priority="2031" stopIfTrue="1" operator="equal">
      <formula>"Towel"</formula>
    </cfRule>
  </conditionalFormatting>
  <conditionalFormatting sqref="B115:C115">
    <cfRule type="cellIs" dxfId="1289" priority="1971" stopIfTrue="1" operator="equal">
      <formula>"Towel"</formula>
    </cfRule>
    <cfRule type="cellIs" dxfId="1288" priority="1972" stopIfTrue="1" operator="equal">
      <formula>"Napkin Hs"</formula>
    </cfRule>
  </conditionalFormatting>
  <conditionalFormatting sqref="B116:C116">
    <cfRule type="cellIs" dxfId="1287" priority="1967" stopIfTrue="1" operator="equal">
      <formula>"Towel"</formula>
    </cfRule>
    <cfRule type="cellIs" dxfId="1286" priority="1968" stopIfTrue="1" operator="equal">
      <formula>"Napkin Hs"</formula>
    </cfRule>
  </conditionalFormatting>
  <conditionalFormatting sqref="C115">
    <cfRule type="cellIs" dxfId="1285" priority="1973" stopIfTrue="1" operator="equal">
      <formula>"Towel"</formula>
    </cfRule>
    <cfRule type="cellIs" dxfId="1284" priority="1974" stopIfTrue="1" operator="equal">
      <formula>"Napkin Hs"</formula>
    </cfRule>
  </conditionalFormatting>
  <conditionalFormatting sqref="C115:C116">
    <cfRule type="cellIs" dxfId="1283" priority="1969" stopIfTrue="1" operator="equal">
      <formula>"Towel"</formula>
    </cfRule>
    <cfRule type="cellIs" dxfId="1282" priority="1970" stopIfTrue="1" operator="equal">
      <formula>"Napkin Hs"</formula>
    </cfRule>
  </conditionalFormatting>
  <conditionalFormatting sqref="C116">
    <cfRule type="cellIs" dxfId="1281" priority="1965" stopIfTrue="1" operator="equal">
      <formula>"Towel"</formula>
    </cfRule>
    <cfRule type="cellIs" dxfId="1280" priority="1966" stopIfTrue="1" operator="equal">
      <formula>"Napkin Hs"</formula>
    </cfRule>
  </conditionalFormatting>
  <conditionalFormatting sqref="B115:C116">
    <cfRule type="cellIs" dxfId="1279" priority="1964" stopIfTrue="1" operator="equal">
      <formula>"Napkin Hs"</formula>
    </cfRule>
  </conditionalFormatting>
  <conditionalFormatting sqref="B115:C116">
    <cfRule type="cellIs" dxfId="1278" priority="1963" stopIfTrue="1" operator="equal">
      <formula>"Towel"</formula>
    </cfRule>
  </conditionalFormatting>
  <conditionalFormatting sqref="C115:C116">
    <cfRule type="cellIs" dxfId="1277" priority="1962" stopIfTrue="1" operator="equal">
      <formula>"Napkin Hs"</formula>
    </cfRule>
  </conditionalFormatting>
  <conditionalFormatting sqref="C115:C116">
    <cfRule type="cellIs" dxfId="1276" priority="1961" stopIfTrue="1" operator="equal">
      <formula>"Towel"</formula>
    </cfRule>
  </conditionalFormatting>
  <conditionalFormatting sqref="C115:C116">
    <cfRule type="cellIs" dxfId="1275" priority="1959" stopIfTrue="1" operator="equal">
      <formula>"Towel"</formula>
    </cfRule>
    <cfRule type="cellIs" dxfId="1274" priority="1960" stopIfTrue="1" operator="equal">
      <formula>"Napkin Hs"</formula>
    </cfRule>
  </conditionalFormatting>
  <conditionalFormatting sqref="B115:C115">
    <cfRule type="cellIs" dxfId="1273" priority="1958" stopIfTrue="1" operator="equal">
      <formula>"Napkin Hs"</formula>
    </cfRule>
  </conditionalFormatting>
  <conditionalFormatting sqref="B115:C115">
    <cfRule type="cellIs" dxfId="1272" priority="1957" stopIfTrue="1" operator="equal">
      <formula>"Towel"</formula>
    </cfRule>
  </conditionalFormatting>
  <conditionalFormatting sqref="C115">
    <cfRule type="cellIs" dxfId="1271" priority="1956" stopIfTrue="1" operator="equal">
      <formula>"Napkin Hs"</formula>
    </cfRule>
  </conditionalFormatting>
  <conditionalFormatting sqref="C115">
    <cfRule type="cellIs" dxfId="1270" priority="1955" stopIfTrue="1" operator="equal">
      <formula>"Towel"</formula>
    </cfRule>
  </conditionalFormatting>
  <conditionalFormatting sqref="C115">
    <cfRule type="cellIs" dxfId="1269" priority="1953" stopIfTrue="1" operator="equal">
      <formula>"Towel"</formula>
    </cfRule>
    <cfRule type="cellIs" dxfId="1268" priority="1954" stopIfTrue="1" operator="equal">
      <formula>"Napkin Hs"</formula>
    </cfRule>
  </conditionalFormatting>
  <conditionalFormatting sqref="B115:C115">
    <cfRule type="cellIs" dxfId="1267" priority="1951" stopIfTrue="1" operator="equal">
      <formula>"Towel"</formula>
    </cfRule>
    <cfRule type="cellIs" dxfId="1266" priority="1952" stopIfTrue="1" operator="equal">
      <formula>"Napkin Hs"</formula>
    </cfRule>
  </conditionalFormatting>
  <conditionalFormatting sqref="C115">
    <cfRule type="cellIs" dxfId="1265" priority="1947" stopIfTrue="1" operator="equal">
      <formula>"Towel"</formula>
    </cfRule>
    <cfRule type="cellIs" dxfId="1264" priority="1948" stopIfTrue="1" operator="equal">
      <formula>"Napkin Hs"</formula>
    </cfRule>
  </conditionalFormatting>
  <conditionalFormatting sqref="C115">
    <cfRule type="cellIs" dxfId="1263" priority="1949" stopIfTrue="1" operator="equal">
      <formula>"Towel"</formula>
    </cfRule>
    <cfRule type="cellIs" dxfId="1262" priority="1950" stopIfTrue="1" operator="equal">
      <formula>"Napkin Hs"</formula>
    </cfRule>
  </conditionalFormatting>
  <conditionalFormatting sqref="B115:C115">
    <cfRule type="cellIs" dxfId="1261" priority="1946" stopIfTrue="1" operator="equal">
      <formula>"Napkin Hs"</formula>
    </cfRule>
  </conditionalFormatting>
  <conditionalFormatting sqref="B115:C115">
    <cfRule type="cellIs" dxfId="1260" priority="1945" stopIfTrue="1" operator="equal">
      <formula>"Towel"</formula>
    </cfRule>
  </conditionalFormatting>
  <conditionalFormatting sqref="C115">
    <cfRule type="cellIs" dxfId="1259" priority="1944" stopIfTrue="1" operator="equal">
      <formula>"Napkin Hs"</formula>
    </cfRule>
  </conditionalFormatting>
  <conditionalFormatting sqref="C115">
    <cfRule type="cellIs" dxfId="1258" priority="1943" stopIfTrue="1" operator="equal">
      <formula>"Towel"</formula>
    </cfRule>
  </conditionalFormatting>
  <conditionalFormatting sqref="C115">
    <cfRule type="cellIs" dxfId="1257" priority="1941" stopIfTrue="1" operator="equal">
      <formula>"Towel"</formula>
    </cfRule>
    <cfRule type="cellIs" dxfId="1256" priority="1942" stopIfTrue="1" operator="equal">
      <formula>"Napkin Hs"</formula>
    </cfRule>
  </conditionalFormatting>
  <conditionalFormatting sqref="B115:C115">
    <cfRule type="cellIs" dxfId="1255" priority="1939" stopIfTrue="1" operator="equal">
      <formula>"Towel"</formula>
    </cfRule>
    <cfRule type="cellIs" dxfId="1254" priority="1940" stopIfTrue="1" operator="equal">
      <formula>"Napkin Hs"</formula>
    </cfRule>
  </conditionalFormatting>
  <conditionalFormatting sqref="C115">
    <cfRule type="cellIs" dxfId="1253" priority="1937" stopIfTrue="1" operator="equal">
      <formula>"Towel"</formula>
    </cfRule>
    <cfRule type="cellIs" dxfId="1252" priority="1938" stopIfTrue="1" operator="equal">
      <formula>"Napkin Hs"</formula>
    </cfRule>
  </conditionalFormatting>
  <conditionalFormatting sqref="C115">
    <cfRule type="cellIs" dxfId="1251" priority="1935" stopIfTrue="1" operator="equal">
      <formula>"Towel"</formula>
    </cfRule>
    <cfRule type="cellIs" dxfId="1250" priority="1936" stopIfTrue="1" operator="equal">
      <formula>"Napkin Hs"</formula>
    </cfRule>
  </conditionalFormatting>
  <conditionalFormatting sqref="B115:C115">
    <cfRule type="cellIs" dxfId="1249" priority="1933" stopIfTrue="1" operator="equal">
      <formula>"Towel"</formula>
    </cfRule>
    <cfRule type="cellIs" dxfId="1248" priority="1934" stopIfTrue="1" operator="equal">
      <formula>"Napkin Hs"</formula>
    </cfRule>
  </conditionalFormatting>
  <conditionalFormatting sqref="C115">
    <cfRule type="cellIs" dxfId="1247" priority="1931" stopIfTrue="1" operator="equal">
      <formula>"Towel"</formula>
    </cfRule>
    <cfRule type="cellIs" dxfId="1246" priority="1932" stopIfTrue="1" operator="equal">
      <formula>"Napkin Hs"</formula>
    </cfRule>
  </conditionalFormatting>
  <conditionalFormatting sqref="C115">
    <cfRule type="cellIs" dxfId="1245" priority="1929" stopIfTrue="1" operator="equal">
      <formula>"Towel"</formula>
    </cfRule>
    <cfRule type="cellIs" dxfId="1244" priority="1930" stopIfTrue="1" operator="equal">
      <formula>"Napkin Hs"</formula>
    </cfRule>
  </conditionalFormatting>
  <conditionalFormatting sqref="B115:C115">
    <cfRule type="cellIs" dxfId="1243" priority="1927" stopIfTrue="1" operator="equal">
      <formula>"Towel"</formula>
    </cfRule>
    <cfRule type="cellIs" dxfId="1242" priority="1928" stopIfTrue="1" operator="equal">
      <formula>"Napkin Hs"</formula>
    </cfRule>
  </conditionalFormatting>
  <conditionalFormatting sqref="C115">
    <cfRule type="cellIs" dxfId="1241" priority="1925" stopIfTrue="1" operator="equal">
      <formula>"Towel"</formula>
    </cfRule>
    <cfRule type="cellIs" dxfId="1240" priority="1926" stopIfTrue="1" operator="equal">
      <formula>"Napkin Hs"</formula>
    </cfRule>
  </conditionalFormatting>
  <conditionalFormatting sqref="C115">
    <cfRule type="cellIs" dxfId="1239" priority="1923" stopIfTrue="1" operator="equal">
      <formula>"Towel"</formula>
    </cfRule>
    <cfRule type="cellIs" dxfId="1238" priority="1924" stopIfTrue="1" operator="equal">
      <formula>"Napkin Hs"</formula>
    </cfRule>
  </conditionalFormatting>
  <conditionalFormatting sqref="B115:C115">
    <cfRule type="cellIs" dxfId="1237" priority="1921" stopIfTrue="1" operator="equal">
      <formula>"Towel"</formula>
    </cfRule>
    <cfRule type="cellIs" dxfId="1236" priority="1922" stopIfTrue="1" operator="equal">
      <formula>"Napkin Hs"</formula>
    </cfRule>
  </conditionalFormatting>
  <conditionalFormatting sqref="C115">
    <cfRule type="cellIs" dxfId="1235" priority="1919" stopIfTrue="1" operator="equal">
      <formula>"Towel"</formula>
    </cfRule>
    <cfRule type="cellIs" dxfId="1234" priority="1920" stopIfTrue="1" operator="equal">
      <formula>"Napkin Hs"</formula>
    </cfRule>
  </conditionalFormatting>
  <conditionalFormatting sqref="C115">
    <cfRule type="cellIs" dxfId="1233" priority="1917" stopIfTrue="1" operator="equal">
      <formula>"Towel"</formula>
    </cfRule>
    <cfRule type="cellIs" dxfId="1232" priority="1918" stopIfTrue="1" operator="equal">
      <formula>"Napkin Hs"</formula>
    </cfRule>
  </conditionalFormatting>
  <conditionalFormatting sqref="B115:C115">
    <cfRule type="cellIs" dxfId="1231" priority="1915" stopIfTrue="1" operator="equal">
      <formula>"Towel"</formula>
    </cfRule>
    <cfRule type="cellIs" dxfId="1230" priority="1916" stopIfTrue="1" operator="equal">
      <formula>"Napkin Hs"</formula>
    </cfRule>
  </conditionalFormatting>
  <conditionalFormatting sqref="C115">
    <cfRule type="cellIs" dxfId="1229" priority="1913" stopIfTrue="1" operator="equal">
      <formula>"Towel"</formula>
    </cfRule>
    <cfRule type="cellIs" dxfId="1228" priority="1914" stopIfTrue="1" operator="equal">
      <formula>"Napkin Hs"</formula>
    </cfRule>
  </conditionalFormatting>
  <conditionalFormatting sqref="C115">
    <cfRule type="cellIs" dxfId="1227" priority="1911" stopIfTrue="1" operator="equal">
      <formula>"Towel"</formula>
    </cfRule>
    <cfRule type="cellIs" dxfId="1226" priority="1912" stopIfTrue="1" operator="equal">
      <formula>"Napkin Hs"</formula>
    </cfRule>
  </conditionalFormatting>
  <conditionalFormatting sqref="B115:C115">
    <cfRule type="cellIs" dxfId="1225" priority="1910" stopIfTrue="1" operator="equal">
      <formula>"Napkin Hs"</formula>
    </cfRule>
  </conditionalFormatting>
  <conditionalFormatting sqref="B115:C115">
    <cfRule type="cellIs" dxfId="1224" priority="1909" stopIfTrue="1" operator="equal">
      <formula>"Towel"</formula>
    </cfRule>
  </conditionalFormatting>
  <conditionalFormatting sqref="C115">
    <cfRule type="cellIs" dxfId="1223" priority="1908" stopIfTrue="1" operator="equal">
      <formula>"Napkin Hs"</formula>
    </cfRule>
  </conditionalFormatting>
  <conditionalFormatting sqref="C115">
    <cfRule type="cellIs" dxfId="1222" priority="1905" stopIfTrue="1" operator="equal">
      <formula>"Towel"</formula>
    </cfRule>
    <cfRule type="cellIs" dxfId="1221" priority="1906" stopIfTrue="1" operator="equal">
      <formula>"Napkin Hs"</formula>
    </cfRule>
  </conditionalFormatting>
  <conditionalFormatting sqref="C115">
    <cfRule type="cellIs" dxfId="1220" priority="1907" stopIfTrue="1" operator="equal">
      <formula>"Towel"</formula>
    </cfRule>
  </conditionalFormatting>
  <conditionalFormatting sqref="B116:C116">
    <cfRule type="cellIs" dxfId="1219" priority="1904" stopIfTrue="1" operator="equal">
      <formula>"Napkin Hs"</formula>
    </cfRule>
  </conditionalFormatting>
  <conditionalFormatting sqref="B116:C116">
    <cfRule type="cellIs" dxfId="1218" priority="1903" stopIfTrue="1" operator="equal">
      <formula>"Towel"</formula>
    </cfRule>
  </conditionalFormatting>
  <conditionalFormatting sqref="C116">
    <cfRule type="cellIs" dxfId="1217" priority="1902" stopIfTrue="1" operator="equal">
      <formula>"Napkin Hs"</formula>
    </cfRule>
  </conditionalFormatting>
  <conditionalFormatting sqref="C116">
    <cfRule type="cellIs" dxfId="1216" priority="1901" stopIfTrue="1" operator="equal">
      <formula>"Towel"</formula>
    </cfRule>
  </conditionalFormatting>
  <conditionalFormatting sqref="C116">
    <cfRule type="cellIs" dxfId="1215" priority="1899" stopIfTrue="1" operator="equal">
      <formula>"Towel"</formula>
    </cfRule>
    <cfRule type="cellIs" dxfId="1214" priority="1900" stopIfTrue="1" operator="equal">
      <formula>"Napkin Hs"</formula>
    </cfRule>
  </conditionalFormatting>
  <conditionalFormatting sqref="B116:C116">
    <cfRule type="cellIs" dxfId="1213" priority="1897" stopIfTrue="1" operator="equal">
      <formula>"Towel"</formula>
    </cfRule>
    <cfRule type="cellIs" dxfId="1212" priority="1898" stopIfTrue="1" operator="equal">
      <formula>"Napkin Hs"</formula>
    </cfRule>
  </conditionalFormatting>
  <conditionalFormatting sqref="C116">
    <cfRule type="cellIs" dxfId="1211" priority="1893" stopIfTrue="1" operator="equal">
      <formula>"Towel"</formula>
    </cfRule>
    <cfRule type="cellIs" dxfId="1210" priority="1894" stopIfTrue="1" operator="equal">
      <formula>"Napkin Hs"</formula>
    </cfRule>
  </conditionalFormatting>
  <conditionalFormatting sqref="C116">
    <cfRule type="cellIs" dxfId="1209" priority="1895" stopIfTrue="1" operator="equal">
      <formula>"Towel"</formula>
    </cfRule>
    <cfRule type="cellIs" dxfId="1208" priority="1896" stopIfTrue="1" operator="equal">
      <formula>"Napkin Hs"</formula>
    </cfRule>
  </conditionalFormatting>
  <conditionalFormatting sqref="B116:C116">
    <cfRule type="cellIs" dxfId="1207" priority="1892" stopIfTrue="1" operator="equal">
      <formula>"Napkin Hs"</formula>
    </cfRule>
  </conditionalFormatting>
  <conditionalFormatting sqref="B116:C116">
    <cfRule type="cellIs" dxfId="1206" priority="1891" stopIfTrue="1" operator="equal">
      <formula>"Towel"</formula>
    </cfRule>
  </conditionalFormatting>
  <conditionalFormatting sqref="C116">
    <cfRule type="cellIs" dxfId="1205" priority="1890" stopIfTrue="1" operator="equal">
      <formula>"Napkin Hs"</formula>
    </cfRule>
  </conditionalFormatting>
  <conditionalFormatting sqref="C116">
    <cfRule type="cellIs" dxfId="1204" priority="1889" stopIfTrue="1" operator="equal">
      <formula>"Towel"</formula>
    </cfRule>
  </conditionalFormatting>
  <conditionalFormatting sqref="C116">
    <cfRule type="cellIs" dxfId="1203" priority="1887" stopIfTrue="1" operator="equal">
      <formula>"Towel"</formula>
    </cfRule>
    <cfRule type="cellIs" dxfId="1202" priority="1888" stopIfTrue="1" operator="equal">
      <formula>"Napkin Hs"</formula>
    </cfRule>
  </conditionalFormatting>
  <conditionalFormatting sqref="B116:C116">
    <cfRule type="cellIs" dxfId="1201" priority="1885" stopIfTrue="1" operator="equal">
      <formula>"Towel"</formula>
    </cfRule>
    <cfRule type="cellIs" dxfId="1200" priority="1886" stopIfTrue="1" operator="equal">
      <formula>"Napkin Hs"</formula>
    </cfRule>
  </conditionalFormatting>
  <conditionalFormatting sqref="C116">
    <cfRule type="cellIs" dxfId="1199" priority="1883" stopIfTrue="1" operator="equal">
      <formula>"Towel"</formula>
    </cfRule>
    <cfRule type="cellIs" dxfId="1198" priority="1884" stopIfTrue="1" operator="equal">
      <formula>"Napkin Hs"</formula>
    </cfRule>
  </conditionalFormatting>
  <conditionalFormatting sqref="C116">
    <cfRule type="cellIs" dxfId="1197" priority="1881" stopIfTrue="1" operator="equal">
      <formula>"Towel"</formula>
    </cfRule>
    <cfRule type="cellIs" dxfId="1196" priority="1882" stopIfTrue="1" operator="equal">
      <formula>"Napkin Hs"</formula>
    </cfRule>
  </conditionalFormatting>
  <conditionalFormatting sqref="B116:C116">
    <cfRule type="cellIs" dxfId="1195" priority="1879" stopIfTrue="1" operator="equal">
      <formula>"Towel"</formula>
    </cfRule>
    <cfRule type="cellIs" dxfId="1194" priority="1880" stopIfTrue="1" operator="equal">
      <formula>"Napkin Hs"</formula>
    </cfRule>
  </conditionalFormatting>
  <conditionalFormatting sqref="C116">
    <cfRule type="cellIs" dxfId="1193" priority="1877" stopIfTrue="1" operator="equal">
      <formula>"Towel"</formula>
    </cfRule>
    <cfRule type="cellIs" dxfId="1192" priority="1878" stopIfTrue="1" operator="equal">
      <formula>"Napkin Hs"</formula>
    </cfRule>
  </conditionalFormatting>
  <conditionalFormatting sqref="C116">
    <cfRule type="cellIs" dxfId="1191" priority="1875" stopIfTrue="1" operator="equal">
      <formula>"Towel"</formula>
    </cfRule>
    <cfRule type="cellIs" dxfId="1190" priority="1876" stopIfTrue="1" operator="equal">
      <formula>"Napkin Hs"</formula>
    </cfRule>
  </conditionalFormatting>
  <conditionalFormatting sqref="B116:C116">
    <cfRule type="cellIs" dxfId="1189" priority="1873" stopIfTrue="1" operator="equal">
      <formula>"Towel"</formula>
    </cfRule>
    <cfRule type="cellIs" dxfId="1188" priority="1874" stopIfTrue="1" operator="equal">
      <formula>"Napkin Hs"</formula>
    </cfRule>
  </conditionalFormatting>
  <conditionalFormatting sqref="C116">
    <cfRule type="cellIs" dxfId="1187" priority="1871" stopIfTrue="1" operator="equal">
      <formula>"Towel"</formula>
    </cfRule>
    <cfRule type="cellIs" dxfId="1186" priority="1872" stopIfTrue="1" operator="equal">
      <formula>"Napkin Hs"</formula>
    </cfRule>
  </conditionalFormatting>
  <conditionalFormatting sqref="C116">
    <cfRule type="cellIs" dxfId="1185" priority="1869" stopIfTrue="1" operator="equal">
      <formula>"Towel"</formula>
    </cfRule>
    <cfRule type="cellIs" dxfId="1184" priority="1870" stopIfTrue="1" operator="equal">
      <formula>"Napkin Hs"</formula>
    </cfRule>
  </conditionalFormatting>
  <conditionalFormatting sqref="B116:C116">
    <cfRule type="cellIs" dxfId="1183" priority="1867" stopIfTrue="1" operator="equal">
      <formula>"Towel"</formula>
    </cfRule>
    <cfRule type="cellIs" dxfId="1182" priority="1868" stopIfTrue="1" operator="equal">
      <formula>"Napkin Hs"</formula>
    </cfRule>
  </conditionalFormatting>
  <conditionalFormatting sqref="C116">
    <cfRule type="cellIs" dxfId="1181" priority="1865" stopIfTrue="1" operator="equal">
      <formula>"Towel"</formula>
    </cfRule>
    <cfRule type="cellIs" dxfId="1180" priority="1866" stopIfTrue="1" operator="equal">
      <formula>"Napkin Hs"</formula>
    </cfRule>
  </conditionalFormatting>
  <conditionalFormatting sqref="C116">
    <cfRule type="cellIs" dxfId="1179" priority="1863" stopIfTrue="1" operator="equal">
      <formula>"Towel"</formula>
    </cfRule>
    <cfRule type="cellIs" dxfId="1178" priority="1864" stopIfTrue="1" operator="equal">
      <formula>"Napkin Hs"</formula>
    </cfRule>
  </conditionalFormatting>
  <conditionalFormatting sqref="B116:C116">
    <cfRule type="cellIs" dxfId="1177" priority="1861" stopIfTrue="1" operator="equal">
      <formula>"Towel"</formula>
    </cfRule>
    <cfRule type="cellIs" dxfId="1176" priority="1862" stopIfTrue="1" operator="equal">
      <formula>"Napkin Hs"</formula>
    </cfRule>
  </conditionalFormatting>
  <conditionalFormatting sqref="C116">
    <cfRule type="cellIs" dxfId="1175" priority="1859" stopIfTrue="1" operator="equal">
      <formula>"Towel"</formula>
    </cfRule>
    <cfRule type="cellIs" dxfId="1174" priority="1860" stopIfTrue="1" operator="equal">
      <formula>"Napkin Hs"</formula>
    </cfRule>
  </conditionalFormatting>
  <conditionalFormatting sqref="C116">
    <cfRule type="cellIs" dxfId="1173" priority="1857" stopIfTrue="1" operator="equal">
      <formula>"Towel"</formula>
    </cfRule>
    <cfRule type="cellIs" dxfId="1172" priority="1858" stopIfTrue="1" operator="equal">
      <formula>"Napkin Hs"</formula>
    </cfRule>
  </conditionalFormatting>
  <conditionalFormatting sqref="B116:C116">
    <cfRule type="cellIs" dxfId="1171" priority="1856" stopIfTrue="1" operator="equal">
      <formula>"Napkin Hs"</formula>
    </cfRule>
  </conditionalFormatting>
  <conditionalFormatting sqref="B116:C116">
    <cfRule type="cellIs" dxfId="1170" priority="1855" stopIfTrue="1" operator="equal">
      <formula>"Towel"</formula>
    </cfRule>
  </conditionalFormatting>
  <conditionalFormatting sqref="C116">
    <cfRule type="cellIs" dxfId="1169" priority="1854" stopIfTrue="1" operator="equal">
      <formula>"Napkin Hs"</formula>
    </cfRule>
  </conditionalFormatting>
  <conditionalFormatting sqref="C116">
    <cfRule type="cellIs" dxfId="1168" priority="1851" stopIfTrue="1" operator="equal">
      <formula>"Towel"</formula>
    </cfRule>
    <cfRule type="cellIs" dxfId="1167" priority="1852" stopIfTrue="1" operator="equal">
      <formula>"Napkin Hs"</formula>
    </cfRule>
  </conditionalFormatting>
  <conditionalFormatting sqref="C116">
    <cfRule type="cellIs" dxfId="1166" priority="1853" stopIfTrue="1" operator="equal">
      <formula>"Towel"</formula>
    </cfRule>
  </conditionalFormatting>
  <conditionalFormatting sqref="B114:C114">
    <cfRule type="cellIs" dxfId="1165" priority="1849" stopIfTrue="1" operator="equal">
      <formula>"Towel"</formula>
    </cfRule>
    <cfRule type="cellIs" dxfId="1164" priority="1850" stopIfTrue="1" operator="equal">
      <formula>"Napkin Hs"</formula>
    </cfRule>
  </conditionalFormatting>
  <conditionalFormatting sqref="C114">
    <cfRule type="cellIs" dxfId="1163" priority="1847" stopIfTrue="1" operator="equal">
      <formula>"Towel"</formula>
    </cfRule>
    <cfRule type="cellIs" dxfId="1162" priority="1848" stopIfTrue="1" operator="equal">
      <formula>"Napkin Hs"</formula>
    </cfRule>
  </conditionalFormatting>
  <conditionalFormatting sqref="C114">
    <cfRule type="cellIs" dxfId="1161" priority="1845" stopIfTrue="1" operator="equal">
      <formula>"Towel"</formula>
    </cfRule>
    <cfRule type="cellIs" dxfId="1160" priority="1846" stopIfTrue="1" operator="equal">
      <formula>"Napkin Hs"</formula>
    </cfRule>
  </conditionalFormatting>
  <conditionalFormatting sqref="B114:C114">
    <cfRule type="cellIs" dxfId="1159" priority="1844" stopIfTrue="1" operator="equal">
      <formula>"Napkin Hs"</formula>
    </cfRule>
  </conditionalFormatting>
  <conditionalFormatting sqref="B114:C114">
    <cfRule type="cellIs" dxfId="1158" priority="1843" stopIfTrue="1" operator="equal">
      <formula>"Towel"</formula>
    </cfRule>
  </conditionalFormatting>
  <conditionalFormatting sqref="C114">
    <cfRule type="cellIs" dxfId="1157" priority="1842" stopIfTrue="1" operator="equal">
      <formula>"Napkin Hs"</formula>
    </cfRule>
  </conditionalFormatting>
  <conditionalFormatting sqref="C114">
    <cfRule type="cellIs" dxfId="1156" priority="1841" stopIfTrue="1" operator="equal">
      <formula>"Towel"</formula>
    </cfRule>
  </conditionalFormatting>
  <conditionalFormatting sqref="C114">
    <cfRule type="cellIs" dxfId="1155" priority="1839" stopIfTrue="1" operator="equal">
      <formula>"Towel"</formula>
    </cfRule>
    <cfRule type="cellIs" dxfId="1154" priority="1840" stopIfTrue="1" operator="equal">
      <formula>"Napkin Hs"</formula>
    </cfRule>
  </conditionalFormatting>
  <conditionalFormatting sqref="B114:C114">
    <cfRule type="cellIs" dxfId="1153" priority="1837" stopIfTrue="1" operator="equal">
      <formula>"Towel"</formula>
    </cfRule>
    <cfRule type="cellIs" dxfId="1152" priority="1838" stopIfTrue="1" operator="equal">
      <formula>"Napkin Hs"</formula>
    </cfRule>
  </conditionalFormatting>
  <conditionalFormatting sqref="C114">
    <cfRule type="cellIs" dxfId="1151" priority="1833" stopIfTrue="1" operator="equal">
      <formula>"Towel"</formula>
    </cfRule>
    <cfRule type="cellIs" dxfId="1150" priority="1834" stopIfTrue="1" operator="equal">
      <formula>"Napkin Hs"</formula>
    </cfRule>
  </conditionalFormatting>
  <conditionalFormatting sqref="C114">
    <cfRule type="cellIs" dxfId="1149" priority="1835" stopIfTrue="1" operator="equal">
      <formula>"Towel"</formula>
    </cfRule>
    <cfRule type="cellIs" dxfId="1148" priority="1836" stopIfTrue="1" operator="equal">
      <formula>"Napkin Hs"</formula>
    </cfRule>
  </conditionalFormatting>
  <conditionalFormatting sqref="B114:C114">
    <cfRule type="cellIs" dxfId="1147" priority="1832" stopIfTrue="1" operator="equal">
      <formula>"Napkin Hs"</formula>
    </cfRule>
  </conditionalFormatting>
  <conditionalFormatting sqref="B114:C114">
    <cfRule type="cellIs" dxfId="1146" priority="1831" stopIfTrue="1" operator="equal">
      <formula>"Towel"</formula>
    </cfRule>
  </conditionalFormatting>
  <conditionalFormatting sqref="C114">
    <cfRule type="cellIs" dxfId="1145" priority="1830" stopIfTrue="1" operator="equal">
      <formula>"Napkin Hs"</formula>
    </cfRule>
  </conditionalFormatting>
  <conditionalFormatting sqref="C114">
    <cfRule type="cellIs" dxfId="1144" priority="1829" stopIfTrue="1" operator="equal">
      <formula>"Towel"</formula>
    </cfRule>
  </conditionalFormatting>
  <conditionalFormatting sqref="C114">
    <cfRule type="cellIs" dxfId="1143" priority="1827" stopIfTrue="1" operator="equal">
      <formula>"Towel"</formula>
    </cfRule>
    <cfRule type="cellIs" dxfId="1142" priority="1828" stopIfTrue="1" operator="equal">
      <formula>"Napkin Hs"</formula>
    </cfRule>
  </conditionalFormatting>
  <conditionalFormatting sqref="B114:C114">
    <cfRule type="cellIs" dxfId="1141" priority="1825" stopIfTrue="1" operator="equal">
      <formula>"Towel"</formula>
    </cfRule>
    <cfRule type="cellIs" dxfId="1140" priority="1826" stopIfTrue="1" operator="equal">
      <formula>"Napkin Hs"</formula>
    </cfRule>
  </conditionalFormatting>
  <conditionalFormatting sqref="C114">
    <cfRule type="cellIs" dxfId="1139" priority="1823" stopIfTrue="1" operator="equal">
      <formula>"Towel"</formula>
    </cfRule>
    <cfRule type="cellIs" dxfId="1138" priority="1824" stopIfTrue="1" operator="equal">
      <formula>"Napkin Hs"</formula>
    </cfRule>
  </conditionalFormatting>
  <conditionalFormatting sqref="C114">
    <cfRule type="cellIs" dxfId="1137" priority="1821" stopIfTrue="1" operator="equal">
      <formula>"Towel"</formula>
    </cfRule>
    <cfRule type="cellIs" dxfId="1136" priority="1822" stopIfTrue="1" operator="equal">
      <formula>"Napkin Hs"</formula>
    </cfRule>
  </conditionalFormatting>
  <conditionalFormatting sqref="B114:C114">
    <cfRule type="cellIs" dxfId="1135" priority="1819" stopIfTrue="1" operator="equal">
      <formula>"Towel"</formula>
    </cfRule>
    <cfRule type="cellIs" dxfId="1134" priority="1820" stopIfTrue="1" operator="equal">
      <formula>"Napkin Hs"</formula>
    </cfRule>
  </conditionalFormatting>
  <conditionalFormatting sqref="C114">
    <cfRule type="cellIs" dxfId="1133" priority="1817" stopIfTrue="1" operator="equal">
      <formula>"Towel"</formula>
    </cfRule>
    <cfRule type="cellIs" dxfId="1132" priority="1818" stopIfTrue="1" operator="equal">
      <formula>"Napkin Hs"</formula>
    </cfRule>
  </conditionalFormatting>
  <conditionalFormatting sqref="C114">
    <cfRule type="cellIs" dxfId="1131" priority="1815" stopIfTrue="1" operator="equal">
      <formula>"Towel"</formula>
    </cfRule>
    <cfRule type="cellIs" dxfId="1130" priority="1816" stopIfTrue="1" operator="equal">
      <formula>"Napkin Hs"</formula>
    </cfRule>
  </conditionalFormatting>
  <conditionalFormatting sqref="B114:C114">
    <cfRule type="cellIs" dxfId="1129" priority="1813" stopIfTrue="1" operator="equal">
      <formula>"Towel"</formula>
    </cfRule>
    <cfRule type="cellIs" dxfId="1128" priority="1814" stopIfTrue="1" operator="equal">
      <formula>"Napkin Hs"</formula>
    </cfRule>
  </conditionalFormatting>
  <conditionalFormatting sqref="C114">
    <cfRule type="cellIs" dxfId="1127" priority="1811" stopIfTrue="1" operator="equal">
      <formula>"Towel"</formula>
    </cfRule>
    <cfRule type="cellIs" dxfId="1126" priority="1812" stopIfTrue="1" operator="equal">
      <formula>"Napkin Hs"</formula>
    </cfRule>
  </conditionalFormatting>
  <conditionalFormatting sqref="C114">
    <cfRule type="cellIs" dxfId="1125" priority="1809" stopIfTrue="1" operator="equal">
      <formula>"Towel"</formula>
    </cfRule>
    <cfRule type="cellIs" dxfId="1124" priority="1810" stopIfTrue="1" operator="equal">
      <formula>"Napkin Hs"</formula>
    </cfRule>
  </conditionalFormatting>
  <conditionalFormatting sqref="B114:C114">
    <cfRule type="cellIs" dxfId="1123" priority="1807" stopIfTrue="1" operator="equal">
      <formula>"Towel"</formula>
    </cfRule>
    <cfRule type="cellIs" dxfId="1122" priority="1808" stopIfTrue="1" operator="equal">
      <formula>"Napkin Hs"</formula>
    </cfRule>
  </conditionalFormatting>
  <conditionalFormatting sqref="C114">
    <cfRule type="cellIs" dxfId="1121" priority="1805" stopIfTrue="1" operator="equal">
      <formula>"Towel"</formula>
    </cfRule>
    <cfRule type="cellIs" dxfId="1120" priority="1806" stopIfTrue="1" operator="equal">
      <formula>"Napkin Hs"</formula>
    </cfRule>
  </conditionalFormatting>
  <conditionalFormatting sqref="C114">
    <cfRule type="cellIs" dxfId="1119" priority="1803" stopIfTrue="1" operator="equal">
      <formula>"Towel"</formula>
    </cfRule>
    <cfRule type="cellIs" dxfId="1118" priority="1804" stopIfTrue="1" operator="equal">
      <formula>"Napkin Hs"</formula>
    </cfRule>
  </conditionalFormatting>
  <conditionalFormatting sqref="B114:C114">
    <cfRule type="cellIs" dxfId="1117" priority="1801" stopIfTrue="1" operator="equal">
      <formula>"Towel"</formula>
    </cfRule>
    <cfRule type="cellIs" dxfId="1116" priority="1802" stopIfTrue="1" operator="equal">
      <formula>"Napkin Hs"</formula>
    </cfRule>
  </conditionalFormatting>
  <conditionalFormatting sqref="C114">
    <cfRule type="cellIs" dxfId="1115" priority="1799" stopIfTrue="1" operator="equal">
      <formula>"Towel"</formula>
    </cfRule>
    <cfRule type="cellIs" dxfId="1114" priority="1800" stopIfTrue="1" operator="equal">
      <formula>"Napkin Hs"</formula>
    </cfRule>
  </conditionalFormatting>
  <conditionalFormatting sqref="C114">
    <cfRule type="cellIs" dxfId="1113" priority="1797" stopIfTrue="1" operator="equal">
      <formula>"Towel"</formula>
    </cfRule>
    <cfRule type="cellIs" dxfId="1112" priority="1798" stopIfTrue="1" operator="equal">
      <formula>"Napkin Hs"</formula>
    </cfRule>
  </conditionalFormatting>
  <conditionalFormatting sqref="B114:C114">
    <cfRule type="cellIs" dxfId="1111" priority="1796" stopIfTrue="1" operator="equal">
      <formula>"Napkin Hs"</formula>
    </cfRule>
  </conditionalFormatting>
  <conditionalFormatting sqref="B114:C114">
    <cfRule type="cellIs" dxfId="1110" priority="1795" stopIfTrue="1" operator="equal">
      <formula>"Towel"</formula>
    </cfRule>
  </conditionalFormatting>
  <conditionalFormatting sqref="C114">
    <cfRule type="cellIs" dxfId="1109" priority="1794" stopIfTrue="1" operator="equal">
      <formula>"Napkin Hs"</formula>
    </cfRule>
  </conditionalFormatting>
  <conditionalFormatting sqref="C114">
    <cfRule type="cellIs" dxfId="1108" priority="1791" stopIfTrue="1" operator="equal">
      <formula>"Towel"</formula>
    </cfRule>
    <cfRule type="cellIs" dxfId="1107" priority="1792" stopIfTrue="1" operator="equal">
      <formula>"Napkin Hs"</formula>
    </cfRule>
  </conditionalFormatting>
  <conditionalFormatting sqref="C114">
    <cfRule type="cellIs" dxfId="1106" priority="1793" stopIfTrue="1" operator="equal">
      <formula>"Towel"</formula>
    </cfRule>
  </conditionalFormatting>
  <conditionalFormatting sqref="B114:C114">
    <cfRule type="cellIs" dxfId="1105" priority="1790" stopIfTrue="1" operator="equal">
      <formula>"Napkin Hs"</formula>
    </cfRule>
  </conditionalFormatting>
  <conditionalFormatting sqref="B114:C114">
    <cfRule type="cellIs" dxfId="1104" priority="1789" stopIfTrue="1" operator="equal">
      <formula>"Towel"</formula>
    </cfRule>
  </conditionalFormatting>
  <conditionalFormatting sqref="C114">
    <cfRule type="cellIs" dxfId="1103" priority="1788" stopIfTrue="1" operator="equal">
      <formula>"Napkin Hs"</formula>
    </cfRule>
  </conditionalFormatting>
  <conditionalFormatting sqref="C114">
    <cfRule type="cellIs" dxfId="1102" priority="1787" stopIfTrue="1" operator="equal">
      <formula>"Towel"</formula>
    </cfRule>
  </conditionalFormatting>
  <conditionalFormatting sqref="C114">
    <cfRule type="cellIs" dxfId="1101" priority="1785" stopIfTrue="1" operator="equal">
      <formula>"Towel"</formula>
    </cfRule>
    <cfRule type="cellIs" dxfId="1100" priority="1786" stopIfTrue="1" operator="equal">
      <formula>"Napkin Hs"</formula>
    </cfRule>
  </conditionalFormatting>
  <conditionalFormatting sqref="B114:C114">
    <cfRule type="cellIs" dxfId="1099" priority="1783" stopIfTrue="1" operator="equal">
      <formula>"Towel"</formula>
    </cfRule>
    <cfRule type="cellIs" dxfId="1098" priority="1784" stopIfTrue="1" operator="equal">
      <formula>"Napkin Hs"</formula>
    </cfRule>
  </conditionalFormatting>
  <conditionalFormatting sqref="C114">
    <cfRule type="cellIs" dxfId="1097" priority="1779" stopIfTrue="1" operator="equal">
      <formula>"Towel"</formula>
    </cfRule>
    <cfRule type="cellIs" dxfId="1096" priority="1780" stopIfTrue="1" operator="equal">
      <formula>"Napkin Hs"</formula>
    </cfRule>
  </conditionalFormatting>
  <conditionalFormatting sqref="C114">
    <cfRule type="cellIs" dxfId="1095" priority="1781" stopIfTrue="1" operator="equal">
      <formula>"Towel"</formula>
    </cfRule>
    <cfRule type="cellIs" dxfId="1094" priority="1782" stopIfTrue="1" operator="equal">
      <formula>"Napkin Hs"</formula>
    </cfRule>
  </conditionalFormatting>
  <conditionalFormatting sqref="B114:C114">
    <cfRule type="cellIs" dxfId="1093" priority="1778" stopIfTrue="1" operator="equal">
      <formula>"Napkin Hs"</formula>
    </cfRule>
  </conditionalFormatting>
  <conditionalFormatting sqref="B114:C114">
    <cfRule type="cellIs" dxfId="1092" priority="1777" stopIfTrue="1" operator="equal">
      <formula>"Towel"</formula>
    </cfRule>
  </conditionalFormatting>
  <conditionalFormatting sqref="C114">
    <cfRule type="cellIs" dxfId="1091" priority="1776" stopIfTrue="1" operator="equal">
      <formula>"Napkin Hs"</formula>
    </cfRule>
  </conditionalFormatting>
  <conditionalFormatting sqref="C114">
    <cfRule type="cellIs" dxfId="1090" priority="1775" stopIfTrue="1" operator="equal">
      <formula>"Towel"</formula>
    </cfRule>
  </conditionalFormatting>
  <conditionalFormatting sqref="C114">
    <cfRule type="cellIs" dxfId="1089" priority="1773" stopIfTrue="1" operator="equal">
      <formula>"Towel"</formula>
    </cfRule>
    <cfRule type="cellIs" dxfId="1088" priority="1774" stopIfTrue="1" operator="equal">
      <formula>"Napkin Hs"</formula>
    </cfRule>
  </conditionalFormatting>
  <conditionalFormatting sqref="B114:C114">
    <cfRule type="cellIs" dxfId="1087" priority="1771" stopIfTrue="1" operator="equal">
      <formula>"Towel"</formula>
    </cfRule>
    <cfRule type="cellIs" dxfId="1086" priority="1772" stopIfTrue="1" operator="equal">
      <formula>"Napkin Hs"</formula>
    </cfRule>
  </conditionalFormatting>
  <conditionalFormatting sqref="C114">
    <cfRule type="cellIs" dxfId="1085" priority="1769" stopIfTrue="1" operator="equal">
      <formula>"Towel"</formula>
    </cfRule>
    <cfRule type="cellIs" dxfId="1084" priority="1770" stopIfTrue="1" operator="equal">
      <formula>"Napkin Hs"</formula>
    </cfRule>
  </conditionalFormatting>
  <conditionalFormatting sqref="C114">
    <cfRule type="cellIs" dxfId="1083" priority="1767" stopIfTrue="1" operator="equal">
      <formula>"Towel"</formula>
    </cfRule>
    <cfRule type="cellIs" dxfId="1082" priority="1768" stopIfTrue="1" operator="equal">
      <formula>"Napkin Hs"</formula>
    </cfRule>
  </conditionalFormatting>
  <conditionalFormatting sqref="B114:C114">
    <cfRule type="cellIs" dxfId="1081" priority="1765" stopIfTrue="1" operator="equal">
      <formula>"Towel"</formula>
    </cfRule>
    <cfRule type="cellIs" dxfId="1080" priority="1766" stopIfTrue="1" operator="equal">
      <formula>"Napkin Hs"</formula>
    </cfRule>
  </conditionalFormatting>
  <conditionalFormatting sqref="C114">
    <cfRule type="cellIs" dxfId="1079" priority="1763" stopIfTrue="1" operator="equal">
      <formula>"Towel"</formula>
    </cfRule>
    <cfRule type="cellIs" dxfId="1078" priority="1764" stopIfTrue="1" operator="equal">
      <formula>"Napkin Hs"</formula>
    </cfRule>
  </conditionalFormatting>
  <conditionalFormatting sqref="C114">
    <cfRule type="cellIs" dxfId="1077" priority="1761" stopIfTrue="1" operator="equal">
      <formula>"Towel"</formula>
    </cfRule>
    <cfRule type="cellIs" dxfId="1076" priority="1762" stopIfTrue="1" operator="equal">
      <formula>"Napkin Hs"</formula>
    </cfRule>
  </conditionalFormatting>
  <conditionalFormatting sqref="B114:C114">
    <cfRule type="cellIs" dxfId="1075" priority="1759" stopIfTrue="1" operator="equal">
      <formula>"Towel"</formula>
    </cfRule>
    <cfRule type="cellIs" dxfId="1074" priority="1760" stopIfTrue="1" operator="equal">
      <formula>"Napkin Hs"</formula>
    </cfRule>
  </conditionalFormatting>
  <conditionalFormatting sqref="C114">
    <cfRule type="cellIs" dxfId="1073" priority="1757" stopIfTrue="1" operator="equal">
      <formula>"Towel"</formula>
    </cfRule>
    <cfRule type="cellIs" dxfId="1072" priority="1758" stopIfTrue="1" operator="equal">
      <formula>"Napkin Hs"</formula>
    </cfRule>
  </conditionalFormatting>
  <conditionalFormatting sqref="C114">
    <cfRule type="cellIs" dxfId="1071" priority="1755" stopIfTrue="1" operator="equal">
      <formula>"Towel"</formula>
    </cfRule>
    <cfRule type="cellIs" dxfId="1070" priority="1756" stopIfTrue="1" operator="equal">
      <formula>"Napkin Hs"</formula>
    </cfRule>
  </conditionalFormatting>
  <conditionalFormatting sqref="B114:C114">
    <cfRule type="cellIs" dxfId="1069" priority="1753" stopIfTrue="1" operator="equal">
      <formula>"Towel"</formula>
    </cfRule>
    <cfRule type="cellIs" dxfId="1068" priority="1754" stopIfTrue="1" operator="equal">
      <formula>"Napkin Hs"</formula>
    </cfRule>
  </conditionalFormatting>
  <conditionalFormatting sqref="C114">
    <cfRule type="cellIs" dxfId="1067" priority="1751" stopIfTrue="1" operator="equal">
      <formula>"Towel"</formula>
    </cfRule>
    <cfRule type="cellIs" dxfId="1066" priority="1752" stopIfTrue="1" operator="equal">
      <formula>"Napkin Hs"</formula>
    </cfRule>
  </conditionalFormatting>
  <conditionalFormatting sqref="C114">
    <cfRule type="cellIs" dxfId="1065" priority="1749" stopIfTrue="1" operator="equal">
      <formula>"Towel"</formula>
    </cfRule>
    <cfRule type="cellIs" dxfId="1064" priority="1750" stopIfTrue="1" operator="equal">
      <formula>"Napkin Hs"</formula>
    </cfRule>
  </conditionalFormatting>
  <conditionalFormatting sqref="B114:C114">
    <cfRule type="cellIs" dxfId="1063" priority="1747" stopIfTrue="1" operator="equal">
      <formula>"Towel"</formula>
    </cfRule>
    <cfRule type="cellIs" dxfId="1062" priority="1748" stopIfTrue="1" operator="equal">
      <formula>"Napkin Hs"</formula>
    </cfRule>
  </conditionalFormatting>
  <conditionalFormatting sqref="C114">
    <cfRule type="cellIs" dxfId="1061" priority="1745" stopIfTrue="1" operator="equal">
      <formula>"Towel"</formula>
    </cfRule>
    <cfRule type="cellIs" dxfId="1060" priority="1746" stopIfTrue="1" operator="equal">
      <formula>"Napkin Hs"</formula>
    </cfRule>
  </conditionalFormatting>
  <conditionalFormatting sqref="C114">
    <cfRule type="cellIs" dxfId="1059" priority="1743" stopIfTrue="1" operator="equal">
      <formula>"Towel"</formula>
    </cfRule>
    <cfRule type="cellIs" dxfId="1058" priority="1744" stopIfTrue="1" operator="equal">
      <formula>"Napkin Hs"</formula>
    </cfRule>
  </conditionalFormatting>
  <conditionalFormatting sqref="B114:C114">
    <cfRule type="cellIs" dxfId="1057" priority="1742" stopIfTrue="1" operator="equal">
      <formula>"Napkin Hs"</formula>
    </cfRule>
  </conditionalFormatting>
  <conditionalFormatting sqref="B114:C114">
    <cfRule type="cellIs" dxfId="1056" priority="1741" stopIfTrue="1" operator="equal">
      <formula>"Towel"</formula>
    </cfRule>
  </conditionalFormatting>
  <conditionalFormatting sqref="C114">
    <cfRule type="cellIs" dxfId="1055" priority="1740" stopIfTrue="1" operator="equal">
      <formula>"Napkin Hs"</formula>
    </cfRule>
  </conditionalFormatting>
  <conditionalFormatting sqref="C114">
    <cfRule type="cellIs" dxfId="1054" priority="1737" stopIfTrue="1" operator="equal">
      <formula>"Towel"</formula>
    </cfRule>
    <cfRule type="cellIs" dxfId="1053" priority="1738" stopIfTrue="1" operator="equal">
      <formula>"Napkin Hs"</formula>
    </cfRule>
  </conditionalFormatting>
  <conditionalFormatting sqref="C114">
    <cfRule type="cellIs" dxfId="1052" priority="1739" stopIfTrue="1" operator="equal">
      <formula>"Towel"</formula>
    </cfRule>
  </conditionalFormatting>
  <conditionalFormatting sqref="B114:C114">
    <cfRule type="cellIs" dxfId="1051" priority="1736" stopIfTrue="1" operator="equal">
      <formula>"Napkin Hs"</formula>
    </cfRule>
  </conditionalFormatting>
  <conditionalFormatting sqref="B114:C114">
    <cfRule type="cellIs" dxfId="1050" priority="1735" stopIfTrue="1" operator="equal">
      <formula>"Towel"</formula>
    </cfRule>
  </conditionalFormatting>
  <conditionalFormatting sqref="C114">
    <cfRule type="cellIs" dxfId="1049" priority="1734" stopIfTrue="1" operator="equal">
      <formula>"Napkin Hs"</formula>
    </cfRule>
  </conditionalFormatting>
  <conditionalFormatting sqref="C114">
    <cfRule type="cellIs" dxfId="1048" priority="1731" stopIfTrue="1" operator="equal">
      <formula>"Towel"</formula>
    </cfRule>
    <cfRule type="cellIs" dxfId="1047" priority="1732" stopIfTrue="1" operator="equal">
      <formula>"Napkin Hs"</formula>
    </cfRule>
  </conditionalFormatting>
  <conditionalFormatting sqref="C114">
    <cfRule type="cellIs" dxfId="1046" priority="1733" stopIfTrue="1" operator="equal">
      <formula>"Towel"</formula>
    </cfRule>
  </conditionalFormatting>
  <conditionalFormatting sqref="B114:C114">
    <cfRule type="cellIs" dxfId="1045" priority="1730" stopIfTrue="1" operator="equal">
      <formula>"Napkin Hs"</formula>
    </cfRule>
  </conditionalFormatting>
  <conditionalFormatting sqref="B114:C114">
    <cfRule type="cellIs" dxfId="1044" priority="1729" stopIfTrue="1" operator="equal">
      <formula>"Towel"</formula>
    </cfRule>
  </conditionalFormatting>
  <conditionalFormatting sqref="C114">
    <cfRule type="cellIs" dxfId="1043" priority="1728" stopIfTrue="1" operator="equal">
      <formula>"Napkin Hs"</formula>
    </cfRule>
  </conditionalFormatting>
  <conditionalFormatting sqref="C114">
    <cfRule type="cellIs" dxfId="1042" priority="1725" stopIfTrue="1" operator="equal">
      <formula>"Towel"</formula>
    </cfRule>
    <cfRule type="cellIs" dxfId="1041" priority="1726" stopIfTrue="1" operator="equal">
      <formula>"Napkin Hs"</formula>
    </cfRule>
  </conditionalFormatting>
  <conditionalFormatting sqref="C114">
    <cfRule type="cellIs" dxfId="1040" priority="1727" stopIfTrue="1" operator="equal">
      <formula>"Towel"</formula>
    </cfRule>
  </conditionalFormatting>
  <conditionalFormatting sqref="B113:C113">
    <cfRule type="cellIs" dxfId="1039" priority="1723" stopIfTrue="1" operator="equal">
      <formula>"Towel"</formula>
    </cfRule>
    <cfRule type="cellIs" dxfId="1038" priority="1724" stopIfTrue="1" operator="equal">
      <formula>"Napkin Hs"</formula>
    </cfRule>
  </conditionalFormatting>
  <conditionalFormatting sqref="C113">
    <cfRule type="cellIs" dxfId="1037" priority="1721" stopIfTrue="1" operator="equal">
      <formula>"Towel"</formula>
    </cfRule>
    <cfRule type="cellIs" dxfId="1036" priority="1722" stopIfTrue="1" operator="equal">
      <formula>"Napkin Hs"</formula>
    </cfRule>
  </conditionalFormatting>
  <conditionalFormatting sqref="C113">
    <cfRule type="cellIs" dxfId="1035" priority="1719" stopIfTrue="1" operator="equal">
      <formula>"Towel"</formula>
    </cfRule>
    <cfRule type="cellIs" dxfId="1034" priority="1720" stopIfTrue="1" operator="equal">
      <formula>"Napkin Hs"</formula>
    </cfRule>
  </conditionalFormatting>
  <conditionalFormatting sqref="B113:C113">
    <cfRule type="cellIs" dxfId="1033" priority="1718" stopIfTrue="1" operator="equal">
      <formula>"Napkin Hs"</formula>
    </cfRule>
  </conditionalFormatting>
  <conditionalFormatting sqref="B113:C113">
    <cfRule type="cellIs" dxfId="1032" priority="1717" stopIfTrue="1" operator="equal">
      <formula>"Towel"</formula>
    </cfRule>
  </conditionalFormatting>
  <conditionalFormatting sqref="C113">
    <cfRule type="cellIs" dxfId="1031" priority="1716" stopIfTrue="1" operator="equal">
      <formula>"Napkin Hs"</formula>
    </cfRule>
  </conditionalFormatting>
  <conditionalFormatting sqref="C113">
    <cfRule type="cellIs" dxfId="1030" priority="1715" stopIfTrue="1" operator="equal">
      <formula>"Towel"</formula>
    </cfRule>
  </conditionalFormatting>
  <conditionalFormatting sqref="C113">
    <cfRule type="cellIs" dxfId="1029" priority="1713" stopIfTrue="1" operator="equal">
      <formula>"Towel"</formula>
    </cfRule>
    <cfRule type="cellIs" dxfId="1028" priority="1714" stopIfTrue="1" operator="equal">
      <formula>"Napkin Hs"</formula>
    </cfRule>
  </conditionalFormatting>
  <conditionalFormatting sqref="B113:C113">
    <cfRule type="cellIs" dxfId="1027" priority="1711" stopIfTrue="1" operator="equal">
      <formula>"Towel"</formula>
    </cfRule>
    <cfRule type="cellIs" dxfId="1026" priority="1712" stopIfTrue="1" operator="equal">
      <formula>"Napkin Hs"</formula>
    </cfRule>
  </conditionalFormatting>
  <conditionalFormatting sqref="C113">
    <cfRule type="cellIs" dxfId="1025" priority="1707" stopIfTrue="1" operator="equal">
      <formula>"Towel"</formula>
    </cfRule>
    <cfRule type="cellIs" dxfId="1024" priority="1708" stopIfTrue="1" operator="equal">
      <formula>"Napkin Hs"</formula>
    </cfRule>
  </conditionalFormatting>
  <conditionalFormatting sqref="C113">
    <cfRule type="cellIs" dxfId="1023" priority="1709" stopIfTrue="1" operator="equal">
      <formula>"Towel"</formula>
    </cfRule>
    <cfRule type="cellIs" dxfId="1022" priority="1710" stopIfTrue="1" operator="equal">
      <formula>"Napkin Hs"</formula>
    </cfRule>
  </conditionalFormatting>
  <conditionalFormatting sqref="B113:C113">
    <cfRule type="cellIs" dxfId="1021" priority="1706" stopIfTrue="1" operator="equal">
      <formula>"Napkin Hs"</formula>
    </cfRule>
  </conditionalFormatting>
  <conditionalFormatting sqref="B113:C113">
    <cfRule type="cellIs" dxfId="1020" priority="1705" stopIfTrue="1" operator="equal">
      <formula>"Towel"</formula>
    </cfRule>
  </conditionalFormatting>
  <conditionalFormatting sqref="C113">
    <cfRule type="cellIs" dxfId="1019" priority="1704" stopIfTrue="1" operator="equal">
      <formula>"Napkin Hs"</formula>
    </cfRule>
  </conditionalFormatting>
  <conditionalFormatting sqref="C113">
    <cfRule type="cellIs" dxfId="1018" priority="1703" stopIfTrue="1" operator="equal">
      <formula>"Towel"</formula>
    </cfRule>
  </conditionalFormatting>
  <conditionalFormatting sqref="C113">
    <cfRule type="cellIs" dxfId="1017" priority="1701" stopIfTrue="1" operator="equal">
      <formula>"Towel"</formula>
    </cfRule>
    <cfRule type="cellIs" dxfId="1016" priority="1702" stopIfTrue="1" operator="equal">
      <formula>"Napkin Hs"</formula>
    </cfRule>
  </conditionalFormatting>
  <conditionalFormatting sqref="B113:C113">
    <cfRule type="cellIs" dxfId="1015" priority="1699" stopIfTrue="1" operator="equal">
      <formula>"Towel"</formula>
    </cfRule>
    <cfRule type="cellIs" dxfId="1014" priority="1700" stopIfTrue="1" operator="equal">
      <formula>"Napkin Hs"</formula>
    </cfRule>
  </conditionalFormatting>
  <conditionalFormatting sqref="C113">
    <cfRule type="cellIs" dxfId="1013" priority="1697" stopIfTrue="1" operator="equal">
      <formula>"Towel"</formula>
    </cfRule>
    <cfRule type="cellIs" dxfId="1012" priority="1698" stopIfTrue="1" operator="equal">
      <formula>"Napkin Hs"</formula>
    </cfRule>
  </conditionalFormatting>
  <conditionalFormatting sqref="C113">
    <cfRule type="cellIs" dxfId="1011" priority="1695" stopIfTrue="1" operator="equal">
      <formula>"Towel"</formula>
    </cfRule>
    <cfRule type="cellIs" dxfId="1010" priority="1696" stopIfTrue="1" operator="equal">
      <formula>"Napkin Hs"</formula>
    </cfRule>
  </conditionalFormatting>
  <conditionalFormatting sqref="B113:C113">
    <cfRule type="cellIs" dxfId="1009" priority="1693" stopIfTrue="1" operator="equal">
      <formula>"Towel"</formula>
    </cfRule>
    <cfRule type="cellIs" dxfId="1008" priority="1694" stopIfTrue="1" operator="equal">
      <formula>"Napkin Hs"</formula>
    </cfRule>
  </conditionalFormatting>
  <conditionalFormatting sqref="C113">
    <cfRule type="cellIs" dxfId="1007" priority="1691" stopIfTrue="1" operator="equal">
      <formula>"Towel"</formula>
    </cfRule>
    <cfRule type="cellIs" dxfId="1006" priority="1692" stopIfTrue="1" operator="equal">
      <formula>"Napkin Hs"</formula>
    </cfRule>
  </conditionalFormatting>
  <conditionalFormatting sqref="C113">
    <cfRule type="cellIs" dxfId="1005" priority="1689" stopIfTrue="1" operator="equal">
      <formula>"Towel"</formula>
    </cfRule>
    <cfRule type="cellIs" dxfId="1004" priority="1690" stopIfTrue="1" operator="equal">
      <formula>"Napkin Hs"</formula>
    </cfRule>
  </conditionalFormatting>
  <conditionalFormatting sqref="B113:C113">
    <cfRule type="cellIs" dxfId="1003" priority="1687" stopIfTrue="1" operator="equal">
      <formula>"Towel"</formula>
    </cfRule>
    <cfRule type="cellIs" dxfId="1002" priority="1688" stopIfTrue="1" operator="equal">
      <formula>"Napkin Hs"</formula>
    </cfRule>
  </conditionalFormatting>
  <conditionalFormatting sqref="C113">
    <cfRule type="cellIs" dxfId="1001" priority="1685" stopIfTrue="1" operator="equal">
      <formula>"Towel"</formula>
    </cfRule>
    <cfRule type="cellIs" dxfId="1000" priority="1686" stopIfTrue="1" operator="equal">
      <formula>"Napkin Hs"</formula>
    </cfRule>
  </conditionalFormatting>
  <conditionalFormatting sqref="C113">
    <cfRule type="cellIs" dxfId="999" priority="1683" stopIfTrue="1" operator="equal">
      <formula>"Towel"</formula>
    </cfRule>
    <cfRule type="cellIs" dxfId="998" priority="1684" stopIfTrue="1" operator="equal">
      <formula>"Napkin Hs"</formula>
    </cfRule>
  </conditionalFormatting>
  <conditionalFormatting sqref="B113:C113">
    <cfRule type="cellIs" dxfId="997" priority="1681" stopIfTrue="1" operator="equal">
      <formula>"Towel"</formula>
    </cfRule>
    <cfRule type="cellIs" dxfId="996" priority="1682" stopIfTrue="1" operator="equal">
      <formula>"Napkin Hs"</formula>
    </cfRule>
  </conditionalFormatting>
  <conditionalFormatting sqref="C113">
    <cfRule type="cellIs" dxfId="995" priority="1679" stopIfTrue="1" operator="equal">
      <formula>"Towel"</formula>
    </cfRule>
    <cfRule type="cellIs" dxfId="994" priority="1680" stopIfTrue="1" operator="equal">
      <formula>"Napkin Hs"</formula>
    </cfRule>
  </conditionalFormatting>
  <conditionalFormatting sqref="C113">
    <cfRule type="cellIs" dxfId="993" priority="1677" stopIfTrue="1" operator="equal">
      <formula>"Towel"</formula>
    </cfRule>
    <cfRule type="cellIs" dxfId="992" priority="1678" stopIfTrue="1" operator="equal">
      <formula>"Napkin Hs"</formula>
    </cfRule>
  </conditionalFormatting>
  <conditionalFormatting sqref="B113:C113">
    <cfRule type="cellIs" dxfId="991" priority="1675" stopIfTrue="1" operator="equal">
      <formula>"Towel"</formula>
    </cfRule>
    <cfRule type="cellIs" dxfId="990" priority="1676" stopIfTrue="1" operator="equal">
      <formula>"Napkin Hs"</formula>
    </cfRule>
  </conditionalFormatting>
  <conditionalFormatting sqref="C113">
    <cfRule type="cellIs" dxfId="989" priority="1673" stopIfTrue="1" operator="equal">
      <formula>"Towel"</formula>
    </cfRule>
    <cfRule type="cellIs" dxfId="988" priority="1674" stopIfTrue="1" operator="equal">
      <formula>"Napkin Hs"</formula>
    </cfRule>
  </conditionalFormatting>
  <conditionalFormatting sqref="C113">
    <cfRule type="cellIs" dxfId="987" priority="1671" stopIfTrue="1" operator="equal">
      <formula>"Towel"</formula>
    </cfRule>
    <cfRule type="cellIs" dxfId="986" priority="1672" stopIfTrue="1" operator="equal">
      <formula>"Napkin Hs"</formula>
    </cfRule>
  </conditionalFormatting>
  <conditionalFormatting sqref="B113:C113">
    <cfRule type="cellIs" dxfId="985" priority="1670" stopIfTrue="1" operator="equal">
      <formula>"Napkin Hs"</formula>
    </cfRule>
  </conditionalFormatting>
  <conditionalFormatting sqref="B113:C113">
    <cfRule type="cellIs" dxfId="984" priority="1669" stopIfTrue="1" operator="equal">
      <formula>"Towel"</formula>
    </cfRule>
  </conditionalFormatting>
  <conditionalFormatting sqref="C113">
    <cfRule type="cellIs" dxfId="983" priority="1668" stopIfTrue="1" operator="equal">
      <formula>"Napkin Hs"</formula>
    </cfRule>
  </conditionalFormatting>
  <conditionalFormatting sqref="C113">
    <cfRule type="cellIs" dxfId="982" priority="1665" stopIfTrue="1" operator="equal">
      <formula>"Towel"</formula>
    </cfRule>
    <cfRule type="cellIs" dxfId="981" priority="1666" stopIfTrue="1" operator="equal">
      <formula>"Napkin Hs"</formula>
    </cfRule>
  </conditionalFormatting>
  <conditionalFormatting sqref="C113">
    <cfRule type="cellIs" dxfId="980" priority="1667" stopIfTrue="1" operator="equal">
      <formula>"Towel"</formula>
    </cfRule>
  </conditionalFormatting>
  <conditionalFormatting sqref="B113:C113">
    <cfRule type="cellIs" dxfId="979" priority="1664" stopIfTrue="1" operator="equal">
      <formula>"Napkin Hs"</formula>
    </cfRule>
  </conditionalFormatting>
  <conditionalFormatting sqref="B113:C113">
    <cfRule type="cellIs" dxfId="978" priority="1663" stopIfTrue="1" operator="equal">
      <formula>"Towel"</formula>
    </cfRule>
  </conditionalFormatting>
  <conditionalFormatting sqref="C113">
    <cfRule type="cellIs" dxfId="977" priority="1662" stopIfTrue="1" operator="equal">
      <formula>"Napkin Hs"</formula>
    </cfRule>
  </conditionalFormatting>
  <conditionalFormatting sqref="C113">
    <cfRule type="cellIs" dxfId="976" priority="1661" stopIfTrue="1" operator="equal">
      <formula>"Towel"</formula>
    </cfRule>
  </conditionalFormatting>
  <conditionalFormatting sqref="C113">
    <cfRule type="cellIs" dxfId="975" priority="1659" stopIfTrue="1" operator="equal">
      <formula>"Towel"</formula>
    </cfRule>
    <cfRule type="cellIs" dxfId="974" priority="1660" stopIfTrue="1" operator="equal">
      <formula>"Napkin Hs"</formula>
    </cfRule>
  </conditionalFormatting>
  <conditionalFormatting sqref="B113:C113">
    <cfRule type="cellIs" dxfId="973" priority="1657" stopIfTrue="1" operator="equal">
      <formula>"Towel"</formula>
    </cfRule>
    <cfRule type="cellIs" dxfId="972" priority="1658" stopIfTrue="1" operator="equal">
      <formula>"Napkin Hs"</formula>
    </cfRule>
  </conditionalFormatting>
  <conditionalFormatting sqref="C113">
    <cfRule type="cellIs" dxfId="971" priority="1653" stopIfTrue="1" operator="equal">
      <formula>"Towel"</formula>
    </cfRule>
    <cfRule type="cellIs" dxfId="970" priority="1654" stopIfTrue="1" operator="equal">
      <formula>"Napkin Hs"</formula>
    </cfRule>
  </conditionalFormatting>
  <conditionalFormatting sqref="C113">
    <cfRule type="cellIs" dxfId="969" priority="1655" stopIfTrue="1" operator="equal">
      <formula>"Towel"</formula>
    </cfRule>
    <cfRule type="cellIs" dxfId="968" priority="1656" stopIfTrue="1" operator="equal">
      <formula>"Napkin Hs"</formula>
    </cfRule>
  </conditionalFormatting>
  <conditionalFormatting sqref="B113:C113">
    <cfRule type="cellIs" dxfId="967" priority="1652" stopIfTrue="1" operator="equal">
      <formula>"Napkin Hs"</formula>
    </cfRule>
  </conditionalFormatting>
  <conditionalFormatting sqref="B113:C113">
    <cfRule type="cellIs" dxfId="966" priority="1651" stopIfTrue="1" operator="equal">
      <formula>"Towel"</formula>
    </cfRule>
  </conditionalFormatting>
  <conditionalFormatting sqref="C113">
    <cfRule type="cellIs" dxfId="965" priority="1650" stopIfTrue="1" operator="equal">
      <formula>"Napkin Hs"</formula>
    </cfRule>
  </conditionalFormatting>
  <conditionalFormatting sqref="C113">
    <cfRule type="cellIs" dxfId="964" priority="1649" stopIfTrue="1" operator="equal">
      <formula>"Towel"</formula>
    </cfRule>
  </conditionalFormatting>
  <conditionalFormatting sqref="C113">
    <cfRule type="cellIs" dxfId="963" priority="1647" stopIfTrue="1" operator="equal">
      <formula>"Towel"</formula>
    </cfRule>
    <cfRule type="cellIs" dxfId="962" priority="1648" stopIfTrue="1" operator="equal">
      <formula>"Napkin Hs"</formula>
    </cfRule>
  </conditionalFormatting>
  <conditionalFormatting sqref="B113:C113">
    <cfRule type="cellIs" dxfId="961" priority="1645" stopIfTrue="1" operator="equal">
      <formula>"Towel"</formula>
    </cfRule>
    <cfRule type="cellIs" dxfId="960" priority="1646" stopIfTrue="1" operator="equal">
      <formula>"Napkin Hs"</formula>
    </cfRule>
  </conditionalFormatting>
  <conditionalFormatting sqref="C113">
    <cfRule type="cellIs" dxfId="959" priority="1643" stopIfTrue="1" operator="equal">
      <formula>"Towel"</formula>
    </cfRule>
    <cfRule type="cellIs" dxfId="958" priority="1644" stopIfTrue="1" operator="equal">
      <formula>"Napkin Hs"</formula>
    </cfRule>
  </conditionalFormatting>
  <conditionalFormatting sqref="C113">
    <cfRule type="cellIs" dxfId="957" priority="1641" stopIfTrue="1" operator="equal">
      <formula>"Towel"</formula>
    </cfRule>
    <cfRule type="cellIs" dxfId="956" priority="1642" stopIfTrue="1" operator="equal">
      <formula>"Napkin Hs"</formula>
    </cfRule>
  </conditionalFormatting>
  <conditionalFormatting sqref="B113:C113">
    <cfRule type="cellIs" dxfId="955" priority="1639" stopIfTrue="1" operator="equal">
      <formula>"Towel"</formula>
    </cfRule>
    <cfRule type="cellIs" dxfId="954" priority="1640" stopIfTrue="1" operator="equal">
      <formula>"Napkin Hs"</formula>
    </cfRule>
  </conditionalFormatting>
  <conditionalFormatting sqref="C113">
    <cfRule type="cellIs" dxfId="953" priority="1637" stopIfTrue="1" operator="equal">
      <formula>"Towel"</formula>
    </cfRule>
    <cfRule type="cellIs" dxfId="952" priority="1638" stopIfTrue="1" operator="equal">
      <formula>"Napkin Hs"</formula>
    </cfRule>
  </conditionalFormatting>
  <conditionalFormatting sqref="C113">
    <cfRule type="cellIs" dxfId="951" priority="1635" stopIfTrue="1" operator="equal">
      <formula>"Towel"</formula>
    </cfRule>
    <cfRule type="cellIs" dxfId="950" priority="1636" stopIfTrue="1" operator="equal">
      <formula>"Napkin Hs"</formula>
    </cfRule>
  </conditionalFormatting>
  <conditionalFormatting sqref="B113:C113">
    <cfRule type="cellIs" dxfId="949" priority="1633" stopIfTrue="1" operator="equal">
      <formula>"Towel"</formula>
    </cfRule>
    <cfRule type="cellIs" dxfId="948" priority="1634" stopIfTrue="1" operator="equal">
      <formula>"Napkin Hs"</formula>
    </cfRule>
  </conditionalFormatting>
  <conditionalFormatting sqref="C113">
    <cfRule type="cellIs" dxfId="947" priority="1631" stopIfTrue="1" operator="equal">
      <formula>"Towel"</formula>
    </cfRule>
    <cfRule type="cellIs" dxfId="946" priority="1632" stopIfTrue="1" operator="equal">
      <formula>"Napkin Hs"</formula>
    </cfRule>
  </conditionalFormatting>
  <conditionalFormatting sqref="C113">
    <cfRule type="cellIs" dxfId="945" priority="1629" stopIfTrue="1" operator="equal">
      <formula>"Towel"</formula>
    </cfRule>
    <cfRule type="cellIs" dxfId="944" priority="1630" stopIfTrue="1" operator="equal">
      <formula>"Napkin Hs"</formula>
    </cfRule>
  </conditionalFormatting>
  <conditionalFormatting sqref="B113:C113">
    <cfRule type="cellIs" dxfId="943" priority="1627" stopIfTrue="1" operator="equal">
      <formula>"Towel"</formula>
    </cfRule>
    <cfRule type="cellIs" dxfId="942" priority="1628" stopIfTrue="1" operator="equal">
      <formula>"Napkin Hs"</formula>
    </cfRule>
  </conditionalFormatting>
  <conditionalFormatting sqref="C113">
    <cfRule type="cellIs" dxfId="941" priority="1625" stopIfTrue="1" operator="equal">
      <formula>"Towel"</formula>
    </cfRule>
    <cfRule type="cellIs" dxfId="940" priority="1626" stopIfTrue="1" operator="equal">
      <formula>"Napkin Hs"</formula>
    </cfRule>
  </conditionalFormatting>
  <conditionalFormatting sqref="C113">
    <cfRule type="cellIs" dxfId="939" priority="1623" stopIfTrue="1" operator="equal">
      <formula>"Towel"</formula>
    </cfRule>
    <cfRule type="cellIs" dxfId="938" priority="1624" stopIfTrue="1" operator="equal">
      <formula>"Napkin Hs"</formula>
    </cfRule>
  </conditionalFormatting>
  <conditionalFormatting sqref="B113:C113">
    <cfRule type="cellIs" dxfId="937" priority="1621" stopIfTrue="1" operator="equal">
      <formula>"Towel"</formula>
    </cfRule>
    <cfRule type="cellIs" dxfId="936" priority="1622" stopIfTrue="1" operator="equal">
      <formula>"Napkin Hs"</formula>
    </cfRule>
  </conditionalFormatting>
  <conditionalFormatting sqref="C113">
    <cfRule type="cellIs" dxfId="935" priority="1619" stopIfTrue="1" operator="equal">
      <formula>"Towel"</formula>
    </cfRule>
    <cfRule type="cellIs" dxfId="934" priority="1620" stopIfTrue="1" operator="equal">
      <formula>"Napkin Hs"</formula>
    </cfRule>
  </conditionalFormatting>
  <conditionalFormatting sqref="C113">
    <cfRule type="cellIs" dxfId="933" priority="1617" stopIfTrue="1" operator="equal">
      <formula>"Towel"</formula>
    </cfRule>
    <cfRule type="cellIs" dxfId="932" priority="1618" stopIfTrue="1" operator="equal">
      <formula>"Napkin Hs"</formula>
    </cfRule>
  </conditionalFormatting>
  <conditionalFormatting sqref="B113:C113">
    <cfRule type="cellIs" dxfId="931" priority="1616" stopIfTrue="1" operator="equal">
      <formula>"Napkin Hs"</formula>
    </cfRule>
  </conditionalFormatting>
  <conditionalFormatting sqref="B113:C113">
    <cfRule type="cellIs" dxfId="930" priority="1615" stopIfTrue="1" operator="equal">
      <formula>"Towel"</formula>
    </cfRule>
  </conditionalFormatting>
  <conditionalFormatting sqref="C113">
    <cfRule type="cellIs" dxfId="929" priority="1614" stopIfTrue="1" operator="equal">
      <formula>"Napkin Hs"</formula>
    </cfRule>
  </conditionalFormatting>
  <conditionalFormatting sqref="C113">
    <cfRule type="cellIs" dxfId="928" priority="1611" stopIfTrue="1" operator="equal">
      <formula>"Towel"</formula>
    </cfRule>
    <cfRule type="cellIs" dxfId="927" priority="1612" stopIfTrue="1" operator="equal">
      <formula>"Napkin Hs"</formula>
    </cfRule>
  </conditionalFormatting>
  <conditionalFormatting sqref="C113">
    <cfRule type="cellIs" dxfId="926" priority="1613" stopIfTrue="1" operator="equal">
      <formula>"Towel"</formula>
    </cfRule>
  </conditionalFormatting>
  <conditionalFormatting sqref="B113:C113">
    <cfRule type="cellIs" dxfId="925" priority="1610" stopIfTrue="1" operator="equal">
      <formula>"Napkin Hs"</formula>
    </cfRule>
  </conditionalFormatting>
  <conditionalFormatting sqref="B113:C113">
    <cfRule type="cellIs" dxfId="924" priority="1609" stopIfTrue="1" operator="equal">
      <formula>"Towel"</formula>
    </cfRule>
  </conditionalFormatting>
  <conditionalFormatting sqref="C113">
    <cfRule type="cellIs" dxfId="923" priority="1608" stopIfTrue="1" operator="equal">
      <formula>"Napkin Hs"</formula>
    </cfRule>
  </conditionalFormatting>
  <conditionalFormatting sqref="C113">
    <cfRule type="cellIs" dxfId="922" priority="1605" stopIfTrue="1" operator="equal">
      <formula>"Towel"</formula>
    </cfRule>
    <cfRule type="cellIs" dxfId="921" priority="1606" stopIfTrue="1" operator="equal">
      <formula>"Napkin Hs"</formula>
    </cfRule>
  </conditionalFormatting>
  <conditionalFormatting sqref="C113">
    <cfRule type="cellIs" dxfId="920" priority="1607" stopIfTrue="1" operator="equal">
      <formula>"Towel"</formula>
    </cfRule>
  </conditionalFormatting>
  <conditionalFormatting sqref="B113:C113">
    <cfRule type="cellIs" dxfId="919" priority="1604" stopIfTrue="1" operator="equal">
      <formula>"Napkin Hs"</formula>
    </cfRule>
  </conditionalFormatting>
  <conditionalFormatting sqref="B113:C113">
    <cfRule type="cellIs" dxfId="918" priority="1603" stopIfTrue="1" operator="equal">
      <formula>"Towel"</formula>
    </cfRule>
  </conditionalFormatting>
  <conditionalFormatting sqref="C113">
    <cfRule type="cellIs" dxfId="917" priority="1602" stopIfTrue="1" operator="equal">
      <formula>"Napkin Hs"</formula>
    </cfRule>
  </conditionalFormatting>
  <conditionalFormatting sqref="C113">
    <cfRule type="cellIs" dxfId="916" priority="1599" stopIfTrue="1" operator="equal">
      <formula>"Towel"</formula>
    </cfRule>
    <cfRule type="cellIs" dxfId="915" priority="1600" stopIfTrue="1" operator="equal">
      <formula>"Napkin Hs"</formula>
    </cfRule>
  </conditionalFormatting>
  <conditionalFormatting sqref="C113">
    <cfRule type="cellIs" dxfId="914" priority="1601" stopIfTrue="1" operator="equal">
      <formula>"Towel"</formula>
    </cfRule>
  </conditionalFormatting>
  <conditionalFormatting sqref="B121:C121">
    <cfRule type="cellIs" dxfId="913" priority="978" stopIfTrue="1" operator="equal">
      <formula>"Napkin Hs"</formula>
    </cfRule>
  </conditionalFormatting>
  <conditionalFormatting sqref="B121:C121">
    <cfRule type="cellIs" dxfId="912" priority="977" stopIfTrue="1" operator="equal">
      <formula>"Towel"</formula>
    </cfRule>
  </conditionalFormatting>
  <conditionalFormatting sqref="C121">
    <cfRule type="cellIs" dxfId="911" priority="976" stopIfTrue="1" operator="equal">
      <formula>"Napkin Hs"</formula>
    </cfRule>
  </conditionalFormatting>
  <conditionalFormatting sqref="C121">
    <cfRule type="cellIs" dxfId="910" priority="975" stopIfTrue="1" operator="equal">
      <formula>"Towel"</formula>
    </cfRule>
  </conditionalFormatting>
  <conditionalFormatting sqref="C121">
    <cfRule type="cellIs" dxfId="909" priority="973" stopIfTrue="1" operator="equal">
      <formula>"Towel"</formula>
    </cfRule>
    <cfRule type="cellIs" dxfId="908" priority="974" stopIfTrue="1" operator="equal">
      <formula>"Napkin Hs"</formula>
    </cfRule>
  </conditionalFormatting>
  <conditionalFormatting sqref="B121:C121">
    <cfRule type="cellIs" dxfId="907" priority="972" stopIfTrue="1" operator="equal">
      <formula>"Napkin Hs"</formula>
    </cfRule>
  </conditionalFormatting>
  <conditionalFormatting sqref="B121:C121">
    <cfRule type="cellIs" dxfId="906" priority="971" stopIfTrue="1" operator="equal">
      <formula>"Towel"</formula>
    </cfRule>
  </conditionalFormatting>
  <conditionalFormatting sqref="C121">
    <cfRule type="cellIs" dxfId="905" priority="970" stopIfTrue="1" operator="equal">
      <formula>"Napkin Hs"</formula>
    </cfRule>
  </conditionalFormatting>
  <conditionalFormatting sqref="C121">
    <cfRule type="cellIs" dxfId="904" priority="969" stopIfTrue="1" operator="equal">
      <formula>"Towel"</formula>
    </cfRule>
  </conditionalFormatting>
  <conditionalFormatting sqref="C121">
    <cfRule type="cellIs" dxfId="903" priority="967" stopIfTrue="1" operator="equal">
      <formula>"Towel"</formula>
    </cfRule>
    <cfRule type="cellIs" dxfId="902" priority="968" stopIfTrue="1" operator="equal">
      <formula>"Napkin Hs"</formula>
    </cfRule>
  </conditionalFormatting>
  <conditionalFormatting sqref="B121:C121">
    <cfRule type="cellIs" dxfId="901" priority="965" stopIfTrue="1" operator="equal">
      <formula>"Towel"</formula>
    </cfRule>
    <cfRule type="cellIs" dxfId="900" priority="966" stopIfTrue="1" operator="equal">
      <formula>"Napkin Hs"</formula>
    </cfRule>
  </conditionalFormatting>
  <conditionalFormatting sqref="C121">
    <cfRule type="cellIs" dxfId="899" priority="961" stopIfTrue="1" operator="equal">
      <formula>"Towel"</formula>
    </cfRule>
    <cfRule type="cellIs" dxfId="898" priority="962" stopIfTrue="1" operator="equal">
      <formula>"Napkin Hs"</formula>
    </cfRule>
  </conditionalFormatting>
  <conditionalFormatting sqref="C121">
    <cfRule type="cellIs" dxfId="897" priority="963" stopIfTrue="1" operator="equal">
      <formula>"Towel"</formula>
    </cfRule>
    <cfRule type="cellIs" dxfId="896" priority="964" stopIfTrue="1" operator="equal">
      <formula>"Napkin Hs"</formula>
    </cfRule>
  </conditionalFormatting>
  <conditionalFormatting sqref="B121:C121">
    <cfRule type="cellIs" dxfId="895" priority="960" stopIfTrue="1" operator="equal">
      <formula>"Napkin Hs"</formula>
    </cfRule>
  </conditionalFormatting>
  <conditionalFormatting sqref="B121:C121">
    <cfRule type="cellIs" dxfId="894" priority="959" stopIfTrue="1" operator="equal">
      <formula>"Towel"</formula>
    </cfRule>
  </conditionalFormatting>
  <conditionalFormatting sqref="C121">
    <cfRule type="cellIs" dxfId="893" priority="958" stopIfTrue="1" operator="equal">
      <formula>"Napkin Hs"</formula>
    </cfRule>
  </conditionalFormatting>
  <conditionalFormatting sqref="C121">
    <cfRule type="cellIs" dxfId="892" priority="957" stopIfTrue="1" operator="equal">
      <formula>"Towel"</formula>
    </cfRule>
  </conditionalFormatting>
  <conditionalFormatting sqref="C121">
    <cfRule type="cellIs" dxfId="891" priority="955" stopIfTrue="1" operator="equal">
      <formula>"Towel"</formula>
    </cfRule>
    <cfRule type="cellIs" dxfId="890" priority="956" stopIfTrue="1" operator="equal">
      <formula>"Napkin Hs"</formula>
    </cfRule>
  </conditionalFormatting>
  <conditionalFormatting sqref="B121:C121">
    <cfRule type="cellIs" dxfId="889" priority="953" stopIfTrue="1" operator="equal">
      <formula>"Towel"</formula>
    </cfRule>
    <cfRule type="cellIs" dxfId="888" priority="954" stopIfTrue="1" operator="equal">
      <formula>"Napkin Hs"</formula>
    </cfRule>
  </conditionalFormatting>
  <conditionalFormatting sqref="C121">
    <cfRule type="cellIs" dxfId="887" priority="951" stopIfTrue="1" operator="equal">
      <formula>"Towel"</formula>
    </cfRule>
    <cfRule type="cellIs" dxfId="886" priority="952" stopIfTrue="1" operator="equal">
      <formula>"Napkin Hs"</formula>
    </cfRule>
  </conditionalFormatting>
  <conditionalFormatting sqref="C121">
    <cfRule type="cellIs" dxfId="885" priority="949" stopIfTrue="1" operator="equal">
      <formula>"Towel"</formula>
    </cfRule>
    <cfRule type="cellIs" dxfId="884" priority="950" stopIfTrue="1" operator="equal">
      <formula>"Napkin Hs"</formula>
    </cfRule>
  </conditionalFormatting>
  <conditionalFormatting sqref="B121:C121">
    <cfRule type="cellIs" dxfId="883" priority="947" stopIfTrue="1" operator="equal">
      <formula>"Towel"</formula>
    </cfRule>
    <cfRule type="cellIs" dxfId="882" priority="948" stopIfTrue="1" operator="equal">
      <formula>"Napkin Hs"</formula>
    </cfRule>
  </conditionalFormatting>
  <conditionalFormatting sqref="C121">
    <cfRule type="cellIs" dxfId="881" priority="945" stopIfTrue="1" operator="equal">
      <formula>"Towel"</formula>
    </cfRule>
    <cfRule type="cellIs" dxfId="880" priority="946" stopIfTrue="1" operator="equal">
      <formula>"Napkin Hs"</formula>
    </cfRule>
  </conditionalFormatting>
  <conditionalFormatting sqref="C121">
    <cfRule type="cellIs" dxfId="879" priority="943" stopIfTrue="1" operator="equal">
      <formula>"Towel"</formula>
    </cfRule>
    <cfRule type="cellIs" dxfId="878" priority="944" stopIfTrue="1" operator="equal">
      <formula>"Napkin Hs"</formula>
    </cfRule>
  </conditionalFormatting>
  <conditionalFormatting sqref="B121:C121">
    <cfRule type="cellIs" dxfId="877" priority="941" stopIfTrue="1" operator="equal">
      <formula>"Towel"</formula>
    </cfRule>
    <cfRule type="cellIs" dxfId="876" priority="942" stopIfTrue="1" operator="equal">
      <formula>"Napkin Hs"</formula>
    </cfRule>
  </conditionalFormatting>
  <conditionalFormatting sqref="C121">
    <cfRule type="cellIs" dxfId="875" priority="939" stopIfTrue="1" operator="equal">
      <formula>"Towel"</formula>
    </cfRule>
    <cfRule type="cellIs" dxfId="874" priority="940" stopIfTrue="1" operator="equal">
      <formula>"Napkin Hs"</formula>
    </cfRule>
  </conditionalFormatting>
  <conditionalFormatting sqref="C121">
    <cfRule type="cellIs" dxfId="873" priority="937" stopIfTrue="1" operator="equal">
      <formula>"Towel"</formula>
    </cfRule>
    <cfRule type="cellIs" dxfId="872" priority="938" stopIfTrue="1" operator="equal">
      <formula>"Napkin Hs"</formula>
    </cfRule>
  </conditionalFormatting>
  <conditionalFormatting sqref="B121:C121">
    <cfRule type="cellIs" dxfId="871" priority="935" stopIfTrue="1" operator="equal">
      <formula>"Towel"</formula>
    </cfRule>
    <cfRule type="cellIs" dxfId="870" priority="936" stopIfTrue="1" operator="equal">
      <formula>"Napkin Hs"</formula>
    </cfRule>
  </conditionalFormatting>
  <conditionalFormatting sqref="C121">
    <cfRule type="cellIs" dxfId="869" priority="933" stopIfTrue="1" operator="equal">
      <formula>"Towel"</formula>
    </cfRule>
    <cfRule type="cellIs" dxfId="868" priority="934" stopIfTrue="1" operator="equal">
      <formula>"Napkin Hs"</formula>
    </cfRule>
  </conditionalFormatting>
  <conditionalFormatting sqref="C121">
    <cfRule type="cellIs" dxfId="867" priority="931" stopIfTrue="1" operator="equal">
      <formula>"Towel"</formula>
    </cfRule>
    <cfRule type="cellIs" dxfId="866" priority="932" stopIfTrue="1" operator="equal">
      <formula>"Napkin Hs"</formula>
    </cfRule>
  </conditionalFormatting>
  <conditionalFormatting sqref="B121:C121">
    <cfRule type="cellIs" dxfId="865" priority="929" stopIfTrue="1" operator="equal">
      <formula>"Towel"</formula>
    </cfRule>
    <cfRule type="cellIs" dxfId="864" priority="930" stopIfTrue="1" operator="equal">
      <formula>"Napkin Hs"</formula>
    </cfRule>
  </conditionalFormatting>
  <conditionalFormatting sqref="C121">
    <cfRule type="cellIs" dxfId="863" priority="927" stopIfTrue="1" operator="equal">
      <formula>"Towel"</formula>
    </cfRule>
    <cfRule type="cellIs" dxfId="862" priority="928" stopIfTrue="1" operator="equal">
      <formula>"Napkin Hs"</formula>
    </cfRule>
  </conditionalFormatting>
  <conditionalFormatting sqref="C121">
    <cfRule type="cellIs" dxfId="861" priority="925" stopIfTrue="1" operator="equal">
      <formula>"Towel"</formula>
    </cfRule>
    <cfRule type="cellIs" dxfId="860" priority="926" stopIfTrue="1" operator="equal">
      <formula>"Napkin Hs"</formula>
    </cfRule>
  </conditionalFormatting>
  <conditionalFormatting sqref="B121:C121">
    <cfRule type="cellIs" dxfId="859" priority="924" stopIfTrue="1" operator="equal">
      <formula>"Napkin Hs"</formula>
    </cfRule>
  </conditionalFormatting>
  <conditionalFormatting sqref="B121:C121">
    <cfRule type="cellIs" dxfId="858" priority="923" stopIfTrue="1" operator="equal">
      <formula>"Towel"</formula>
    </cfRule>
  </conditionalFormatting>
  <conditionalFormatting sqref="C121">
    <cfRule type="cellIs" dxfId="857" priority="922" stopIfTrue="1" operator="equal">
      <formula>"Napkin Hs"</formula>
    </cfRule>
  </conditionalFormatting>
  <conditionalFormatting sqref="C121">
    <cfRule type="cellIs" dxfId="856" priority="919" stopIfTrue="1" operator="equal">
      <formula>"Towel"</formula>
    </cfRule>
    <cfRule type="cellIs" dxfId="855" priority="920" stopIfTrue="1" operator="equal">
      <formula>"Napkin Hs"</formula>
    </cfRule>
  </conditionalFormatting>
  <conditionalFormatting sqref="C121">
    <cfRule type="cellIs" dxfId="854" priority="921" stopIfTrue="1" operator="equal">
      <formula>"Towel"</formula>
    </cfRule>
  </conditionalFormatting>
  <conditionalFormatting sqref="C119">
    <cfRule type="cellIs" dxfId="853" priority="915" stopIfTrue="1" operator="equal">
      <formula>"Towel"</formula>
    </cfRule>
    <cfRule type="cellIs" dxfId="852" priority="916" stopIfTrue="1" operator="equal">
      <formula>"Napkin Hs"</formula>
    </cfRule>
  </conditionalFormatting>
  <conditionalFormatting sqref="B119:C119">
    <cfRule type="cellIs" dxfId="851" priority="917" stopIfTrue="1" operator="equal">
      <formula>"Towel"</formula>
    </cfRule>
    <cfRule type="cellIs" dxfId="850" priority="918" stopIfTrue="1" operator="equal">
      <formula>"Napkin Hs"</formula>
    </cfRule>
  </conditionalFormatting>
  <conditionalFormatting sqref="C119">
    <cfRule type="cellIs" dxfId="849" priority="913" stopIfTrue="1" operator="equal">
      <formula>"Towel"</formula>
    </cfRule>
    <cfRule type="cellIs" dxfId="848" priority="914" stopIfTrue="1" operator="equal">
      <formula>"Napkin Hs"</formula>
    </cfRule>
  </conditionalFormatting>
  <conditionalFormatting sqref="B119:C119">
    <cfRule type="cellIs" dxfId="847" priority="911" stopIfTrue="1" operator="equal">
      <formula>"Towel"</formula>
    </cfRule>
    <cfRule type="cellIs" dxfId="846" priority="912" stopIfTrue="1" operator="equal">
      <formula>"Napkin Hs"</formula>
    </cfRule>
  </conditionalFormatting>
  <conditionalFormatting sqref="C119">
    <cfRule type="cellIs" dxfId="845" priority="909" stopIfTrue="1" operator="equal">
      <formula>"Towel"</formula>
    </cfRule>
    <cfRule type="cellIs" dxfId="844" priority="910" stopIfTrue="1" operator="equal">
      <formula>"Napkin Hs"</formula>
    </cfRule>
  </conditionalFormatting>
  <conditionalFormatting sqref="C119">
    <cfRule type="cellIs" dxfId="843" priority="907" stopIfTrue="1" operator="equal">
      <formula>"Towel"</formula>
    </cfRule>
    <cfRule type="cellIs" dxfId="842" priority="908" stopIfTrue="1" operator="equal">
      <formula>"Napkin Hs"</formula>
    </cfRule>
  </conditionalFormatting>
  <conditionalFormatting sqref="B120:C120">
    <cfRule type="cellIs" dxfId="841" priority="906" stopIfTrue="1" operator="equal">
      <formula>"Napkin Hs"</formula>
    </cfRule>
  </conditionalFormatting>
  <conditionalFormatting sqref="B120:C120">
    <cfRule type="cellIs" dxfId="840" priority="905" stopIfTrue="1" operator="equal">
      <formula>"Towel"</formula>
    </cfRule>
  </conditionalFormatting>
  <conditionalFormatting sqref="C120">
    <cfRule type="cellIs" dxfId="839" priority="904" stopIfTrue="1" operator="equal">
      <formula>"Napkin Hs"</formula>
    </cfRule>
  </conditionalFormatting>
  <conditionalFormatting sqref="C120">
    <cfRule type="cellIs" dxfId="838" priority="903" stopIfTrue="1" operator="equal">
      <formula>"Towel"</formula>
    </cfRule>
  </conditionalFormatting>
  <conditionalFormatting sqref="C120">
    <cfRule type="cellIs" dxfId="837" priority="901" stopIfTrue="1" operator="equal">
      <formula>"Towel"</formula>
    </cfRule>
    <cfRule type="cellIs" dxfId="836" priority="902" stopIfTrue="1" operator="equal">
      <formula>"Napkin Hs"</formula>
    </cfRule>
  </conditionalFormatting>
  <conditionalFormatting sqref="B120:C120">
    <cfRule type="cellIs" dxfId="835" priority="900" stopIfTrue="1" operator="equal">
      <formula>"Napkin Hs"</formula>
    </cfRule>
  </conditionalFormatting>
  <conditionalFormatting sqref="B120:C120">
    <cfRule type="cellIs" dxfId="834" priority="899" stopIfTrue="1" operator="equal">
      <formula>"Towel"</formula>
    </cfRule>
  </conditionalFormatting>
  <conditionalFormatting sqref="C120">
    <cfRule type="cellIs" dxfId="833" priority="898" stopIfTrue="1" operator="equal">
      <formula>"Napkin Hs"</formula>
    </cfRule>
  </conditionalFormatting>
  <conditionalFormatting sqref="C120">
    <cfRule type="cellIs" dxfId="832" priority="897" stopIfTrue="1" operator="equal">
      <formula>"Towel"</formula>
    </cfRule>
  </conditionalFormatting>
  <conditionalFormatting sqref="C120">
    <cfRule type="cellIs" dxfId="831" priority="895" stopIfTrue="1" operator="equal">
      <formula>"Towel"</formula>
    </cfRule>
    <cfRule type="cellIs" dxfId="830" priority="896" stopIfTrue="1" operator="equal">
      <formula>"Napkin Hs"</formula>
    </cfRule>
  </conditionalFormatting>
  <conditionalFormatting sqref="B120:C120">
    <cfRule type="cellIs" dxfId="829" priority="893" stopIfTrue="1" operator="equal">
      <formula>"Towel"</formula>
    </cfRule>
    <cfRule type="cellIs" dxfId="828" priority="894" stopIfTrue="1" operator="equal">
      <formula>"Napkin Hs"</formula>
    </cfRule>
  </conditionalFormatting>
  <conditionalFormatting sqref="C120">
    <cfRule type="cellIs" dxfId="827" priority="889" stopIfTrue="1" operator="equal">
      <formula>"Towel"</formula>
    </cfRule>
    <cfRule type="cellIs" dxfId="826" priority="890" stopIfTrue="1" operator="equal">
      <formula>"Napkin Hs"</formula>
    </cfRule>
  </conditionalFormatting>
  <conditionalFormatting sqref="C120">
    <cfRule type="cellIs" dxfId="825" priority="891" stopIfTrue="1" operator="equal">
      <formula>"Towel"</formula>
    </cfRule>
    <cfRule type="cellIs" dxfId="824" priority="892" stopIfTrue="1" operator="equal">
      <formula>"Napkin Hs"</formula>
    </cfRule>
  </conditionalFormatting>
  <conditionalFormatting sqref="B120:C120">
    <cfRule type="cellIs" dxfId="823" priority="888" stopIfTrue="1" operator="equal">
      <formula>"Napkin Hs"</formula>
    </cfRule>
  </conditionalFormatting>
  <conditionalFormatting sqref="B120:C120">
    <cfRule type="cellIs" dxfId="822" priority="887" stopIfTrue="1" operator="equal">
      <formula>"Towel"</formula>
    </cfRule>
  </conditionalFormatting>
  <conditionalFormatting sqref="C120">
    <cfRule type="cellIs" dxfId="821" priority="886" stopIfTrue="1" operator="equal">
      <formula>"Napkin Hs"</formula>
    </cfRule>
  </conditionalFormatting>
  <conditionalFormatting sqref="C120">
    <cfRule type="cellIs" dxfId="820" priority="885" stopIfTrue="1" operator="equal">
      <formula>"Towel"</formula>
    </cfRule>
  </conditionalFormatting>
  <conditionalFormatting sqref="C120">
    <cfRule type="cellIs" dxfId="819" priority="883" stopIfTrue="1" operator="equal">
      <formula>"Towel"</formula>
    </cfRule>
    <cfRule type="cellIs" dxfId="818" priority="884" stopIfTrue="1" operator="equal">
      <formula>"Napkin Hs"</formula>
    </cfRule>
  </conditionalFormatting>
  <conditionalFormatting sqref="B120:C120">
    <cfRule type="cellIs" dxfId="817" priority="881" stopIfTrue="1" operator="equal">
      <formula>"Towel"</formula>
    </cfRule>
    <cfRule type="cellIs" dxfId="816" priority="882" stopIfTrue="1" operator="equal">
      <formula>"Napkin Hs"</formula>
    </cfRule>
  </conditionalFormatting>
  <conditionalFormatting sqref="C120">
    <cfRule type="cellIs" dxfId="815" priority="879" stopIfTrue="1" operator="equal">
      <formula>"Towel"</formula>
    </cfRule>
    <cfRule type="cellIs" dxfId="814" priority="880" stopIfTrue="1" operator="equal">
      <formula>"Napkin Hs"</formula>
    </cfRule>
  </conditionalFormatting>
  <conditionalFormatting sqref="C120">
    <cfRule type="cellIs" dxfId="813" priority="877" stopIfTrue="1" operator="equal">
      <formula>"Towel"</formula>
    </cfRule>
    <cfRule type="cellIs" dxfId="812" priority="878" stopIfTrue="1" operator="equal">
      <formula>"Napkin Hs"</formula>
    </cfRule>
  </conditionalFormatting>
  <conditionalFormatting sqref="B120:C120">
    <cfRule type="cellIs" dxfId="811" priority="875" stopIfTrue="1" operator="equal">
      <formula>"Towel"</formula>
    </cfRule>
    <cfRule type="cellIs" dxfId="810" priority="876" stopIfTrue="1" operator="equal">
      <formula>"Napkin Hs"</formula>
    </cfRule>
  </conditionalFormatting>
  <conditionalFormatting sqref="C120">
    <cfRule type="cellIs" dxfId="809" priority="873" stopIfTrue="1" operator="equal">
      <formula>"Towel"</formula>
    </cfRule>
    <cfRule type="cellIs" dxfId="808" priority="874" stopIfTrue="1" operator="equal">
      <formula>"Napkin Hs"</formula>
    </cfRule>
  </conditionalFormatting>
  <conditionalFormatting sqref="C120">
    <cfRule type="cellIs" dxfId="807" priority="871" stopIfTrue="1" operator="equal">
      <formula>"Towel"</formula>
    </cfRule>
    <cfRule type="cellIs" dxfId="806" priority="872" stopIfTrue="1" operator="equal">
      <formula>"Napkin Hs"</formula>
    </cfRule>
  </conditionalFormatting>
  <conditionalFormatting sqref="B120:C120">
    <cfRule type="cellIs" dxfId="805" priority="869" stopIfTrue="1" operator="equal">
      <formula>"Towel"</formula>
    </cfRule>
    <cfRule type="cellIs" dxfId="804" priority="870" stopIfTrue="1" operator="equal">
      <formula>"Napkin Hs"</formula>
    </cfRule>
  </conditionalFormatting>
  <conditionalFormatting sqref="C120">
    <cfRule type="cellIs" dxfId="803" priority="867" stopIfTrue="1" operator="equal">
      <formula>"Towel"</formula>
    </cfRule>
    <cfRule type="cellIs" dxfId="802" priority="868" stopIfTrue="1" operator="equal">
      <formula>"Napkin Hs"</formula>
    </cfRule>
  </conditionalFormatting>
  <conditionalFormatting sqref="C120">
    <cfRule type="cellIs" dxfId="801" priority="865" stopIfTrue="1" operator="equal">
      <formula>"Towel"</formula>
    </cfRule>
    <cfRule type="cellIs" dxfId="800" priority="866" stopIfTrue="1" operator="equal">
      <formula>"Napkin Hs"</formula>
    </cfRule>
  </conditionalFormatting>
  <conditionalFormatting sqref="B120:C120">
    <cfRule type="cellIs" dxfId="799" priority="863" stopIfTrue="1" operator="equal">
      <formula>"Towel"</formula>
    </cfRule>
    <cfRule type="cellIs" dxfId="798" priority="864" stopIfTrue="1" operator="equal">
      <formula>"Napkin Hs"</formula>
    </cfRule>
  </conditionalFormatting>
  <conditionalFormatting sqref="C120">
    <cfRule type="cellIs" dxfId="797" priority="861" stopIfTrue="1" operator="equal">
      <formula>"Towel"</formula>
    </cfRule>
    <cfRule type="cellIs" dxfId="796" priority="862" stopIfTrue="1" operator="equal">
      <formula>"Napkin Hs"</formula>
    </cfRule>
  </conditionalFormatting>
  <conditionalFormatting sqref="C120">
    <cfRule type="cellIs" dxfId="795" priority="859" stopIfTrue="1" operator="equal">
      <formula>"Towel"</formula>
    </cfRule>
    <cfRule type="cellIs" dxfId="794" priority="860" stopIfTrue="1" operator="equal">
      <formula>"Napkin Hs"</formula>
    </cfRule>
  </conditionalFormatting>
  <conditionalFormatting sqref="B120:C120">
    <cfRule type="cellIs" dxfId="793" priority="857" stopIfTrue="1" operator="equal">
      <formula>"Towel"</formula>
    </cfRule>
    <cfRule type="cellIs" dxfId="792" priority="858" stopIfTrue="1" operator="equal">
      <formula>"Napkin Hs"</formula>
    </cfRule>
  </conditionalFormatting>
  <conditionalFormatting sqref="C120">
    <cfRule type="cellIs" dxfId="791" priority="855" stopIfTrue="1" operator="equal">
      <formula>"Towel"</formula>
    </cfRule>
    <cfRule type="cellIs" dxfId="790" priority="856" stopIfTrue="1" operator="equal">
      <formula>"Napkin Hs"</formula>
    </cfRule>
  </conditionalFormatting>
  <conditionalFormatting sqref="C120">
    <cfRule type="cellIs" dxfId="789" priority="853" stopIfTrue="1" operator="equal">
      <formula>"Towel"</formula>
    </cfRule>
    <cfRule type="cellIs" dxfId="788" priority="854" stopIfTrue="1" operator="equal">
      <formula>"Napkin Hs"</formula>
    </cfRule>
  </conditionalFormatting>
  <conditionalFormatting sqref="B120:C120">
    <cfRule type="cellIs" dxfId="787" priority="852" stopIfTrue="1" operator="equal">
      <formula>"Napkin Hs"</formula>
    </cfRule>
  </conditionalFormatting>
  <conditionalFormatting sqref="B120:C120">
    <cfRule type="cellIs" dxfId="786" priority="851" stopIfTrue="1" operator="equal">
      <formula>"Towel"</formula>
    </cfRule>
  </conditionalFormatting>
  <conditionalFormatting sqref="C120">
    <cfRule type="cellIs" dxfId="785" priority="850" stopIfTrue="1" operator="equal">
      <formula>"Napkin Hs"</formula>
    </cfRule>
  </conditionalFormatting>
  <conditionalFormatting sqref="C120">
    <cfRule type="cellIs" dxfId="784" priority="847" stopIfTrue="1" operator="equal">
      <formula>"Towel"</formula>
    </cfRule>
    <cfRule type="cellIs" dxfId="783" priority="848" stopIfTrue="1" operator="equal">
      <formula>"Napkin Hs"</formula>
    </cfRule>
  </conditionalFormatting>
  <conditionalFormatting sqref="C120">
    <cfRule type="cellIs" dxfId="782" priority="849" stopIfTrue="1" operator="equal">
      <formula>"Towel"</formula>
    </cfRule>
  </conditionalFormatting>
  <conditionalFormatting sqref="B118:C118">
    <cfRule type="cellIs" dxfId="781" priority="846" stopIfTrue="1" operator="equal">
      <formula>"Napkin Hs"</formula>
    </cfRule>
  </conditionalFormatting>
  <conditionalFormatting sqref="B118:C118">
    <cfRule type="cellIs" dxfId="780" priority="845" stopIfTrue="1" operator="equal">
      <formula>"Towel"</formula>
    </cfRule>
  </conditionalFormatting>
  <conditionalFormatting sqref="C118">
    <cfRule type="cellIs" dxfId="779" priority="844" stopIfTrue="1" operator="equal">
      <formula>"Napkin Hs"</formula>
    </cfRule>
  </conditionalFormatting>
  <conditionalFormatting sqref="C118">
    <cfRule type="cellIs" dxfId="778" priority="843" stopIfTrue="1" operator="equal">
      <formula>"Towel"</formula>
    </cfRule>
  </conditionalFormatting>
  <conditionalFormatting sqref="C118">
    <cfRule type="cellIs" dxfId="777" priority="841" stopIfTrue="1" operator="equal">
      <formula>"Towel"</formula>
    </cfRule>
    <cfRule type="cellIs" dxfId="776" priority="842" stopIfTrue="1" operator="equal">
      <formula>"Napkin Hs"</formula>
    </cfRule>
  </conditionalFormatting>
  <conditionalFormatting sqref="B118:C118">
    <cfRule type="cellIs" dxfId="775" priority="839" stopIfTrue="1" operator="equal">
      <formula>"Towel"</formula>
    </cfRule>
    <cfRule type="cellIs" dxfId="774" priority="840" stopIfTrue="1" operator="equal">
      <formula>"Napkin Hs"</formula>
    </cfRule>
  </conditionalFormatting>
  <conditionalFormatting sqref="C118">
    <cfRule type="cellIs" dxfId="773" priority="835" stopIfTrue="1" operator="equal">
      <formula>"Towel"</formula>
    </cfRule>
    <cfRule type="cellIs" dxfId="772" priority="836" stopIfTrue="1" operator="equal">
      <formula>"Napkin Hs"</formula>
    </cfRule>
  </conditionalFormatting>
  <conditionalFormatting sqref="C118">
    <cfRule type="cellIs" dxfId="771" priority="837" stopIfTrue="1" operator="equal">
      <formula>"Towel"</formula>
    </cfRule>
    <cfRule type="cellIs" dxfId="770" priority="838" stopIfTrue="1" operator="equal">
      <formula>"Napkin Hs"</formula>
    </cfRule>
  </conditionalFormatting>
  <conditionalFormatting sqref="B118:C118">
    <cfRule type="cellIs" dxfId="769" priority="834" stopIfTrue="1" operator="equal">
      <formula>"Napkin Hs"</formula>
    </cfRule>
  </conditionalFormatting>
  <conditionalFormatting sqref="B118:C118">
    <cfRule type="cellIs" dxfId="768" priority="833" stopIfTrue="1" operator="equal">
      <formula>"Towel"</formula>
    </cfRule>
  </conditionalFormatting>
  <conditionalFormatting sqref="C118">
    <cfRule type="cellIs" dxfId="767" priority="832" stopIfTrue="1" operator="equal">
      <formula>"Napkin Hs"</formula>
    </cfRule>
  </conditionalFormatting>
  <conditionalFormatting sqref="C118">
    <cfRule type="cellIs" dxfId="766" priority="831" stopIfTrue="1" operator="equal">
      <formula>"Towel"</formula>
    </cfRule>
  </conditionalFormatting>
  <conditionalFormatting sqref="C118">
    <cfRule type="cellIs" dxfId="765" priority="829" stopIfTrue="1" operator="equal">
      <formula>"Towel"</formula>
    </cfRule>
    <cfRule type="cellIs" dxfId="764" priority="830" stopIfTrue="1" operator="equal">
      <formula>"Napkin Hs"</formula>
    </cfRule>
  </conditionalFormatting>
  <conditionalFormatting sqref="B118:C118">
    <cfRule type="cellIs" dxfId="763" priority="827" stopIfTrue="1" operator="equal">
      <formula>"Towel"</formula>
    </cfRule>
    <cfRule type="cellIs" dxfId="762" priority="828" stopIfTrue="1" operator="equal">
      <formula>"Napkin Hs"</formula>
    </cfRule>
  </conditionalFormatting>
  <conditionalFormatting sqref="C118">
    <cfRule type="cellIs" dxfId="761" priority="825" stopIfTrue="1" operator="equal">
      <formula>"Towel"</formula>
    </cfRule>
    <cfRule type="cellIs" dxfId="760" priority="826" stopIfTrue="1" operator="equal">
      <formula>"Napkin Hs"</formula>
    </cfRule>
  </conditionalFormatting>
  <conditionalFormatting sqref="C118">
    <cfRule type="cellIs" dxfId="759" priority="823" stopIfTrue="1" operator="equal">
      <formula>"Towel"</formula>
    </cfRule>
    <cfRule type="cellIs" dxfId="758" priority="824" stopIfTrue="1" operator="equal">
      <formula>"Napkin Hs"</formula>
    </cfRule>
  </conditionalFormatting>
  <conditionalFormatting sqref="B118:C118">
    <cfRule type="cellIs" dxfId="757" priority="821" stopIfTrue="1" operator="equal">
      <formula>"Towel"</formula>
    </cfRule>
    <cfRule type="cellIs" dxfId="756" priority="822" stopIfTrue="1" operator="equal">
      <formula>"Napkin Hs"</formula>
    </cfRule>
  </conditionalFormatting>
  <conditionalFormatting sqref="C118">
    <cfRule type="cellIs" dxfId="755" priority="819" stopIfTrue="1" operator="equal">
      <formula>"Towel"</formula>
    </cfRule>
    <cfRule type="cellIs" dxfId="754" priority="820" stopIfTrue="1" operator="equal">
      <formula>"Napkin Hs"</formula>
    </cfRule>
  </conditionalFormatting>
  <conditionalFormatting sqref="C118">
    <cfRule type="cellIs" dxfId="753" priority="817" stopIfTrue="1" operator="equal">
      <formula>"Towel"</formula>
    </cfRule>
    <cfRule type="cellIs" dxfId="752" priority="818" stopIfTrue="1" operator="equal">
      <formula>"Napkin Hs"</formula>
    </cfRule>
  </conditionalFormatting>
  <conditionalFormatting sqref="B118:C118">
    <cfRule type="cellIs" dxfId="751" priority="815" stopIfTrue="1" operator="equal">
      <formula>"Towel"</formula>
    </cfRule>
    <cfRule type="cellIs" dxfId="750" priority="816" stopIfTrue="1" operator="equal">
      <formula>"Napkin Hs"</formula>
    </cfRule>
  </conditionalFormatting>
  <conditionalFormatting sqref="C118">
    <cfRule type="cellIs" dxfId="749" priority="813" stopIfTrue="1" operator="equal">
      <formula>"Towel"</formula>
    </cfRule>
    <cfRule type="cellIs" dxfId="748" priority="814" stopIfTrue="1" operator="equal">
      <formula>"Napkin Hs"</formula>
    </cfRule>
  </conditionalFormatting>
  <conditionalFormatting sqref="C118">
    <cfRule type="cellIs" dxfId="747" priority="811" stopIfTrue="1" operator="equal">
      <formula>"Towel"</formula>
    </cfRule>
    <cfRule type="cellIs" dxfId="746" priority="812" stopIfTrue="1" operator="equal">
      <formula>"Napkin Hs"</formula>
    </cfRule>
  </conditionalFormatting>
  <conditionalFormatting sqref="B118:C118">
    <cfRule type="cellIs" dxfId="745" priority="809" stopIfTrue="1" operator="equal">
      <formula>"Towel"</formula>
    </cfRule>
    <cfRule type="cellIs" dxfId="744" priority="810" stopIfTrue="1" operator="equal">
      <formula>"Napkin Hs"</formula>
    </cfRule>
  </conditionalFormatting>
  <conditionalFormatting sqref="C118">
    <cfRule type="cellIs" dxfId="743" priority="807" stopIfTrue="1" operator="equal">
      <formula>"Towel"</formula>
    </cfRule>
    <cfRule type="cellIs" dxfId="742" priority="808" stopIfTrue="1" operator="equal">
      <formula>"Napkin Hs"</formula>
    </cfRule>
  </conditionalFormatting>
  <conditionalFormatting sqref="C118">
    <cfRule type="cellIs" dxfId="741" priority="805" stopIfTrue="1" operator="equal">
      <formula>"Towel"</formula>
    </cfRule>
    <cfRule type="cellIs" dxfId="740" priority="806" stopIfTrue="1" operator="equal">
      <formula>"Napkin Hs"</formula>
    </cfRule>
  </conditionalFormatting>
  <conditionalFormatting sqref="B118:C118">
    <cfRule type="cellIs" dxfId="739" priority="803" stopIfTrue="1" operator="equal">
      <formula>"Towel"</formula>
    </cfRule>
    <cfRule type="cellIs" dxfId="738" priority="804" stopIfTrue="1" operator="equal">
      <formula>"Napkin Hs"</formula>
    </cfRule>
  </conditionalFormatting>
  <conditionalFormatting sqref="C118">
    <cfRule type="cellIs" dxfId="737" priority="801" stopIfTrue="1" operator="equal">
      <formula>"Towel"</formula>
    </cfRule>
    <cfRule type="cellIs" dxfId="736" priority="802" stopIfTrue="1" operator="equal">
      <formula>"Napkin Hs"</formula>
    </cfRule>
  </conditionalFormatting>
  <conditionalFormatting sqref="C118">
    <cfRule type="cellIs" dxfId="735" priority="799" stopIfTrue="1" operator="equal">
      <formula>"Towel"</formula>
    </cfRule>
    <cfRule type="cellIs" dxfId="734" priority="800" stopIfTrue="1" operator="equal">
      <formula>"Napkin Hs"</formula>
    </cfRule>
  </conditionalFormatting>
  <conditionalFormatting sqref="B118:C118">
    <cfRule type="cellIs" dxfId="733" priority="798" stopIfTrue="1" operator="equal">
      <formula>"Napkin Hs"</formula>
    </cfRule>
  </conditionalFormatting>
  <conditionalFormatting sqref="B118:C118">
    <cfRule type="cellIs" dxfId="732" priority="797" stopIfTrue="1" operator="equal">
      <formula>"Towel"</formula>
    </cfRule>
  </conditionalFormatting>
  <conditionalFormatting sqref="C118">
    <cfRule type="cellIs" dxfId="731" priority="796" stopIfTrue="1" operator="equal">
      <formula>"Napkin Hs"</formula>
    </cfRule>
  </conditionalFormatting>
  <conditionalFormatting sqref="C118">
    <cfRule type="cellIs" dxfId="730" priority="793" stopIfTrue="1" operator="equal">
      <formula>"Towel"</formula>
    </cfRule>
    <cfRule type="cellIs" dxfId="729" priority="794" stopIfTrue="1" operator="equal">
      <formula>"Napkin Hs"</formula>
    </cfRule>
  </conditionalFormatting>
  <conditionalFormatting sqref="C118">
    <cfRule type="cellIs" dxfId="728" priority="795" stopIfTrue="1" operator="equal">
      <formula>"Towel"</formula>
    </cfRule>
  </conditionalFormatting>
  <conditionalFormatting sqref="B119:C119">
    <cfRule type="cellIs" dxfId="727" priority="789" stopIfTrue="1" operator="equal">
      <formula>"Towel"</formula>
    </cfRule>
    <cfRule type="cellIs" dxfId="726" priority="790" stopIfTrue="1" operator="equal">
      <formula>"Napkin Hs"</formula>
    </cfRule>
  </conditionalFormatting>
  <conditionalFormatting sqref="B120:C120">
    <cfRule type="cellIs" dxfId="725" priority="785" stopIfTrue="1" operator="equal">
      <formula>"Towel"</formula>
    </cfRule>
    <cfRule type="cellIs" dxfId="724" priority="786" stopIfTrue="1" operator="equal">
      <formula>"Napkin Hs"</formula>
    </cfRule>
  </conditionalFormatting>
  <conditionalFormatting sqref="C119">
    <cfRule type="cellIs" dxfId="723" priority="791" stopIfTrue="1" operator="equal">
      <formula>"Towel"</formula>
    </cfRule>
    <cfRule type="cellIs" dxfId="722" priority="792" stopIfTrue="1" operator="equal">
      <formula>"Napkin Hs"</formula>
    </cfRule>
  </conditionalFormatting>
  <conditionalFormatting sqref="C119:C120">
    <cfRule type="cellIs" dxfId="721" priority="787" stopIfTrue="1" operator="equal">
      <formula>"Towel"</formula>
    </cfRule>
    <cfRule type="cellIs" dxfId="720" priority="788" stopIfTrue="1" operator="equal">
      <formula>"Napkin Hs"</formula>
    </cfRule>
  </conditionalFormatting>
  <conditionalFormatting sqref="C120">
    <cfRule type="cellIs" dxfId="719" priority="783" stopIfTrue="1" operator="equal">
      <formula>"Towel"</formula>
    </cfRule>
    <cfRule type="cellIs" dxfId="718" priority="784" stopIfTrue="1" operator="equal">
      <formula>"Napkin Hs"</formula>
    </cfRule>
  </conditionalFormatting>
  <conditionalFormatting sqref="B119:C120">
    <cfRule type="cellIs" dxfId="717" priority="782" stopIfTrue="1" operator="equal">
      <formula>"Napkin Hs"</formula>
    </cfRule>
  </conditionalFormatting>
  <conditionalFormatting sqref="B119:C120">
    <cfRule type="cellIs" dxfId="716" priority="781" stopIfTrue="1" operator="equal">
      <formula>"Towel"</formula>
    </cfRule>
  </conditionalFormatting>
  <conditionalFormatting sqref="C119:C120">
    <cfRule type="cellIs" dxfId="715" priority="780" stopIfTrue="1" operator="equal">
      <formula>"Napkin Hs"</formula>
    </cfRule>
  </conditionalFormatting>
  <conditionalFormatting sqref="C119:C120">
    <cfRule type="cellIs" dxfId="714" priority="779" stopIfTrue="1" operator="equal">
      <formula>"Towel"</formula>
    </cfRule>
  </conditionalFormatting>
  <conditionalFormatting sqref="C119:C120">
    <cfRule type="cellIs" dxfId="713" priority="777" stopIfTrue="1" operator="equal">
      <formula>"Towel"</formula>
    </cfRule>
    <cfRule type="cellIs" dxfId="712" priority="778" stopIfTrue="1" operator="equal">
      <formula>"Napkin Hs"</formula>
    </cfRule>
  </conditionalFormatting>
  <conditionalFormatting sqref="B119:C119">
    <cfRule type="cellIs" dxfId="711" priority="776" stopIfTrue="1" operator="equal">
      <formula>"Napkin Hs"</formula>
    </cfRule>
  </conditionalFormatting>
  <conditionalFormatting sqref="B119:C119">
    <cfRule type="cellIs" dxfId="710" priority="775" stopIfTrue="1" operator="equal">
      <formula>"Towel"</formula>
    </cfRule>
  </conditionalFormatting>
  <conditionalFormatting sqref="C119">
    <cfRule type="cellIs" dxfId="709" priority="774" stopIfTrue="1" operator="equal">
      <formula>"Napkin Hs"</formula>
    </cfRule>
  </conditionalFormatting>
  <conditionalFormatting sqref="C119">
    <cfRule type="cellIs" dxfId="708" priority="773" stopIfTrue="1" operator="equal">
      <formula>"Towel"</formula>
    </cfRule>
  </conditionalFormatting>
  <conditionalFormatting sqref="C119">
    <cfRule type="cellIs" dxfId="707" priority="771" stopIfTrue="1" operator="equal">
      <formula>"Towel"</formula>
    </cfRule>
    <cfRule type="cellIs" dxfId="706" priority="772" stopIfTrue="1" operator="equal">
      <formula>"Napkin Hs"</formula>
    </cfRule>
  </conditionalFormatting>
  <conditionalFormatting sqref="B119:C119">
    <cfRule type="cellIs" dxfId="705" priority="769" stopIfTrue="1" operator="equal">
      <formula>"Towel"</formula>
    </cfRule>
    <cfRule type="cellIs" dxfId="704" priority="770" stopIfTrue="1" operator="equal">
      <formula>"Napkin Hs"</formula>
    </cfRule>
  </conditionalFormatting>
  <conditionalFormatting sqref="C119">
    <cfRule type="cellIs" dxfId="703" priority="765" stopIfTrue="1" operator="equal">
      <formula>"Towel"</formula>
    </cfRule>
    <cfRule type="cellIs" dxfId="702" priority="766" stopIfTrue="1" operator="equal">
      <formula>"Napkin Hs"</formula>
    </cfRule>
  </conditionalFormatting>
  <conditionalFormatting sqref="C119">
    <cfRule type="cellIs" dxfId="701" priority="767" stopIfTrue="1" operator="equal">
      <formula>"Towel"</formula>
    </cfRule>
    <cfRule type="cellIs" dxfId="700" priority="768" stopIfTrue="1" operator="equal">
      <formula>"Napkin Hs"</formula>
    </cfRule>
  </conditionalFormatting>
  <conditionalFormatting sqref="B119:C119">
    <cfRule type="cellIs" dxfId="699" priority="764" stopIfTrue="1" operator="equal">
      <formula>"Napkin Hs"</formula>
    </cfRule>
  </conditionalFormatting>
  <conditionalFormatting sqref="B119:C119">
    <cfRule type="cellIs" dxfId="698" priority="763" stopIfTrue="1" operator="equal">
      <formula>"Towel"</formula>
    </cfRule>
  </conditionalFormatting>
  <conditionalFormatting sqref="C119">
    <cfRule type="cellIs" dxfId="697" priority="762" stopIfTrue="1" operator="equal">
      <formula>"Napkin Hs"</formula>
    </cfRule>
  </conditionalFormatting>
  <conditionalFormatting sqref="C119">
    <cfRule type="cellIs" dxfId="696" priority="761" stopIfTrue="1" operator="equal">
      <formula>"Towel"</formula>
    </cfRule>
  </conditionalFormatting>
  <conditionalFormatting sqref="C119">
    <cfRule type="cellIs" dxfId="695" priority="759" stopIfTrue="1" operator="equal">
      <formula>"Towel"</formula>
    </cfRule>
    <cfRule type="cellIs" dxfId="694" priority="760" stopIfTrue="1" operator="equal">
      <formula>"Napkin Hs"</formula>
    </cfRule>
  </conditionalFormatting>
  <conditionalFormatting sqref="B119:C119">
    <cfRule type="cellIs" dxfId="693" priority="757" stopIfTrue="1" operator="equal">
      <formula>"Towel"</formula>
    </cfRule>
    <cfRule type="cellIs" dxfId="692" priority="758" stopIfTrue="1" operator="equal">
      <formula>"Napkin Hs"</formula>
    </cfRule>
  </conditionalFormatting>
  <conditionalFormatting sqref="C119">
    <cfRule type="cellIs" dxfId="691" priority="755" stopIfTrue="1" operator="equal">
      <formula>"Towel"</formula>
    </cfRule>
    <cfRule type="cellIs" dxfId="690" priority="756" stopIfTrue="1" operator="equal">
      <formula>"Napkin Hs"</formula>
    </cfRule>
  </conditionalFormatting>
  <conditionalFormatting sqref="C119">
    <cfRule type="cellIs" dxfId="689" priority="753" stopIfTrue="1" operator="equal">
      <formula>"Towel"</formula>
    </cfRule>
    <cfRule type="cellIs" dxfId="688" priority="754" stopIfTrue="1" operator="equal">
      <formula>"Napkin Hs"</formula>
    </cfRule>
  </conditionalFormatting>
  <conditionalFormatting sqref="B119:C119">
    <cfRule type="cellIs" dxfId="687" priority="751" stopIfTrue="1" operator="equal">
      <formula>"Towel"</formula>
    </cfRule>
    <cfRule type="cellIs" dxfId="686" priority="752" stopIfTrue="1" operator="equal">
      <formula>"Napkin Hs"</formula>
    </cfRule>
  </conditionalFormatting>
  <conditionalFormatting sqref="C119">
    <cfRule type="cellIs" dxfId="685" priority="749" stopIfTrue="1" operator="equal">
      <formula>"Towel"</formula>
    </cfRule>
    <cfRule type="cellIs" dxfId="684" priority="750" stopIfTrue="1" operator="equal">
      <formula>"Napkin Hs"</formula>
    </cfRule>
  </conditionalFormatting>
  <conditionalFormatting sqref="C119">
    <cfRule type="cellIs" dxfId="683" priority="747" stopIfTrue="1" operator="equal">
      <formula>"Towel"</formula>
    </cfRule>
    <cfRule type="cellIs" dxfId="682" priority="748" stopIfTrue="1" operator="equal">
      <formula>"Napkin Hs"</formula>
    </cfRule>
  </conditionalFormatting>
  <conditionalFormatting sqref="B119:C119">
    <cfRule type="cellIs" dxfId="681" priority="745" stopIfTrue="1" operator="equal">
      <formula>"Towel"</formula>
    </cfRule>
    <cfRule type="cellIs" dxfId="680" priority="746" stopIfTrue="1" operator="equal">
      <formula>"Napkin Hs"</formula>
    </cfRule>
  </conditionalFormatting>
  <conditionalFormatting sqref="C119">
    <cfRule type="cellIs" dxfId="679" priority="743" stopIfTrue="1" operator="equal">
      <formula>"Towel"</formula>
    </cfRule>
    <cfRule type="cellIs" dxfId="678" priority="744" stopIfTrue="1" operator="equal">
      <formula>"Napkin Hs"</formula>
    </cfRule>
  </conditionalFormatting>
  <conditionalFormatting sqref="C119">
    <cfRule type="cellIs" dxfId="677" priority="741" stopIfTrue="1" operator="equal">
      <formula>"Towel"</formula>
    </cfRule>
    <cfRule type="cellIs" dxfId="676" priority="742" stopIfTrue="1" operator="equal">
      <formula>"Napkin Hs"</formula>
    </cfRule>
  </conditionalFormatting>
  <conditionalFormatting sqref="B119:C119">
    <cfRule type="cellIs" dxfId="675" priority="739" stopIfTrue="1" operator="equal">
      <formula>"Towel"</formula>
    </cfRule>
    <cfRule type="cellIs" dxfId="674" priority="740" stopIfTrue="1" operator="equal">
      <formula>"Napkin Hs"</formula>
    </cfRule>
  </conditionalFormatting>
  <conditionalFormatting sqref="C119">
    <cfRule type="cellIs" dxfId="673" priority="737" stopIfTrue="1" operator="equal">
      <formula>"Towel"</formula>
    </cfRule>
    <cfRule type="cellIs" dxfId="672" priority="738" stopIfTrue="1" operator="equal">
      <formula>"Napkin Hs"</formula>
    </cfRule>
  </conditionalFormatting>
  <conditionalFormatting sqref="C119">
    <cfRule type="cellIs" dxfId="671" priority="735" stopIfTrue="1" operator="equal">
      <formula>"Towel"</formula>
    </cfRule>
    <cfRule type="cellIs" dxfId="670" priority="736" stopIfTrue="1" operator="equal">
      <formula>"Napkin Hs"</formula>
    </cfRule>
  </conditionalFormatting>
  <conditionalFormatting sqref="B119:C119">
    <cfRule type="cellIs" dxfId="669" priority="733" stopIfTrue="1" operator="equal">
      <formula>"Towel"</formula>
    </cfRule>
    <cfRule type="cellIs" dxfId="668" priority="734" stopIfTrue="1" operator="equal">
      <formula>"Napkin Hs"</formula>
    </cfRule>
  </conditionalFormatting>
  <conditionalFormatting sqref="C119">
    <cfRule type="cellIs" dxfId="667" priority="731" stopIfTrue="1" operator="equal">
      <formula>"Towel"</formula>
    </cfRule>
    <cfRule type="cellIs" dxfId="666" priority="732" stopIfTrue="1" operator="equal">
      <formula>"Napkin Hs"</formula>
    </cfRule>
  </conditionalFormatting>
  <conditionalFormatting sqref="C119">
    <cfRule type="cellIs" dxfId="665" priority="729" stopIfTrue="1" operator="equal">
      <formula>"Towel"</formula>
    </cfRule>
    <cfRule type="cellIs" dxfId="664" priority="730" stopIfTrue="1" operator="equal">
      <formula>"Napkin Hs"</formula>
    </cfRule>
  </conditionalFormatting>
  <conditionalFormatting sqref="B119:C119">
    <cfRule type="cellIs" dxfId="663" priority="728" stopIfTrue="1" operator="equal">
      <formula>"Napkin Hs"</formula>
    </cfRule>
  </conditionalFormatting>
  <conditionalFormatting sqref="B119:C119">
    <cfRule type="cellIs" dxfId="662" priority="727" stopIfTrue="1" operator="equal">
      <formula>"Towel"</formula>
    </cfRule>
  </conditionalFormatting>
  <conditionalFormatting sqref="C119">
    <cfRule type="cellIs" dxfId="661" priority="726" stopIfTrue="1" operator="equal">
      <formula>"Napkin Hs"</formula>
    </cfRule>
  </conditionalFormatting>
  <conditionalFormatting sqref="C119">
    <cfRule type="cellIs" dxfId="660" priority="723" stopIfTrue="1" operator="equal">
      <formula>"Towel"</formula>
    </cfRule>
    <cfRule type="cellIs" dxfId="659" priority="724" stopIfTrue="1" operator="equal">
      <formula>"Napkin Hs"</formula>
    </cfRule>
  </conditionalFormatting>
  <conditionalFormatting sqref="C119">
    <cfRule type="cellIs" dxfId="658" priority="725" stopIfTrue="1" operator="equal">
      <formula>"Towel"</formula>
    </cfRule>
  </conditionalFormatting>
  <conditionalFormatting sqref="B120:C120">
    <cfRule type="cellIs" dxfId="657" priority="722" stopIfTrue="1" operator="equal">
      <formula>"Napkin Hs"</formula>
    </cfRule>
  </conditionalFormatting>
  <conditionalFormatting sqref="B120:C120">
    <cfRule type="cellIs" dxfId="656" priority="721" stopIfTrue="1" operator="equal">
      <formula>"Towel"</formula>
    </cfRule>
  </conditionalFormatting>
  <conditionalFormatting sqref="C120">
    <cfRule type="cellIs" dxfId="655" priority="720" stopIfTrue="1" operator="equal">
      <formula>"Napkin Hs"</formula>
    </cfRule>
  </conditionalFormatting>
  <conditionalFormatting sqref="C120">
    <cfRule type="cellIs" dxfId="654" priority="719" stopIfTrue="1" operator="equal">
      <formula>"Towel"</formula>
    </cfRule>
  </conditionalFormatting>
  <conditionalFormatting sqref="C120">
    <cfRule type="cellIs" dxfId="653" priority="717" stopIfTrue="1" operator="equal">
      <formula>"Towel"</formula>
    </cfRule>
    <cfRule type="cellIs" dxfId="652" priority="718" stopIfTrue="1" operator="equal">
      <formula>"Napkin Hs"</formula>
    </cfRule>
  </conditionalFormatting>
  <conditionalFormatting sqref="B120:C120">
    <cfRule type="cellIs" dxfId="651" priority="715" stopIfTrue="1" operator="equal">
      <formula>"Towel"</formula>
    </cfRule>
    <cfRule type="cellIs" dxfId="650" priority="716" stopIfTrue="1" operator="equal">
      <formula>"Napkin Hs"</formula>
    </cfRule>
  </conditionalFormatting>
  <conditionalFormatting sqref="C120">
    <cfRule type="cellIs" dxfId="649" priority="711" stopIfTrue="1" operator="equal">
      <formula>"Towel"</formula>
    </cfRule>
    <cfRule type="cellIs" dxfId="648" priority="712" stopIfTrue="1" operator="equal">
      <formula>"Napkin Hs"</formula>
    </cfRule>
  </conditionalFormatting>
  <conditionalFormatting sqref="C120">
    <cfRule type="cellIs" dxfId="647" priority="713" stopIfTrue="1" operator="equal">
      <formula>"Towel"</formula>
    </cfRule>
    <cfRule type="cellIs" dxfId="646" priority="714" stopIfTrue="1" operator="equal">
      <formula>"Napkin Hs"</formula>
    </cfRule>
  </conditionalFormatting>
  <conditionalFormatting sqref="B120:C120">
    <cfRule type="cellIs" dxfId="645" priority="710" stopIfTrue="1" operator="equal">
      <formula>"Napkin Hs"</formula>
    </cfRule>
  </conditionalFormatting>
  <conditionalFormatting sqref="B120:C120">
    <cfRule type="cellIs" dxfId="644" priority="709" stopIfTrue="1" operator="equal">
      <formula>"Towel"</formula>
    </cfRule>
  </conditionalFormatting>
  <conditionalFormatting sqref="C120">
    <cfRule type="cellIs" dxfId="643" priority="708" stopIfTrue="1" operator="equal">
      <formula>"Napkin Hs"</formula>
    </cfRule>
  </conditionalFormatting>
  <conditionalFormatting sqref="C120">
    <cfRule type="cellIs" dxfId="642" priority="707" stopIfTrue="1" operator="equal">
      <formula>"Towel"</formula>
    </cfRule>
  </conditionalFormatting>
  <conditionalFormatting sqref="C120">
    <cfRule type="cellIs" dxfId="641" priority="705" stopIfTrue="1" operator="equal">
      <formula>"Towel"</formula>
    </cfRule>
    <cfRule type="cellIs" dxfId="640" priority="706" stopIfTrue="1" operator="equal">
      <formula>"Napkin Hs"</formula>
    </cfRule>
  </conditionalFormatting>
  <conditionalFormatting sqref="B120:C120">
    <cfRule type="cellIs" dxfId="639" priority="703" stopIfTrue="1" operator="equal">
      <formula>"Towel"</formula>
    </cfRule>
    <cfRule type="cellIs" dxfId="638" priority="704" stopIfTrue="1" operator="equal">
      <formula>"Napkin Hs"</formula>
    </cfRule>
  </conditionalFormatting>
  <conditionalFormatting sqref="C120">
    <cfRule type="cellIs" dxfId="637" priority="701" stopIfTrue="1" operator="equal">
      <formula>"Towel"</formula>
    </cfRule>
    <cfRule type="cellIs" dxfId="636" priority="702" stopIfTrue="1" operator="equal">
      <formula>"Napkin Hs"</formula>
    </cfRule>
  </conditionalFormatting>
  <conditionalFormatting sqref="C120">
    <cfRule type="cellIs" dxfId="635" priority="699" stopIfTrue="1" operator="equal">
      <formula>"Towel"</formula>
    </cfRule>
    <cfRule type="cellIs" dxfId="634" priority="700" stopIfTrue="1" operator="equal">
      <formula>"Napkin Hs"</formula>
    </cfRule>
  </conditionalFormatting>
  <conditionalFormatting sqref="B120:C120">
    <cfRule type="cellIs" dxfId="633" priority="697" stopIfTrue="1" operator="equal">
      <formula>"Towel"</formula>
    </cfRule>
    <cfRule type="cellIs" dxfId="632" priority="698" stopIfTrue="1" operator="equal">
      <formula>"Napkin Hs"</formula>
    </cfRule>
  </conditionalFormatting>
  <conditionalFormatting sqref="C120">
    <cfRule type="cellIs" dxfId="631" priority="695" stopIfTrue="1" operator="equal">
      <formula>"Towel"</formula>
    </cfRule>
    <cfRule type="cellIs" dxfId="630" priority="696" stopIfTrue="1" operator="equal">
      <formula>"Napkin Hs"</formula>
    </cfRule>
  </conditionalFormatting>
  <conditionalFormatting sqref="C120">
    <cfRule type="cellIs" dxfId="629" priority="693" stopIfTrue="1" operator="equal">
      <formula>"Towel"</formula>
    </cfRule>
    <cfRule type="cellIs" dxfId="628" priority="694" stopIfTrue="1" operator="equal">
      <formula>"Napkin Hs"</formula>
    </cfRule>
  </conditionalFormatting>
  <conditionalFormatting sqref="B120:C120">
    <cfRule type="cellIs" dxfId="627" priority="691" stopIfTrue="1" operator="equal">
      <formula>"Towel"</formula>
    </cfRule>
    <cfRule type="cellIs" dxfId="626" priority="692" stopIfTrue="1" operator="equal">
      <formula>"Napkin Hs"</formula>
    </cfRule>
  </conditionalFormatting>
  <conditionalFormatting sqref="C120">
    <cfRule type="cellIs" dxfId="625" priority="689" stopIfTrue="1" operator="equal">
      <formula>"Towel"</formula>
    </cfRule>
    <cfRule type="cellIs" dxfId="624" priority="690" stopIfTrue="1" operator="equal">
      <formula>"Napkin Hs"</formula>
    </cfRule>
  </conditionalFormatting>
  <conditionalFormatting sqref="C120">
    <cfRule type="cellIs" dxfId="623" priority="687" stopIfTrue="1" operator="equal">
      <formula>"Towel"</formula>
    </cfRule>
    <cfRule type="cellIs" dxfId="622" priority="688" stopIfTrue="1" operator="equal">
      <formula>"Napkin Hs"</formula>
    </cfRule>
  </conditionalFormatting>
  <conditionalFormatting sqref="B120:C120">
    <cfRule type="cellIs" dxfId="621" priority="685" stopIfTrue="1" operator="equal">
      <formula>"Towel"</formula>
    </cfRule>
    <cfRule type="cellIs" dxfId="620" priority="686" stopIfTrue="1" operator="equal">
      <formula>"Napkin Hs"</formula>
    </cfRule>
  </conditionalFormatting>
  <conditionalFormatting sqref="C120">
    <cfRule type="cellIs" dxfId="619" priority="683" stopIfTrue="1" operator="equal">
      <formula>"Towel"</formula>
    </cfRule>
    <cfRule type="cellIs" dxfId="618" priority="684" stopIfTrue="1" operator="equal">
      <formula>"Napkin Hs"</formula>
    </cfRule>
  </conditionalFormatting>
  <conditionalFormatting sqref="C120">
    <cfRule type="cellIs" dxfId="617" priority="681" stopIfTrue="1" operator="equal">
      <formula>"Towel"</formula>
    </cfRule>
    <cfRule type="cellIs" dxfId="616" priority="682" stopIfTrue="1" operator="equal">
      <formula>"Napkin Hs"</formula>
    </cfRule>
  </conditionalFormatting>
  <conditionalFormatting sqref="B120:C120">
    <cfRule type="cellIs" dxfId="615" priority="679" stopIfTrue="1" operator="equal">
      <formula>"Towel"</formula>
    </cfRule>
    <cfRule type="cellIs" dxfId="614" priority="680" stopIfTrue="1" operator="equal">
      <formula>"Napkin Hs"</formula>
    </cfRule>
  </conditionalFormatting>
  <conditionalFormatting sqref="C120">
    <cfRule type="cellIs" dxfId="613" priority="677" stopIfTrue="1" operator="equal">
      <formula>"Towel"</formula>
    </cfRule>
    <cfRule type="cellIs" dxfId="612" priority="678" stopIfTrue="1" operator="equal">
      <formula>"Napkin Hs"</formula>
    </cfRule>
  </conditionalFormatting>
  <conditionalFormatting sqref="C120">
    <cfRule type="cellIs" dxfId="611" priority="675" stopIfTrue="1" operator="equal">
      <formula>"Towel"</formula>
    </cfRule>
    <cfRule type="cellIs" dxfId="610" priority="676" stopIfTrue="1" operator="equal">
      <formula>"Napkin Hs"</formula>
    </cfRule>
  </conditionalFormatting>
  <conditionalFormatting sqref="B120:C120">
    <cfRule type="cellIs" dxfId="609" priority="674" stopIfTrue="1" operator="equal">
      <formula>"Napkin Hs"</formula>
    </cfRule>
  </conditionalFormatting>
  <conditionalFormatting sqref="B120:C120">
    <cfRule type="cellIs" dxfId="608" priority="673" stopIfTrue="1" operator="equal">
      <formula>"Towel"</formula>
    </cfRule>
  </conditionalFormatting>
  <conditionalFormatting sqref="C120">
    <cfRule type="cellIs" dxfId="607" priority="672" stopIfTrue="1" operator="equal">
      <formula>"Napkin Hs"</formula>
    </cfRule>
  </conditionalFormatting>
  <conditionalFormatting sqref="C120">
    <cfRule type="cellIs" dxfId="606" priority="669" stopIfTrue="1" operator="equal">
      <formula>"Towel"</formula>
    </cfRule>
    <cfRule type="cellIs" dxfId="605" priority="670" stopIfTrue="1" operator="equal">
      <formula>"Napkin Hs"</formula>
    </cfRule>
  </conditionalFormatting>
  <conditionalFormatting sqref="C120">
    <cfRule type="cellIs" dxfId="604" priority="671" stopIfTrue="1" operator="equal">
      <formula>"Towel"</formula>
    </cfRule>
  </conditionalFormatting>
  <conditionalFormatting sqref="B118:C118">
    <cfRule type="cellIs" dxfId="603" priority="667" stopIfTrue="1" operator="equal">
      <formula>"Towel"</formula>
    </cfRule>
    <cfRule type="cellIs" dxfId="602" priority="668" stopIfTrue="1" operator="equal">
      <formula>"Napkin Hs"</formula>
    </cfRule>
  </conditionalFormatting>
  <conditionalFormatting sqref="C118">
    <cfRule type="cellIs" dxfId="601" priority="665" stopIfTrue="1" operator="equal">
      <formula>"Towel"</formula>
    </cfRule>
    <cfRule type="cellIs" dxfId="600" priority="666" stopIfTrue="1" operator="equal">
      <formula>"Napkin Hs"</formula>
    </cfRule>
  </conditionalFormatting>
  <conditionalFormatting sqref="C118">
    <cfRule type="cellIs" dxfId="599" priority="663" stopIfTrue="1" operator="equal">
      <formula>"Towel"</formula>
    </cfRule>
    <cfRule type="cellIs" dxfId="598" priority="664" stopIfTrue="1" operator="equal">
      <formula>"Napkin Hs"</formula>
    </cfRule>
  </conditionalFormatting>
  <conditionalFormatting sqref="B118:C118">
    <cfRule type="cellIs" dxfId="597" priority="662" stopIfTrue="1" operator="equal">
      <formula>"Napkin Hs"</formula>
    </cfRule>
  </conditionalFormatting>
  <conditionalFormatting sqref="B118:C118">
    <cfRule type="cellIs" dxfId="596" priority="661" stopIfTrue="1" operator="equal">
      <formula>"Towel"</formula>
    </cfRule>
  </conditionalFormatting>
  <conditionalFormatting sqref="C118">
    <cfRule type="cellIs" dxfId="595" priority="660" stopIfTrue="1" operator="equal">
      <formula>"Napkin Hs"</formula>
    </cfRule>
  </conditionalFormatting>
  <conditionalFormatting sqref="C118">
    <cfRule type="cellIs" dxfId="594" priority="659" stopIfTrue="1" operator="equal">
      <formula>"Towel"</formula>
    </cfRule>
  </conditionalFormatting>
  <conditionalFormatting sqref="C118">
    <cfRule type="cellIs" dxfId="593" priority="657" stopIfTrue="1" operator="equal">
      <formula>"Towel"</formula>
    </cfRule>
    <cfRule type="cellIs" dxfId="592" priority="658" stopIfTrue="1" operator="equal">
      <formula>"Napkin Hs"</formula>
    </cfRule>
  </conditionalFormatting>
  <conditionalFormatting sqref="B118:C118">
    <cfRule type="cellIs" dxfId="591" priority="655" stopIfTrue="1" operator="equal">
      <formula>"Towel"</formula>
    </cfRule>
    <cfRule type="cellIs" dxfId="590" priority="656" stopIfTrue="1" operator="equal">
      <formula>"Napkin Hs"</formula>
    </cfRule>
  </conditionalFormatting>
  <conditionalFormatting sqref="C118">
    <cfRule type="cellIs" dxfId="589" priority="651" stopIfTrue="1" operator="equal">
      <formula>"Towel"</formula>
    </cfRule>
    <cfRule type="cellIs" dxfId="588" priority="652" stopIfTrue="1" operator="equal">
      <formula>"Napkin Hs"</formula>
    </cfRule>
  </conditionalFormatting>
  <conditionalFormatting sqref="C118">
    <cfRule type="cellIs" dxfId="587" priority="653" stopIfTrue="1" operator="equal">
      <formula>"Towel"</formula>
    </cfRule>
    <cfRule type="cellIs" dxfId="586" priority="654" stopIfTrue="1" operator="equal">
      <formula>"Napkin Hs"</formula>
    </cfRule>
  </conditionalFormatting>
  <conditionalFormatting sqref="B118:C118">
    <cfRule type="cellIs" dxfId="585" priority="650" stopIfTrue="1" operator="equal">
      <formula>"Napkin Hs"</formula>
    </cfRule>
  </conditionalFormatting>
  <conditionalFormatting sqref="B118:C118">
    <cfRule type="cellIs" dxfId="584" priority="649" stopIfTrue="1" operator="equal">
      <formula>"Towel"</formula>
    </cfRule>
  </conditionalFormatting>
  <conditionalFormatting sqref="C118">
    <cfRule type="cellIs" dxfId="583" priority="648" stopIfTrue="1" operator="equal">
      <formula>"Napkin Hs"</formula>
    </cfRule>
  </conditionalFormatting>
  <conditionalFormatting sqref="C118">
    <cfRule type="cellIs" dxfId="582" priority="647" stopIfTrue="1" operator="equal">
      <formula>"Towel"</formula>
    </cfRule>
  </conditionalFormatting>
  <conditionalFormatting sqref="C118">
    <cfRule type="cellIs" dxfId="581" priority="645" stopIfTrue="1" operator="equal">
      <formula>"Towel"</formula>
    </cfRule>
    <cfRule type="cellIs" dxfId="580" priority="646" stopIfTrue="1" operator="equal">
      <formula>"Napkin Hs"</formula>
    </cfRule>
  </conditionalFormatting>
  <conditionalFormatting sqref="B118:C118">
    <cfRule type="cellIs" dxfId="579" priority="643" stopIfTrue="1" operator="equal">
      <formula>"Towel"</formula>
    </cfRule>
    <cfRule type="cellIs" dxfId="578" priority="644" stopIfTrue="1" operator="equal">
      <formula>"Napkin Hs"</formula>
    </cfRule>
  </conditionalFormatting>
  <conditionalFormatting sqref="C118">
    <cfRule type="cellIs" dxfId="577" priority="641" stopIfTrue="1" operator="equal">
      <formula>"Towel"</formula>
    </cfRule>
    <cfRule type="cellIs" dxfId="576" priority="642" stopIfTrue="1" operator="equal">
      <formula>"Napkin Hs"</formula>
    </cfRule>
  </conditionalFormatting>
  <conditionalFormatting sqref="C118">
    <cfRule type="cellIs" dxfId="575" priority="639" stopIfTrue="1" operator="equal">
      <formula>"Towel"</formula>
    </cfRule>
    <cfRule type="cellIs" dxfId="574" priority="640" stopIfTrue="1" operator="equal">
      <formula>"Napkin Hs"</formula>
    </cfRule>
  </conditionalFormatting>
  <conditionalFormatting sqref="B118:C118">
    <cfRule type="cellIs" dxfId="573" priority="637" stopIfTrue="1" operator="equal">
      <formula>"Towel"</formula>
    </cfRule>
    <cfRule type="cellIs" dxfId="572" priority="638" stopIfTrue="1" operator="equal">
      <formula>"Napkin Hs"</formula>
    </cfRule>
  </conditionalFormatting>
  <conditionalFormatting sqref="C118">
    <cfRule type="cellIs" dxfId="571" priority="635" stopIfTrue="1" operator="equal">
      <formula>"Towel"</formula>
    </cfRule>
    <cfRule type="cellIs" dxfId="570" priority="636" stopIfTrue="1" operator="equal">
      <formula>"Napkin Hs"</formula>
    </cfRule>
  </conditionalFormatting>
  <conditionalFormatting sqref="C118">
    <cfRule type="cellIs" dxfId="569" priority="633" stopIfTrue="1" operator="equal">
      <formula>"Towel"</formula>
    </cfRule>
    <cfRule type="cellIs" dxfId="568" priority="634" stopIfTrue="1" operator="equal">
      <formula>"Napkin Hs"</formula>
    </cfRule>
  </conditionalFormatting>
  <conditionalFormatting sqref="B118:C118">
    <cfRule type="cellIs" dxfId="567" priority="631" stopIfTrue="1" operator="equal">
      <formula>"Towel"</formula>
    </cfRule>
    <cfRule type="cellIs" dxfId="566" priority="632" stopIfTrue="1" operator="equal">
      <formula>"Napkin Hs"</formula>
    </cfRule>
  </conditionalFormatting>
  <conditionalFormatting sqref="C118">
    <cfRule type="cellIs" dxfId="565" priority="629" stopIfTrue="1" operator="equal">
      <formula>"Towel"</formula>
    </cfRule>
    <cfRule type="cellIs" dxfId="564" priority="630" stopIfTrue="1" operator="equal">
      <formula>"Napkin Hs"</formula>
    </cfRule>
  </conditionalFormatting>
  <conditionalFormatting sqref="C118">
    <cfRule type="cellIs" dxfId="563" priority="627" stopIfTrue="1" operator="equal">
      <formula>"Towel"</formula>
    </cfRule>
    <cfRule type="cellIs" dxfId="562" priority="628" stopIfTrue="1" operator="equal">
      <formula>"Napkin Hs"</formula>
    </cfRule>
  </conditionalFormatting>
  <conditionalFormatting sqref="B118:C118">
    <cfRule type="cellIs" dxfId="561" priority="625" stopIfTrue="1" operator="equal">
      <formula>"Towel"</formula>
    </cfRule>
    <cfRule type="cellIs" dxfId="560" priority="626" stopIfTrue="1" operator="equal">
      <formula>"Napkin Hs"</formula>
    </cfRule>
  </conditionalFormatting>
  <conditionalFormatting sqref="C118">
    <cfRule type="cellIs" dxfId="559" priority="623" stopIfTrue="1" operator="equal">
      <formula>"Towel"</formula>
    </cfRule>
    <cfRule type="cellIs" dxfId="558" priority="624" stopIfTrue="1" operator="equal">
      <formula>"Napkin Hs"</formula>
    </cfRule>
  </conditionalFormatting>
  <conditionalFormatting sqref="C118">
    <cfRule type="cellIs" dxfId="557" priority="621" stopIfTrue="1" operator="equal">
      <formula>"Towel"</formula>
    </cfRule>
    <cfRule type="cellIs" dxfId="556" priority="622" stopIfTrue="1" operator="equal">
      <formula>"Napkin Hs"</formula>
    </cfRule>
  </conditionalFormatting>
  <conditionalFormatting sqref="B118:C118">
    <cfRule type="cellIs" dxfId="555" priority="619" stopIfTrue="1" operator="equal">
      <formula>"Towel"</formula>
    </cfRule>
    <cfRule type="cellIs" dxfId="554" priority="620" stopIfTrue="1" operator="equal">
      <formula>"Napkin Hs"</formula>
    </cfRule>
  </conditionalFormatting>
  <conditionalFormatting sqref="C118">
    <cfRule type="cellIs" dxfId="553" priority="617" stopIfTrue="1" operator="equal">
      <formula>"Towel"</formula>
    </cfRule>
    <cfRule type="cellIs" dxfId="552" priority="618" stopIfTrue="1" operator="equal">
      <formula>"Napkin Hs"</formula>
    </cfRule>
  </conditionalFormatting>
  <conditionalFormatting sqref="C118">
    <cfRule type="cellIs" dxfId="551" priority="615" stopIfTrue="1" operator="equal">
      <formula>"Towel"</formula>
    </cfRule>
    <cfRule type="cellIs" dxfId="550" priority="616" stopIfTrue="1" operator="equal">
      <formula>"Napkin Hs"</formula>
    </cfRule>
  </conditionalFormatting>
  <conditionalFormatting sqref="B118:C118">
    <cfRule type="cellIs" dxfId="549" priority="614" stopIfTrue="1" operator="equal">
      <formula>"Napkin Hs"</formula>
    </cfRule>
  </conditionalFormatting>
  <conditionalFormatting sqref="B118:C118">
    <cfRule type="cellIs" dxfId="548" priority="613" stopIfTrue="1" operator="equal">
      <formula>"Towel"</formula>
    </cfRule>
  </conditionalFormatting>
  <conditionalFormatting sqref="C118">
    <cfRule type="cellIs" dxfId="547" priority="612" stopIfTrue="1" operator="equal">
      <formula>"Napkin Hs"</formula>
    </cfRule>
  </conditionalFormatting>
  <conditionalFormatting sqref="C118">
    <cfRule type="cellIs" dxfId="546" priority="609" stopIfTrue="1" operator="equal">
      <formula>"Towel"</formula>
    </cfRule>
    <cfRule type="cellIs" dxfId="545" priority="610" stopIfTrue="1" operator="equal">
      <formula>"Napkin Hs"</formula>
    </cfRule>
  </conditionalFormatting>
  <conditionalFormatting sqref="C118">
    <cfRule type="cellIs" dxfId="544" priority="611" stopIfTrue="1" operator="equal">
      <formula>"Towel"</formula>
    </cfRule>
  </conditionalFormatting>
  <conditionalFormatting sqref="B118:C118">
    <cfRule type="cellIs" dxfId="543" priority="608" stopIfTrue="1" operator="equal">
      <formula>"Napkin Hs"</formula>
    </cfRule>
  </conditionalFormatting>
  <conditionalFormatting sqref="B118:C118">
    <cfRule type="cellIs" dxfId="542" priority="607" stopIfTrue="1" operator="equal">
      <formula>"Towel"</formula>
    </cfRule>
  </conditionalFormatting>
  <conditionalFormatting sqref="C118">
    <cfRule type="cellIs" dxfId="541" priority="606" stopIfTrue="1" operator="equal">
      <formula>"Napkin Hs"</formula>
    </cfRule>
  </conditionalFormatting>
  <conditionalFormatting sqref="C118">
    <cfRule type="cellIs" dxfId="540" priority="605" stopIfTrue="1" operator="equal">
      <formula>"Towel"</formula>
    </cfRule>
  </conditionalFormatting>
  <conditionalFormatting sqref="C118">
    <cfRule type="cellIs" dxfId="539" priority="603" stopIfTrue="1" operator="equal">
      <formula>"Towel"</formula>
    </cfRule>
    <cfRule type="cellIs" dxfId="538" priority="604" stopIfTrue="1" operator="equal">
      <formula>"Napkin Hs"</formula>
    </cfRule>
  </conditionalFormatting>
  <conditionalFormatting sqref="B118:C118">
    <cfRule type="cellIs" dxfId="537" priority="601" stopIfTrue="1" operator="equal">
      <formula>"Towel"</formula>
    </cfRule>
    <cfRule type="cellIs" dxfId="536" priority="602" stopIfTrue="1" operator="equal">
      <formula>"Napkin Hs"</formula>
    </cfRule>
  </conditionalFormatting>
  <conditionalFormatting sqref="C118">
    <cfRule type="cellIs" dxfId="535" priority="597" stopIfTrue="1" operator="equal">
      <formula>"Towel"</formula>
    </cfRule>
    <cfRule type="cellIs" dxfId="534" priority="598" stopIfTrue="1" operator="equal">
      <formula>"Napkin Hs"</formula>
    </cfRule>
  </conditionalFormatting>
  <conditionalFormatting sqref="C118">
    <cfRule type="cellIs" dxfId="533" priority="599" stopIfTrue="1" operator="equal">
      <formula>"Towel"</formula>
    </cfRule>
    <cfRule type="cellIs" dxfId="532" priority="600" stopIfTrue="1" operator="equal">
      <formula>"Napkin Hs"</formula>
    </cfRule>
  </conditionalFormatting>
  <conditionalFormatting sqref="B118:C118">
    <cfRule type="cellIs" dxfId="531" priority="596" stopIfTrue="1" operator="equal">
      <formula>"Napkin Hs"</formula>
    </cfRule>
  </conditionalFormatting>
  <conditionalFormatting sqref="B118:C118">
    <cfRule type="cellIs" dxfId="530" priority="595" stopIfTrue="1" operator="equal">
      <formula>"Towel"</formula>
    </cfRule>
  </conditionalFormatting>
  <conditionalFormatting sqref="C118">
    <cfRule type="cellIs" dxfId="529" priority="594" stopIfTrue="1" operator="equal">
      <formula>"Napkin Hs"</formula>
    </cfRule>
  </conditionalFormatting>
  <conditionalFormatting sqref="C118">
    <cfRule type="cellIs" dxfId="528" priority="593" stopIfTrue="1" operator="equal">
      <formula>"Towel"</formula>
    </cfRule>
  </conditionalFormatting>
  <conditionalFormatting sqref="C118">
    <cfRule type="cellIs" dxfId="527" priority="591" stopIfTrue="1" operator="equal">
      <formula>"Towel"</formula>
    </cfRule>
    <cfRule type="cellIs" dxfId="526" priority="592" stopIfTrue="1" operator="equal">
      <formula>"Napkin Hs"</formula>
    </cfRule>
  </conditionalFormatting>
  <conditionalFormatting sqref="B118:C118">
    <cfRule type="cellIs" dxfId="525" priority="589" stopIfTrue="1" operator="equal">
      <formula>"Towel"</formula>
    </cfRule>
    <cfRule type="cellIs" dxfId="524" priority="590" stopIfTrue="1" operator="equal">
      <formula>"Napkin Hs"</formula>
    </cfRule>
  </conditionalFormatting>
  <conditionalFormatting sqref="C118">
    <cfRule type="cellIs" dxfId="523" priority="587" stopIfTrue="1" operator="equal">
      <formula>"Towel"</formula>
    </cfRule>
    <cfRule type="cellIs" dxfId="522" priority="588" stopIfTrue="1" operator="equal">
      <formula>"Napkin Hs"</formula>
    </cfRule>
  </conditionalFormatting>
  <conditionalFormatting sqref="C118">
    <cfRule type="cellIs" dxfId="521" priority="585" stopIfTrue="1" operator="equal">
      <formula>"Towel"</formula>
    </cfRule>
    <cfRule type="cellIs" dxfId="520" priority="586" stopIfTrue="1" operator="equal">
      <formula>"Napkin Hs"</formula>
    </cfRule>
  </conditionalFormatting>
  <conditionalFormatting sqref="B118:C118">
    <cfRule type="cellIs" dxfId="519" priority="583" stopIfTrue="1" operator="equal">
      <formula>"Towel"</formula>
    </cfRule>
    <cfRule type="cellIs" dxfId="518" priority="584" stopIfTrue="1" operator="equal">
      <formula>"Napkin Hs"</formula>
    </cfRule>
  </conditionalFormatting>
  <conditionalFormatting sqref="C118">
    <cfRule type="cellIs" dxfId="517" priority="581" stopIfTrue="1" operator="equal">
      <formula>"Towel"</formula>
    </cfRule>
    <cfRule type="cellIs" dxfId="516" priority="582" stopIfTrue="1" operator="equal">
      <formula>"Napkin Hs"</formula>
    </cfRule>
  </conditionalFormatting>
  <conditionalFormatting sqref="C118">
    <cfRule type="cellIs" dxfId="515" priority="579" stopIfTrue="1" operator="equal">
      <formula>"Towel"</formula>
    </cfRule>
    <cfRule type="cellIs" dxfId="514" priority="580" stopIfTrue="1" operator="equal">
      <formula>"Napkin Hs"</formula>
    </cfRule>
  </conditionalFormatting>
  <conditionalFormatting sqref="B118:C118">
    <cfRule type="cellIs" dxfId="513" priority="577" stopIfTrue="1" operator="equal">
      <formula>"Towel"</formula>
    </cfRule>
    <cfRule type="cellIs" dxfId="512" priority="578" stopIfTrue="1" operator="equal">
      <formula>"Napkin Hs"</formula>
    </cfRule>
  </conditionalFormatting>
  <conditionalFormatting sqref="C118">
    <cfRule type="cellIs" dxfId="511" priority="575" stopIfTrue="1" operator="equal">
      <formula>"Towel"</formula>
    </cfRule>
    <cfRule type="cellIs" dxfId="510" priority="576" stopIfTrue="1" operator="equal">
      <formula>"Napkin Hs"</formula>
    </cfRule>
  </conditionalFormatting>
  <conditionalFormatting sqref="C118">
    <cfRule type="cellIs" dxfId="509" priority="573" stopIfTrue="1" operator="equal">
      <formula>"Towel"</formula>
    </cfRule>
    <cfRule type="cellIs" dxfId="508" priority="574" stopIfTrue="1" operator="equal">
      <formula>"Napkin Hs"</formula>
    </cfRule>
  </conditionalFormatting>
  <conditionalFormatting sqref="B118:C118">
    <cfRule type="cellIs" dxfId="507" priority="571" stopIfTrue="1" operator="equal">
      <formula>"Towel"</formula>
    </cfRule>
    <cfRule type="cellIs" dxfId="506" priority="572" stopIfTrue="1" operator="equal">
      <formula>"Napkin Hs"</formula>
    </cfRule>
  </conditionalFormatting>
  <conditionalFormatting sqref="C118">
    <cfRule type="cellIs" dxfId="505" priority="569" stopIfTrue="1" operator="equal">
      <formula>"Towel"</formula>
    </cfRule>
    <cfRule type="cellIs" dxfId="504" priority="570" stopIfTrue="1" operator="equal">
      <formula>"Napkin Hs"</formula>
    </cfRule>
  </conditionalFormatting>
  <conditionalFormatting sqref="C118">
    <cfRule type="cellIs" dxfId="503" priority="567" stopIfTrue="1" operator="equal">
      <formula>"Towel"</formula>
    </cfRule>
    <cfRule type="cellIs" dxfId="502" priority="568" stopIfTrue="1" operator="equal">
      <formula>"Napkin Hs"</formula>
    </cfRule>
  </conditionalFormatting>
  <conditionalFormatting sqref="B118:C118">
    <cfRule type="cellIs" dxfId="501" priority="565" stopIfTrue="1" operator="equal">
      <formula>"Towel"</formula>
    </cfRule>
    <cfRule type="cellIs" dxfId="500" priority="566" stopIfTrue="1" operator="equal">
      <formula>"Napkin Hs"</formula>
    </cfRule>
  </conditionalFormatting>
  <conditionalFormatting sqref="C118">
    <cfRule type="cellIs" dxfId="499" priority="563" stopIfTrue="1" operator="equal">
      <formula>"Towel"</formula>
    </cfRule>
    <cfRule type="cellIs" dxfId="498" priority="564" stopIfTrue="1" operator="equal">
      <formula>"Napkin Hs"</formula>
    </cfRule>
  </conditionalFormatting>
  <conditionalFormatting sqref="C118">
    <cfRule type="cellIs" dxfId="497" priority="561" stopIfTrue="1" operator="equal">
      <formula>"Towel"</formula>
    </cfRule>
    <cfRule type="cellIs" dxfId="496" priority="562" stopIfTrue="1" operator="equal">
      <formula>"Napkin Hs"</formula>
    </cfRule>
  </conditionalFormatting>
  <conditionalFormatting sqref="B118:C118">
    <cfRule type="cellIs" dxfId="495" priority="560" stopIfTrue="1" operator="equal">
      <formula>"Napkin Hs"</formula>
    </cfRule>
  </conditionalFormatting>
  <conditionalFormatting sqref="B118:C118">
    <cfRule type="cellIs" dxfId="494" priority="559" stopIfTrue="1" operator="equal">
      <formula>"Towel"</formula>
    </cfRule>
  </conditionalFormatting>
  <conditionalFormatting sqref="C118">
    <cfRule type="cellIs" dxfId="493" priority="558" stopIfTrue="1" operator="equal">
      <formula>"Napkin Hs"</formula>
    </cfRule>
  </conditionalFormatting>
  <conditionalFormatting sqref="C118">
    <cfRule type="cellIs" dxfId="492" priority="555" stopIfTrue="1" operator="equal">
      <formula>"Towel"</formula>
    </cfRule>
    <cfRule type="cellIs" dxfId="491" priority="556" stopIfTrue="1" operator="equal">
      <formula>"Napkin Hs"</formula>
    </cfRule>
  </conditionalFormatting>
  <conditionalFormatting sqref="C118">
    <cfRule type="cellIs" dxfId="490" priority="557" stopIfTrue="1" operator="equal">
      <formula>"Towel"</formula>
    </cfRule>
  </conditionalFormatting>
  <conditionalFormatting sqref="B118:C118">
    <cfRule type="cellIs" dxfId="489" priority="554" stopIfTrue="1" operator="equal">
      <formula>"Napkin Hs"</formula>
    </cfRule>
  </conditionalFormatting>
  <conditionalFormatting sqref="B118:C118">
    <cfRule type="cellIs" dxfId="488" priority="553" stopIfTrue="1" operator="equal">
      <formula>"Towel"</formula>
    </cfRule>
  </conditionalFormatting>
  <conditionalFormatting sqref="C118">
    <cfRule type="cellIs" dxfId="487" priority="552" stopIfTrue="1" operator="equal">
      <formula>"Napkin Hs"</formula>
    </cfRule>
  </conditionalFormatting>
  <conditionalFormatting sqref="C118">
    <cfRule type="cellIs" dxfId="486" priority="549" stopIfTrue="1" operator="equal">
      <formula>"Towel"</formula>
    </cfRule>
    <cfRule type="cellIs" dxfId="485" priority="550" stopIfTrue="1" operator="equal">
      <formula>"Napkin Hs"</formula>
    </cfRule>
  </conditionalFormatting>
  <conditionalFormatting sqref="C118">
    <cfRule type="cellIs" dxfId="484" priority="551" stopIfTrue="1" operator="equal">
      <formula>"Towel"</formula>
    </cfRule>
  </conditionalFormatting>
  <conditionalFormatting sqref="B118:C118">
    <cfRule type="cellIs" dxfId="483" priority="548" stopIfTrue="1" operator="equal">
      <formula>"Napkin Hs"</formula>
    </cfRule>
  </conditionalFormatting>
  <conditionalFormatting sqref="B118:C118">
    <cfRule type="cellIs" dxfId="482" priority="547" stopIfTrue="1" operator="equal">
      <formula>"Towel"</formula>
    </cfRule>
  </conditionalFormatting>
  <conditionalFormatting sqref="C118">
    <cfRule type="cellIs" dxfId="481" priority="546" stopIfTrue="1" operator="equal">
      <formula>"Napkin Hs"</formula>
    </cfRule>
  </conditionalFormatting>
  <conditionalFormatting sqref="C118">
    <cfRule type="cellIs" dxfId="480" priority="543" stopIfTrue="1" operator="equal">
      <formula>"Towel"</formula>
    </cfRule>
    <cfRule type="cellIs" dxfId="479" priority="544" stopIfTrue="1" operator="equal">
      <formula>"Napkin Hs"</formula>
    </cfRule>
  </conditionalFormatting>
  <conditionalFormatting sqref="C118">
    <cfRule type="cellIs" dxfId="478" priority="545" stopIfTrue="1" operator="equal">
      <formula>"Towel"</formula>
    </cfRule>
  </conditionalFormatting>
  <conditionalFormatting sqref="B117:C117">
    <cfRule type="cellIs" dxfId="477" priority="542" stopIfTrue="1" operator="equal">
      <formula>"Napkin Hs"</formula>
    </cfRule>
  </conditionalFormatting>
  <conditionalFormatting sqref="B117:C117">
    <cfRule type="cellIs" dxfId="476" priority="541" stopIfTrue="1" operator="equal">
      <formula>"Towel"</formula>
    </cfRule>
  </conditionalFormatting>
  <conditionalFormatting sqref="C117">
    <cfRule type="cellIs" dxfId="475" priority="540" stopIfTrue="1" operator="equal">
      <formula>"Napkin Hs"</formula>
    </cfRule>
  </conditionalFormatting>
  <conditionalFormatting sqref="C117">
    <cfRule type="cellIs" dxfId="474" priority="539" stopIfTrue="1" operator="equal">
      <formula>"Towel"</formula>
    </cfRule>
  </conditionalFormatting>
  <conditionalFormatting sqref="C117">
    <cfRule type="cellIs" dxfId="473" priority="537" stopIfTrue="1" operator="equal">
      <formula>"Towel"</formula>
    </cfRule>
    <cfRule type="cellIs" dxfId="472" priority="538" stopIfTrue="1" operator="equal">
      <formula>"Napkin Hs"</formula>
    </cfRule>
  </conditionalFormatting>
  <conditionalFormatting sqref="B117:C117">
    <cfRule type="cellIs" dxfId="471" priority="535" stopIfTrue="1" operator="equal">
      <formula>"Towel"</formula>
    </cfRule>
    <cfRule type="cellIs" dxfId="470" priority="536" stopIfTrue="1" operator="equal">
      <formula>"Napkin Hs"</formula>
    </cfRule>
  </conditionalFormatting>
  <conditionalFormatting sqref="C117">
    <cfRule type="cellIs" dxfId="469" priority="531" stopIfTrue="1" operator="equal">
      <formula>"Towel"</formula>
    </cfRule>
    <cfRule type="cellIs" dxfId="468" priority="532" stopIfTrue="1" operator="equal">
      <formula>"Napkin Hs"</formula>
    </cfRule>
  </conditionalFormatting>
  <conditionalFormatting sqref="C117">
    <cfRule type="cellIs" dxfId="467" priority="533" stopIfTrue="1" operator="equal">
      <formula>"Towel"</formula>
    </cfRule>
    <cfRule type="cellIs" dxfId="466" priority="534" stopIfTrue="1" operator="equal">
      <formula>"Napkin Hs"</formula>
    </cfRule>
  </conditionalFormatting>
  <conditionalFormatting sqref="B117:C117">
    <cfRule type="cellIs" dxfId="465" priority="530" stopIfTrue="1" operator="equal">
      <formula>"Napkin Hs"</formula>
    </cfRule>
  </conditionalFormatting>
  <conditionalFormatting sqref="B117:C117">
    <cfRule type="cellIs" dxfId="464" priority="529" stopIfTrue="1" operator="equal">
      <formula>"Towel"</formula>
    </cfRule>
  </conditionalFormatting>
  <conditionalFormatting sqref="C117">
    <cfRule type="cellIs" dxfId="463" priority="528" stopIfTrue="1" operator="equal">
      <formula>"Napkin Hs"</formula>
    </cfRule>
  </conditionalFormatting>
  <conditionalFormatting sqref="C117">
    <cfRule type="cellIs" dxfId="462" priority="527" stopIfTrue="1" operator="equal">
      <formula>"Towel"</formula>
    </cfRule>
  </conditionalFormatting>
  <conditionalFormatting sqref="C117">
    <cfRule type="cellIs" dxfId="461" priority="525" stopIfTrue="1" operator="equal">
      <formula>"Towel"</formula>
    </cfRule>
    <cfRule type="cellIs" dxfId="460" priority="526" stopIfTrue="1" operator="equal">
      <formula>"Napkin Hs"</formula>
    </cfRule>
  </conditionalFormatting>
  <conditionalFormatting sqref="B117:C117">
    <cfRule type="cellIs" dxfId="459" priority="523" stopIfTrue="1" operator="equal">
      <formula>"Towel"</formula>
    </cfRule>
    <cfRule type="cellIs" dxfId="458" priority="524" stopIfTrue="1" operator="equal">
      <formula>"Napkin Hs"</formula>
    </cfRule>
  </conditionalFormatting>
  <conditionalFormatting sqref="C117">
    <cfRule type="cellIs" dxfId="457" priority="521" stopIfTrue="1" operator="equal">
      <formula>"Towel"</formula>
    </cfRule>
    <cfRule type="cellIs" dxfId="456" priority="522" stopIfTrue="1" operator="equal">
      <formula>"Napkin Hs"</formula>
    </cfRule>
  </conditionalFormatting>
  <conditionalFormatting sqref="C117">
    <cfRule type="cellIs" dxfId="455" priority="519" stopIfTrue="1" operator="equal">
      <formula>"Towel"</formula>
    </cfRule>
    <cfRule type="cellIs" dxfId="454" priority="520" stopIfTrue="1" operator="equal">
      <formula>"Napkin Hs"</formula>
    </cfRule>
  </conditionalFormatting>
  <conditionalFormatting sqref="B117:C117">
    <cfRule type="cellIs" dxfId="453" priority="517" stopIfTrue="1" operator="equal">
      <formula>"Towel"</formula>
    </cfRule>
    <cfRule type="cellIs" dxfId="452" priority="518" stopIfTrue="1" operator="equal">
      <formula>"Napkin Hs"</formula>
    </cfRule>
  </conditionalFormatting>
  <conditionalFormatting sqref="C117">
    <cfRule type="cellIs" dxfId="451" priority="515" stopIfTrue="1" operator="equal">
      <formula>"Towel"</formula>
    </cfRule>
    <cfRule type="cellIs" dxfId="450" priority="516" stopIfTrue="1" operator="equal">
      <formula>"Napkin Hs"</formula>
    </cfRule>
  </conditionalFormatting>
  <conditionalFormatting sqref="C117">
    <cfRule type="cellIs" dxfId="449" priority="513" stopIfTrue="1" operator="equal">
      <formula>"Towel"</formula>
    </cfRule>
    <cfRule type="cellIs" dxfId="448" priority="514" stopIfTrue="1" operator="equal">
      <formula>"Napkin Hs"</formula>
    </cfRule>
  </conditionalFormatting>
  <conditionalFormatting sqref="B117:C117">
    <cfRule type="cellIs" dxfId="447" priority="511" stopIfTrue="1" operator="equal">
      <formula>"Towel"</formula>
    </cfRule>
    <cfRule type="cellIs" dxfId="446" priority="512" stopIfTrue="1" operator="equal">
      <formula>"Napkin Hs"</formula>
    </cfRule>
  </conditionalFormatting>
  <conditionalFormatting sqref="C117">
    <cfRule type="cellIs" dxfId="445" priority="509" stopIfTrue="1" operator="equal">
      <formula>"Towel"</formula>
    </cfRule>
    <cfRule type="cellIs" dxfId="444" priority="510" stopIfTrue="1" operator="equal">
      <formula>"Napkin Hs"</formula>
    </cfRule>
  </conditionalFormatting>
  <conditionalFormatting sqref="C117">
    <cfRule type="cellIs" dxfId="443" priority="507" stopIfTrue="1" operator="equal">
      <formula>"Towel"</formula>
    </cfRule>
    <cfRule type="cellIs" dxfId="442" priority="508" stopIfTrue="1" operator="equal">
      <formula>"Napkin Hs"</formula>
    </cfRule>
  </conditionalFormatting>
  <conditionalFormatting sqref="B117:C117">
    <cfRule type="cellIs" dxfId="441" priority="505" stopIfTrue="1" operator="equal">
      <formula>"Towel"</formula>
    </cfRule>
    <cfRule type="cellIs" dxfId="440" priority="506" stopIfTrue="1" operator="equal">
      <formula>"Napkin Hs"</formula>
    </cfRule>
  </conditionalFormatting>
  <conditionalFormatting sqref="C117">
    <cfRule type="cellIs" dxfId="439" priority="503" stopIfTrue="1" operator="equal">
      <formula>"Towel"</formula>
    </cfRule>
    <cfRule type="cellIs" dxfId="438" priority="504" stopIfTrue="1" operator="equal">
      <formula>"Napkin Hs"</formula>
    </cfRule>
  </conditionalFormatting>
  <conditionalFormatting sqref="C117">
    <cfRule type="cellIs" dxfId="437" priority="501" stopIfTrue="1" operator="equal">
      <formula>"Towel"</formula>
    </cfRule>
    <cfRule type="cellIs" dxfId="436" priority="502" stopIfTrue="1" operator="equal">
      <formula>"Napkin Hs"</formula>
    </cfRule>
  </conditionalFormatting>
  <conditionalFormatting sqref="B117:C117">
    <cfRule type="cellIs" dxfId="435" priority="499" stopIfTrue="1" operator="equal">
      <formula>"Towel"</formula>
    </cfRule>
    <cfRule type="cellIs" dxfId="434" priority="500" stopIfTrue="1" operator="equal">
      <formula>"Napkin Hs"</formula>
    </cfRule>
  </conditionalFormatting>
  <conditionalFormatting sqref="C117">
    <cfRule type="cellIs" dxfId="433" priority="497" stopIfTrue="1" operator="equal">
      <formula>"Towel"</formula>
    </cfRule>
    <cfRule type="cellIs" dxfId="432" priority="498" stopIfTrue="1" operator="equal">
      <formula>"Napkin Hs"</formula>
    </cfRule>
  </conditionalFormatting>
  <conditionalFormatting sqref="C117">
    <cfRule type="cellIs" dxfId="431" priority="495" stopIfTrue="1" operator="equal">
      <formula>"Towel"</formula>
    </cfRule>
    <cfRule type="cellIs" dxfId="430" priority="496" stopIfTrue="1" operator="equal">
      <formula>"Napkin Hs"</formula>
    </cfRule>
  </conditionalFormatting>
  <conditionalFormatting sqref="B117:C117">
    <cfRule type="cellIs" dxfId="429" priority="494" stopIfTrue="1" operator="equal">
      <formula>"Napkin Hs"</formula>
    </cfRule>
  </conditionalFormatting>
  <conditionalFormatting sqref="B117:C117">
    <cfRule type="cellIs" dxfId="428" priority="493" stopIfTrue="1" operator="equal">
      <formula>"Towel"</formula>
    </cfRule>
  </conditionalFormatting>
  <conditionalFormatting sqref="C117">
    <cfRule type="cellIs" dxfId="427" priority="492" stopIfTrue="1" operator="equal">
      <formula>"Napkin Hs"</formula>
    </cfRule>
  </conditionalFormatting>
  <conditionalFormatting sqref="C117">
    <cfRule type="cellIs" dxfId="426" priority="489" stopIfTrue="1" operator="equal">
      <formula>"Towel"</formula>
    </cfRule>
    <cfRule type="cellIs" dxfId="425" priority="490" stopIfTrue="1" operator="equal">
      <formula>"Napkin Hs"</formula>
    </cfRule>
  </conditionalFormatting>
  <conditionalFormatting sqref="C117">
    <cfRule type="cellIs" dxfId="424" priority="491" stopIfTrue="1" operator="equal">
      <formula>"Towel"</formula>
    </cfRule>
  </conditionalFormatting>
  <conditionalFormatting sqref="B117:C117">
    <cfRule type="cellIs" dxfId="423" priority="485" stopIfTrue="1" operator="equal">
      <formula>"Towel"</formula>
    </cfRule>
    <cfRule type="cellIs" dxfId="422" priority="486" stopIfTrue="1" operator="equal">
      <formula>"Napkin Hs"</formula>
    </cfRule>
  </conditionalFormatting>
  <conditionalFormatting sqref="C117">
    <cfRule type="cellIs" dxfId="421" priority="487" stopIfTrue="1" operator="equal">
      <formula>"Towel"</formula>
    </cfRule>
    <cfRule type="cellIs" dxfId="420" priority="488" stopIfTrue="1" operator="equal">
      <formula>"Napkin Hs"</formula>
    </cfRule>
  </conditionalFormatting>
  <conditionalFormatting sqref="C117">
    <cfRule type="cellIs" dxfId="419" priority="483" stopIfTrue="1" operator="equal">
      <formula>"Towel"</formula>
    </cfRule>
    <cfRule type="cellIs" dxfId="418" priority="484" stopIfTrue="1" operator="equal">
      <formula>"Napkin Hs"</formula>
    </cfRule>
  </conditionalFormatting>
  <conditionalFormatting sqref="B117:C117">
    <cfRule type="cellIs" dxfId="417" priority="481" stopIfTrue="1" operator="equal">
      <formula>"Towel"</formula>
    </cfRule>
    <cfRule type="cellIs" dxfId="416" priority="482" stopIfTrue="1" operator="equal">
      <formula>"Napkin Hs"</formula>
    </cfRule>
  </conditionalFormatting>
  <conditionalFormatting sqref="C117">
    <cfRule type="cellIs" dxfId="415" priority="477" stopIfTrue="1" operator="equal">
      <formula>"Towel"</formula>
    </cfRule>
    <cfRule type="cellIs" dxfId="414" priority="478" stopIfTrue="1" operator="equal">
      <formula>"Napkin Hs"</formula>
    </cfRule>
  </conditionalFormatting>
  <conditionalFormatting sqref="C117">
    <cfRule type="cellIs" dxfId="413" priority="479" stopIfTrue="1" operator="equal">
      <formula>"Towel"</formula>
    </cfRule>
    <cfRule type="cellIs" dxfId="412" priority="480" stopIfTrue="1" operator="equal">
      <formula>"Napkin Hs"</formula>
    </cfRule>
  </conditionalFormatting>
  <conditionalFormatting sqref="B117:C117">
    <cfRule type="cellIs" dxfId="411" priority="475" stopIfTrue="1" operator="equal">
      <formula>"Towel"</formula>
    </cfRule>
    <cfRule type="cellIs" dxfId="410" priority="476" stopIfTrue="1" operator="equal">
      <formula>"Napkin Hs"</formula>
    </cfRule>
  </conditionalFormatting>
  <conditionalFormatting sqref="C117">
    <cfRule type="cellIs" dxfId="409" priority="471" stopIfTrue="1" operator="equal">
      <formula>"Towel"</formula>
    </cfRule>
    <cfRule type="cellIs" dxfId="408" priority="472" stopIfTrue="1" operator="equal">
      <formula>"Napkin Hs"</formula>
    </cfRule>
  </conditionalFormatting>
  <conditionalFormatting sqref="C117">
    <cfRule type="cellIs" dxfId="407" priority="473" stopIfTrue="1" operator="equal">
      <formula>"Towel"</formula>
    </cfRule>
    <cfRule type="cellIs" dxfId="406" priority="474" stopIfTrue="1" operator="equal">
      <formula>"Napkin Hs"</formula>
    </cfRule>
  </conditionalFormatting>
  <conditionalFormatting sqref="B117:C117">
    <cfRule type="cellIs" dxfId="405" priority="469" stopIfTrue="1" operator="equal">
      <formula>"Towel"</formula>
    </cfRule>
    <cfRule type="cellIs" dxfId="404" priority="470" stopIfTrue="1" operator="equal">
      <formula>"Napkin Hs"</formula>
    </cfRule>
  </conditionalFormatting>
  <conditionalFormatting sqref="C117">
    <cfRule type="cellIs" dxfId="403" priority="467" stopIfTrue="1" operator="equal">
      <formula>"Towel"</formula>
    </cfRule>
    <cfRule type="cellIs" dxfId="402" priority="468" stopIfTrue="1" operator="equal">
      <formula>"Napkin Hs"</formula>
    </cfRule>
  </conditionalFormatting>
  <conditionalFormatting sqref="C117">
    <cfRule type="cellIs" dxfId="401" priority="465" stopIfTrue="1" operator="equal">
      <formula>"Towel"</formula>
    </cfRule>
    <cfRule type="cellIs" dxfId="400" priority="466" stopIfTrue="1" operator="equal">
      <formula>"Napkin Hs"</formula>
    </cfRule>
  </conditionalFormatting>
  <conditionalFormatting sqref="B117:C117">
    <cfRule type="cellIs" dxfId="399" priority="463" stopIfTrue="1" operator="equal">
      <formula>"Towel"</formula>
    </cfRule>
    <cfRule type="cellIs" dxfId="398" priority="464" stopIfTrue="1" operator="equal">
      <formula>"Napkin Hs"</formula>
    </cfRule>
  </conditionalFormatting>
  <conditionalFormatting sqref="C117">
    <cfRule type="cellIs" dxfId="397" priority="461" stopIfTrue="1" operator="equal">
      <formula>"Towel"</formula>
    </cfRule>
    <cfRule type="cellIs" dxfId="396" priority="462" stopIfTrue="1" operator="equal">
      <formula>"Napkin Hs"</formula>
    </cfRule>
  </conditionalFormatting>
  <conditionalFormatting sqref="C117">
    <cfRule type="cellIs" dxfId="395" priority="459" stopIfTrue="1" operator="equal">
      <formula>"Towel"</formula>
    </cfRule>
    <cfRule type="cellIs" dxfId="394" priority="460" stopIfTrue="1" operator="equal">
      <formula>"Napkin Hs"</formula>
    </cfRule>
  </conditionalFormatting>
  <conditionalFormatting sqref="B117:C117">
    <cfRule type="cellIs" dxfId="393" priority="457" stopIfTrue="1" operator="equal">
      <formula>"Towel"</formula>
    </cfRule>
    <cfRule type="cellIs" dxfId="392" priority="458" stopIfTrue="1" operator="equal">
      <formula>"Napkin Hs"</formula>
    </cfRule>
  </conditionalFormatting>
  <conditionalFormatting sqref="C117">
    <cfRule type="cellIs" dxfId="391" priority="455" stopIfTrue="1" operator="equal">
      <formula>"Towel"</formula>
    </cfRule>
    <cfRule type="cellIs" dxfId="390" priority="456" stopIfTrue="1" operator="equal">
      <formula>"Napkin Hs"</formula>
    </cfRule>
  </conditionalFormatting>
  <conditionalFormatting sqref="C117">
    <cfRule type="cellIs" dxfId="389" priority="453" stopIfTrue="1" operator="equal">
      <formula>"Towel"</formula>
    </cfRule>
    <cfRule type="cellIs" dxfId="388" priority="454" stopIfTrue="1" operator="equal">
      <formula>"Napkin Hs"</formula>
    </cfRule>
  </conditionalFormatting>
  <conditionalFormatting sqref="B117:C117">
    <cfRule type="cellIs" dxfId="387" priority="452" stopIfTrue="1" operator="equal">
      <formula>"Napkin Hs"</formula>
    </cfRule>
  </conditionalFormatting>
  <conditionalFormatting sqref="B117:C117">
    <cfRule type="cellIs" dxfId="386" priority="451" stopIfTrue="1" operator="equal">
      <formula>"Towel"</formula>
    </cfRule>
  </conditionalFormatting>
  <conditionalFormatting sqref="C117">
    <cfRule type="cellIs" dxfId="385" priority="450" stopIfTrue="1" operator="equal">
      <formula>"Napkin Hs"</formula>
    </cfRule>
  </conditionalFormatting>
  <conditionalFormatting sqref="C117">
    <cfRule type="cellIs" dxfId="384" priority="447" stopIfTrue="1" operator="equal">
      <formula>"Towel"</formula>
    </cfRule>
    <cfRule type="cellIs" dxfId="383" priority="448" stopIfTrue="1" operator="equal">
      <formula>"Napkin Hs"</formula>
    </cfRule>
  </conditionalFormatting>
  <conditionalFormatting sqref="C117">
    <cfRule type="cellIs" dxfId="382" priority="449" stopIfTrue="1" operator="equal">
      <formula>"Towel"</formula>
    </cfRule>
  </conditionalFormatting>
  <conditionalFormatting sqref="B139:C141">
    <cfRule type="cellIs" dxfId="381" priority="446" stopIfTrue="1" operator="equal">
      <formula>"Napkin Hs"</formula>
    </cfRule>
  </conditionalFormatting>
  <conditionalFormatting sqref="B139:C141">
    <cfRule type="cellIs" dxfId="380" priority="445" stopIfTrue="1" operator="equal">
      <formula>"Towel"</formula>
    </cfRule>
  </conditionalFormatting>
  <conditionalFormatting sqref="C139:C141">
    <cfRule type="cellIs" dxfId="379" priority="444" stopIfTrue="1" operator="equal">
      <formula>"Napkin Hs"</formula>
    </cfRule>
  </conditionalFormatting>
  <conditionalFormatting sqref="C139:C141">
    <cfRule type="cellIs" dxfId="378" priority="443" stopIfTrue="1" operator="equal">
      <formula>"Towel"</formula>
    </cfRule>
  </conditionalFormatting>
  <conditionalFormatting sqref="C139:C141">
    <cfRule type="cellIs" dxfId="377" priority="441" stopIfTrue="1" operator="equal">
      <formula>"Towel"</formula>
    </cfRule>
    <cfRule type="cellIs" dxfId="376" priority="442" stopIfTrue="1" operator="equal">
      <formula>"Napkin Hs"</formula>
    </cfRule>
  </conditionalFormatting>
  <conditionalFormatting sqref="C138">
    <cfRule type="cellIs" dxfId="375" priority="437" stopIfTrue="1" operator="equal">
      <formula>"Towel"</formula>
    </cfRule>
    <cfRule type="cellIs" dxfId="374" priority="438" stopIfTrue="1" operator="equal">
      <formula>"Napkin Hs"</formula>
    </cfRule>
  </conditionalFormatting>
  <conditionalFormatting sqref="C138">
    <cfRule type="cellIs" dxfId="373" priority="435" stopIfTrue="1" operator="equal">
      <formula>"Towel"</formula>
    </cfRule>
    <cfRule type="cellIs" dxfId="372" priority="436" stopIfTrue="1" operator="equal">
      <formula>"Napkin Hs"</formula>
    </cfRule>
  </conditionalFormatting>
  <conditionalFormatting sqref="B138:C138">
    <cfRule type="cellIs" dxfId="371" priority="386" stopIfTrue="1" operator="equal">
      <formula>"Napkin Hs"</formula>
    </cfRule>
  </conditionalFormatting>
  <conditionalFormatting sqref="B138:C138">
    <cfRule type="cellIs" dxfId="370" priority="385" stopIfTrue="1" operator="equal">
      <formula>"Towel"</formula>
    </cfRule>
  </conditionalFormatting>
  <conditionalFormatting sqref="B138:C138">
    <cfRule type="cellIs" dxfId="369" priority="439" stopIfTrue="1" operator="equal">
      <formula>"Towel"</formula>
    </cfRule>
    <cfRule type="cellIs" dxfId="368" priority="440" stopIfTrue="1" operator="equal">
      <formula>"Napkin Hs"</formula>
    </cfRule>
  </conditionalFormatting>
  <conditionalFormatting sqref="C138">
    <cfRule type="cellIs" dxfId="367" priority="384" stopIfTrue="1" operator="equal">
      <formula>"Napkin Hs"</formula>
    </cfRule>
  </conditionalFormatting>
  <conditionalFormatting sqref="C138">
    <cfRule type="cellIs" dxfId="366" priority="383" stopIfTrue="1" operator="equal">
      <formula>"Towel"</formula>
    </cfRule>
  </conditionalFormatting>
  <conditionalFormatting sqref="C138">
    <cfRule type="cellIs" dxfId="365" priority="381" stopIfTrue="1" operator="equal">
      <formula>"Towel"</formula>
    </cfRule>
    <cfRule type="cellIs" dxfId="364" priority="382" stopIfTrue="1" operator="equal">
      <formula>"Napkin Hs"</formula>
    </cfRule>
  </conditionalFormatting>
  <conditionalFormatting sqref="B138:C138">
    <cfRule type="cellIs" dxfId="363" priority="434" stopIfTrue="1" operator="equal">
      <formula>"Napkin Hs"</formula>
    </cfRule>
  </conditionalFormatting>
  <conditionalFormatting sqref="B138:C138">
    <cfRule type="cellIs" dxfId="362" priority="433" stopIfTrue="1" operator="equal">
      <formula>"Towel"</formula>
    </cfRule>
  </conditionalFormatting>
  <conditionalFormatting sqref="C138">
    <cfRule type="cellIs" dxfId="361" priority="432" stopIfTrue="1" operator="equal">
      <formula>"Napkin Hs"</formula>
    </cfRule>
  </conditionalFormatting>
  <conditionalFormatting sqref="C138">
    <cfRule type="cellIs" dxfId="360" priority="431" stopIfTrue="1" operator="equal">
      <formula>"Towel"</formula>
    </cfRule>
  </conditionalFormatting>
  <conditionalFormatting sqref="C138">
    <cfRule type="cellIs" dxfId="359" priority="429" stopIfTrue="1" operator="equal">
      <formula>"Towel"</formula>
    </cfRule>
    <cfRule type="cellIs" dxfId="358" priority="430" stopIfTrue="1" operator="equal">
      <formula>"Napkin Hs"</formula>
    </cfRule>
  </conditionalFormatting>
  <conditionalFormatting sqref="B138:C138">
    <cfRule type="cellIs" dxfId="357" priority="427" stopIfTrue="1" operator="equal">
      <formula>"Towel"</formula>
    </cfRule>
    <cfRule type="cellIs" dxfId="356" priority="428" stopIfTrue="1" operator="equal">
      <formula>"Napkin Hs"</formula>
    </cfRule>
  </conditionalFormatting>
  <conditionalFormatting sqref="C138">
    <cfRule type="cellIs" dxfId="355" priority="423" stopIfTrue="1" operator="equal">
      <formula>"Towel"</formula>
    </cfRule>
    <cfRule type="cellIs" dxfId="354" priority="424" stopIfTrue="1" operator="equal">
      <formula>"Napkin Hs"</formula>
    </cfRule>
  </conditionalFormatting>
  <conditionalFormatting sqref="C138">
    <cfRule type="cellIs" dxfId="353" priority="425" stopIfTrue="1" operator="equal">
      <formula>"Towel"</formula>
    </cfRule>
    <cfRule type="cellIs" dxfId="352" priority="426" stopIfTrue="1" operator="equal">
      <formula>"Napkin Hs"</formula>
    </cfRule>
  </conditionalFormatting>
  <conditionalFormatting sqref="B138:C138">
    <cfRule type="cellIs" dxfId="351" priority="422" stopIfTrue="1" operator="equal">
      <formula>"Napkin Hs"</formula>
    </cfRule>
  </conditionalFormatting>
  <conditionalFormatting sqref="B138:C138">
    <cfRule type="cellIs" dxfId="350" priority="421" stopIfTrue="1" operator="equal">
      <formula>"Towel"</formula>
    </cfRule>
  </conditionalFormatting>
  <conditionalFormatting sqref="C138">
    <cfRule type="cellIs" dxfId="349" priority="420" stopIfTrue="1" operator="equal">
      <formula>"Napkin Hs"</formula>
    </cfRule>
  </conditionalFormatting>
  <conditionalFormatting sqref="C138">
    <cfRule type="cellIs" dxfId="348" priority="419" stopIfTrue="1" operator="equal">
      <formula>"Towel"</formula>
    </cfRule>
  </conditionalFormatting>
  <conditionalFormatting sqref="C138">
    <cfRule type="cellIs" dxfId="347" priority="417" stopIfTrue="1" operator="equal">
      <formula>"Towel"</formula>
    </cfRule>
    <cfRule type="cellIs" dxfId="346" priority="418" stopIfTrue="1" operator="equal">
      <formula>"Napkin Hs"</formula>
    </cfRule>
  </conditionalFormatting>
  <conditionalFormatting sqref="B138:C138">
    <cfRule type="cellIs" dxfId="345" priority="415" stopIfTrue="1" operator="equal">
      <formula>"Towel"</formula>
    </cfRule>
    <cfRule type="cellIs" dxfId="344" priority="416" stopIfTrue="1" operator="equal">
      <formula>"Napkin Hs"</formula>
    </cfRule>
  </conditionalFormatting>
  <conditionalFormatting sqref="C138">
    <cfRule type="cellIs" dxfId="343" priority="413" stopIfTrue="1" operator="equal">
      <formula>"Towel"</formula>
    </cfRule>
    <cfRule type="cellIs" dxfId="342" priority="414" stopIfTrue="1" operator="equal">
      <formula>"Napkin Hs"</formula>
    </cfRule>
  </conditionalFormatting>
  <conditionalFormatting sqref="C138">
    <cfRule type="cellIs" dxfId="341" priority="411" stopIfTrue="1" operator="equal">
      <formula>"Towel"</formula>
    </cfRule>
    <cfRule type="cellIs" dxfId="340" priority="412" stopIfTrue="1" operator="equal">
      <formula>"Napkin Hs"</formula>
    </cfRule>
  </conditionalFormatting>
  <conditionalFormatting sqref="B138:C138">
    <cfRule type="cellIs" dxfId="339" priority="409" stopIfTrue="1" operator="equal">
      <formula>"Towel"</formula>
    </cfRule>
    <cfRule type="cellIs" dxfId="338" priority="410" stopIfTrue="1" operator="equal">
      <formula>"Napkin Hs"</formula>
    </cfRule>
  </conditionalFormatting>
  <conditionalFormatting sqref="C138">
    <cfRule type="cellIs" dxfId="337" priority="407" stopIfTrue="1" operator="equal">
      <formula>"Towel"</formula>
    </cfRule>
    <cfRule type="cellIs" dxfId="336" priority="408" stopIfTrue="1" operator="equal">
      <formula>"Napkin Hs"</formula>
    </cfRule>
  </conditionalFormatting>
  <conditionalFormatting sqref="C138">
    <cfRule type="cellIs" dxfId="335" priority="405" stopIfTrue="1" operator="equal">
      <formula>"Towel"</formula>
    </cfRule>
    <cfRule type="cellIs" dxfId="334" priority="406" stopIfTrue="1" operator="equal">
      <formula>"Napkin Hs"</formula>
    </cfRule>
  </conditionalFormatting>
  <conditionalFormatting sqref="B138:C138">
    <cfRule type="cellIs" dxfId="333" priority="403" stopIfTrue="1" operator="equal">
      <formula>"Towel"</formula>
    </cfRule>
    <cfRule type="cellIs" dxfId="332" priority="404" stopIfTrue="1" operator="equal">
      <formula>"Napkin Hs"</formula>
    </cfRule>
  </conditionalFormatting>
  <conditionalFormatting sqref="C138">
    <cfRule type="cellIs" dxfId="331" priority="401" stopIfTrue="1" operator="equal">
      <formula>"Towel"</formula>
    </cfRule>
    <cfRule type="cellIs" dxfId="330" priority="402" stopIfTrue="1" operator="equal">
      <formula>"Napkin Hs"</formula>
    </cfRule>
  </conditionalFormatting>
  <conditionalFormatting sqref="C138">
    <cfRule type="cellIs" dxfId="329" priority="399" stopIfTrue="1" operator="equal">
      <formula>"Towel"</formula>
    </cfRule>
    <cfRule type="cellIs" dxfId="328" priority="400" stopIfTrue="1" operator="equal">
      <formula>"Napkin Hs"</formula>
    </cfRule>
  </conditionalFormatting>
  <conditionalFormatting sqref="B138:C138">
    <cfRule type="cellIs" dxfId="327" priority="397" stopIfTrue="1" operator="equal">
      <formula>"Towel"</formula>
    </cfRule>
    <cfRule type="cellIs" dxfId="326" priority="398" stopIfTrue="1" operator="equal">
      <formula>"Napkin Hs"</formula>
    </cfRule>
  </conditionalFormatting>
  <conditionalFormatting sqref="C138">
    <cfRule type="cellIs" dxfId="325" priority="395" stopIfTrue="1" operator="equal">
      <formula>"Towel"</formula>
    </cfRule>
    <cfRule type="cellIs" dxfId="324" priority="396" stopIfTrue="1" operator="equal">
      <formula>"Napkin Hs"</formula>
    </cfRule>
  </conditionalFormatting>
  <conditionalFormatting sqref="C138">
    <cfRule type="cellIs" dxfId="323" priority="393" stopIfTrue="1" operator="equal">
      <formula>"Towel"</formula>
    </cfRule>
    <cfRule type="cellIs" dxfId="322" priority="394" stopIfTrue="1" operator="equal">
      <formula>"Napkin Hs"</formula>
    </cfRule>
  </conditionalFormatting>
  <conditionalFormatting sqref="B138:C138">
    <cfRule type="cellIs" dxfId="321" priority="391" stopIfTrue="1" operator="equal">
      <formula>"Towel"</formula>
    </cfRule>
    <cfRule type="cellIs" dxfId="320" priority="392" stopIfTrue="1" operator="equal">
      <formula>"Napkin Hs"</formula>
    </cfRule>
  </conditionalFormatting>
  <conditionalFormatting sqref="C138">
    <cfRule type="cellIs" dxfId="319" priority="389" stopIfTrue="1" operator="equal">
      <formula>"Towel"</formula>
    </cfRule>
    <cfRule type="cellIs" dxfId="318" priority="390" stopIfTrue="1" operator="equal">
      <formula>"Napkin Hs"</formula>
    </cfRule>
  </conditionalFormatting>
  <conditionalFormatting sqref="C138">
    <cfRule type="cellIs" dxfId="317" priority="387" stopIfTrue="1" operator="equal">
      <formula>"Towel"</formula>
    </cfRule>
    <cfRule type="cellIs" dxfId="316" priority="388" stopIfTrue="1" operator="equal">
      <formula>"Napkin Hs"</formula>
    </cfRule>
  </conditionalFormatting>
  <conditionalFormatting sqref="B137:C137">
    <cfRule type="cellIs" dxfId="315" priority="380" stopIfTrue="1" operator="equal">
      <formula>"Napkin Hs"</formula>
    </cfRule>
  </conditionalFormatting>
  <conditionalFormatting sqref="B137:C137">
    <cfRule type="cellIs" dxfId="314" priority="379" stopIfTrue="1" operator="equal">
      <formula>"Towel"</formula>
    </cfRule>
  </conditionalFormatting>
  <conditionalFormatting sqref="C137">
    <cfRule type="cellIs" dxfId="313" priority="378" stopIfTrue="1" operator="equal">
      <formula>"Napkin Hs"</formula>
    </cfRule>
  </conditionalFormatting>
  <conditionalFormatting sqref="C137">
    <cfRule type="cellIs" dxfId="312" priority="375" stopIfTrue="1" operator="equal">
      <formula>"Towel"</formula>
    </cfRule>
    <cfRule type="cellIs" dxfId="311" priority="376" stopIfTrue="1" operator="equal">
      <formula>"Napkin Hs"</formula>
    </cfRule>
  </conditionalFormatting>
  <conditionalFormatting sqref="C137">
    <cfRule type="cellIs" dxfId="310" priority="377" stopIfTrue="1" operator="equal">
      <formula>"Towel"</formula>
    </cfRule>
  </conditionalFormatting>
  <conditionalFormatting sqref="C138">
    <cfRule type="cellIs" dxfId="309" priority="371" stopIfTrue="1" operator="equal">
      <formula>"Towel"</formula>
    </cfRule>
    <cfRule type="cellIs" dxfId="308" priority="372" stopIfTrue="1" operator="equal">
      <formula>"Napkin Hs"</formula>
    </cfRule>
  </conditionalFormatting>
  <conditionalFormatting sqref="C138">
    <cfRule type="cellIs" dxfId="307" priority="369" stopIfTrue="1" operator="equal">
      <formula>"Towel"</formula>
    </cfRule>
    <cfRule type="cellIs" dxfId="306" priority="370" stopIfTrue="1" operator="equal">
      <formula>"Napkin Hs"</formula>
    </cfRule>
  </conditionalFormatting>
  <conditionalFormatting sqref="B138:C138">
    <cfRule type="cellIs" dxfId="305" priority="320" stopIfTrue="1" operator="equal">
      <formula>"Napkin Hs"</formula>
    </cfRule>
  </conditionalFormatting>
  <conditionalFormatting sqref="B138:C138">
    <cfRule type="cellIs" dxfId="304" priority="319" stopIfTrue="1" operator="equal">
      <formula>"Towel"</formula>
    </cfRule>
  </conditionalFormatting>
  <conditionalFormatting sqref="B138:C138">
    <cfRule type="cellIs" dxfId="303" priority="373" stopIfTrue="1" operator="equal">
      <formula>"Towel"</formula>
    </cfRule>
    <cfRule type="cellIs" dxfId="302" priority="374" stopIfTrue="1" operator="equal">
      <formula>"Napkin Hs"</formula>
    </cfRule>
  </conditionalFormatting>
  <conditionalFormatting sqref="C138">
    <cfRule type="cellIs" dxfId="301" priority="318" stopIfTrue="1" operator="equal">
      <formula>"Napkin Hs"</formula>
    </cfRule>
  </conditionalFormatting>
  <conditionalFormatting sqref="C138">
    <cfRule type="cellIs" dxfId="300" priority="317" stopIfTrue="1" operator="equal">
      <formula>"Towel"</formula>
    </cfRule>
  </conditionalFormatting>
  <conditionalFormatting sqref="C138">
    <cfRule type="cellIs" dxfId="299" priority="315" stopIfTrue="1" operator="equal">
      <formula>"Towel"</formula>
    </cfRule>
    <cfRule type="cellIs" dxfId="298" priority="316" stopIfTrue="1" operator="equal">
      <formula>"Napkin Hs"</formula>
    </cfRule>
  </conditionalFormatting>
  <conditionalFormatting sqref="B138:C138">
    <cfRule type="cellIs" dxfId="297" priority="368" stopIfTrue="1" operator="equal">
      <formula>"Napkin Hs"</formula>
    </cfRule>
  </conditionalFormatting>
  <conditionalFormatting sqref="B138:C138">
    <cfRule type="cellIs" dxfId="296" priority="367" stopIfTrue="1" operator="equal">
      <formula>"Towel"</formula>
    </cfRule>
  </conditionalFormatting>
  <conditionalFormatting sqref="C138">
    <cfRule type="cellIs" dxfId="295" priority="366" stopIfTrue="1" operator="equal">
      <formula>"Napkin Hs"</formula>
    </cfRule>
  </conditionalFormatting>
  <conditionalFormatting sqref="C138">
    <cfRule type="cellIs" dxfId="294" priority="365" stopIfTrue="1" operator="equal">
      <formula>"Towel"</formula>
    </cfRule>
  </conditionalFormatting>
  <conditionalFormatting sqref="C138">
    <cfRule type="cellIs" dxfId="293" priority="363" stopIfTrue="1" operator="equal">
      <formula>"Towel"</formula>
    </cfRule>
    <cfRule type="cellIs" dxfId="292" priority="364" stopIfTrue="1" operator="equal">
      <formula>"Napkin Hs"</formula>
    </cfRule>
  </conditionalFormatting>
  <conditionalFormatting sqref="B138:C138">
    <cfRule type="cellIs" dxfId="291" priority="361" stopIfTrue="1" operator="equal">
      <formula>"Towel"</formula>
    </cfRule>
    <cfRule type="cellIs" dxfId="290" priority="362" stopIfTrue="1" operator="equal">
      <formula>"Napkin Hs"</formula>
    </cfRule>
  </conditionalFormatting>
  <conditionalFormatting sqref="C138">
    <cfRule type="cellIs" dxfId="289" priority="357" stopIfTrue="1" operator="equal">
      <formula>"Towel"</formula>
    </cfRule>
    <cfRule type="cellIs" dxfId="288" priority="358" stopIfTrue="1" operator="equal">
      <formula>"Napkin Hs"</formula>
    </cfRule>
  </conditionalFormatting>
  <conditionalFormatting sqref="C138">
    <cfRule type="cellIs" dxfId="287" priority="359" stopIfTrue="1" operator="equal">
      <formula>"Towel"</formula>
    </cfRule>
    <cfRule type="cellIs" dxfId="286" priority="360" stopIfTrue="1" operator="equal">
      <formula>"Napkin Hs"</formula>
    </cfRule>
  </conditionalFormatting>
  <conditionalFormatting sqref="B138:C138">
    <cfRule type="cellIs" dxfId="285" priority="356" stopIfTrue="1" operator="equal">
      <formula>"Napkin Hs"</formula>
    </cfRule>
  </conditionalFormatting>
  <conditionalFormatting sqref="B138:C138">
    <cfRule type="cellIs" dxfId="284" priority="355" stopIfTrue="1" operator="equal">
      <formula>"Towel"</formula>
    </cfRule>
  </conditionalFormatting>
  <conditionalFormatting sqref="C138">
    <cfRule type="cellIs" dxfId="283" priority="354" stopIfTrue="1" operator="equal">
      <formula>"Napkin Hs"</formula>
    </cfRule>
  </conditionalFormatting>
  <conditionalFormatting sqref="C138">
    <cfRule type="cellIs" dxfId="282" priority="353" stopIfTrue="1" operator="equal">
      <formula>"Towel"</formula>
    </cfRule>
  </conditionalFormatting>
  <conditionalFormatting sqref="C138">
    <cfRule type="cellIs" dxfId="281" priority="351" stopIfTrue="1" operator="equal">
      <formula>"Towel"</formula>
    </cfRule>
    <cfRule type="cellIs" dxfId="280" priority="352" stopIfTrue="1" operator="equal">
      <formula>"Napkin Hs"</formula>
    </cfRule>
  </conditionalFormatting>
  <conditionalFormatting sqref="B138:C138">
    <cfRule type="cellIs" dxfId="279" priority="349" stopIfTrue="1" operator="equal">
      <formula>"Towel"</formula>
    </cfRule>
    <cfRule type="cellIs" dxfId="278" priority="350" stopIfTrue="1" operator="equal">
      <formula>"Napkin Hs"</formula>
    </cfRule>
  </conditionalFormatting>
  <conditionalFormatting sqref="C138">
    <cfRule type="cellIs" dxfId="277" priority="347" stopIfTrue="1" operator="equal">
      <formula>"Towel"</formula>
    </cfRule>
    <cfRule type="cellIs" dxfId="276" priority="348" stopIfTrue="1" operator="equal">
      <formula>"Napkin Hs"</formula>
    </cfRule>
  </conditionalFormatting>
  <conditionalFormatting sqref="C138">
    <cfRule type="cellIs" dxfId="275" priority="345" stopIfTrue="1" operator="equal">
      <formula>"Towel"</formula>
    </cfRule>
    <cfRule type="cellIs" dxfId="274" priority="346" stopIfTrue="1" operator="equal">
      <formula>"Napkin Hs"</formula>
    </cfRule>
  </conditionalFormatting>
  <conditionalFormatting sqref="B138:C138">
    <cfRule type="cellIs" dxfId="273" priority="343" stopIfTrue="1" operator="equal">
      <formula>"Towel"</formula>
    </cfRule>
    <cfRule type="cellIs" dxfId="272" priority="344" stopIfTrue="1" operator="equal">
      <formula>"Napkin Hs"</formula>
    </cfRule>
  </conditionalFormatting>
  <conditionalFormatting sqref="C138">
    <cfRule type="cellIs" dxfId="271" priority="341" stopIfTrue="1" operator="equal">
      <formula>"Towel"</formula>
    </cfRule>
    <cfRule type="cellIs" dxfId="270" priority="342" stopIfTrue="1" operator="equal">
      <formula>"Napkin Hs"</formula>
    </cfRule>
  </conditionalFormatting>
  <conditionalFormatting sqref="C138">
    <cfRule type="cellIs" dxfId="269" priority="339" stopIfTrue="1" operator="equal">
      <formula>"Towel"</formula>
    </cfRule>
    <cfRule type="cellIs" dxfId="268" priority="340" stopIfTrue="1" operator="equal">
      <formula>"Napkin Hs"</formula>
    </cfRule>
  </conditionalFormatting>
  <conditionalFormatting sqref="B138:C138">
    <cfRule type="cellIs" dxfId="267" priority="337" stopIfTrue="1" operator="equal">
      <formula>"Towel"</formula>
    </cfRule>
    <cfRule type="cellIs" dxfId="266" priority="338" stopIfTrue="1" operator="equal">
      <formula>"Napkin Hs"</formula>
    </cfRule>
  </conditionalFormatting>
  <conditionalFormatting sqref="C138">
    <cfRule type="cellIs" dxfId="265" priority="335" stopIfTrue="1" operator="equal">
      <formula>"Towel"</formula>
    </cfRule>
    <cfRule type="cellIs" dxfId="264" priority="336" stopIfTrue="1" operator="equal">
      <formula>"Napkin Hs"</formula>
    </cfRule>
  </conditionalFormatting>
  <conditionalFormatting sqref="C138">
    <cfRule type="cellIs" dxfId="263" priority="333" stopIfTrue="1" operator="equal">
      <formula>"Towel"</formula>
    </cfRule>
    <cfRule type="cellIs" dxfId="262" priority="334" stopIfTrue="1" operator="equal">
      <formula>"Napkin Hs"</formula>
    </cfRule>
  </conditionalFormatting>
  <conditionalFormatting sqref="B138:C138">
    <cfRule type="cellIs" dxfId="261" priority="331" stopIfTrue="1" operator="equal">
      <formula>"Towel"</formula>
    </cfRule>
    <cfRule type="cellIs" dxfId="260" priority="332" stopIfTrue="1" operator="equal">
      <formula>"Napkin Hs"</formula>
    </cfRule>
  </conditionalFormatting>
  <conditionalFormatting sqref="C138">
    <cfRule type="cellIs" dxfId="259" priority="329" stopIfTrue="1" operator="equal">
      <formula>"Towel"</formula>
    </cfRule>
    <cfRule type="cellIs" dxfId="258" priority="330" stopIfTrue="1" operator="equal">
      <formula>"Napkin Hs"</formula>
    </cfRule>
  </conditionalFormatting>
  <conditionalFormatting sqref="C138">
    <cfRule type="cellIs" dxfId="257" priority="327" stopIfTrue="1" operator="equal">
      <formula>"Towel"</formula>
    </cfRule>
    <cfRule type="cellIs" dxfId="256" priority="328" stopIfTrue="1" operator="equal">
      <formula>"Napkin Hs"</formula>
    </cfRule>
  </conditionalFormatting>
  <conditionalFormatting sqref="B138:C138">
    <cfRule type="cellIs" dxfId="255" priority="325" stopIfTrue="1" operator="equal">
      <formula>"Towel"</formula>
    </cfRule>
    <cfRule type="cellIs" dxfId="254" priority="326" stopIfTrue="1" operator="equal">
      <formula>"Napkin Hs"</formula>
    </cfRule>
  </conditionalFormatting>
  <conditionalFormatting sqref="C138">
    <cfRule type="cellIs" dxfId="253" priority="323" stopIfTrue="1" operator="equal">
      <formula>"Towel"</formula>
    </cfRule>
    <cfRule type="cellIs" dxfId="252" priority="324" stopIfTrue="1" operator="equal">
      <formula>"Napkin Hs"</formula>
    </cfRule>
  </conditionalFormatting>
  <conditionalFormatting sqref="C138">
    <cfRule type="cellIs" dxfId="251" priority="321" stopIfTrue="1" operator="equal">
      <formula>"Towel"</formula>
    </cfRule>
    <cfRule type="cellIs" dxfId="250" priority="322" stopIfTrue="1" operator="equal">
      <formula>"Napkin Hs"</formula>
    </cfRule>
  </conditionalFormatting>
  <conditionalFormatting sqref="B141:C141">
    <cfRule type="cellIs" dxfId="249" priority="314" stopIfTrue="1" operator="equal">
      <formula>"Napkin Hs"</formula>
    </cfRule>
  </conditionalFormatting>
  <conditionalFormatting sqref="B141:C141">
    <cfRule type="cellIs" dxfId="248" priority="313" stopIfTrue="1" operator="equal">
      <formula>"Towel"</formula>
    </cfRule>
  </conditionalFormatting>
  <conditionalFormatting sqref="C141">
    <cfRule type="cellIs" dxfId="247" priority="312" stopIfTrue="1" operator="equal">
      <formula>"Napkin Hs"</formula>
    </cfRule>
  </conditionalFormatting>
  <conditionalFormatting sqref="C141">
    <cfRule type="cellIs" dxfId="246" priority="309" stopIfTrue="1" operator="equal">
      <formula>"Towel"</formula>
    </cfRule>
    <cfRule type="cellIs" dxfId="245" priority="310" stopIfTrue="1" operator="equal">
      <formula>"Napkin Hs"</formula>
    </cfRule>
  </conditionalFormatting>
  <conditionalFormatting sqref="C141">
    <cfRule type="cellIs" dxfId="244" priority="311" stopIfTrue="1" operator="equal">
      <formula>"Towel"</formula>
    </cfRule>
  </conditionalFormatting>
  <conditionalFormatting sqref="B140:C140">
    <cfRule type="cellIs" dxfId="243" priority="308" stopIfTrue="1" operator="equal">
      <formula>"Napkin Hs"</formula>
    </cfRule>
  </conditionalFormatting>
  <conditionalFormatting sqref="B140:C140">
    <cfRule type="cellIs" dxfId="242" priority="307" stopIfTrue="1" operator="equal">
      <formula>"Towel"</formula>
    </cfRule>
  </conditionalFormatting>
  <conditionalFormatting sqref="C140">
    <cfRule type="cellIs" dxfId="241" priority="306" stopIfTrue="1" operator="equal">
      <formula>"Napkin Hs"</formula>
    </cfRule>
  </conditionalFormatting>
  <conditionalFormatting sqref="C140">
    <cfRule type="cellIs" dxfId="240" priority="303" stopIfTrue="1" operator="equal">
      <formula>"Towel"</formula>
    </cfRule>
    <cfRule type="cellIs" dxfId="239" priority="304" stopIfTrue="1" operator="equal">
      <formula>"Napkin Hs"</formula>
    </cfRule>
  </conditionalFormatting>
  <conditionalFormatting sqref="C140">
    <cfRule type="cellIs" dxfId="238" priority="305" stopIfTrue="1" operator="equal">
      <formula>"Towel"</formula>
    </cfRule>
  </conditionalFormatting>
  <conditionalFormatting sqref="C137">
    <cfRule type="cellIs" dxfId="237" priority="299" stopIfTrue="1" operator="equal">
      <formula>"Towel"</formula>
    </cfRule>
    <cfRule type="cellIs" dxfId="236" priority="300" stopIfTrue="1" operator="equal">
      <formula>"Napkin Hs"</formula>
    </cfRule>
  </conditionalFormatting>
  <conditionalFormatting sqref="C137">
    <cfRule type="cellIs" dxfId="235" priority="297" stopIfTrue="1" operator="equal">
      <formula>"Towel"</formula>
    </cfRule>
    <cfRule type="cellIs" dxfId="234" priority="298" stopIfTrue="1" operator="equal">
      <formula>"Napkin Hs"</formula>
    </cfRule>
  </conditionalFormatting>
  <conditionalFormatting sqref="B137:C137">
    <cfRule type="cellIs" dxfId="233" priority="248" stopIfTrue="1" operator="equal">
      <formula>"Napkin Hs"</formula>
    </cfRule>
  </conditionalFormatting>
  <conditionalFormatting sqref="B137:C137">
    <cfRule type="cellIs" dxfId="232" priority="247" stopIfTrue="1" operator="equal">
      <formula>"Towel"</formula>
    </cfRule>
  </conditionalFormatting>
  <conditionalFormatting sqref="B137:C137">
    <cfRule type="cellIs" dxfId="231" priority="301" stopIfTrue="1" operator="equal">
      <formula>"Towel"</formula>
    </cfRule>
    <cfRule type="cellIs" dxfId="230" priority="302" stopIfTrue="1" operator="equal">
      <formula>"Napkin Hs"</formula>
    </cfRule>
  </conditionalFormatting>
  <conditionalFormatting sqref="C137">
    <cfRule type="cellIs" dxfId="229" priority="246" stopIfTrue="1" operator="equal">
      <formula>"Napkin Hs"</formula>
    </cfRule>
  </conditionalFormatting>
  <conditionalFormatting sqref="C137">
    <cfRule type="cellIs" dxfId="228" priority="245" stopIfTrue="1" operator="equal">
      <formula>"Towel"</formula>
    </cfRule>
  </conditionalFormatting>
  <conditionalFormatting sqref="C137">
    <cfRule type="cellIs" dxfId="227" priority="243" stopIfTrue="1" operator="equal">
      <formula>"Towel"</formula>
    </cfRule>
    <cfRule type="cellIs" dxfId="226" priority="244" stopIfTrue="1" operator="equal">
      <formula>"Napkin Hs"</formula>
    </cfRule>
  </conditionalFormatting>
  <conditionalFormatting sqref="B137:C137">
    <cfRule type="cellIs" dxfId="225" priority="296" stopIfTrue="1" operator="equal">
      <formula>"Napkin Hs"</formula>
    </cfRule>
  </conditionalFormatting>
  <conditionalFormatting sqref="B137:C137">
    <cfRule type="cellIs" dxfId="224" priority="295" stopIfTrue="1" operator="equal">
      <formula>"Towel"</formula>
    </cfRule>
  </conditionalFormatting>
  <conditionalFormatting sqref="C137">
    <cfRule type="cellIs" dxfId="223" priority="294" stopIfTrue="1" operator="equal">
      <formula>"Napkin Hs"</formula>
    </cfRule>
  </conditionalFormatting>
  <conditionalFormatting sqref="C137">
    <cfRule type="cellIs" dxfId="222" priority="293" stopIfTrue="1" operator="equal">
      <formula>"Towel"</formula>
    </cfRule>
  </conditionalFormatting>
  <conditionalFormatting sqref="C137">
    <cfRule type="cellIs" dxfId="221" priority="291" stopIfTrue="1" operator="equal">
      <formula>"Towel"</formula>
    </cfRule>
    <cfRule type="cellIs" dxfId="220" priority="292" stopIfTrue="1" operator="equal">
      <formula>"Napkin Hs"</formula>
    </cfRule>
  </conditionalFormatting>
  <conditionalFormatting sqref="B137:C137">
    <cfRule type="cellIs" dxfId="219" priority="289" stopIfTrue="1" operator="equal">
      <formula>"Towel"</formula>
    </cfRule>
    <cfRule type="cellIs" dxfId="218" priority="290" stopIfTrue="1" operator="equal">
      <formula>"Napkin Hs"</formula>
    </cfRule>
  </conditionalFormatting>
  <conditionalFormatting sqref="C137">
    <cfRule type="cellIs" dxfId="217" priority="285" stopIfTrue="1" operator="equal">
      <formula>"Towel"</formula>
    </cfRule>
    <cfRule type="cellIs" dxfId="216" priority="286" stopIfTrue="1" operator="equal">
      <formula>"Napkin Hs"</formula>
    </cfRule>
  </conditionalFormatting>
  <conditionalFormatting sqref="C137">
    <cfRule type="cellIs" dxfId="215" priority="287" stopIfTrue="1" operator="equal">
      <formula>"Towel"</formula>
    </cfRule>
    <cfRule type="cellIs" dxfId="214" priority="288" stopIfTrue="1" operator="equal">
      <formula>"Napkin Hs"</formula>
    </cfRule>
  </conditionalFormatting>
  <conditionalFormatting sqref="B137:C137">
    <cfRule type="cellIs" dxfId="213" priority="284" stopIfTrue="1" operator="equal">
      <formula>"Napkin Hs"</formula>
    </cfRule>
  </conditionalFormatting>
  <conditionalFormatting sqref="B137:C137">
    <cfRule type="cellIs" dxfId="212" priority="283" stopIfTrue="1" operator="equal">
      <formula>"Towel"</formula>
    </cfRule>
  </conditionalFormatting>
  <conditionalFormatting sqref="C137">
    <cfRule type="cellIs" dxfId="211" priority="282" stopIfTrue="1" operator="equal">
      <formula>"Napkin Hs"</formula>
    </cfRule>
  </conditionalFormatting>
  <conditionalFormatting sqref="C137">
    <cfRule type="cellIs" dxfId="210" priority="281" stopIfTrue="1" operator="equal">
      <formula>"Towel"</formula>
    </cfRule>
  </conditionalFormatting>
  <conditionalFormatting sqref="C137">
    <cfRule type="cellIs" dxfId="209" priority="279" stopIfTrue="1" operator="equal">
      <formula>"Towel"</formula>
    </cfRule>
    <cfRule type="cellIs" dxfId="208" priority="280" stopIfTrue="1" operator="equal">
      <formula>"Napkin Hs"</formula>
    </cfRule>
  </conditionalFormatting>
  <conditionalFormatting sqref="B137:C137">
    <cfRule type="cellIs" dxfId="207" priority="277" stopIfTrue="1" operator="equal">
      <formula>"Towel"</formula>
    </cfRule>
    <cfRule type="cellIs" dxfId="206" priority="278" stopIfTrue="1" operator="equal">
      <formula>"Napkin Hs"</formula>
    </cfRule>
  </conditionalFormatting>
  <conditionalFormatting sqref="C137">
    <cfRule type="cellIs" dxfId="205" priority="275" stopIfTrue="1" operator="equal">
      <formula>"Towel"</formula>
    </cfRule>
    <cfRule type="cellIs" dxfId="204" priority="276" stopIfTrue="1" operator="equal">
      <formula>"Napkin Hs"</formula>
    </cfRule>
  </conditionalFormatting>
  <conditionalFormatting sqref="C137">
    <cfRule type="cellIs" dxfId="203" priority="273" stopIfTrue="1" operator="equal">
      <formula>"Towel"</formula>
    </cfRule>
    <cfRule type="cellIs" dxfId="202" priority="274" stopIfTrue="1" operator="equal">
      <formula>"Napkin Hs"</formula>
    </cfRule>
  </conditionalFormatting>
  <conditionalFormatting sqref="B137:C137">
    <cfRule type="cellIs" dxfId="201" priority="271" stopIfTrue="1" operator="equal">
      <formula>"Towel"</formula>
    </cfRule>
    <cfRule type="cellIs" dxfId="200" priority="272" stopIfTrue="1" operator="equal">
      <formula>"Napkin Hs"</formula>
    </cfRule>
  </conditionalFormatting>
  <conditionalFormatting sqref="C137">
    <cfRule type="cellIs" dxfId="199" priority="269" stopIfTrue="1" operator="equal">
      <formula>"Towel"</formula>
    </cfRule>
    <cfRule type="cellIs" dxfId="198" priority="270" stopIfTrue="1" operator="equal">
      <formula>"Napkin Hs"</formula>
    </cfRule>
  </conditionalFormatting>
  <conditionalFormatting sqref="C137">
    <cfRule type="cellIs" dxfId="197" priority="267" stopIfTrue="1" operator="equal">
      <formula>"Towel"</formula>
    </cfRule>
    <cfRule type="cellIs" dxfId="196" priority="268" stopIfTrue="1" operator="equal">
      <formula>"Napkin Hs"</formula>
    </cfRule>
  </conditionalFormatting>
  <conditionalFormatting sqref="B137:C137">
    <cfRule type="cellIs" dxfId="195" priority="265" stopIfTrue="1" operator="equal">
      <formula>"Towel"</formula>
    </cfRule>
    <cfRule type="cellIs" dxfId="194" priority="266" stopIfTrue="1" operator="equal">
      <formula>"Napkin Hs"</formula>
    </cfRule>
  </conditionalFormatting>
  <conditionalFormatting sqref="C137">
    <cfRule type="cellIs" dxfId="193" priority="263" stopIfTrue="1" operator="equal">
      <formula>"Towel"</formula>
    </cfRule>
    <cfRule type="cellIs" dxfId="192" priority="264" stopIfTrue="1" operator="equal">
      <formula>"Napkin Hs"</formula>
    </cfRule>
  </conditionalFormatting>
  <conditionalFormatting sqref="C137">
    <cfRule type="cellIs" dxfId="191" priority="261" stopIfTrue="1" operator="equal">
      <formula>"Towel"</formula>
    </cfRule>
    <cfRule type="cellIs" dxfId="190" priority="262" stopIfTrue="1" operator="equal">
      <formula>"Napkin Hs"</formula>
    </cfRule>
  </conditionalFormatting>
  <conditionalFormatting sqref="B137:C137">
    <cfRule type="cellIs" dxfId="189" priority="259" stopIfTrue="1" operator="equal">
      <formula>"Towel"</formula>
    </cfRule>
    <cfRule type="cellIs" dxfId="188" priority="260" stopIfTrue="1" operator="equal">
      <formula>"Napkin Hs"</formula>
    </cfRule>
  </conditionalFormatting>
  <conditionalFormatting sqref="C137">
    <cfRule type="cellIs" dxfId="187" priority="257" stopIfTrue="1" operator="equal">
      <formula>"Towel"</formula>
    </cfRule>
    <cfRule type="cellIs" dxfId="186" priority="258" stopIfTrue="1" operator="equal">
      <formula>"Napkin Hs"</formula>
    </cfRule>
  </conditionalFormatting>
  <conditionalFormatting sqref="C137">
    <cfRule type="cellIs" dxfId="185" priority="255" stopIfTrue="1" operator="equal">
      <formula>"Towel"</formula>
    </cfRule>
    <cfRule type="cellIs" dxfId="184" priority="256" stopIfTrue="1" operator="equal">
      <formula>"Napkin Hs"</formula>
    </cfRule>
  </conditionalFormatting>
  <conditionalFormatting sqref="B137:C137">
    <cfRule type="cellIs" dxfId="183" priority="253" stopIfTrue="1" operator="equal">
      <formula>"Towel"</formula>
    </cfRule>
    <cfRule type="cellIs" dxfId="182" priority="254" stopIfTrue="1" operator="equal">
      <formula>"Napkin Hs"</formula>
    </cfRule>
  </conditionalFormatting>
  <conditionalFormatting sqref="C137">
    <cfRule type="cellIs" dxfId="181" priority="251" stopIfTrue="1" operator="equal">
      <formula>"Towel"</formula>
    </cfRule>
    <cfRule type="cellIs" dxfId="180" priority="252" stopIfTrue="1" operator="equal">
      <formula>"Napkin Hs"</formula>
    </cfRule>
  </conditionalFormatting>
  <conditionalFormatting sqref="C137">
    <cfRule type="cellIs" dxfId="179" priority="249" stopIfTrue="1" operator="equal">
      <formula>"Towel"</formula>
    </cfRule>
    <cfRule type="cellIs" dxfId="178" priority="250" stopIfTrue="1" operator="equal">
      <formula>"Napkin Hs"</formula>
    </cfRule>
  </conditionalFormatting>
  <conditionalFormatting sqref="B142:C145">
    <cfRule type="cellIs" dxfId="177" priority="242" stopIfTrue="1" operator="equal">
      <formula>"Napkin Hs"</formula>
    </cfRule>
  </conditionalFormatting>
  <conditionalFormatting sqref="B142:C145">
    <cfRule type="cellIs" dxfId="176" priority="241" stopIfTrue="1" operator="equal">
      <formula>"Towel"</formula>
    </cfRule>
  </conditionalFormatting>
  <conditionalFormatting sqref="C142:C145">
    <cfRule type="cellIs" dxfId="175" priority="240" stopIfTrue="1" operator="equal">
      <formula>"Napkin Hs"</formula>
    </cfRule>
  </conditionalFormatting>
  <conditionalFormatting sqref="C142:C145">
    <cfRule type="cellIs" dxfId="174" priority="239" stopIfTrue="1" operator="equal">
      <formula>"Towel"</formula>
    </cfRule>
  </conditionalFormatting>
  <conditionalFormatting sqref="C142:C145">
    <cfRule type="cellIs" dxfId="173" priority="237" stopIfTrue="1" operator="equal">
      <formula>"Towel"</formula>
    </cfRule>
    <cfRule type="cellIs" dxfId="172" priority="238" stopIfTrue="1" operator="equal">
      <formula>"Napkin Hs"</formula>
    </cfRule>
  </conditionalFormatting>
  <conditionalFormatting sqref="C142">
    <cfRule type="cellIs" dxfId="171" priority="233" stopIfTrue="1" operator="equal">
      <formula>"Towel"</formula>
    </cfRule>
    <cfRule type="cellIs" dxfId="170" priority="234" stopIfTrue="1" operator="equal">
      <formula>"Napkin Hs"</formula>
    </cfRule>
  </conditionalFormatting>
  <conditionalFormatting sqref="C142">
    <cfRule type="cellIs" dxfId="169" priority="231" stopIfTrue="1" operator="equal">
      <formula>"Towel"</formula>
    </cfRule>
    <cfRule type="cellIs" dxfId="168" priority="232" stopIfTrue="1" operator="equal">
      <formula>"Napkin Hs"</formula>
    </cfRule>
  </conditionalFormatting>
  <conditionalFormatting sqref="B142:C142">
    <cfRule type="cellIs" dxfId="167" priority="182" stopIfTrue="1" operator="equal">
      <formula>"Napkin Hs"</formula>
    </cfRule>
  </conditionalFormatting>
  <conditionalFormatting sqref="B142:C142">
    <cfRule type="cellIs" dxfId="166" priority="181" stopIfTrue="1" operator="equal">
      <formula>"Towel"</formula>
    </cfRule>
  </conditionalFormatting>
  <conditionalFormatting sqref="B142:C142">
    <cfRule type="cellIs" dxfId="165" priority="235" stopIfTrue="1" operator="equal">
      <formula>"Towel"</formula>
    </cfRule>
    <cfRule type="cellIs" dxfId="164" priority="236" stopIfTrue="1" operator="equal">
      <formula>"Napkin Hs"</formula>
    </cfRule>
  </conditionalFormatting>
  <conditionalFormatting sqref="C142">
    <cfRule type="cellIs" dxfId="163" priority="180" stopIfTrue="1" operator="equal">
      <formula>"Napkin Hs"</formula>
    </cfRule>
  </conditionalFormatting>
  <conditionalFormatting sqref="C142">
    <cfRule type="cellIs" dxfId="162" priority="179" stopIfTrue="1" operator="equal">
      <formula>"Towel"</formula>
    </cfRule>
  </conditionalFormatting>
  <conditionalFormatting sqref="C142">
    <cfRule type="cellIs" dxfId="161" priority="177" stopIfTrue="1" operator="equal">
      <formula>"Towel"</formula>
    </cfRule>
    <cfRule type="cellIs" dxfId="160" priority="178" stopIfTrue="1" operator="equal">
      <formula>"Napkin Hs"</formula>
    </cfRule>
  </conditionalFormatting>
  <conditionalFormatting sqref="B142:C142">
    <cfRule type="cellIs" dxfId="159" priority="230" stopIfTrue="1" operator="equal">
      <formula>"Napkin Hs"</formula>
    </cfRule>
  </conditionalFormatting>
  <conditionalFormatting sqref="B142:C142">
    <cfRule type="cellIs" dxfId="158" priority="229" stopIfTrue="1" operator="equal">
      <formula>"Towel"</formula>
    </cfRule>
  </conditionalFormatting>
  <conditionalFormatting sqref="C142">
    <cfRule type="cellIs" dxfId="157" priority="228" stopIfTrue="1" operator="equal">
      <formula>"Napkin Hs"</formula>
    </cfRule>
  </conditionalFormatting>
  <conditionalFormatting sqref="C142">
    <cfRule type="cellIs" dxfId="156" priority="227" stopIfTrue="1" operator="equal">
      <formula>"Towel"</formula>
    </cfRule>
  </conditionalFormatting>
  <conditionalFormatting sqref="C142">
    <cfRule type="cellIs" dxfId="155" priority="225" stopIfTrue="1" operator="equal">
      <formula>"Towel"</formula>
    </cfRule>
    <cfRule type="cellIs" dxfId="154" priority="226" stopIfTrue="1" operator="equal">
      <formula>"Napkin Hs"</formula>
    </cfRule>
  </conditionalFormatting>
  <conditionalFormatting sqref="B142:C142">
    <cfRule type="cellIs" dxfId="153" priority="223" stopIfTrue="1" operator="equal">
      <formula>"Towel"</formula>
    </cfRule>
    <cfRule type="cellIs" dxfId="152" priority="224" stopIfTrue="1" operator="equal">
      <formula>"Napkin Hs"</formula>
    </cfRule>
  </conditionalFormatting>
  <conditionalFormatting sqref="C142">
    <cfRule type="cellIs" dxfId="151" priority="219" stopIfTrue="1" operator="equal">
      <formula>"Towel"</formula>
    </cfRule>
    <cfRule type="cellIs" dxfId="150" priority="220" stopIfTrue="1" operator="equal">
      <formula>"Napkin Hs"</formula>
    </cfRule>
  </conditionalFormatting>
  <conditionalFormatting sqref="C142">
    <cfRule type="cellIs" dxfId="149" priority="221" stopIfTrue="1" operator="equal">
      <formula>"Towel"</formula>
    </cfRule>
    <cfRule type="cellIs" dxfId="148" priority="222" stopIfTrue="1" operator="equal">
      <formula>"Napkin Hs"</formula>
    </cfRule>
  </conditionalFormatting>
  <conditionalFormatting sqref="B142:C142">
    <cfRule type="cellIs" dxfId="147" priority="218" stopIfTrue="1" operator="equal">
      <formula>"Napkin Hs"</formula>
    </cfRule>
  </conditionalFormatting>
  <conditionalFormatting sqref="B142:C142">
    <cfRule type="cellIs" dxfId="146" priority="217" stopIfTrue="1" operator="equal">
      <formula>"Towel"</formula>
    </cfRule>
  </conditionalFormatting>
  <conditionalFormatting sqref="C142">
    <cfRule type="cellIs" dxfId="145" priority="216" stopIfTrue="1" operator="equal">
      <formula>"Napkin Hs"</formula>
    </cfRule>
  </conditionalFormatting>
  <conditionalFormatting sqref="C142">
    <cfRule type="cellIs" dxfId="144" priority="215" stopIfTrue="1" operator="equal">
      <formula>"Towel"</formula>
    </cfRule>
  </conditionalFormatting>
  <conditionalFormatting sqref="C142">
    <cfRule type="cellIs" dxfId="143" priority="213" stopIfTrue="1" operator="equal">
      <formula>"Towel"</formula>
    </cfRule>
    <cfRule type="cellIs" dxfId="142" priority="214" stopIfTrue="1" operator="equal">
      <formula>"Napkin Hs"</formula>
    </cfRule>
  </conditionalFormatting>
  <conditionalFormatting sqref="B142:C142">
    <cfRule type="cellIs" dxfId="141" priority="211" stopIfTrue="1" operator="equal">
      <formula>"Towel"</formula>
    </cfRule>
    <cfRule type="cellIs" dxfId="140" priority="212" stopIfTrue="1" operator="equal">
      <formula>"Napkin Hs"</formula>
    </cfRule>
  </conditionalFormatting>
  <conditionalFormatting sqref="C142">
    <cfRule type="cellIs" dxfId="139" priority="209" stopIfTrue="1" operator="equal">
      <formula>"Towel"</formula>
    </cfRule>
    <cfRule type="cellIs" dxfId="138" priority="210" stopIfTrue="1" operator="equal">
      <formula>"Napkin Hs"</formula>
    </cfRule>
  </conditionalFormatting>
  <conditionalFormatting sqref="C142">
    <cfRule type="cellIs" dxfId="137" priority="207" stopIfTrue="1" operator="equal">
      <formula>"Towel"</formula>
    </cfRule>
    <cfRule type="cellIs" dxfId="136" priority="208" stopIfTrue="1" operator="equal">
      <formula>"Napkin Hs"</formula>
    </cfRule>
  </conditionalFormatting>
  <conditionalFormatting sqref="B142:C142">
    <cfRule type="cellIs" dxfId="135" priority="205" stopIfTrue="1" operator="equal">
      <formula>"Towel"</formula>
    </cfRule>
    <cfRule type="cellIs" dxfId="134" priority="206" stopIfTrue="1" operator="equal">
      <formula>"Napkin Hs"</formula>
    </cfRule>
  </conditionalFormatting>
  <conditionalFormatting sqref="C142">
    <cfRule type="cellIs" dxfId="133" priority="203" stopIfTrue="1" operator="equal">
      <formula>"Towel"</formula>
    </cfRule>
    <cfRule type="cellIs" dxfId="132" priority="204" stopIfTrue="1" operator="equal">
      <formula>"Napkin Hs"</formula>
    </cfRule>
  </conditionalFormatting>
  <conditionalFormatting sqref="C142">
    <cfRule type="cellIs" dxfId="131" priority="201" stopIfTrue="1" operator="equal">
      <formula>"Towel"</formula>
    </cfRule>
    <cfRule type="cellIs" dxfId="130" priority="202" stopIfTrue="1" operator="equal">
      <formula>"Napkin Hs"</formula>
    </cfRule>
  </conditionalFormatting>
  <conditionalFormatting sqref="B142:C142">
    <cfRule type="cellIs" dxfId="129" priority="199" stopIfTrue="1" operator="equal">
      <formula>"Towel"</formula>
    </cfRule>
    <cfRule type="cellIs" dxfId="128" priority="200" stopIfTrue="1" operator="equal">
      <formula>"Napkin Hs"</formula>
    </cfRule>
  </conditionalFormatting>
  <conditionalFormatting sqref="C142">
    <cfRule type="cellIs" dxfId="127" priority="197" stopIfTrue="1" operator="equal">
      <formula>"Towel"</formula>
    </cfRule>
    <cfRule type="cellIs" dxfId="126" priority="198" stopIfTrue="1" operator="equal">
      <formula>"Napkin Hs"</formula>
    </cfRule>
  </conditionalFormatting>
  <conditionalFormatting sqref="C142">
    <cfRule type="cellIs" dxfId="125" priority="195" stopIfTrue="1" operator="equal">
      <formula>"Towel"</formula>
    </cfRule>
    <cfRule type="cellIs" dxfId="124" priority="196" stopIfTrue="1" operator="equal">
      <formula>"Napkin Hs"</formula>
    </cfRule>
  </conditionalFormatting>
  <conditionalFormatting sqref="B142:C142">
    <cfRule type="cellIs" dxfId="123" priority="193" stopIfTrue="1" operator="equal">
      <formula>"Towel"</formula>
    </cfRule>
    <cfRule type="cellIs" dxfId="122" priority="194" stopIfTrue="1" operator="equal">
      <formula>"Napkin Hs"</formula>
    </cfRule>
  </conditionalFormatting>
  <conditionalFormatting sqref="C142">
    <cfRule type="cellIs" dxfId="121" priority="191" stopIfTrue="1" operator="equal">
      <formula>"Towel"</formula>
    </cfRule>
    <cfRule type="cellIs" dxfId="120" priority="192" stopIfTrue="1" operator="equal">
      <formula>"Napkin Hs"</formula>
    </cfRule>
  </conditionalFormatting>
  <conditionalFormatting sqref="C142">
    <cfRule type="cellIs" dxfId="119" priority="189" stopIfTrue="1" operator="equal">
      <formula>"Towel"</formula>
    </cfRule>
    <cfRule type="cellIs" dxfId="118" priority="190" stopIfTrue="1" operator="equal">
      <formula>"Napkin Hs"</formula>
    </cfRule>
  </conditionalFormatting>
  <conditionalFormatting sqref="B142:C142">
    <cfRule type="cellIs" dxfId="117" priority="187" stopIfTrue="1" operator="equal">
      <formula>"Towel"</formula>
    </cfRule>
    <cfRule type="cellIs" dxfId="116" priority="188" stopIfTrue="1" operator="equal">
      <formula>"Napkin Hs"</formula>
    </cfRule>
  </conditionalFormatting>
  <conditionalFormatting sqref="C142">
    <cfRule type="cellIs" dxfId="115" priority="185" stopIfTrue="1" operator="equal">
      <formula>"Towel"</formula>
    </cfRule>
    <cfRule type="cellIs" dxfId="114" priority="186" stopIfTrue="1" operator="equal">
      <formula>"Napkin Hs"</formula>
    </cfRule>
  </conditionalFormatting>
  <conditionalFormatting sqref="C142">
    <cfRule type="cellIs" dxfId="113" priority="183" stopIfTrue="1" operator="equal">
      <formula>"Towel"</formula>
    </cfRule>
    <cfRule type="cellIs" dxfId="112" priority="184" stopIfTrue="1" operator="equal">
      <formula>"Napkin Hs"</formula>
    </cfRule>
  </conditionalFormatting>
  <conditionalFormatting sqref="B151:C151">
    <cfRule type="cellIs" dxfId="111" priority="176" stopIfTrue="1" operator="equal">
      <formula>"Napkin Hs"</formula>
    </cfRule>
  </conditionalFormatting>
  <conditionalFormatting sqref="B151:C151">
    <cfRule type="cellIs" dxfId="110" priority="175" stopIfTrue="1" operator="equal">
      <formula>"Towel"</formula>
    </cfRule>
  </conditionalFormatting>
  <conditionalFormatting sqref="C151">
    <cfRule type="cellIs" dxfId="109" priority="174" stopIfTrue="1" operator="equal">
      <formula>"Napkin Hs"</formula>
    </cfRule>
  </conditionalFormatting>
  <conditionalFormatting sqref="C151">
    <cfRule type="cellIs" dxfId="108" priority="173" stopIfTrue="1" operator="equal">
      <formula>"Towel"</formula>
    </cfRule>
  </conditionalFormatting>
  <conditionalFormatting sqref="C151">
    <cfRule type="cellIs" dxfId="107" priority="171" stopIfTrue="1" operator="equal">
      <formula>"Towel"</formula>
    </cfRule>
    <cfRule type="cellIs" dxfId="106" priority="172" stopIfTrue="1" operator="equal">
      <formula>"Napkin Hs"</formula>
    </cfRule>
  </conditionalFormatting>
  <conditionalFormatting sqref="B153:C153">
    <cfRule type="cellIs" dxfId="105" priority="98" stopIfTrue="1" operator="equal">
      <formula>"Napkin Hs"</formula>
    </cfRule>
  </conditionalFormatting>
  <conditionalFormatting sqref="B153:C153">
    <cfRule type="cellIs" dxfId="104" priority="97" stopIfTrue="1" operator="equal">
      <formula>"Towel"</formula>
    </cfRule>
  </conditionalFormatting>
  <conditionalFormatting sqref="C153">
    <cfRule type="cellIs" dxfId="103" priority="96" stopIfTrue="1" operator="equal">
      <formula>"Napkin Hs"</formula>
    </cfRule>
  </conditionalFormatting>
  <conditionalFormatting sqref="C153">
    <cfRule type="cellIs" dxfId="102" priority="95" stopIfTrue="1" operator="equal">
      <formula>"Towel"</formula>
    </cfRule>
  </conditionalFormatting>
  <conditionalFormatting sqref="C153">
    <cfRule type="cellIs" dxfId="101" priority="93" stopIfTrue="1" operator="equal">
      <formula>"Towel"</formula>
    </cfRule>
    <cfRule type="cellIs" dxfId="100" priority="94" stopIfTrue="1" operator="equal">
      <formula>"Napkin Hs"</formula>
    </cfRule>
  </conditionalFormatting>
  <conditionalFormatting sqref="B152:C152">
    <cfRule type="cellIs" dxfId="99" priority="92" stopIfTrue="1" operator="equal">
      <formula>"Napkin Hs"</formula>
    </cfRule>
  </conditionalFormatting>
  <conditionalFormatting sqref="B152:C152">
    <cfRule type="cellIs" dxfId="98" priority="91" stopIfTrue="1" operator="equal">
      <formula>"Towel"</formula>
    </cfRule>
  </conditionalFormatting>
  <conditionalFormatting sqref="C152">
    <cfRule type="cellIs" dxfId="97" priority="90" stopIfTrue="1" operator="equal">
      <formula>"Napkin Hs"</formula>
    </cfRule>
  </conditionalFormatting>
  <conditionalFormatting sqref="C152">
    <cfRule type="cellIs" dxfId="96" priority="89" stopIfTrue="1" operator="equal">
      <formula>"Towel"</formula>
    </cfRule>
  </conditionalFormatting>
  <conditionalFormatting sqref="C152">
    <cfRule type="cellIs" dxfId="95" priority="87" stopIfTrue="1" operator="equal">
      <formula>"Towel"</formula>
    </cfRule>
    <cfRule type="cellIs" dxfId="94" priority="88" stopIfTrue="1" operator="equal">
      <formula>"Napkin Hs"</formula>
    </cfRule>
  </conditionalFormatting>
  <conditionalFormatting sqref="B156:C157">
    <cfRule type="cellIs" dxfId="93" priority="86" stopIfTrue="1" operator="equal">
      <formula>"Napkin Hs"</formula>
    </cfRule>
  </conditionalFormatting>
  <conditionalFormatting sqref="B156:C157">
    <cfRule type="cellIs" dxfId="92" priority="85" stopIfTrue="1" operator="equal">
      <formula>"Towel"</formula>
    </cfRule>
  </conditionalFormatting>
  <conditionalFormatting sqref="C156:C157">
    <cfRule type="cellIs" dxfId="91" priority="84" stopIfTrue="1" operator="equal">
      <formula>"Napkin Hs"</formula>
    </cfRule>
  </conditionalFormatting>
  <conditionalFormatting sqref="C156:C157">
    <cfRule type="cellIs" dxfId="90" priority="83" stopIfTrue="1" operator="equal">
      <formula>"Towel"</formula>
    </cfRule>
  </conditionalFormatting>
  <conditionalFormatting sqref="C156:C157">
    <cfRule type="cellIs" dxfId="89" priority="81" stopIfTrue="1" operator="equal">
      <formula>"Towel"</formula>
    </cfRule>
    <cfRule type="cellIs" dxfId="88" priority="82" stopIfTrue="1" operator="equal">
      <formula>"Napkin Hs"</formula>
    </cfRule>
  </conditionalFormatting>
  <conditionalFormatting sqref="B154:C155">
    <cfRule type="cellIs" dxfId="87" priority="80" stopIfTrue="1" operator="equal">
      <formula>"Napkin Hs"</formula>
    </cfRule>
  </conditionalFormatting>
  <conditionalFormatting sqref="B154:C155">
    <cfRule type="cellIs" dxfId="86" priority="79" stopIfTrue="1" operator="equal">
      <formula>"Towel"</formula>
    </cfRule>
  </conditionalFormatting>
  <conditionalFormatting sqref="C154:C155">
    <cfRule type="cellIs" dxfId="85" priority="78" stopIfTrue="1" operator="equal">
      <formula>"Napkin Hs"</formula>
    </cfRule>
  </conditionalFormatting>
  <conditionalFormatting sqref="C154:C155">
    <cfRule type="cellIs" dxfId="84" priority="77" stopIfTrue="1" operator="equal">
      <formula>"Towel"</formula>
    </cfRule>
  </conditionalFormatting>
  <conditionalFormatting sqref="C154:C155">
    <cfRule type="cellIs" dxfId="83" priority="75" stopIfTrue="1" operator="equal">
      <formula>"Towel"</formula>
    </cfRule>
    <cfRule type="cellIs" dxfId="82" priority="76" stopIfTrue="1" operator="equal">
      <formula>"Napkin Hs"</formula>
    </cfRule>
  </conditionalFormatting>
  <conditionalFormatting sqref="B150:C150">
    <cfRule type="cellIs" dxfId="81" priority="74" stopIfTrue="1" operator="equal">
      <formula>"Napkin Hs"</formula>
    </cfRule>
  </conditionalFormatting>
  <conditionalFormatting sqref="B150:C150">
    <cfRule type="cellIs" dxfId="80" priority="73" stopIfTrue="1" operator="equal">
      <formula>"Towel"</formula>
    </cfRule>
  </conditionalFormatting>
  <conditionalFormatting sqref="C150">
    <cfRule type="cellIs" dxfId="79" priority="72" stopIfTrue="1" operator="equal">
      <formula>"Napkin Hs"</formula>
    </cfRule>
  </conditionalFormatting>
  <conditionalFormatting sqref="C150">
    <cfRule type="cellIs" dxfId="78" priority="71" stopIfTrue="1" operator="equal">
      <formula>"Towel"</formula>
    </cfRule>
  </conditionalFormatting>
  <conditionalFormatting sqref="C150">
    <cfRule type="cellIs" dxfId="77" priority="69" stopIfTrue="1" operator="equal">
      <formula>"Towel"</formula>
    </cfRule>
    <cfRule type="cellIs" dxfId="76" priority="70" stopIfTrue="1" operator="equal">
      <formula>"Napkin Hs"</formula>
    </cfRule>
  </conditionalFormatting>
  <conditionalFormatting sqref="B146:C149">
    <cfRule type="cellIs" dxfId="75" priority="68" stopIfTrue="1" operator="equal">
      <formula>"Napkin Hs"</formula>
    </cfRule>
  </conditionalFormatting>
  <conditionalFormatting sqref="B146:C149">
    <cfRule type="cellIs" dxfId="74" priority="67" stopIfTrue="1" operator="equal">
      <formula>"Towel"</formula>
    </cfRule>
  </conditionalFormatting>
  <conditionalFormatting sqref="C146:C149">
    <cfRule type="cellIs" dxfId="73" priority="66" stopIfTrue="1" operator="equal">
      <formula>"Napkin Hs"</formula>
    </cfRule>
  </conditionalFormatting>
  <conditionalFormatting sqref="C146:C149">
    <cfRule type="cellIs" dxfId="72" priority="65" stopIfTrue="1" operator="equal">
      <formula>"Towel"</formula>
    </cfRule>
  </conditionalFormatting>
  <conditionalFormatting sqref="C146:C149">
    <cfRule type="cellIs" dxfId="71" priority="63" stopIfTrue="1" operator="equal">
      <formula>"Towel"</formula>
    </cfRule>
    <cfRule type="cellIs" dxfId="70" priority="64" stopIfTrue="1" operator="equal">
      <formula>"Napkin Hs"</formula>
    </cfRule>
  </conditionalFormatting>
  <conditionalFormatting sqref="C146">
    <cfRule type="cellIs" dxfId="69" priority="59" stopIfTrue="1" operator="equal">
      <formula>"Towel"</formula>
    </cfRule>
    <cfRule type="cellIs" dxfId="68" priority="60" stopIfTrue="1" operator="equal">
      <formula>"Napkin Hs"</formula>
    </cfRule>
  </conditionalFormatting>
  <conditionalFormatting sqref="C146">
    <cfRule type="cellIs" dxfId="67" priority="57" stopIfTrue="1" operator="equal">
      <formula>"Towel"</formula>
    </cfRule>
    <cfRule type="cellIs" dxfId="66" priority="58" stopIfTrue="1" operator="equal">
      <formula>"Napkin Hs"</formula>
    </cfRule>
  </conditionalFormatting>
  <conditionalFormatting sqref="B146:C146">
    <cfRule type="cellIs" dxfId="65" priority="8" stopIfTrue="1" operator="equal">
      <formula>"Napkin Hs"</formula>
    </cfRule>
  </conditionalFormatting>
  <conditionalFormatting sqref="B146:C146">
    <cfRule type="cellIs" dxfId="64" priority="7" stopIfTrue="1" operator="equal">
      <formula>"Towel"</formula>
    </cfRule>
  </conditionalFormatting>
  <conditionalFormatting sqref="B146:C146">
    <cfRule type="cellIs" dxfId="63" priority="61" stopIfTrue="1" operator="equal">
      <formula>"Towel"</formula>
    </cfRule>
    <cfRule type="cellIs" dxfId="62" priority="62" stopIfTrue="1" operator="equal">
      <formula>"Napkin Hs"</formula>
    </cfRule>
  </conditionalFormatting>
  <conditionalFormatting sqref="C146">
    <cfRule type="cellIs" dxfId="61" priority="6" stopIfTrue="1" operator="equal">
      <formula>"Napkin Hs"</formula>
    </cfRule>
  </conditionalFormatting>
  <conditionalFormatting sqref="C146">
    <cfRule type="cellIs" dxfId="60" priority="5" stopIfTrue="1" operator="equal">
      <formula>"Towel"</formula>
    </cfRule>
  </conditionalFormatting>
  <conditionalFormatting sqref="C146">
    <cfRule type="cellIs" dxfId="59" priority="3" stopIfTrue="1" operator="equal">
      <formula>"Towel"</formula>
    </cfRule>
    <cfRule type="cellIs" dxfId="58" priority="4" stopIfTrue="1" operator="equal">
      <formula>"Napkin Hs"</formula>
    </cfRule>
  </conditionalFormatting>
  <conditionalFormatting sqref="B146:C146">
    <cfRule type="cellIs" dxfId="57" priority="56" stopIfTrue="1" operator="equal">
      <formula>"Napkin Hs"</formula>
    </cfRule>
  </conditionalFormatting>
  <conditionalFormatting sqref="B146:C146">
    <cfRule type="cellIs" dxfId="56" priority="55" stopIfTrue="1" operator="equal">
      <formula>"Towel"</formula>
    </cfRule>
  </conditionalFormatting>
  <conditionalFormatting sqref="C146">
    <cfRule type="cellIs" dxfId="55" priority="54" stopIfTrue="1" operator="equal">
      <formula>"Napkin Hs"</formula>
    </cfRule>
  </conditionalFormatting>
  <conditionalFormatting sqref="C146">
    <cfRule type="cellIs" dxfId="54" priority="53" stopIfTrue="1" operator="equal">
      <formula>"Towel"</formula>
    </cfRule>
  </conditionalFormatting>
  <conditionalFormatting sqref="C146">
    <cfRule type="cellIs" dxfId="53" priority="51" stopIfTrue="1" operator="equal">
      <formula>"Towel"</formula>
    </cfRule>
    <cfRule type="cellIs" dxfId="52" priority="52" stopIfTrue="1" operator="equal">
      <formula>"Napkin Hs"</formula>
    </cfRule>
  </conditionalFormatting>
  <conditionalFormatting sqref="B146:C146">
    <cfRule type="cellIs" dxfId="51" priority="49" stopIfTrue="1" operator="equal">
      <formula>"Towel"</formula>
    </cfRule>
    <cfRule type="cellIs" dxfId="50" priority="50" stopIfTrue="1" operator="equal">
      <formula>"Napkin Hs"</formula>
    </cfRule>
  </conditionalFormatting>
  <conditionalFormatting sqref="C146">
    <cfRule type="cellIs" dxfId="49" priority="45" stopIfTrue="1" operator="equal">
      <formula>"Towel"</formula>
    </cfRule>
    <cfRule type="cellIs" dxfId="48" priority="46" stopIfTrue="1" operator="equal">
      <formula>"Napkin Hs"</formula>
    </cfRule>
  </conditionalFormatting>
  <conditionalFormatting sqref="C146">
    <cfRule type="cellIs" dxfId="47" priority="47" stopIfTrue="1" operator="equal">
      <formula>"Towel"</formula>
    </cfRule>
    <cfRule type="cellIs" dxfId="46" priority="48" stopIfTrue="1" operator="equal">
      <formula>"Napkin Hs"</formula>
    </cfRule>
  </conditionalFormatting>
  <conditionalFormatting sqref="B146:C146">
    <cfRule type="cellIs" dxfId="45" priority="44" stopIfTrue="1" operator="equal">
      <formula>"Napkin Hs"</formula>
    </cfRule>
  </conditionalFormatting>
  <conditionalFormatting sqref="B146:C146">
    <cfRule type="cellIs" dxfId="44" priority="43" stopIfTrue="1" operator="equal">
      <formula>"Towel"</formula>
    </cfRule>
  </conditionalFormatting>
  <conditionalFormatting sqref="C146">
    <cfRule type="cellIs" dxfId="43" priority="42" stopIfTrue="1" operator="equal">
      <formula>"Napkin Hs"</formula>
    </cfRule>
  </conditionalFormatting>
  <conditionalFormatting sqref="C146">
    <cfRule type="cellIs" dxfId="42" priority="41" stopIfTrue="1" operator="equal">
      <formula>"Towel"</formula>
    </cfRule>
  </conditionalFormatting>
  <conditionalFormatting sqref="C146">
    <cfRule type="cellIs" dxfId="41" priority="39" stopIfTrue="1" operator="equal">
      <formula>"Towel"</formula>
    </cfRule>
    <cfRule type="cellIs" dxfId="40" priority="40" stopIfTrue="1" operator="equal">
      <formula>"Napkin Hs"</formula>
    </cfRule>
  </conditionalFormatting>
  <conditionalFormatting sqref="B146:C146">
    <cfRule type="cellIs" dxfId="39" priority="37" stopIfTrue="1" operator="equal">
      <formula>"Towel"</formula>
    </cfRule>
    <cfRule type="cellIs" dxfId="38" priority="38" stopIfTrue="1" operator="equal">
      <formula>"Napkin Hs"</formula>
    </cfRule>
  </conditionalFormatting>
  <conditionalFormatting sqref="C146">
    <cfRule type="cellIs" dxfId="37" priority="35" stopIfTrue="1" operator="equal">
      <formula>"Towel"</formula>
    </cfRule>
    <cfRule type="cellIs" dxfId="36" priority="36" stopIfTrue="1" operator="equal">
      <formula>"Napkin Hs"</formula>
    </cfRule>
  </conditionalFormatting>
  <conditionalFormatting sqref="C146">
    <cfRule type="cellIs" dxfId="35" priority="33" stopIfTrue="1" operator="equal">
      <formula>"Towel"</formula>
    </cfRule>
    <cfRule type="cellIs" dxfId="34" priority="34" stopIfTrue="1" operator="equal">
      <formula>"Napkin Hs"</formula>
    </cfRule>
  </conditionalFormatting>
  <conditionalFormatting sqref="B146:C146">
    <cfRule type="cellIs" dxfId="33" priority="31" stopIfTrue="1" operator="equal">
      <formula>"Towel"</formula>
    </cfRule>
    <cfRule type="cellIs" dxfId="32" priority="32" stopIfTrue="1" operator="equal">
      <formula>"Napkin Hs"</formula>
    </cfRule>
  </conditionalFormatting>
  <conditionalFormatting sqref="C146">
    <cfRule type="cellIs" dxfId="31" priority="29" stopIfTrue="1" operator="equal">
      <formula>"Towel"</formula>
    </cfRule>
    <cfRule type="cellIs" dxfId="30" priority="30" stopIfTrue="1" operator="equal">
      <formula>"Napkin Hs"</formula>
    </cfRule>
  </conditionalFormatting>
  <conditionalFormatting sqref="C146">
    <cfRule type="cellIs" dxfId="29" priority="27" stopIfTrue="1" operator="equal">
      <formula>"Towel"</formula>
    </cfRule>
    <cfRule type="cellIs" dxfId="28" priority="28" stopIfTrue="1" operator="equal">
      <formula>"Napkin Hs"</formula>
    </cfRule>
  </conditionalFormatting>
  <conditionalFormatting sqref="B146:C146">
    <cfRule type="cellIs" dxfId="27" priority="25" stopIfTrue="1" operator="equal">
      <formula>"Towel"</formula>
    </cfRule>
    <cfRule type="cellIs" dxfId="26" priority="26" stopIfTrue="1" operator="equal">
      <formula>"Napkin Hs"</formula>
    </cfRule>
  </conditionalFormatting>
  <conditionalFormatting sqref="C146">
    <cfRule type="cellIs" dxfId="25" priority="23" stopIfTrue="1" operator="equal">
      <formula>"Towel"</formula>
    </cfRule>
    <cfRule type="cellIs" dxfId="24" priority="24" stopIfTrue="1" operator="equal">
      <formula>"Napkin Hs"</formula>
    </cfRule>
  </conditionalFormatting>
  <conditionalFormatting sqref="C146">
    <cfRule type="cellIs" dxfId="23" priority="21" stopIfTrue="1" operator="equal">
      <formula>"Towel"</formula>
    </cfRule>
    <cfRule type="cellIs" dxfId="22" priority="22" stopIfTrue="1" operator="equal">
      <formula>"Napkin Hs"</formula>
    </cfRule>
  </conditionalFormatting>
  <conditionalFormatting sqref="B146:C146">
    <cfRule type="cellIs" dxfId="21" priority="19" stopIfTrue="1" operator="equal">
      <formula>"Towel"</formula>
    </cfRule>
    <cfRule type="cellIs" dxfId="20" priority="20" stopIfTrue="1" operator="equal">
      <formula>"Napkin Hs"</formula>
    </cfRule>
  </conditionalFormatting>
  <conditionalFormatting sqref="C146">
    <cfRule type="cellIs" dxfId="19" priority="17" stopIfTrue="1" operator="equal">
      <formula>"Towel"</formula>
    </cfRule>
    <cfRule type="cellIs" dxfId="18" priority="18" stopIfTrue="1" operator="equal">
      <formula>"Napkin Hs"</formula>
    </cfRule>
  </conditionalFormatting>
  <conditionalFormatting sqref="C146">
    <cfRule type="cellIs" dxfId="17" priority="15" stopIfTrue="1" operator="equal">
      <formula>"Towel"</formula>
    </cfRule>
    <cfRule type="cellIs" dxfId="16" priority="16" stopIfTrue="1" operator="equal">
      <formula>"Napkin Hs"</formula>
    </cfRule>
  </conditionalFormatting>
  <conditionalFormatting sqref="B146:C146">
    <cfRule type="cellIs" dxfId="15" priority="13" stopIfTrue="1" operator="equal">
      <formula>"Towel"</formula>
    </cfRule>
    <cfRule type="cellIs" dxfId="14" priority="14" stopIfTrue="1" operator="equal">
      <formula>"Napkin Hs"</formula>
    </cfRule>
  </conditionalFormatting>
  <conditionalFormatting sqref="C146">
    <cfRule type="cellIs" dxfId="13" priority="11" stopIfTrue="1" operator="equal">
      <formula>"Towel"</formula>
    </cfRule>
    <cfRule type="cellIs" dxfId="12" priority="12" stopIfTrue="1" operator="equal">
      <formula>"Napkin Hs"</formula>
    </cfRule>
  </conditionalFormatting>
  <conditionalFormatting sqref="C146">
    <cfRule type="cellIs" dxfId="11" priority="9" stopIfTrue="1" operator="equal">
      <formula>"Towel"</formula>
    </cfRule>
    <cfRule type="cellIs" dxfId="10" priority="10" stopIfTrue="1" operator="equal">
      <formula>"Napkin Hs"</formula>
    </cfRule>
  </conditionalFormatting>
  <conditionalFormatting sqref="C164 B163:B164">
    <cfRule type="cellIs" dxfId="9" priority="2" stopIfTrue="1" operator="equal">
      <formula>"Napkin Hs"</formula>
    </cfRule>
  </conditionalFormatting>
  <conditionalFormatting sqref="C164 B163:B164">
    <cfRule type="cellIs" dxfId="8" priority="1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45"/>
  <sheetViews>
    <sheetView zoomScale="85" workbookViewId="0">
      <pane xSplit="5" ySplit="9" topLeftCell="AH33" activePane="bottomRight" state="frozen"/>
      <selection pane="topRight"/>
      <selection pane="bottomLeft"/>
      <selection pane="bottomRight" activeCell="CD42" sqref="A4:CD42"/>
    </sheetView>
  </sheetViews>
  <sheetFormatPr defaultColWidth="9.140625" defaultRowHeight="12.75"/>
  <cols>
    <col min="1" max="1" width="8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hidden="1" customWidth="1"/>
    <col min="28" max="28" width="8.7109375" hidden="1" customWidth="1"/>
    <col min="29" max="29" width="12.140625" hidden="1" customWidth="1"/>
    <col min="30" max="30" width="9.28515625" hidden="1" customWidth="1"/>
    <col min="31" max="31" width="13.140625" bestFit="1" customWidth="1"/>
    <col min="32" max="32" width="8.28515625" bestFit="1" customWidth="1"/>
    <col min="33" max="33" width="14.42578125" bestFit="1" customWidth="1"/>
    <col min="34" max="34" width="8" bestFit="1" customWidth="1"/>
    <col min="35" max="35" width="11.5703125" hidden="1" customWidth="1"/>
    <col min="36" max="36" width="7.7109375" hidden="1" customWidth="1"/>
    <col min="37" max="37" width="11.5703125" hidden="1" customWidth="1"/>
    <col min="38" max="38" width="7.7109375" hidden="1" customWidth="1"/>
    <col min="39" max="39" width="12.85546875" hidden="1" customWidth="1"/>
    <col min="40" max="40" width="7.7109375" hidden="1" customWidth="1"/>
    <col min="41" max="41" width="12.42578125" hidden="1" customWidth="1"/>
    <col min="42" max="42" width="7.7109375" hidden="1" customWidth="1"/>
    <col min="43" max="43" width="17.7109375" hidden="1" customWidth="1"/>
    <col min="44" max="44" width="12.28515625" hidden="1" customWidth="1"/>
    <col min="45" max="45" width="14.42578125" hidden="1" customWidth="1"/>
    <col min="46" max="46" width="9.42578125" hidden="1" customWidth="1"/>
    <col min="47" max="47" width="17.7109375" hidden="1" customWidth="1"/>
    <col min="48" max="48" width="9.28515625" hidden="1" customWidth="1"/>
    <col min="49" max="49" width="14.42578125" hidden="1" customWidth="1"/>
    <col min="50" max="50" width="8.140625" hidden="1" customWidth="1"/>
    <col min="51" max="51" width="11.42578125" hidden="1" customWidth="1"/>
    <col min="52" max="52" width="8.5703125" hidden="1" customWidth="1"/>
    <col min="53" max="53" width="11.42578125" hidden="1" customWidth="1"/>
    <col min="54" max="54" width="8" hidden="1" customWidth="1"/>
    <col min="55" max="55" width="13.7109375" customWidth="1"/>
    <col min="56" max="56" width="8.140625" customWidth="1"/>
    <col min="57" max="57" width="13.140625" bestFit="1" customWidth="1"/>
    <col min="58" max="58" width="8.140625" customWidth="1"/>
    <col min="59" max="59" width="12.140625" hidden="1" customWidth="1"/>
    <col min="60" max="60" width="7.7109375" hidden="1" customWidth="1"/>
    <col min="61" max="61" width="12.140625" hidden="1" customWidth="1"/>
    <col min="62" max="62" width="7.7109375" hidden="1" customWidth="1"/>
    <col min="63" max="63" width="13.28515625" hidden="1" customWidth="1"/>
    <col min="64" max="64" width="8.85546875" hidden="1" customWidth="1"/>
    <col min="65" max="65" width="15.28515625" hidden="1" customWidth="1"/>
    <col min="66" max="66" width="7.7109375" hidden="1" customWidth="1"/>
    <col min="67" max="67" width="10.28515625" hidden="1" customWidth="1"/>
    <col min="68" max="68" width="8.140625" hidden="1" customWidth="1"/>
    <col min="69" max="69" width="11.42578125" hidden="1" customWidth="1"/>
    <col min="70" max="70" width="7.7109375" hidden="1" customWidth="1"/>
    <col min="71" max="71" width="12.5703125" customWidth="1"/>
    <col min="72" max="72" width="9.28515625" customWidth="1"/>
    <col min="73" max="73" width="14.42578125" customWidth="1"/>
    <col min="74" max="74" width="10" customWidth="1"/>
    <col min="75" max="75" width="15.42578125" hidden="1" customWidth="1"/>
    <col min="76" max="76" width="8.7109375" hidden="1" customWidth="1"/>
    <col min="77" max="77" width="12.85546875" hidden="1" customWidth="1"/>
    <col min="78" max="78" width="8.42578125" hidden="1" customWidth="1"/>
    <col min="79" max="79" width="17.7109375" bestFit="1" customWidth="1"/>
    <col min="80" max="80" width="14.42578125" bestFit="1" customWidth="1"/>
    <col min="81" max="81" width="8.85546875" bestFit="1" customWidth="1"/>
    <col min="82" max="82" width="10.28515625" bestFit="1" customWidth="1"/>
    <col min="83" max="83" width="13.28515625" bestFit="1" customWidth="1"/>
    <col min="84" max="84" width="10.42578125" bestFit="1" customWidth="1"/>
    <col min="86" max="86" width="15.42578125" bestFit="1" customWidth="1"/>
    <col min="87" max="87" width="10.42578125" bestFit="1" customWidth="1"/>
    <col min="90" max="90" width="10.42578125" bestFit="1" customWidth="1"/>
  </cols>
  <sheetData>
    <row r="1" spans="1:82" ht="15.75">
      <c r="A1" s="160"/>
      <c r="AP1" s="4"/>
      <c r="AU1" s="264"/>
    </row>
    <row r="2" spans="1:82" ht="15.75">
      <c r="A2" s="160"/>
      <c r="AU2" s="264"/>
      <c r="AY2" s="20"/>
    </row>
    <row r="3" spans="1:82" ht="15">
      <c r="A3" s="162"/>
      <c r="AU3" s="264"/>
    </row>
    <row r="4" spans="1:82" ht="15.75">
      <c r="A4" s="163" t="s">
        <v>327</v>
      </c>
      <c r="G4" s="13"/>
      <c r="AQ4" s="13"/>
      <c r="AU4" s="264"/>
      <c r="BL4" s="20"/>
    </row>
    <row r="5" spans="1:82" ht="15.75">
      <c r="A5" s="163"/>
      <c r="G5" s="13"/>
      <c r="AQ5" s="13"/>
      <c r="AU5" s="13"/>
    </row>
    <row r="6" spans="1:82" ht="18">
      <c r="A6" s="265"/>
      <c r="AQ6" s="13"/>
      <c r="AU6" s="13"/>
      <c r="BT6" s="13"/>
      <c r="BU6" s="13"/>
      <c r="BV6" s="13"/>
      <c r="CB6" s="13"/>
    </row>
    <row r="7" spans="1:82" ht="16.5" thickBot="1">
      <c r="A7" s="266"/>
      <c r="B7" s="266"/>
      <c r="C7" s="266"/>
      <c r="D7" s="266"/>
      <c r="E7" s="266"/>
      <c r="F7" s="266"/>
      <c r="G7" s="462">
        <v>230.59</v>
      </c>
      <c r="K7" s="467">
        <v>248.91800000000001</v>
      </c>
      <c r="O7" s="266">
        <v>250.179</v>
      </c>
      <c r="P7" s="266"/>
      <c r="Q7" s="266"/>
      <c r="R7" s="266"/>
      <c r="S7">
        <v>250</v>
      </c>
      <c r="W7">
        <v>250.69399999999999</v>
      </c>
      <c r="AA7">
        <v>222.79599999999999</v>
      </c>
      <c r="AE7" s="266"/>
      <c r="AF7" s="266"/>
      <c r="AG7" s="267"/>
      <c r="AH7" s="267"/>
      <c r="AI7" s="266">
        <v>251.43899999999999</v>
      </c>
      <c r="AJ7" s="266"/>
      <c r="AK7" s="266"/>
      <c r="AL7" s="266"/>
      <c r="AQ7" s="468">
        <v>250</v>
      </c>
      <c r="AR7" s="266"/>
      <c r="AS7" s="266"/>
      <c r="AT7" s="266"/>
      <c r="AU7" s="463">
        <v>243.255</v>
      </c>
      <c r="AV7" s="266"/>
      <c r="AW7" s="266"/>
      <c r="AX7" s="266"/>
      <c r="AY7" s="266">
        <v>250</v>
      </c>
      <c r="AZ7" s="266"/>
      <c r="BA7" s="266"/>
      <c r="BB7" s="266"/>
      <c r="BC7" s="266"/>
      <c r="BD7" s="266"/>
      <c r="BE7" s="266"/>
      <c r="BF7" s="266"/>
      <c r="BG7" s="266">
        <v>244.68</v>
      </c>
      <c r="BH7" s="266"/>
      <c r="BI7" s="266"/>
      <c r="BJ7" s="266"/>
      <c r="BK7" s="266">
        <v>245.55600000000001</v>
      </c>
      <c r="BL7" s="266"/>
      <c r="BM7" s="266"/>
      <c r="BN7" s="266"/>
      <c r="BO7" s="266"/>
      <c r="BP7" s="266"/>
      <c r="BQ7" s="266"/>
      <c r="BR7" s="266"/>
      <c r="BS7" s="267"/>
      <c r="BT7" s="267"/>
      <c r="BU7" s="266"/>
      <c r="BV7" s="266"/>
      <c r="BW7" s="266"/>
      <c r="BX7" s="266"/>
      <c r="BY7" s="266"/>
      <c r="BZ7" s="266"/>
      <c r="CA7" s="266"/>
      <c r="CB7" s="266"/>
      <c r="CC7" s="266"/>
      <c r="CD7" s="266"/>
    </row>
    <row r="8" spans="1:82" ht="38.25" customHeight="1" thickTop="1">
      <c r="A8" s="951" t="s">
        <v>30</v>
      </c>
      <c r="B8" s="951" t="s">
        <v>4</v>
      </c>
      <c r="C8" s="951" t="s">
        <v>5</v>
      </c>
      <c r="D8" s="953" t="s">
        <v>41</v>
      </c>
      <c r="E8" s="945" t="s">
        <v>39</v>
      </c>
      <c r="F8" s="947"/>
      <c r="G8" s="945" t="s">
        <v>212</v>
      </c>
      <c r="H8" s="946"/>
      <c r="I8" s="946"/>
      <c r="J8" s="947"/>
      <c r="K8" s="945" t="s">
        <v>42</v>
      </c>
      <c r="L8" s="946"/>
      <c r="M8" s="946"/>
      <c r="N8" s="947"/>
      <c r="O8" s="945" t="s">
        <v>850</v>
      </c>
      <c r="P8" s="946"/>
      <c r="Q8" s="946"/>
      <c r="R8" s="947"/>
      <c r="S8" s="945" t="s">
        <v>336</v>
      </c>
      <c r="T8" s="946"/>
      <c r="U8" s="946"/>
      <c r="V8" s="947"/>
      <c r="W8" s="945" t="s">
        <v>419</v>
      </c>
      <c r="X8" s="946"/>
      <c r="Y8" s="946"/>
      <c r="Z8" s="947"/>
      <c r="AA8" s="945" t="s">
        <v>428</v>
      </c>
      <c r="AB8" s="946"/>
      <c r="AC8" s="946"/>
      <c r="AD8" s="947"/>
      <c r="AE8" s="945" t="s">
        <v>43</v>
      </c>
      <c r="AF8" s="946"/>
      <c r="AG8" s="946"/>
      <c r="AH8" s="947"/>
      <c r="AI8" s="945" t="s">
        <v>337</v>
      </c>
      <c r="AJ8" s="946"/>
      <c r="AK8" s="946"/>
      <c r="AL8" s="947"/>
      <c r="AM8" s="948" t="s">
        <v>44</v>
      </c>
      <c r="AN8" s="949"/>
      <c r="AO8" s="949"/>
      <c r="AP8" s="950"/>
      <c r="AQ8" s="945" t="s">
        <v>316</v>
      </c>
      <c r="AR8" s="946"/>
      <c r="AS8" s="946"/>
      <c r="AT8" s="947"/>
      <c r="AU8" s="945" t="s">
        <v>213</v>
      </c>
      <c r="AV8" s="946"/>
      <c r="AW8" s="946"/>
      <c r="AX8" s="947"/>
      <c r="AY8" s="945" t="s">
        <v>236</v>
      </c>
      <c r="AZ8" s="946"/>
      <c r="BA8" s="946"/>
      <c r="BB8" s="947"/>
      <c r="BC8" s="945" t="s">
        <v>91</v>
      </c>
      <c r="BD8" s="946"/>
      <c r="BE8" s="946"/>
      <c r="BF8" s="947"/>
      <c r="BG8" s="945" t="s">
        <v>214</v>
      </c>
      <c r="BH8" s="946"/>
      <c r="BI8" s="946"/>
      <c r="BJ8" s="947"/>
      <c r="BK8" s="945" t="s">
        <v>413</v>
      </c>
      <c r="BL8" s="946"/>
      <c r="BM8" s="946"/>
      <c r="BN8" s="947"/>
      <c r="BO8" s="945" t="s">
        <v>147</v>
      </c>
      <c r="BP8" s="946"/>
      <c r="BQ8" s="946"/>
      <c r="BR8" s="947"/>
      <c r="BS8" s="945" t="s">
        <v>92</v>
      </c>
      <c r="BT8" s="946"/>
      <c r="BU8" s="946"/>
      <c r="BV8" s="947"/>
      <c r="BW8" s="945" t="s">
        <v>45</v>
      </c>
      <c r="BX8" s="946"/>
      <c r="BY8" s="946"/>
      <c r="BZ8" s="947"/>
      <c r="CA8" s="945" t="s">
        <v>46</v>
      </c>
      <c r="CB8" s="947"/>
      <c r="CC8" s="945" t="s">
        <v>47</v>
      </c>
      <c r="CD8" s="947"/>
    </row>
    <row r="9" spans="1:82">
      <c r="A9" s="952"/>
      <c r="B9" s="952"/>
      <c r="C9" s="952"/>
      <c r="D9" s="954"/>
      <c r="E9" s="2" t="s">
        <v>37</v>
      </c>
      <c r="F9" s="621" t="s">
        <v>38</v>
      </c>
      <c r="G9" s="9" t="s">
        <v>37</v>
      </c>
      <c r="H9" s="9" t="s">
        <v>11</v>
      </c>
      <c r="I9" s="620" t="s">
        <v>38</v>
      </c>
      <c r="J9" s="620" t="s">
        <v>11</v>
      </c>
      <c r="K9" s="9" t="s">
        <v>37</v>
      </c>
      <c r="L9" s="9" t="s">
        <v>11</v>
      </c>
      <c r="M9" s="620" t="s">
        <v>38</v>
      </c>
      <c r="N9" s="620" t="s">
        <v>11</v>
      </c>
      <c r="O9" s="620" t="s">
        <v>37</v>
      </c>
      <c r="P9" s="620" t="s">
        <v>11</v>
      </c>
      <c r="Q9" s="620" t="s">
        <v>38</v>
      </c>
      <c r="R9" s="620" t="s">
        <v>11</v>
      </c>
      <c r="S9" s="9" t="s">
        <v>37</v>
      </c>
      <c r="T9" s="9" t="s">
        <v>11</v>
      </c>
      <c r="U9" s="620" t="s">
        <v>38</v>
      </c>
      <c r="V9" s="620" t="s">
        <v>11</v>
      </c>
      <c r="W9" s="9" t="s">
        <v>37</v>
      </c>
      <c r="X9" s="9" t="s">
        <v>11</v>
      </c>
      <c r="Y9" s="620" t="s">
        <v>38</v>
      </c>
      <c r="Z9" s="620" t="s">
        <v>11</v>
      </c>
      <c r="AA9" s="9" t="s">
        <v>37</v>
      </c>
      <c r="AB9" s="9" t="s">
        <v>11</v>
      </c>
      <c r="AC9" s="620" t="s">
        <v>38</v>
      </c>
      <c r="AD9" s="620" t="s">
        <v>11</v>
      </c>
      <c r="AE9" s="620" t="s">
        <v>37</v>
      </c>
      <c r="AF9" s="620" t="s">
        <v>11</v>
      </c>
      <c r="AG9" s="620" t="s">
        <v>38</v>
      </c>
      <c r="AH9" s="620" t="s">
        <v>11</v>
      </c>
      <c r="AI9" s="620" t="s">
        <v>37</v>
      </c>
      <c r="AJ9" s="620" t="s">
        <v>11</v>
      </c>
      <c r="AK9" s="620" t="s">
        <v>38</v>
      </c>
      <c r="AL9" s="620" t="s">
        <v>11</v>
      </c>
      <c r="AM9" s="620" t="s">
        <v>37</v>
      </c>
      <c r="AN9" s="620" t="s">
        <v>11</v>
      </c>
      <c r="AO9" s="620" t="s">
        <v>38</v>
      </c>
      <c r="AP9" s="620" t="s">
        <v>11</v>
      </c>
      <c r="AQ9" s="620" t="s">
        <v>37</v>
      </c>
      <c r="AR9" s="620" t="s">
        <v>11</v>
      </c>
      <c r="AS9" s="620" t="s">
        <v>38</v>
      </c>
      <c r="AT9" s="620" t="s">
        <v>11</v>
      </c>
      <c r="AU9" s="620" t="s">
        <v>37</v>
      </c>
      <c r="AV9" s="620" t="s">
        <v>11</v>
      </c>
      <c r="AW9" s="620" t="s">
        <v>38</v>
      </c>
      <c r="AX9" s="620" t="s">
        <v>11</v>
      </c>
      <c r="AY9" s="620" t="s">
        <v>37</v>
      </c>
      <c r="AZ9" s="620" t="s">
        <v>11</v>
      </c>
      <c r="BA9" s="620" t="s">
        <v>38</v>
      </c>
      <c r="BB9" s="620" t="s">
        <v>11</v>
      </c>
      <c r="BC9" s="620" t="s">
        <v>37</v>
      </c>
      <c r="BD9" s="620" t="s">
        <v>11</v>
      </c>
      <c r="BE9" s="620" t="s">
        <v>38</v>
      </c>
      <c r="BF9" s="620" t="s">
        <v>11</v>
      </c>
      <c r="BG9" s="620" t="s">
        <v>37</v>
      </c>
      <c r="BH9" s="620" t="s">
        <v>11</v>
      </c>
      <c r="BI9" s="620" t="s">
        <v>38</v>
      </c>
      <c r="BJ9" s="620" t="s">
        <v>11</v>
      </c>
      <c r="BK9" s="620" t="s">
        <v>37</v>
      </c>
      <c r="BL9" s="620" t="s">
        <v>11</v>
      </c>
      <c r="BM9" s="620" t="s">
        <v>38</v>
      </c>
      <c r="BN9" s="620" t="s">
        <v>11</v>
      </c>
      <c r="BO9" s="620" t="s">
        <v>37</v>
      </c>
      <c r="BP9" s="620" t="s">
        <v>11</v>
      </c>
      <c r="BQ9" s="620" t="s">
        <v>38</v>
      </c>
      <c r="BR9" s="620" t="s">
        <v>11</v>
      </c>
      <c r="BS9" s="620" t="s">
        <v>37</v>
      </c>
      <c r="BT9" s="620" t="s">
        <v>11</v>
      </c>
      <c r="BU9" s="620" t="s">
        <v>38</v>
      </c>
      <c r="BV9" s="620" t="s">
        <v>11</v>
      </c>
      <c r="BW9" s="620" t="s">
        <v>37</v>
      </c>
      <c r="BX9" s="620" t="s">
        <v>11</v>
      </c>
      <c r="BY9" s="620" t="s">
        <v>38</v>
      </c>
      <c r="BZ9" s="620" t="s">
        <v>11</v>
      </c>
      <c r="CA9" s="620" t="s">
        <v>37</v>
      </c>
      <c r="CB9" s="620" t="s">
        <v>38</v>
      </c>
      <c r="CC9" s="620" t="s">
        <v>37</v>
      </c>
      <c r="CD9" s="620" t="s">
        <v>38</v>
      </c>
    </row>
    <row r="10" spans="1:82">
      <c r="A10" s="16">
        <f>+Chem!A9</f>
        <v>45931</v>
      </c>
      <c r="B10" s="6" t="str">
        <f>+Chem!B9</f>
        <v>Facial</v>
      </c>
      <c r="C10" s="16" t="str">
        <f>+Chem!C9</f>
        <v>12/10,3</v>
      </c>
      <c r="D10" s="8">
        <f>+Chem!D9</f>
        <v>16.946999999999999</v>
      </c>
      <c r="E10" s="7">
        <f>+Chem!E9</f>
        <v>17.940999999999999</v>
      </c>
      <c r="F10" s="7">
        <f>+E10</f>
        <v>17.940999999999999</v>
      </c>
      <c r="G10" s="108"/>
      <c r="H10" s="10">
        <f t="shared" ref="H10:H40" si="0">G10/CA10*100</f>
        <v>0</v>
      </c>
      <c r="I10" s="8">
        <f>G10</f>
        <v>0</v>
      </c>
      <c r="J10" s="10">
        <f t="shared" ref="J10:J40" si="1">I10/CB10*100</f>
        <v>0</v>
      </c>
      <c r="K10" s="108"/>
      <c r="L10" s="10">
        <f t="shared" ref="L10:L40" si="2">+K10/CA10*100</f>
        <v>0</v>
      </c>
      <c r="M10" s="10">
        <f>+K10</f>
        <v>0</v>
      </c>
      <c r="N10" s="10">
        <f t="shared" ref="N10:N40" si="3">+M10/CB10*100</f>
        <v>0</v>
      </c>
      <c r="O10" s="108">
        <v>0</v>
      </c>
      <c r="P10" s="10">
        <f t="shared" ref="P10:P40" si="4">+O10/CA10*100</f>
        <v>0</v>
      </c>
      <c r="Q10" s="10">
        <f>+O10</f>
        <v>0</v>
      </c>
      <c r="R10" s="10">
        <f t="shared" ref="R10:R40" si="5">+Q10/CB10*100</f>
        <v>0</v>
      </c>
      <c r="S10" s="108">
        <f>9*S7</f>
        <v>2250</v>
      </c>
      <c r="T10" s="10">
        <f t="shared" ref="T10:T40" si="6">+S10/CA10*100</f>
        <v>11.939522973074943</v>
      </c>
      <c r="U10" s="10">
        <f>+S10</f>
        <v>2250</v>
      </c>
      <c r="V10" s="10">
        <f t="shared" ref="V10:V40" si="7">+U10/CB10*100</f>
        <v>11.939522973074943</v>
      </c>
      <c r="W10" s="108"/>
      <c r="X10" s="10">
        <f t="shared" ref="X10:X40" si="8">+W10/CA10*100</f>
        <v>0</v>
      </c>
      <c r="Y10" s="10">
        <f>+W10</f>
        <v>0</v>
      </c>
      <c r="Z10" s="10">
        <f t="shared" ref="Z10:Z40" si="9">+Y10/CB10*100</f>
        <v>0</v>
      </c>
      <c r="AA10" s="108">
        <v>0</v>
      </c>
      <c r="AB10" s="10">
        <f t="shared" ref="AB10:AB40" si="10">AA10/CA10*100</f>
        <v>0</v>
      </c>
      <c r="AC10" s="10">
        <f>AA10</f>
        <v>0</v>
      </c>
      <c r="AD10" s="10">
        <f t="shared" ref="AD10:AD40" si="11">AC10/CB10*100</f>
        <v>0</v>
      </c>
      <c r="AE10" s="10">
        <f>G10+AA10+K10+W10+S10+O10</f>
        <v>2250</v>
      </c>
      <c r="AF10" s="10">
        <f t="shared" ref="AF10:AF40" si="12">AE10/CA10*100</f>
        <v>11.939522973074943</v>
      </c>
      <c r="AG10" s="10">
        <f>AE10</f>
        <v>2250</v>
      </c>
      <c r="AH10" s="10">
        <f t="shared" ref="AH10:AH40" si="13">AG10/CB10*100</f>
        <v>11.939522973074943</v>
      </c>
      <c r="AI10" s="109">
        <f>66*AI7</f>
        <v>16594.973999999998</v>
      </c>
      <c r="AJ10" s="10">
        <f t="shared" ref="AJ10:AJ40" si="14">AI10/CA10*100</f>
        <v>88.060477026925057</v>
      </c>
      <c r="AK10" s="10">
        <f>AI10</f>
        <v>16594.973999999998</v>
      </c>
      <c r="AL10" s="10">
        <f t="shared" ref="AL10:AL40" si="15">AK10/CB10*100</f>
        <v>88.060477026925057</v>
      </c>
      <c r="AM10" s="108"/>
      <c r="AN10" s="10">
        <f t="shared" ref="AN10:AN40" si="16">AM10/CA10*100</f>
        <v>0</v>
      </c>
      <c r="AO10" s="10">
        <f>AM10</f>
        <v>0</v>
      </c>
      <c r="AP10" s="10">
        <f t="shared" ref="AP10:AP40" si="17">AO10/CB10*100</f>
        <v>0</v>
      </c>
      <c r="AQ10" s="108">
        <v>0</v>
      </c>
      <c r="AR10" s="10">
        <f t="shared" ref="AR10:AR40" si="18">AQ10/CA10*100</f>
        <v>0</v>
      </c>
      <c r="AS10" s="10">
        <f>AQ10</f>
        <v>0</v>
      </c>
      <c r="AT10" s="10">
        <f t="shared" ref="AT10:AT40" si="19">AS10/CB10*100</f>
        <v>0</v>
      </c>
      <c r="AU10" s="108"/>
      <c r="AV10" s="10">
        <f t="shared" ref="AV10:AV40" si="20">AU10/CA10*100</f>
        <v>0</v>
      </c>
      <c r="AW10" s="10">
        <f>AU10</f>
        <v>0</v>
      </c>
      <c r="AX10" s="10">
        <f t="shared" ref="AX10:AX40" si="21">AW10/CB10*100</f>
        <v>0</v>
      </c>
      <c r="AY10" s="108"/>
      <c r="AZ10" s="10">
        <f t="shared" ref="AZ10:AZ40" si="22">AY10/CA10*100</f>
        <v>0</v>
      </c>
      <c r="BA10" s="10">
        <f>AY10</f>
        <v>0</v>
      </c>
      <c r="BB10" s="10">
        <f t="shared" ref="BB10:BB40" si="23">BA10/CB10</f>
        <v>0</v>
      </c>
      <c r="BC10" s="10">
        <f>AI10+AM10+AQ10+AU10+AY10</f>
        <v>16594.973999999998</v>
      </c>
      <c r="BD10" s="10">
        <f t="shared" ref="BD10:BD39" si="24">BC10/CA10*100</f>
        <v>88.060477026925057</v>
      </c>
      <c r="BE10" s="10">
        <f>BC10</f>
        <v>16594.973999999998</v>
      </c>
      <c r="BF10" s="10">
        <f t="shared" ref="BF10:BF39" si="25">BE10/CB10*100</f>
        <v>88.060477026925057</v>
      </c>
      <c r="BG10" s="108"/>
      <c r="BH10" s="10">
        <f t="shared" ref="BH10:BH39" si="26">+BG10/CA10*100</f>
        <v>0</v>
      </c>
      <c r="BI10" s="10">
        <f>+BG10</f>
        <v>0</v>
      </c>
      <c r="BJ10" s="10">
        <f t="shared" ref="BJ10:BJ39" si="27">+BI10/CB10*100</f>
        <v>0</v>
      </c>
      <c r="BK10" s="108">
        <v>0</v>
      </c>
      <c r="BL10" s="10">
        <f t="shared" ref="BL10:BL39" si="28">BK10/CA10*100</f>
        <v>0</v>
      </c>
      <c r="BM10" s="10">
        <f>BK10</f>
        <v>0</v>
      </c>
      <c r="BN10" s="10">
        <f t="shared" ref="BN10:BN39" si="29">BM10/CB10*100</f>
        <v>0</v>
      </c>
      <c r="BO10" s="108"/>
      <c r="BP10" s="15">
        <f t="shared" ref="BP10:BP39" si="30">BO10/CA10*100</f>
        <v>0</v>
      </c>
      <c r="BQ10" s="10">
        <f>BO10</f>
        <v>0</v>
      </c>
      <c r="BR10" s="10">
        <f t="shared" ref="BR10:BR39" si="31">BQ10/CB10*100</f>
        <v>0</v>
      </c>
      <c r="BS10" s="10">
        <f>BG10+BK10+BO10</f>
        <v>0</v>
      </c>
      <c r="BT10" s="10">
        <f t="shared" ref="BT10:BT39" si="32">BS10/CA10*100</f>
        <v>0</v>
      </c>
      <c r="BU10" s="10">
        <f>BS10</f>
        <v>0</v>
      </c>
      <c r="BV10" s="10">
        <f t="shared" ref="BV10:BV39" si="33">BU10/CB10*100</f>
        <v>0</v>
      </c>
      <c r="BW10" s="108">
        <v>0</v>
      </c>
      <c r="BX10" s="10">
        <f t="shared" ref="BX10:BX39" si="34">BW10/CA10*100</f>
        <v>0</v>
      </c>
      <c r="BY10" s="10">
        <f>BW10</f>
        <v>0</v>
      </c>
      <c r="BZ10" s="10">
        <f t="shared" ref="BZ10:BZ39" si="35">BY10/CB10*100</f>
        <v>0</v>
      </c>
      <c r="CA10" s="10">
        <f t="shared" ref="CA10:CA40" si="36">AE10+BC10+BS10+BW10</f>
        <v>18844.973999999998</v>
      </c>
      <c r="CB10" s="10">
        <f>CA10</f>
        <v>18844.973999999998</v>
      </c>
      <c r="CC10" s="10">
        <f t="shared" ref="CC10:CC40" si="37">CA10/1000/E10</f>
        <v>1.0503859316649016</v>
      </c>
      <c r="CD10" s="10">
        <f t="shared" ref="CD10:CD40" si="38">(CB10/1000)/F10</f>
        <v>1.0503859316649016</v>
      </c>
    </row>
    <row r="11" spans="1:82">
      <c r="A11" s="16">
        <f>+Chem!A10</f>
        <v>45932</v>
      </c>
      <c r="B11" s="6" t="str">
        <f>+Chem!B10</f>
        <v>Facial/MG</v>
      </c>
      <c r="C11" s="16" t="str">
        <f>+Chem!C10</f>
        <v>10,3/15,5/16,5</v>
      </c>
      <c r="D11" s="8">
        <f>+Chem!D10</f>
        <v>70.090999999999994</v>
      </c>
      <c r="E11" s="7">
        <f>+Chem!E10</f>
        <v>55.192</v>
      </c>
      <c r="F11" s="7">
        <f t="shared" ref="F11:F39" si="39">+E11+F10</f>
        <v>73.132999999999996</v>
      </c>
      <c r="G11" s="108"/>
      <c r="H11" s="10">
        <f t="shared" si="0"/>
        <v>0</v>
      </c>
      <c r="I11" s="8">
        <f t="shared" ref="I11:I39" si="40">G11+I10</f>
        <v>0</v>
      </c>
      <c r="J11" s="10">
        <f t="shared" si="1"/>
        <v>0</v>
      </c>
      <c r="K11" s="108"/>
      <c r="L11" s="10">
        <f t="shared" si="2"/>
        <v>0</v>
      </c>
      <c r="M11" s="10">
        <f t="shared" ref="M11:M39" si="41">+K11+M10</f>
        <v>0</v>
      </c>
      <c r="N11" s="10">
        <f t="shared" si="3"/>
        <v>0</v>
      </c>
      <c r="O11" s="108">
        <v>0</v>
      </c>
      <c r="P11" s="10">
        <f t="shared" si="4"/>
        <v>0</v>
      </c>
      <c r="Q11" s="10">
        <f t="shared" ref="Q11:Q39" si="42">+O11+Q10</f>
        <v>0</v>
      </c>
      <c r="R11" s="10">
        <f t="shared" si="5"/>
        <v>0</v>
      </c>
      <c r="S11" s="108">
        <f>112.5*S7</f>
        <v>28125</v>
      </c>
      <c r="T11" s="10">
        <f t="shared" si="6"/>
        <v>38.59022955485522</v>
      </c>
      <c r="U11" s="10">
        <f t="shared" ref="U11:U39" si="43">+S11+U10</f>
        <v>30375</v>
      </c>
      <c r="V11" s="10">
        <f t="shared" si="7"/>
        <v>33.114887367519188</v>
      </c>
      <c r="W11" s="108"/>
      <c r="X11" s="10">
        <f t="shared" si="8"/>
        <v>0</v>
      </c>
      <c r="Y11" s="10">
        <f t="shared" ref="Y11:Y39" si="44">+W11+Y10</f>
        <v>0</v>
      </c>
      <c r="Z11" s="10">
        <f t="shared" si="9"/>
        <v>0</v>
      </c>
      <c r="AA11" s="108">
        <v>0</v>
      </c>
      <c r="AB11" s="10">
        <f t="shared" si="10"/>
        <v>0</v>
      </c>
      <c r="AC11" s="10">
        <f t="shared" ref="AC11:AC39" si="45">AA11+AC10</f>
        <v>0</v>
      </c>
      <c r="AD11" s="10">
        <f t="shared" si="11"/>
        <v>0</v>
      </c>
      <c r="AE11" s="10">
        <f t="shared" ref="AE11:AE40" si="46">G11+AA11+K11+W11+S11+O11</f>
        <v>28125</v>
      </c>
      <c r="AF11" s="10">
        <f t="shared" si="12"/>
        <v>38.59022955485522</v>
      </c>
      <c r="AG11" s="10">
        <f t="shared" ref="AG11:AG39" si="47">AE11+AG10</f>
        <v>30375</v>
      </c>
      <c r="AH11" s="10">
        <f t="shared" si="13"/>
        <v>33.114887367519188</v>
      </c>
      <c r="AI11" s="109">
        <f>178*AI7</f>
        <v>44756.142</v>
      </c>
      <c r="AJ11" s="10">
        <f t="shared" si="14"/>
        <v>61.409770445144787</v>
      </c>
      <c r="AK11" s="10">
        <f t="shared" ref="AK11:AK39" si="48">AI11+AK10</f>
        <v>61351.115999999995</v>
      </c>
      <c r="AL11" s="10">
        <f t="shared" si="15"/>
        <v>66.885112632480798</v>
      </c>
      <c r="AM11" s="108"/>
      <c r="AN11" s="10">
        <f t="shared" si="16"/>
        <v>0</v>
      </c>
      <c r="AO11" s="10">
        <f t="shared" ref="AO11:AO39" si="49">AM11+AO10</f>
        <v>0</v>
      </c>
      <c r="AP11" s="10">
        <f t="shared" si="17"/>
        <v>0</v>
      </c>
      <c r="AQ11" s="108">
        <v>0</v>
      </c>
      <c r="AR11" s="10">
        <f t="shared" si="18"/>
        <v>0</v>
      </c>
      <c r="AS11" s="10">
        <f t="shared" ref="AS11:AS39" si="50">AQ11+AS10</f>
        <v>0</v>
      </c>
      <c r="AT11" s="10">
        <f t="shared" si="19"/>
        <v>0</v>
      </c>
      <c r="AU11" s="108"/>
      <c r="AV11" s="10">
        <f t="shared" si="20"/>
        <v>0</v>
      </c>
      <c r="AW11" s="10">
        <f t="shared" ref="AW11:AW39" si="51">AU11+AW10</f>
        <v>0</v>
      </c>
      <c r="AX11" s="10">
        <f t="shared" si="21"/>
        <v>0</v>
      </c>
      <c r="AY11" s="108"/>
      <c r="AZ11" s="10">
        <f t="shared" si="22"/>
        <v>0</v>
      </c>
      <c r="BA11" s="10">
        <f t="shared" ref="BA11:BA39" si="52">AY11+BA10</f>
        <v>0</v>
      </c>
      <c r="BB11" s="10">
        <f t="shared" si="23"/>
        <v>0</v>
      </c>
      <c r="BC11" s="10">
        <f t="shared" ref="BC11:BC40" si="53">AI11+AM11+AQ11+AU11+AY11</f>
        <v>44756.142</v>
      </c>
      <c r="BD11" s="10">
        <f t="shared" si="24"/>
        <v>61.409770445144787</v>
      </c>
      <c r="BE11" s="10">
        <f t="shared" ref="BE11:BE39" si="54">BC11+BE10</f>
        <v>61351.115999999995</v>
      </c>
      <c r="BF11" s="10">
        <f t="shared" si="25"/>
        <v>66.885112632480798</v>
      </c>
      <c r="BG11" s="108"/>
      <c r="BH11" s="10">
        <f t="shared" si="26"/>
        <v>0</v>
      </c>
      <c r="BI11" s="10">
        <f t="shared" ref="BI11:BI39" si="55">+BG11+BI10</f>
        <v>0</v>
      </c>
      <c r="BJ11" s="10">
        <f t="shared" si="27"/>
        <v>0</v>
      </c>
      <c r="BK11" s="108">
        <v>0</v>
      </c>
      <c r="BL11" s="10">
        <f t="shared" si="28"/>
        <v>0</v>
      </c>
      <c r="BM11" s="10">
        <f t="shared" ref="BM11:BM39" si="56">BK11+BM10</f>
        <v>0</v>
      </c>
      <c r="BN11" s="10">
        <f t="shared" si="29"/>
        <v>0</v>
      </c>
      <c r="BO11" s="108"/>
      <c r="BP11" s="15">
        <f t="shared" si="30"/>
        <v>0</v>
      </c>
      <c r="BQ11" s="10">
        <f t="shared" ref="BQ11:BQ39" si="57">BO11+BQ10</f>
        <v>0</v>
      </c>
      <c r="BR11" s="10">
        <f t="shared" si="31"/>
        <v>0</v>
      </c>
      <c r="BS11" s="10">
        <f t="shared" ref="BS11:BS39" si="58">BG11+BK11+BO11</f>
        <v>0</v>
      </c>
      <c r="BT11" s="10">
        <f t="shared" si="32"/>
        <v>0</v>
      </c>
      <c r="BU11" s="10">
        <f t="shared" ref="BU11:BU39" si="59">BS11+BU10</f>
        <v>0</v>
      </c>
      <c r="BV11" s="10">
        <f t="shared" si="33"/>
        <v>0</v>
      </c>
      <c r="BW11" s="108">
        <v>0</v>
      </c>
      <c r="BX11" s="10">
        <f t="shared" si="34"/>
        <v>0</v>
      </c>
      <c r="BY11" s="10">
        <f t="shared" ref="BY11:BY39" si="60">BW11+BY10</f>
        <v>0</v>
      </c>
      <c r="BZ11" s="10">
        <f t="shared" si="35"/>
        <v>0</v>
      </c>
      <c r="CA11" s="10">
        <f t="shared" si="36"/>
        <v>72881.141999999993</v>
      </c>
      <c r="CB11" s="10">
        <f t="shared" ref="CB11:CB39" si="61">CA11+CB10</f>
        <v>91726.115999999995</v>
      </c>
      <c r="CC11" s="10">
        <f t="shared" si="37"/>
        <v>1.3205019205681983</v>
      </c>
      <c r="CD11" s="10">
        <f t="shared" si="38"/>
        <v>1.2542370202234285</v>
      </c>
    </row>
    <row r="12" spans="1:82">
      <c r="A12" s="16">
        <f>+Chem!A11</f>
        <v>45933</v>
      </c>
      <c r="B12" s="6" t="str">
        <f>+Chem!B11</f>
        <v>MG</v>
      </c>
      <c r="C12" s="16" t="str">
        <f>+Chem!C11</f>
        <v>16,5/21</v>
      </c>
      <c r="D12" s="8">
        <f>+Chem!D11</f>
        <v>78.805000000000007</v>
      </c>
      <c r="E12" s="7">
        <f>+Chem!E11</f>
        <v>84.813000000000002</v>
      </c>
      <c r="F12" s="7">
        <f t="shared" si="39"/>
        <v>157.946</v>
      </c>
      <c r="G12" s="108"/>
      <c r="H12" s="10">
        <f t="shared" si="0"/>
        <v>0</v>
      </c>
      <c r="I12" s="8">
        <f t="shared" si="40"/>
        <v>0</v>
      </c>
      <c r="J12" s="10">
        <f t="shared" si="1"/>
        <v>0</v>
      </c>
      <c r="K12" s="108"/>
      <c r="L12" s="10">
        <f t="shared" si="2"/>
        <v>0</v>
      </c>
      <c r="M12" s="10">
        <f t="shared" si="41"/>
        <v>0</v>
      </c>
      <c r="N12" s="10">
        <f t="shared" si="3"/>
        <v>0</v>
      </c>
      <c r="O12" s="108">
        <v>0</v>
      </c>
      <c r="P12" s="10">
        <f t="shared" si="4"/>
        <v>0</v>
      </c>
      <c r="Q12" s="10">
        <f t="shared" si="42"/>
        <v>0</v>
      </c>
      <c r="R12" s="10">
        <f t="shared" si="5"/>
        <v>0</v>
      </c>
      <c r="S12" s="108">
        <f>92*S7</f>
        <v>23000</v>
      </c>
      <c r="T12" s="10">
        <f t="shared" si="6"/>
        <v>28.744231032831713</v>
      </c>
      <c r="U12" s="10">
        <f t="shared" si="43"/>
        <v>53375</v>
      </c>
      <c r="V12" s="10">
        <f t="shared" si="7"/>
        <v>31.07856351088887</v>
      </c>
      <c r="W12" s="108"/>
      <c r="X12" s="10">
        <f t="shared" si="8"/>
        <v>0</v>
      </c>
      <c r="Y12" s="10">
        <f t="shared" si="44"/>
        <v>0</v>
      </c>
      <c r="Z12" s="10">
        <f t="shared" si="9"/>
        <v>0</v>
      </c>
      <c r="AA12" s="108">
        <v>0</v>
      </c>
      <c r="AB12" s="10">
        <f t="shared" si="10"/>
        <v>0</v>
      </c>
      <c r="AC12" s="10">
        <f t="shared" si="45"/>
        <v>0</v>
      </c>
      <c r="AD12" s="10">
        <f t="shared" si="11"/>
        <v>0</v>
      </c>
      <c r="AE12" s="10">
        <f t="shared" si="46"/>
        <v>23000</v>
      </c>
      <c r="AF12" s="10">
        <f t="shared" si="12"/>
        <v>28.744231032831713</v>
      </c>
      <c r="AG12" s="10">
        <f t="shared" si="47"/>
        <v>53375</v>
      </c>
      <c r="AH12" s="10">
        <f t="shared" si="13"/>
        <v>31.07856351088887</v>
      </c>
      <c r="AI12" s="109">
        <f>8*AI7</f>
        <v>2011.5119999999999</v>
      </c>
      <c r="AJ12" s="10">
        <f t="shared" si="14"/>
        <v>2.5138854631875382</v>
      </c>
      <c r="AK12" s="10">
        <f t="shared" si="48"/>
        <v>63362.627999999997</v>
      </c>
      <c r="AL12" s="10">
        <f t="shared" si="15"/>
        <v>36.894041377326936</v>
      </c>
      <c r="AM12" s="108"/>
      <c r="AN12" s="10">
        <f t="shared" si="16"/>
        <v>0</v>
      </c>
      <c r="AO12" s="10">
        <f t="shared" si="49"/>
        <v>0</v>
      </c>
      <c r="AP12" s="10">
        <f t="shared" si="17"/>
        <v>0</v>
      </c>
      <c r="AQ12" s="108">
        <v>0</v>
      </c>
      <c r="AR12" s="10">
        <f t="shared" si="18"/>
        <v>0</v>
      </c>
      <c r="AS12" s="10">
        <f t="shared" si="50"/>
        <v>0</v>
      </c>
      <c r="AT12" s="10">
        <f t="shared" si="19"/>
        <v>0</v>
      </c>
      <c r="AU12" s="108"/>
      <c r="AV12" s="10">
        <f t="shared" si="20"/>
        <v>0</v>
      </c>
      <c r="AW12" s="10">
        <f t="shared" si="51"/>
        <v>0</v>
      </c>
      <c r="AX12" s="10">
        <f t="shared" si="21"/>
        <v>0</v>
      </c>
      <c r="AY12" s="108"/>
      <c r="AZ12" s="10">
        <f t="shared" si="22"/>
        <v>0</v>
      </c>
      <c r="BA12" s="10">
        <f t="shared" si="52"/>
        <v>0</v>
      </c>
      <c r="BB12" s="10">
        <f t="shared" si="23"/>
        <v>0</v>
      </c>
      <c r="BC12" s="10">
        <f t="shared" si="53"/>
        <v>2011.5119999999999</v>
      </c>
      <c r="BD12" s="10">
        <f t="shared" si="24"/>
        <v>2.5138854631875382</v>
      </c>
      <c r="BE12" s="10">
        <f t="shared" si="54"/>
        <v>63362.627999999997</v>
      </c>
      <c r="BF12" s="10">
        <f t="shared" si="25"/>
        <v>36.894041377326936</v>
      </c>
      <c r="BG12" s="108"/>
      <c r="BH12" s="10">
        <f t="shared" si="26"/>
        <v>0</v>
      </c>
      <c r="BI12" s="10">
        <f t="shared" si="55"/>
        <v>0</v>
      </c>
      <c r="BJ12" s="10">
        <f t="shared" si="27"/>
        <v>0</v>
      </c>
      <c r="BK12" s="108">
        <f>224*BK7</f>
        <v>55004.544000000002</v>
      </c>
      <c r="BL12" s="10">
        <f t="shared" si="28"/>
        <v>68.741883503980759</v>
      </c>
      <c r="BM12" s="10">
        <f t="shared" si="56"/>
        <v>55004.544000000002</v>
      </c>
      <c r="BN12" s="10">
        <f t="shared" si="29"/>
        <v>32.027395111784195</v>
      </c>
      <c r="BO12" s="108"/>
      <c r="BP12" s="15">
        <f t="shared" si="30"/>
        <v>0</v>
      </c>
      <c r="BQ12" s="10">
        <f t="shared" si="57"/>
        <v>0</v>
      </c>
      <c r="BR12" s="10">
        <f t="shared" si="31"/>
        <v>0</v>
      </c>
      <c r="BS12" s="10">
        <f t="shared" si="58"/>
        <v>55004.544000000002</v>
      </c>
      <c r="BT12" s="10">
        <f t="shared" si="32"/>
        <v>68.741883503980759</v>
      </c>
      <c r="BU12" s="10">
        <f t="shared" si="59"/>
        <v>55004.544000000002</v>
      </c>
      <c r="BV12" s="10">
        <f t="shared" si="33"/>
        <v>32.027395111784195</v>
      </c>
      <c r="BW12" s="108">
        <v>0</v>
      </c>
      <c r="BX12" s="10">
        <f t="shared" si="34"/>
        <v>0</v>
      </c>
      <c r="BY12" s="10">
        <f t="shared" si="60"/>
        <v>0</v>
      </c>
      <c r="BZ12" s="10">
        <f t="shared" si="35"/>
        <v>0</v>
      </c>
      <c r="CA12" s="10">
        <f t="shared" si="36"/>
        <v>80016.055999999997</v>
      </c>
      <c r="CB12" s="10">
        <f t="shared" si="61"/>
        <v>171742.17199999999</v>
      </c>
      <c r="CC12" s="10">
        <f t="shared" si="37"/>
        <v>0.94344093476235946</v>
      </c>
      <c r="CD12" s="10">
        <f t="shared" si="38"/>
        <v>1.0873473972117051</v>
      </c>
    </row>
    <row r="13" spans="1:82">
      <c r="A13" s="16">
        <f>+Chem!A12</f>
        <v>45934</v>
      </c>
      <c r="B13" s="6" t="str">
        <f>+Chem!B12</f>
        <v>MG</v>
      </c>
      <c r="C13" s="16" t="str">
        <f>+Chem!C12</f>
        <v>21</v>
      </c>
      <c r="D13" s="8">
        <f>+Chem!D12</f>
        <v>71.09</v>
      </c>
      <c r="E13" s="7">
        <f>+Chem!E12</f>
        <v>60.372999999999998</v>
      </c>
      <c r="F13" s="7">
        <f t="shared" si="39"/>
        <v>218.31899999999999</v>
      </c>
      <c r="G13" s="108"/>
      <c r="H13" s="10">
        <f t="shared" si="0"/>
        <v>0</v>
      </c>
      <c r="I13" s="8">
        <f t="shared" si="40"/>
        <v>0</v>
      </c>
      <c r="J13" s="10">
        <f t="shared" si="1"/>
        <v>0</v>
      </c>
      <c r="K13" s="108"/>
      <c r="L13" s="10">
        <f t="shared" si="2"/>
        <v>0</v>
      </c>
      <c r="M13" s="10">
        <f t="shared" si="41"/>
        <v>0</v>
      </c>
      <c r="N13" s="10">
        <f t="shared" si="3"/>
        <v>0</v>
      </c>
      <c r="O13" s="108">
        <v>0</v>
      </c>
      <c r="P13" s="10">
        <f t="shared" si="4"/>
        <v>0</v>
      </c>
      <c r="Q13" s="10">
        <f t="shared" si="42"/>
        <v>0</v>
      </c>
      <c r="R13" s="10">
        <f t="shared" si="5"/>
        <v>0</v>
      </c>
      <c r="S13" s="108">
        <f>80*S7</f>
        <v>20000</v>
      </c>
      <c r="T13" s="10">
        <f t="shared" si="6"/>
        <v>27.018877549366188</v>
      </c>
      <c r="U13" s="10">
        <f t="shared" si="43"/>
        <v>73375</v>
      </c>
      <c r="V13" s="10">
        <f t="shared" si="7"/>
        <v>29.855818227801599</v>
      </c>
      <c r="W13" s="108"/>
      <c r="X13" s="10">
        <f t="shared" si="8"/>
        <v>0</v>
      </c>
      <c r="Y13" s="10">
        <f t="shared" si="44"/>
        <v>0</v>
      </c>
      <c r="Z13" s="10">
        <f t="shared" si="9"/>
        <v>0</v>
      </c>
      <c r="AA13" s="108">
        <v>0</v>
      </c>
      <c r="AB13" s="10">
        <f t="shared" si="10"/>
        <v>0</v>
      </c>
      <c r="AC13" s="10">
        <f t="shared" si="45"/>
        <v>0</v>
      </c>
      <c r="AD13" s="10">
        <f t="shared" si="11"/>
        <v>0</v>
      </c>
      <c r="AE13" s="10">
        <f t="shared" si="46"/>
        <v>20000</v>
      </c>
      <c r="AF13" s="10">
        <f t="shared" si="12"/>
        <v>27.018877549366188</v>
      </c>
      <c r="AG13" s="10">
        <f t="shared" si="47"/>
        <v>73375</v>
      </c>
      <c r="AH13" s="10">
        <f t="shared" si="13"/>
        <v>29.855818227801599</v>
      </c>
      <c r="AI13" s="109">
        <v>0</v>
      </c>
      <c r="AJ13" s="10">
        <f t="shared" si="14"/>
        <v>0</v>
      </c>
      <c r="AK13" s="10">
        <f t="shared" si="48"/>
        <v>63362.627999999997</v>
      </c>
      <c r="AL13" s="10">
        <f t="shared" si="15"/>
        <v>25.781848095452293</v>
      </c>
      <c r="AM13" s="108"/>
      <c r="AN13" s="10">
        <f t="shared" si="16"/>
        <v>0</v>
      </c>
      <c r="AO13" s="10">
        <f t="shared" si="49"/>
        <v>0</v>
      </c>
      <c r="AP13" s="10">
        <f t="shared" si="17"/>
        <v>0</v>
      </c>
      <c r="AQ13" s="108">
        <v>0</v>
      </c>
      <c r="AR13" s="10">
        <f t="shared" si="18"/>
        <v>0</v>
      </c>
      <c r="AS13" s="10">
        <f t="shared" si="50"/>
        <v>0</v>
      </c>
      <c r="AT13" s="10">
        <f t="shared" si="19"/>
        <v>0</v>
      </c>
      <c r="AU13" s="108"/>
      <c r="AV13" s="10">
        <f t="shared" si="20"/>
        <v>0</v>
      </c>
      <c r="AW13" s="10">
        <f t="shared" si="51"/>
        <v>0</v>
      </c>
      <c r="AX13" s="10">
        <f t="shared" si="21"/>
        <v>0</v>
      </c>
      <c r="AY13" s="108"/>
      <c r="AZ13" s="10">
        <f t="shared" si="22"/>
        <v>0</v>
      </c>
      <c r="BA13" s="10">
        <f t="shared" si="52"/>
        <v>0</v>
      </c>
      <c r="BB13" s="10">
        <f t="shared" si="23"/>
        <v>0</v>
      </c>
      <c r="BC13" s="10">
        <f t="shared" si="53"/>
        <v>0</v>
      </c>
      <c r="BD13" s="10">
        <f t="shared" si="24"/>
        <v>0</v>
      </c>
      <c r="BE13" s="10">
        <f t="shared" si="54"/>
        <v>63362.627999999997</v>
      </c>
      <c r="BF13" s="10">
        <f t="shared" si="25"/>
        <v>25.781848095452293</v>
      </c>
      <c r="BG13" s="108"/>
      <c r="BH13" s="10">
        <f t="shared" si="26"/>
        <v>0</v>
      </c>
      <c r="BI13" s="10">
        <f t="shared" si="55"/>
        <v>0</v>
      </c>
      <c r="BJ13" s="10">
        <f t="shared" si="27"/>
        <v>0</v>
      </c>
      <c r="BK13" s="108">
        <f>220*BK7</f>
        <v>54022.32</v>
      </c>
      <c r="BL13" s="10">
        <f t="shared" si="28"/>
        <v>72.981122450633805</v>
      </c>
      <c r="BM13" s="10">
        <f t="shared" si="56"/>
        <v>109026.864</v>
      </c>
      <c r="BN13" s="10">
        <f t="shared" si="29"/>
        <v>44.362333676746111</v>
      </c>
      <c r="BO13" s="108"/>
      <c r="BP13" s="15">
        <f t="shared" si="30"/>
        <v>0</v>
      </c>
      <c r="BQ13" s="10">
        <f t="shared" si="57"/>
        <v>0</v>
      </c>
      <c r="BR13" s="10">
        <f t="shared" si="31"/>
        <v>0</v>
      </c>
      <c r="BS13" s="10">
        <f t="shared" si="58"/>
        <v>54022.32</v>
      </c>
      <c r="BT13" s="10">
        <f t="shared" si="32"/>
        <v>72.981122450633805</v>
      </c>
      <c r="BU13" s="10">
        <f t="shared" si="59"/>
        <v>109026.864</v>
      </c>
      <c r="BV13" s="10">
        <f t="shared" si="33"/>
        <v>44.362333676746111</v>
      </c>
      <c r="BW13" s="108">
        <v>0</v>
      </c>
      <c r="BX13" s="10">
        <f t="shared" si="34"/>
        <v>0</v>
      </c>
      <c r="BY13" s="10">
        <f t="shared" si="60"/>
        <v>0</v>
      </c>
      <c r="BZ13" s="10">
        <f t="shared" si="35"/>
        <v>0</v>
      </c>
      <c r="CA13" s="10">
        <f t="shared" si="36"/>
        <v>74022.320000000007</v>
      </c>
      <c r="CB13" s="10">
        <f t="shared" si="61"/>
        <v>245764.492</v>
      </c>
      <c r="CC13" s="10">
        <f t="shared" si="37"/>
        <v>1.2260831828797643</v>
      </c>
      <c r="CD13" s="10">
        <f t="shared" si="38"/>
        <v>1.125712796412589</v>
      </c>
    </row>
    <row r="14" spans="1:82">
      <c r="A14" s="16">
        <f>+Chem!A13</f>
        <v>45935</v>
      </c>
      <c r="B14" s="6" t="str">
        <f>+Chem!B13</f>
        <v>MG</v>
      </c>
      <c r="C14" s="16" t="str">
        <f>+Chem!C13</f>
        <v>21</v>
      </c>
      <c r="D14" s="8">
        <f>+Chem!D13</f>
        <v>72.461999999999989</v>
      </c>
      <c r="E14" s="7">
        <f>+Chem!E13</f>
        <v>70.710999999999999</v>
      </c>
      <c r="F14" s="7">
        <f t="shared" si="39"/>
        <v>289.02999999999997</v>
      </c>
      <c r="G14" s="109"/>
      <c r="H14" s="100">
        <f t="shared" si="0"/>
        <v>0</v>
      </c>
      <c r="I14" s="8">
        <f t="shared" si="40"/>
        <v>0</v>
      </c>
      <c r="J14" s="100">
        <f t="shared" si="1"/>
        <v>0</v>
      </c>
      <c r="K14" s="109"/>
      <c r="L14" s="100">
        <f t="shared" si="2"/>
        <v>0</v>
      </c>
      <c r="M14" s="100">
        <f t="shared" si="41"/>
        <v>0</v>
      </c>
      <c r="N14" s="100">
        <f t="shared" si="3"/>
        <v>0</v>
      </c>
      <c r="O14" s="108">
        <v>0</v>
      </c>
      <c r="P14" s="100">
        <f t="shared" si="4"/>
        <v>0</v>
      </c>
      <c r="Q14" s="100">
        <f t="shared" si="42"/>
        <v>0</v>
      </c>
      <c r="R14" s="100">
        <f t="shared" si="5"/>
        <v>0</v>
      </c>
      <c r="S14" s="109">
        <f>80*S7</f>
        <v>20000</v>
      </c>
      <c r="T14" s="100">
        <f t="shared" si="6"/>
        <v>27.755468548946322</v>
      </c>
      <c r="U14" s="100">
        <f t="shared" si="43"/>
        <v>93375</v>
      </c>
      <c r="V14" s="100">
        <f t="shared" si="7"/>
        <v>29.37961911327297</v>
      </c>
      <c r="W14" s="108"/>
      <c r="X14" s="100">
        <f t="shared" si="8"/>
        <v>0</v>
      </c>
      <c r="Y14" s="100">
        <f t="shared" si="44"/>
        <v>0</v>
      </c>
      <c r="Z14" s="100">
        <f t="shared" si="9"/>
        <v>0</v>
      </c>
      <c r="AA14" s="108">
        <v>0</v>
      </c>
      <c r="AB14" s="100">
        <f t="shared" si="10"/>
        <v>0</v>
      </c>
      <c r="AC14" s="100">
        <f t="shared" si="45"/>
        <v>0</v>
      </c>
      <c r="AD14" s="100">
        <f t="shared" si="11"/>
        <v>0</v>
      </c>
      <c r="AE14" s="10">
        <f t="shared" si="46"/>
        <v>20000</v>
      </c>
      <c r="AF14" s="100">
        <f t="shared" si="12"/>
        <v>27.755468548946322</v>
      </c>
      <c r="AG14" s="100">
        <f t="shared" si="47"/>
        <v>93375</v>
      </c>
      <c r="AH14" s="100">
        <f t="shared" si="13"/>
        <v>29.37961911327297</v>
      </c>
      <c r="AI14" s="109">
        <v>0</v>
      </c>
      <c r="AJ14" s="100">
        <f t="shared" si="14"/>
        <v>0</v>
      </c>
      <c r="AK14" s="100">
        <f t="shared" si="48"/>
        <v>63362.627999999997</v>
      </c>
      <c r="AL14" s="100">
        <f t="shared" si="15"/>
        <v>19.93649131626244</v>
      </c>
      <c r="AM14" s="109"/>
      <c r="AN14" s="100">
        <f t="shared" si="16"/>
        <v>0</v>
      </c>
      <c r="AO14" s="100">
        <f t="shared" si="49"/>
        <v>0</v>
      </c>
      <c r="AP14" s="100">
        <f t="shared" si="17"/>
        <v>0</v>
      </c>
      <c r="AQ14" s="109">
        <v>0</v>
      </c>
      <c r="AR14" s="100">
        <f t="shared" si="18"/>
        <v>0</v>
      </c>
      <c r="AS14" s="100">
        <f t="shared" si="50"/>
        <v>0</v>
      </c>
      <c r="AT14" s="100">
        <f t="shared" si="19"/>
        <v>0</v>
      </c>
      <c r="AU14" s="109"/>
      <c r="AV14" s="100">
        <f t="shared" si="20"/>
        <v>0</v>
      </c>
      <c r="AW14" s="100">
        <f t="shared" si="51"/>
        <v>0</v>
      </c>
      <c r="AX14" s="100">
        <f t="shared" si="21"/>
        <v>0</v>
      </c>
      <c r="AY14" s="109"/>
      <c r="AZ14" s="100">
        <f t="shared" si="22"/>
        <v>0</v>
      </c>
      <c r="BA14" s="100">
        <f t="shared" si="52"/>
        <v>0</v>
      </c>
      <c r="BB14" s="100">
        <f t="shared" si="23"/>
        <v>0</v>
      </c>
      <c r="BC14" s="10">
        <f t="shared" si="53"/>
        <v>0</v>
      </c>
      <c r="BD14" s="100">
        <f t="shared" si="24"/>
        <v>0</v>
      </c>
      <c r="BE14" s="100">
        <f t="shared" si="54"/>
        <v>63362.627999999997</v>
      </c>
      <c r="BF14" s="100">
        <f t="shared" si="25"/>
        <v>19.93649131626244</v>
      </c>
      <c r="BG14" s="109"/>
      <c r="BH14" s="100">
        <f t="shared" si="26"/>
        <v>0</v>
      </c>
      <c r="BI14" s="100">
        <f t="shared" si="55"/>
        <v>0</v>
      </c>
      <c r="BJ14" s="100">
        <f t="shared" si="27"/>
        <v>0</v>
      </c>
      <c r="BK14" s="109">
        <f>212*BK7</f>
        <v>52057.872000000003</v>
      </c>
      <c r="BL14" s="100">
        <f t="shared" si="28"/>
        <v>72.244531451053675</v>
      </c>
      <c r="BM14" s="100">
        <f t="shared" si="56"/>
        <v>161084.736</v>
      </c>
      <c r="BN14" s="100">
        <f t="shared" si="29"/>
        <v>50.683889570464594</v>
      </c>
      <c r="BO14" s="109"/>
      <c r="BP14" s="101">
        <f t="shared" si="30"/>
        <v>0</v>
      </c>
      <c r="BQ14" s="100">
        <f t="shared" si="57"/>
        <v>0</v>
      </c>
      <c r="BR14" s="100">
        <f t="shared" si="31"/>
        <v>0</v>
      </c>
      <c r="BS14" s="100">
        <f t="shared" si="58"/>
        <v>52057.872000000003</v>
      </c>
      <c r="BT14" s="100">
        <f t="shared" si="32"/>
        <v>72.244531451053675</v>
      </c>
      <c r="BU14" s="100">
        <f t="shared" si="59"/>
        <v>161084.736</v>
      </c>
      <c r="BV14" s="100">
        <f t="shared" si="33"/>
        <v>50.683889570464594</v>
      </c>
      <c r="BW14" s="109">
        <v>0</v>
      </c>
      <c r="BX14" s="100">
        <f t="shared" si="34"/>
        <v>0</v>
      </c>
      <c r="BY14" s="100">
        <f t="shared" si="60"/>
        <v>0</v>
      </c>
      <c r="BZ14" s="100">
        <f t="shared" si="35"/>
        <v>0</v>
      </c>
      <c r="CA14" s="100">
        <f t="shared" si="36"/>
        <v>72057.872000000003</v>
      </c>
      <c r="CB14" s="100">
        <f t="shared" si="61"/>
        <v>317822.364</v>
      </c>
      <c r="CC14" s="100">
        <f t="shared" si="37"/>
        <v>1.0190475597856063</v>
      </c>
      <c r="CD14" s="100">
        <f t="shared" si="38"/>
        <v>1.0996172162059303</v>
      </c>
    </row>
    <row r="15" spans="1:82">
      <c r="A15" s="16">
        <f>+Chem!A14</f>
        <v>45936</v>
      </c>
      <c r="B15" s="6" t="str">
        <f>+Chem!B14</f>
        <v>MG</v>
      </c>
      <c r="C15" s="16" t="str">
        <f>+Chem!C14</f>
        <v>21/22/16,5/14</v>
      </c>
      <c r="D15" s="8">
        <f>+Chem!D14</f>
        <v>69.388000000000005</v>
      </c>
      <c r="E15" s="7">
        <f>+Chem!E14</f>
        <v>63.195</v>
      </c>
      <c r="F15" s="7">
        <f t="shared" si="39"/>
        <v>352.22499999999997</v>
      </c>
      <c r="G15" s="109"/>
      <c r="H15" s="100">
        <f t="shared" si="0"/>
        <v>0</v>
      </c>
      <c r="I15" s="8">
        <f t="shared" si="40"/>
        <v>0</v>
      </c>
      <c r="J15" s="100">
        <f t="shared" si="1"/>
        <v>0</v>
      </c>
      <c r="K15" s="109"/>
      <c r="L15" s="100">
        <f t="shared" si="2"/>
        <v>0</v>
      </c>
      <c r="M15" s="100">
        <f t="shared" si="41"/>
        <v>0</v>
      </c>
      <c r="N15" s="100">
        <f t="shared" si="3"/>
        <v>0</v>
      </c>
      <c r="O15" s="108">
        <v>0</v>
      </c>
      <c r="P15" s="100">
        <f t="shared" si="4"/>
        <v>0</v>
      </c>
      <c r="Q15" s="100">
        <f t="shared" si="42"/>
        <v>0</v>
      </c>
      <c r="R15" s="100">
        <f t="shared" si="5"/>
        <v>0</v>
      </c>
      <c r="S15" s="109">
        <f>88*S7</f>
        <v>22000</v>
      </c>
      <c r="T15" s="100">
        <f t="shared" si="6"/>
        <v>32.927380637646507</v>
      </c>
      <c r="U15" s="100">
        <f t="shared" si="43"/>
        <v>115375</v>
      </c>
      <c r="V15" s="100">
        <f t="shared" si="7"/>
        <v>29.995887541069344</v>
      </c>
      <c r="W15" s="108"/>
      <c r="X15" s="100">
        <f t="shared" si="8"/>
        <v>0</v>
      </c>
      <c r="Y15" s="100">
        <f t="shared" si="44"/>
        <v>0</v>
      </c>
      <c r="Z15" s="100">
        <f t="shared" si="9"/>
        <v>0</v>
      </c>
      <c r="AA15" s="108">
        <v>0</v>
      </c>
      <c r="AB15" s="100">
        <f t="shared" si="10"/>
        <v>0</v>
      </c>
      <c r="AC15" s="100">
        <f t="shared" si="45"/>
        <v>0</v>
      </c>
      <c r="AD15" s="100">
        <f t="shared" si="11"/>
        <v>0</v>
      </c>
      <c r="AE15" s="10">
        <f t="shared" si="46"/>
        <v>22000</v>
      </c>
      <c r="AF15" s="100">
        <f t="shared" si="12"/>
        <v>32.927380637646507</v>
      </c>
      <c r="AG15" s="100">
        <f t="shared" si="47"/>
        <v>115375</v>
      </c>
      <c r="AH15" s="100">
        <f t="shared" si="13"/>
        <v>29.995887541069344</v>
      </c>
      <c r="AI15" s="109">
        <f>140*AI7</f>
        <v>35201.46</v>
      </c>
      <c r="AJ15" s="100">
        <f t="shared" si="14"/>
        <v>52.685994200949459</v>
      </c>
      <c r="AK15" s="100">
        <f t="shared" si="48"/>
        <v>98564.087999999989</v>
      </c>
      <c r="AL15" s="100">
        <f t="shared" si="15"/>
        <v>25.625285367159801</v>
      </c>
      <c r="AM15" s="109"/>
      <c r="AN15" s="100">
        <f t="shared" si="16"/>
        <v>0</v>
      </c>
      <c r="AO15" s="100">
        <f t="shared" si="49"/>
        <v>0</v>
      </c>
      <c r="AP15" s="100">
        <f t="shared" si="17"/>
        <v>0</v>
      </c>
      <c r="AQ15" s="109">
        <f>8*AQ7</f>
        <v>2000</v>
      </c>
      <c r="AR15" s="100">
        <f t="shared" si="18"/>
        <v>2.9933982397860466</v>
      </c>
      <c r="AS15" s="100">
        <f t="shared" si="50"/>
        <v>2000</v>
      </c>
      <c r="AT15" s="100">
        <f t="shared" si="19"/>
        <v>0.51997204838256716</v>
      </c>
      <c r="AU15" s="109"/>
      <c r="AV15" s="100">
        <f t="shared" si="20"/>
        <v>0</v>
      </c>
      <c r="AW15" s="100">
        <f t="shared" si="51"/>
        <v>0</v>
      </c>
      <c r="AX15" s="100">
        <f t="shared" si="21"/>
        <v>0</v>
      </c>
      <c r="AY15" s="109"/>
      <c r="AZ15" s="100">
        <f t="shared" si="22"/>
        <v>0</v>
      </c>
      <c r="BA15" s="100">
        <f t="shared" si="52"/>
        <v>0</v>
      </c>
      <c r="BB15" s="100">
        <f t="shared" si="23"/>
        <v>0</v>
      </c>
      <c r="BC15" s="10">
        <f t="shared" si="53"/>
        <v>37201.46</v>
      </c>
      <c r="BD15" s="100">
        <f t="shared" si="24"/>
        <v>55.679392440735512</v>
      </c>
      <c r="BE15" s="100">
        <f t="shared" si="54"/>
        <v>100564.08799999999</v>
      </c>
      <c r="BF15" s="100">
        <f t="shared" si="25"/>
        <v>26.145257415542368</v>
      </c>
      <c r="BG15" s="109"/>
      <c r="BH15" s="100">
        <f t="shared" si="26"/>
        <v>0</v>
      </c>
      <c r="BI15" s="100">
        <f t="shared" si="55"/>
        <v>0</v>
      </c>
      <c r="BJ15" s="100">
        <f t="shared" si="27"/>
        <v>0</v>
      </c>
      <c r="BK15" s="109">
        <f>31*BK7</f>
        <v>7612.2360000000008</v>
      </c>
      <c r="BL15" s="100">
        <f t="shared" si="28"/>
        <v>11.393226921617988</v>
      </c>
      <c r="BM15" s="100">
        <f t="shared" si="56"/>
        <v>168696.97200000001</v>
      </c>
      <c r="BN15" s="100">
        <f t="shared" si="29"/>
        <v>43.858855043388289</v>
      </c>
      <c r="BO15" s="109"/>
      <c r="BP15" s="101">
        <f t="shared" si="30"/>
        <v>0</v>
      </c>
      <c r="BQ15" s="100">
        <f t="shared" si="57"/>
        <v>0</v>
      </c>
      <c r="BR15" s="100">
        <f t="shared" si="31"/>
        <v>0</v>
      </c>
      <c r="BS15" s="100">
        <f t="shared" si="58"/>
        <v>7612.2360000000008</v>
      </c>
      <c r="BT15" s="100">
        <f t="shared" si="32"/>
        <v>11.393226921617988</v>
      </c>
      <c r="BU15" s="100">
        <f t="shared" si="59"/>
        <v>168696.97200000001</v>
      </c>
      <c r="BV15" s="100">
        <f t="shared" si="33"/>
        <v>43.858855043388289</v>
      </c>
      <c r="BW15" s="109">
        <v>0</v>
      </c>
      <c r="BX15" s="100">
        <f t="shared" si="34"/>
        <v>0</v>
      </c>
      <c r="BY15" s="100">
        <f t="shared" si="60"/>
        <v>0</v>
      </c>
      <c r="BZ15" s="100">
        <f t="shared" si="35"/>
        <v>0</v>
      </c>
      <c r="CA15" s="100">
        <f t="shared" si="36"/>
        <v>66813.695999999996</v>
      </c>
      <c r="CB15" s="100">
        <f t="shared" si="61"/>
        <v>384636.06</v>
      </c>
      <c r="CC15" s="100">
        <f t="shared" si="37"/>
        <v>1.0572623783527177</v>
      </c>
      <c r="CD15" s="100">
        <f t="shared" si="38"/>
        <v>1.092018056639932</v>
      </c>
    </row>
    <row r="16" spans="1:82">
      <c r="A16" s="16">
        <f>+Chem!A15</f>
        <v>45937</v>
      </c>
      <c r="B16" s="6" t="str">
        <f>+Chem!B15</f>
        <v>MG/Facial</v>
      </c>
      <c r="C16" s="16" t="str">
        <f>+Chem!C15</f>
        <v>14/17/10,3/12</v>
      </c>
      <c r="D16" s="8">
        <f>+Chem!D15</f>
        <v>62.308</v>
      </c>
      <c r="E16" s="7">
        <f>+Chem!E15</f>
        <v>57.293999999999997</v>
      </c>
      <c r="F16" s="7">
        <f t="shared" si="39"/>
        <v>409.51899999999995</v>
      </c>
      <c r="G16" s="109"/>
      <c r="H16" s="100">
        <f t="shared" si="0"/>
        <v>0</v>
      </c>
      <c r="I16" s="8">
        <f t="shared" si="40"/>
        <v>0</v>
      </c>
      <c r="J16" s="100">
        <f t="shared" si="1"/>
        <v>0</v>
      </c>
      <c r="K16" s="109"/>
      <c r="L16" s="100">
        <f t="shared" si="2"/>
        <v>0</v>
      </c>
      <c r="M16" s="100">
        <f t="shared" si="41"/>
        <v>0</v>
      </c>
      <c r="N16" s="100">
        <f t="shared" si="3"/>
        <v>0</v>
      </c>
      <c r="O16" s="108">
        <v>0</v>
      </c>
      <c r="P16" s="100">
        <f t="shared" si="4"/>
        <v>0</v>
      </c>
      <c r="Q16" s="100">
        <f t="shared" si="42"/>
        <v>0</v>
      </c>
      <c r="R16" s="100">
        <f t="shared" si="5"/>
        <v>0</v>
      </c>
      <c r="S16" s="109">
        <f>80*S7</f>
        <v>20000</v>
      </c>
      <c r="T16" s="100">
        <f t="shared" si="6"/>
        <v>31.126823378186675</v>
      </c>
      <c r="U16" s="100">
        <f t="shared" si="43"/>
        <v>135375</v>
      </c>
      <c r="V16" s="100">
        <f t="shared" si="7"/>
        <v>30.15776779756963</v>
      </c>
      <c r="W16" s="108"/>
      <c r="X16" s="100">
        <f t="shared" si="8"/>
        <v>0</v>
      </c>
      <c r="Y16" s="100">
        <f t="shared" si="44"/>
        <v>0</v>
      </c>
      <c r="Z16" s="100">
        <f t="shared" si="9"/>
        <v>0</v>
      </c>
      <c r="AA16" s="108">
        <v>0</v>
      </c>
      <c r="AB16" s="100">
        <f t="shared" si="10"/>
        <v>0</v>
      </c>
      <c r="AC16" s="100">
        <f t="shared" si="45"/>
        <v>0</v>
      </c>
      <c r="AD16" s="100">
        <f t="shared" si="11"/>
        <v>0</v>
      </c>
      <c r="AE16" s="10">
        <f t="shared" si="46"/>
        <v>20000</v>
      </c>
      <c r="AF16" s="100">
        <f t="shared" si="12"/>
        <v>31.126823378186675</v>
      </c>
      <c r="AG16" s="100">
        <f t="shared" si="47"/>
        <v>135375</v>
      </c>
      <c r="AH16" s="100">
        <f t="shared" si="13"/>
        <v>30.15776779756963</v>
      </c>
      <c r="AI16" s="109">
        <f>176*AI7</f>
        <v>44253.263999999996</v>
      </c>
      <c r="AJ16" s="100">
        <f t="shared" si="14"/>
        <v>68.873176621813329</v>
      </c>
      <c r="AK16" s="100">
        <f t="shared" si="48"/>
        <v>142817.35199999998</v>
      </c>
      <c r="AL16" s="100">
        <f t="shared" si="15"/>
        <v>31.815715893479339</v>
      </c>
      <c r="AM16" s="109"/>
      <c r="AN16" s="100">
        <f t="shared" si="16"/>
        <v>0</v>
      </c>
      <c r="AO16" s="100">
        <f t="shared" si="49"/>
        <v>0</v>
      </c>
      <c r="AP16" s="100">
        <f t="shared" si="17"/>
        <v>0</v>
      </c>
      <c r="AQ16" s="109">
        <v>0</v>
      </c>
      <c r="AR16" s="100">
        <f t="shared" si="18"/>
        <v>0</v>
      </c>
      <c r="AS16" s="100">
        <f t="shared" si="50"/>
        <v>2000</v>
      </c>
      <c r="AT16" s="100">
        <f t="shared" si="19"/>
        <v>0.44554412258643961</v>
      </c>
      <c r="AU16" s="109"/>
      <c r="AV16" s="100">
        <f t="shared" si="20"/>
        <v>0</v>
      </c>
      <c r="AW16" s="100">
        <f t="shared" si="51"/>
        <v>0</v>
      </c>
      <c r="AX16" s="100">
        <f t="shared" si="21"/>
        <v>0</v>
      </c>
      <c r="AY16" s="109"/>
      <c r="AZ16" s="100">
        <f t="shared" si="22"/>
        <v>0</v>
      </c>
      <c r="BA16" s="100">
        <f t="shared" si="52"/>
        <v>0</v>
      </c>
      <c r="BB16" s="100">
        <f t="shared" si="23"/>
        <v>0</v>
      </c>
      <c r="BC16" s="10">
        <f t="shared" si="53"/>
        <v>44253.263999999996</v>
      </c>
      <c r="BD16" s="100">
        <f t="shared" si="24"/>
        <v>68.873176621813329</v>
      </c>
      <c r="BE16" s="100">
        <f t="shared" si="54"/>
        <v>144817.35199999998</v>
      </c>
      <c r="BF16" s="100">
        <f t="shared" si="25"/>
        <v>32.261260016065776</v>
      </c>
      <c r="BG16" s="109"/>
      <c r="BH16" s="100">
        <f t="shared" si="26"/>
        <v>0</v>
      </c>
      <c r="BI16" s="100">
        <f t="shared" si="55"/>
        <v>0</v>
      </c>
      <c r="BJ16" s="100">
        <f t="shared" si="27"/>
        <v>0</v>
      </c>
      <c r="BK16" s="109"/>
      <c r="BL16" s="100">
        <f t="shared" si="28"/>
        <v>0</v>
      </c>
      <c r="BM16" s="100">
        <f t="shared" si="56"/>
        <v>168696.97200000001</v>
      </c>
      <c r="BN16" s="100">
        <f t="shared" si="29"/>
        <v>37.580972186364583</v>
      </c>
      <c r="BO16" s="109"/>
      <c r="BP16" s="101">
        <f t="shared" si="30"/>
        <v>0</v>
      </c>
      <c r="BQ16" s="100">
        <f t="shared" si="57"/>
        <v>0</v>
      </c>
      <c r="BR16" s="100">
        <f t="shared" si="31"/>
        <v>0</v>
      </c>
      <c r="BS16" s="100">
        <f t="shared" si="58"/>
        <v>0</v>
      </c>
      <c r="BT16" s="100">
        <f t="shared" si="32"/>
        <v>0</v>
      </c>
      <c r="BU16" s="100">
        <f t="shared" si="59"/>
        <v>168696.97200000001</v>
      </c>
      <c r="BV16" s="100">
        <f t="shared" si="33"/>
        <v>37.580972186364583</v>
      </c>
      <c r="BW16" s="109">
        <v>0</v>
      </c>
      <c r="BX16" s="100">
        <f t="shared" si="34"/>
        <v>0</v>
      </c>
      <c r="BY16" s="100">
        <f t="shared" si="60"/>
        <v>0</v>
      </c>
      <c r="BZ16" s="100">
        <f t="shared" si="35"/>
        <v>0</v>
      </c>
      <c r="CA16" s="100">
        <f t="shared" si="36"/>
        <v>64253.263999999996</v>
      </c>
      <c r="CB16" s="100">
        <f t="shared" si="61"/>
        <v>448889.32400000002</v>
      </c>
      <c r="CC16" s="100">
        <f t="shared" si="37"/>
        <v>1.1214658428456732</v>
      </c>
      <c r="CD16" s="100">
        <f t="shared" si="38"/>
        <v>1.0961379667365863</v>
      </c>
    </row>
    <row r="17" spans="1:91">
      <c r="A17" s="16">
        <f>+Chem!A16</f>
        <v>45938</v>
      </c>
      <c r="B17" s="6" t="str">
        <f>+Chem!B16</f>
        <v>Facial</v>
      </c>
      <c r="C17" s="16" t="str">
        <f>+Chem!C16</f>
        <v>12</v>
      </c>
      <c r="D17" s="8">
        <f>+Chem!D16</f>
        <v>58.954999999999998</v>
      </c>
      <c r="E17" s="7">
        <f>+Chem!E16</f>
        <v>61.23</v>
      </c>
      <c r="F17" s="7">
        <f t="shared" si="39"/>
        <v>470.74899999999997</v>
      </c>
      <c r="G17" s="109"/>
      <c r="H17" s="100">
        <f t="shared" si="0"/>
        <v>0</v>
      </c>
      <c r="I17" s="8">
        <f t="shared" si="40"/>
        <v>0</v>
      </c>
      <c r="J17" s="100">
        <f t="shared" si="1"/>
        <v>0</v>
      </c>
      <c r="K17" s="109"/>
      <c r="L17" s="100">
        <f t="shared" si="2"/>
        <v>0</v>
      </c>
      <c r="M17" s="100">
        <f t="shared" si="41"/>
        <v>0</v>
      </c>
      <c r="N17" s="100">
        <f t="shared" si="3"/>
        <v>0</v>
      </c>
      <c r="O17" s="108">
        <v>0</v>
      </c>
      <c r="P17" s="100">
        <f t="shared" si="4"/>
        <v>0</v>
      </c>
      <c r="Q17" s="100">
        <f t="shared" si="42"/>
        <v>0</v>
      </c>
      <c r="R17" s="100">
        <f t="shared" si="5"/>
        <v>0</v>
      </c>
      <c r="S17" s="109">
        <f>14.75*S7</f>
        <v>3687.5</v>
      </c>
      <c r="T17" s="100">
        <f t="shared" si="6"/>
        <v>6.4701418613037411</v>
      </c>
      <c r="U17" s="100">
        <f t="shared" si="43"/>
        <v>139062.5</v>
      </c>
      <c r="V17" s="100">
        <f t="shared" si="7"/>
        <v>27.489123884276133</v>
      </c>
      <c r="W17" s="108"/>
      <c r="X17" s="100">
        <f t="shared" si="8"/>
        <v>0</v>
      </c>
      <c r="Y17" s="100">
        <f t="shared" si="44"/>
        <v>0</v>
      </c>
      <c r="Z17" s="100">
        <f t="shared" si="9"/>
        <v>0</v>
      </c>
      <c r="AA17" s="108">
        <v>0</v>
      </c>
      <c r="AB17" s="100">
        <f t="shared" si="10"/>
        <v>0</v>
      </c>
      <c r="AC17" s="100">
        <f t="shared" si="45"/>
        <v>0</v>
      </c>
      <c r="AD17" s="100">
        <f t="shared" si="11"/>
        <v>0</v>
      </c>
      <c r="AE17" s="10">
        <f t="shared" si="46"/>
        <v>3687.5</v>
      </c>
      <c r="AF17" s="100">
        <f t="shared" si="12"/>
        <v>6.4701418613037411</v>
      </c>
      <c r="AG17" s="100">
        <f t="shared" si="47"/>
        <v>139062.5</v>
      </c>
      <c r="AH17" s="100">
        <f t="shared" si="13"/>
        <v>27.489123884276133</v>
      </c>
      <c r="AI17" s="109">
        <f>212*AI7</f>
        <v>53305.067999999999</v>
      </c>
      <c r="AJ17" s="100">
        <f t="shared" si="14"/>
        <v>93.52985813869627</v>
      </c>
      <c r="AK17" s="100">
        <f t="shared" si="48"/>
        <v>196122.41999999998</v>
      </c>
      <c r="AL17" s="100">
        <f t="shared" si="15"/>
        <v>38.768420673179577</v>
      </c>
      <c r="AM17" s="109"/>
      <c r="AN17" s="100">
        <f t="shared" si="16"/>
        <v>0</v>
      </c>
      <c r="AO17" s="100">
        <f t="shared" si="49"/>
        <v>0</v>
      </c>
      <c r="AP17" s="100">
        <f t="shared" si="17"/>
        <v>0</v>
      </c>
      <c r="AQ17" s="109">
        <v>0</v>
      </c>
      <c r="AR17" s="100">
        <f t="shared" si="18"/>
        <v>0</v>
      </c>
      <c r="AS17" s="100">
        <f t="shared" si="50"/>
        <v>2000</v>
      </c>
      <c r="AT17" s="100">
        <f t="shared" si="19"/>
        <v>0.39534919743678032</v>
      </c>
      <c r="AU17" s="109"/>
      <c r="AV17" s="100">
        <f t="shared" si="20"/>
        <v>0</v>
      </c>
      <c r="AW17" s="100">
        <f t="shared" si="51"/>
        <v>0</v>
      </c>
      <c r="AX17" s="100">
        <f t="shared" si="21"/>
        <v>0</v>
      </c>
      <c r="AY17" s="109"/>
      <c r="AZ17" s="100">
        <f t="shared" si="22"/>
        <v>0</v>
      </c>
      <c r="BA17" s="100">
        <f t="shared" si="52"/>
        <v>0</v>
      </c>
      <c r="BB17" s="100">
        <f t="shared" si="23"/>
        <v>0</v>
      </c>
      <c r="BC17" s="10">
        <f t="shared" si="53"/>
        <v>53305.067999999999</v>
      </c>
      <c r="BD17" s="100">
        <f t="shared" si="24"/>
        <v>93.52985813869627</v>
      </c>
      <c r="BE17" s="100">
        <f t="shared" si="54"/>
        <v>198122.41999999998</v>
      </c>
      <c r="BF17" s="100">
        <f t="shared" si="25"/>
        <v>39.163769870616363</v>
      </c>
      <c r="BG17" s="109"/>
      <c r="BH17" s="100">
        <f t="shared" si="26"/>
        <v>0</v>
      </c>
      <c r="BI17" s="100">
        <f t="shared" si="55"/>
        <v>0</v>
      </c>
      <c r="BJ17" s="100">
        <f t="shared" si="27"/>
        <v>0</v>
      </c>
      <c r="BK17" s="109"/>
      <c r="BL17" s="100">
        <f t="shared" si="28"/>
        <v>0</v>
      </c>
      <c r="BM17" s="100">
        <f t="shared" si="56"/>
        <v>168696.97200000001</v>
      </c>
      <c r="BN17" s="100">
        <f t="shared" si="29"/>
        <v>33.347106245107504</v>
      </c>
      <c r="BO17" s="109"/>
      <c r="BP17" s="101">
        <f t="shared" si="30"/>
        <v>0</v>
      </c>
      <c r="BQ17" s="100">
        <f t="shared" si="57"/>
        <v>0</v>
      </c>
      <c r="BR17" s="100">
        <f t="shared" si="31"/>
        <v>0</v>
      </c>
      <c r="BS17" s="100">
        <f t="shared" si="58"/>
        <v>0</v>
      </c>
      <c r="BT17" s="100">
        <f t="shared" si="32"/>
        <v>0</v>
      </c>
      <c r="BU17" s="100">
        <f t="shared" si="59"/>
        <v>168696.97200000001</v>
      </c>
      <c r="BV17" s="100">
        <f t="shared" si="33"/>
        <v>33.347106245107504</v>
      </c>
      <c r="BW17" s="109">
        <v>0</v>
      </c>
      <c r="BX17" s="100">
        <f t="shared" si="34"/>
        <v>0</v>
      </c>
      <c r="BY17" s="100">
        <f t="shared" si="60"/>
        <v>0</v>
      </c>
      <c r="BZ17" s="100">
        <f t="shared" si="35"/>
        <v>0</v>
      </c>
      <c r="CA17" s="100">
        <f t="shared" si="36"/>
        <v>56992.567999999999</v>
      </c>
      <c r="CB17" s="100">
        <f t="shared" si="61"/>
        <v>505881.89199999999</v>
      </c>
      <c r="CC17" s="100">
        <f t="shared" si="37"/>
        <v>0.93079483913114491</v>
      </c>
      <c r="CD17" s="100">
        <f t="shared" si="38"/>
        <v>1.0746318993773754</v>
      </c>
    </row>
    <row r="18" spans="1:91">
      <c r="A18" s="16">
        <f>+Chem!A17</f>
        <v>45939</v>
      </c>
      <c r="B18" s="6" t="str">
        <f>+Chem!B17</f>
        <v>Facial</v>
      </c>
      <c r="C18" s="16" t="str">
        <f>+Chem!C17</f>
        <v>12/10,3</v>
      </c>
      <c r="D18" s="8">
        <f>+Chem!D17</f>
        <v>58.405999999999992</v>
      </c>
      <c r="E18" s="7">
        <f>+Chem!E17</f>
        <v>56.420999999999999</v>
      </c>
      <c r="F18" s="7">
        <f t="shared" si="39"/>
        <v>527.16999999999996</v>
      </c>
      <c r="G18" s="108"/>
      <c r="H18" s="10">
        <f t="shared" si="0"/>
        <v>0</v>
      </c>
      <c r="I18" s="8">
        <f t="shared" si="40"/>
        <v>0</v>
      </c>
      <c r="J18" s="10">
        <f t="shared" si="1"/>
        <v>0</v>
      </c>
      <c r="K18" s="108"/>
      <c r="L18" s="10">
        <f t="shared" si="2"/>
        <v>0</v>
      </c>
      <c r="M18" s="10">
        <f t="shared" si="41"/>
        <v>0</v>
      </c>
      <c r="N18" s="10">
        <f t="shared" si="3"/>
        <v>0</v>
      </c>
      <c r="O18" s="108">
        <v>0</v>
      </c>
      <c r="P18" s="10">
        <f t="shared" si="4"/>
        <v>0</v>
      </c>
      <c r="Q18" s="10">
        <f t="shared" si="42"/>
        <v>0</v>
      </c>
      <c r="R18" s="10">
        <f t="shared" si="5"/>
        <v>0</v>
      </c>
      <c r="S18" s="108">
        <f>20.25*S7</f>
        <v>5062.5</v>
      </c>
      <c r="T18" s="10">
        <f t="shared" si="6"/>
        <v>9.7674801429299247</v>
      </c>
      <c r="U18" s="10">
        <f t="shared" si="43"/>
        <v>144125</v>
      </c>
      <c r="V18" s="10">
        <f t="shared" si="7"/>
        <v>25.842188820142503</v>
      </c>
      <c r="W18" s="108"/>
      <c r="X18" s="10">
        <f t="shared" si="8"/>
        <v>0</v>
      </c>
      <c r="Y18" s="10">
        <f t="shared" si="44"/>
        <v>0</v>
      </c>
      <c r="Z18" s="10">
        <f t="shared" si="9"/>
        <v>0</v>
      </c>
      <c r="AA18" s="108">
        <v>0</v>
      </c>
      <c r="AB18" s="10">
        <f t="shared" si="10"/>
        <v>0</v>
      </c>
      <c r="AC18" s="10">
        <f t="shared" si="45"/>
        <v>0</v>
      </c>
      <c r="AD18" s="10">
        <f t="shared" si="11"/>
        <v>0</v>
      </c>
      <c r="AE18" s="10">
        <f t="shared" si="46"/>
        <v>5062.5</v>
      </c>
      <c r="AF18" s="10">
        <f t="shared" si="12"/>
        <v>9.7674801429299247</v>
      </c>
      <c r="AG18" s="10">
        <f t="shared" si="47"/>
        <v>144125</v>
      </c>
      <c r="AH18" s="10">
        <f t="shared" si="13"/>
        <v>25.842188820142503</v>
      </c>
      <c r="AI18" s="108">
        <f>186*AI7</f>
        <v>46767.654000000002</v>
      </c>
      <c r="AJ18" s="10">
        <f t="shared" si="14"/>
        <v>90.232519857070073</v>
      </c>
      <c r="AK18" s="10">
        <f t="shared" si="48"/>
        <v>242890.07399999999</v>
      </c>
      <c r="AL18" s="10">
        <f t="shared" si="15"/>
        <v>43.551161525386881</v>
      </c>
      <c r="AM18" s="108"/>
      <c r="AN18" s="10">
        <f t="shared" si="16"/>
        <v>0</v>
      </c>
      <c r="AO18" s="10">
        <f t="shared" si="49"/>
        <v>0</v>
      </c>
      <c r="AP18" s="10">
        <f t="shared" si="17"/>
        <v>0</v>
      </c>
      <c r="AQ18" s="108">
        <v>0</v>
      </c>
      <c r="AR18" s="10">
        <f t="shared" si="18"/>
        <v>0</v>
      </c>
      <c r="AS18" s="10">
        <f t="shared" si="50"/>
        <v>2000</v>
      </c>
      <c r="AT18" s="10">
        <f t="shared" si="19"/>
        <v>0.35860799750414574</v>
      </c>
      <c r="AU18" s="108"/>
      <c r="AV18" s="10">
        <f t="shared" si="20"/>
        <v>0</v>
      </c>
      <c r="AW18" s="10">
        <f t="shared" si="51"/>
        <v>0</v>
      </c>
      <c r="AX18" s="10">
        <f t="shared" si="21"/>
        <v>0</v>
      </c>
      <c r="AY18" s="108"/>
      <c r="AZ18" s="10">
        <f t="shared" si="22"/>
        <v>0</v>
      </c>
      <c r="BA18" s="10">
        <f t="shared" si="52"/>
        <v>0</v>
      </c>
      <c r="BB18" s="10">
        <f t="shared" si="23"/>
        <v>0</v>
      </c>
      <c r="BC18" s="10">
        <f t="shared" si="53"/>
        <v>46767.654000000002</v>
      </c>
      <c r="BD18" s="10">
        <f t="shared" si="24"/>
        <v>90.232519857070073</v>
      </c>
      <c r="BE18" s="10">
        <f t="shared" si="54"/>
        <v>244890.07399999999</v>
      </c>
      <c r="BF18" s="10">
        <f t="shared" si="25"/>
        <v>43.909769522891025</v>
      </c>
      <c r="BG18" s="108"/>
      <c r="BH18" s="10">
        <f t="shared" si="26"/>
        <v>0</v>
      </c>
      <c r="BI18" s="10">
        <f t="shared" si="55"/>
        <v>0</v>
      </c>
      <c r="BJ18" s="10">
        <f t="shared" si="27"/>
        <v>0</v>
      </c>
      <c r="BK18" s="108"/>
      <c r="BL18" s="10">
        <f t="shared" si="28"/>
        <v>0</v>
      </c>
      <c r="BM18" s="10">
        <f t="shared" si="56"/>
        <v>168696.97200000001</v>
      </c>
      <c r="BN18" s="10">
        <f t="shared" si="29"/>
        <v>30.248041656966475</v>
      </c>
      <c r="BO18" s="108"/>
      <c r="BP18" s="15">
        <f t="shared" si="30"/>
        <v>0</v>
      </c>
      <c r="BQ18" s="10">
        <f t="shared" si="57"/>
        <v>0</v>
      </c>
      <c r="BR18" s="10">
        <f t="shared" si="31"/>
        <v>0</v>
      </c>
      <c r="BS18" s="10">
        <f t="shared" si="58"/>
        <v>0</v>
      </c>
      <c r="BT18" s="10">
        <f t="shared" si="32"/>
        <v>0</v>
      </c>
      <c r="BU18" s="10">
        <f t="shared" si="59"/>
        <v>168696.97200000001</v>
      </c>
      <c r="BV18" s="10">
        <f t="shared" si="33"/>
        <v>30.248041656966475</v>
      </c>
      <c r="BW18" s="108">
        <v>0</v>
      </c>
      <c r="BX18" s="10">
        <f t="shared" si="34"/>
        <v>0</v>
      </c>
      <c r="BY18" s="10">
        <f t="shared" si="60"/>
        <v>0</v>
      </c>
      <c r="BZ18" s="10">
        <f t="shared" si="35"/>
        <v>0</v>
      </c>
      <c r="CA18" s="10">
        <f t="shared" si="36"/>
        <v>51830.154000000002</v>
      </c>
      <c r="CB18" s="10">
        <f t="shared" si="61"/>
        <v>557712.04599999997</v>
      </c>
      <c r="CC18" s="10">
        <f t="shared" si="37"/>
        <v>0.91863231775402776</v>
      </c>
      <c r="CD18" s="10">
        <f t="shared" si="38"/>
        <v>1.0579358575032722</v>
      </c>
    </row>
    <row r="19" spans="1:91">
      <c r="A19" s="16">
        <f>+Chem!A18</f>
        <v>45940</v>
      </c>
      <c r="B19" s="6" t="str">
        <f>+Chem!B18</f>
        <v>Facial</v>
      </c>
      <c r="C19" s="16" t="str">
        <f>+Chem!C18</f>
        <v>12/10,5</v>
      </c>
      <c r="D19" s="8">
        <f>+Chem!D18</f>
        <v>50.674999999999997</v>
      </c>
      <c r="E19" s="7">
        <f>+Chem!E18</f>
        <v>48.959000000000003</v>
      </c>
      <c r="F19" s="7">
        <f t="shared" si="39"/>
        <v>576.12899999999991</v>
      </c>
      <c r="G19" s="108"/>
      <c r="H19" s="10">
        <f t="shared" si="0"/>
        <v>0</v>
      </c>
      <c r="I19" s="8">
        <f t="shared" si="40"/>
        <v>0</v>
      </c>
      <c r="J19" s="10">
        <f t="shared" si="1"/>
        <v>0</v>
      </c>
      <c r="K19" s="108"/>
      <c r="L19" s="10">
        <f t="shared" si="2"/>
        <v>0</v>
      </c>
      <c r="M19" s="10">
        <f t="shared" si="41"/>
        <v>0</v>
      </c>
      <c r="N19" s="10">
        <f t="shared" si="3"/>
        <v>0</v>
      </c>
      <c r="O19" s="108">
        <v>0</v>
      </c>
      <c r="P19" s="10">
        <f t="shared" si="4"/>
        <v>0</v>
      </c>
      <c r="Q19" s="10">
        <f t="shared" si="42"/>
        <v>0</v>
      </c>
      <c r="R19" s="10">
        <f t="shared" si="5"/>
        <v>0</v>
      </c>
      <c r="S19" s="108">
        <f>28*S7</f>
        <v>7000</v>
      </c>
      <c r="T19" s="10">
        <f t="shared" si="6"/>
        <v>13.591473470667017</v>
      </c>
      <c r="U19" s="10">
        <f t="shared" si="43"/>
        <v>151125</v>
      </c>
      <c r="V19" s="10">
        <f t="shared" si="7"/>
        <v>24.806516394532714</v>
      </c>
      <c r="W19" s="108"/>
      <c r="X19" s="10">
        <f t="shared" si="8"/>
        <v>0</v>
      </c>
      <c r="Y19" s="10">
        <f t="shared" si="44"/>
        <v>0</v>
      </c>
      <c r="Z19" s="10">
        <f t="shared" si="9"/>
        <v>0</v>
      </c>
      <c r="AA19" s="108">
        <v>0</v>
      </c>
      <c r="AB19" s="10">
        <f t="shared" si="10"/>
        <v>0</v>
      </c>
      <c r="AC19" s="10">
        <f t="shared" si="45"/>
        <v>0</v>
      </c>
      <c r="AD19" s="10">
        <f t="shared" si="11"/>
        <v>0</v>
      </c>
      <c r="AE19" s="10">
        <f t="shared" si="46"/>
        <v>7000</v>
      </c>
      <c r="AF19" s="10">
        <f t="shared" si="12"/>
        <v>13.591473470667017</v>
      </c>
      <c r="AG19" s="10">
        <f t="shared" si="47"/>
        <v>151125</v>
      </c>
      <c r="AH19" s="10">
        <f t="shared" si="13"/>
        <v>24.806516394532714</v>
      </c>
      <c r="AI19" s="108">
        <f>2*AI7</f>
        <v>502.87799999999999</v>
      </c>
      <c r="AJ19" s="10">
        <f t="shared" si="14"/>
        <v>0.97640757085458407</v>
      </c>
      <c r="AK19" s="10">
        <f t="shared" si="48"/>
        <v>243392.95199999999</v>
      </c>
      <c r="AL19" s="10">
        <f t="shared" si="15"/>
        <v>39.951902425817785</v>
      </c>
      <c r="AM19" s="108"/>
      <c r="AN19" s="10">
        <f t="shared" si="16"/>
        <v>0</v>
      </c>
      <c r="AO19" s="10">
        <f t="shared" si="49"/>
        <v>0</v>
      </c>
      <c r="AP19" s="10">
        <f t="shared" si="17"/>
        <v>0</v>
      </c>
      <c r="AQ19" s="108">
        <f>176*AQ7</f>
        <v>44000</v>
      </c>
      <c r="AR19" s="10">
        <f t="shared" si="18"/>
        <v>85.432118958478398</v>
      </c>
      <c r="AS19" s="10">
        <f t="shared" si="50"/>
        <v>46000</v>
      </c>
      <c r="AT19" s="10">
        <f t="shared" si="19"/>
        <v>7.5507014335715787</v>
      </c>
      <c r="AU19" s="108"/>
      <c r="AV19" s="10">
        <f t="shared" si="20"/>
        <v>0</v>
      </c>
      <c r="AW19" s="10">
        <f t="shared" si="51"/>
        <v>0</v>
      </c>
      <c r="AX19" s="10">
        <f t="shared" si="21"/>
        <v>0</v>
      </c>
      <c r="AY19" s="108"/>
      <c r="AZ19" s="10">
        <f t="shared" si="22"/>
        <v>0</v>
      </c>
      <c r="BA19" s="10">
        <f t="shared" si="52"/>
        <v>0</v>
      </c>
      <c r="BB19" s="10">
        <f t="shared" si="23"/>
        <v>0</v>
      </c>
      <c r="BC19" s="10">
        <f t="shared" si="53"/>
        <v>44502.877999999997</v>
      </c>
      <c r="BD19" s="10">
        <f t="shared" si="24"/>
        <v>86.408526529332988</v>
      </c>
      <c r="BE19" s="10">
        <f t="shared" si="54"/>
        <v>289392.95199999999</v>
      </c>
      <c r="BF19" s="10">
        <f t="shared" si="25"/>
        <v>47.502603859389367</v>
      </c>
      <c r="BG19" s="108"/>
      <c r="BH19" s="10">
        <f t="shared" si="26"/>
        <v>0</v>
      </c>
      <c r="BI19" s="10">
        <f t="shared" si="55"/>
        <v>0</v>
      </c>
      <c r="BJ19" s="10">
        <f t="shared" si="27"/>
        <v>0</v>
      </c>
      <c r="BK19" s="108"/>
      <c r="BL19" s="10">
        <f t="shared" si="28"/>
        <v>0</v>
      </c>
      <c r="BM19" s="10">
        <f t="shared" si="56"/>
        <v>168696.97200000001</v>
      </c>
      <c r="BN19" s="10">
        <f t="shared" si="29"/>
        <v>27.690879746077922</v>
      </c>
      <c r="BO19" s="108"/>
      <c r="BP19" s="15">
        <f t="shared" si="30"/>
        <v>0</v>
      </c>
      <c r="BQ19" s="10">
        <f t="shared" si="57"/>
        <v>0</v>
      </c>
      <c r="BR19" s="10">
        <f t="shared" si="31"/>
        <v>0</v>
      </c>
      <c r="BS19" s="10">
        <f t="shared" si="58"/>
        <v>0</v>
      </c>
      <c r="BT19" s="10">
        <f t="shared" si="32"/>
        <v>0</v>
      </c>
      <c r="BU19" s="10">
        <f t="shared" si="59"/>
        <v>168696.97200000001</v>
      </c>
      <c r="BV19" s="10">
        <f t="shared" si="33"/>
        <v>27.690879746077922</v>
      </c>
      <c r="BW19" s="108"/>
      <c r="BX19" s="10">
        <f t="shared" si="34"/>
        <v>0</v>
      </c>
      <c r="BY19" s="10">
        <f t="shared" si="60"/>
        <v>0</v>
      </c>
      <c r="BZ19" s="10">
        <f t="shared" si="35"/>
        <v>0</v>
      </c>
      <c r="CA19" s="10">
        <f t="shared" si="36"/>
        <v>51502.877999999997</v>
      </c>
      <c r="CB19" s="10">
        <f t="shared" si="61"/>
        <v>609214.924</v>
      </c>
      <c r="CC19" s="10">
        <f t="shared" si="37"/>
        <v>1.0519593537449701</v>
      </c>
      <c r="CD19" s="10">
        <f t="shared" si="38"/>
        <v>1.0574279788033585</v>
      </c>
    </row>
    <row r="20" spans="1:91">
      <c r="A20" s="16">
        <f>+Chem!A19</f>
        <v>45941</v>
      </c>
      <c r="B20" s="6" t="str">
        <f>+Chem!B19</f>
        <v>Facial</v>
      </c>
      <c r="C20" s="16" t="str">
        <f>+Chem!C19</f>
        <v>10,5/10,3/12</v>
      </c>
      <c r="D20" s="8">
        <f>+Chem!D19</f>
        <v>54.191000000000003</v>
      </c>
      <c r="E20" s="7">
        <f>+Chem!E19</f>
        <v>49.890999999999998</v>
      </c>
      <c r="F20" s="7">
        <f t="shared" si="39"/>
        <v>626.01999999999987</v>
      </c>
      <c r="G20" s="108"/>
      <c r="H20" s="10">
        <f t="shared" si="0"/>
        <v>0</v>
      </c>
      <c r="I20" s="8">
        <f t="shared" si="40"/>
        <v>0</v>
      </c>
      <c r="J20" s="10">
        <f t="shared" si="1"/>
        <v>0</v>
      </c>
      <c r="K20" s="108"/>
      <c r="L20" s="10">
        <f t="shared" si="2"/>
        <v>0</v>
      </c>
      <c r="M20" s="10">
        <f t="shared" si="41"/>
        <v>0</v>
      </c>
      <c r="N20" s="10">
        <f t="shared" si="3"/>
        <v>0</v>
      </c>
      <c r="O20" s="108">
        <v>0</v>
      </c>
      <c r="P20" s="10">
        <f t="shared" si="4"/>
        <v>0</v>
      </c>
      <c r="Q20" s="10">
        <f t="shared" si="42"/>
        <v>0</v>
      </c>
      <c r="R20" s="10">
        <f t="shared" si="5"/>
        <v>0</v>
      </c>
      <c r="S20" s="108">
        <f>34*S7</f>
        <v>8500</v>
      </c>
      <c r="T20" s="10">
        <f t="shared" si="6"/>
        <v>16.163893513030192</v>
      </c>
      <c r="U20" s="10">
        <f t="shared" si="43"/>
        <v>159625</v>
      </c>
      <c r="V20" s="10">
        <f t="shared" si="7"/>
        <v>24.119778653067065</v>
      </c>
      <c r="W20" s="108"/>
      <c r="X20" s="10">
        <f t="shared" si="8"/>
        <v>0</v>
      </c>
      <c r="Y20" s="10">
        <f t="shared" si="44"/>
        <v>0</v>
      </c>
      <c r="Z20" s="10">
        <f t="shared" si="9"/>
        <v>0</v>
      </c>
      <c r="AA20" s="108">
        <v>0</v>
      </c>
      <c r="AB20" s="10">
        <f t="shared" si="10"/>
        <v>0</v>
      </c>
      <c r="AC20" s="10">
        <f t="shared" si="45"/>
        <v>0</v>
      </c>
      <c r="AD20" s="10">
        <f t="shared" si="11"/>
        <v>0</v>
      </c>
      <c r="AE20" s="10">
        <f t="shared" si="46"/>
        <v>8500</v>
      </c>
      <c r="AF20" s="10">
        <f t="shared" si="12"/>
        <v>16.163893513030192</v>
      </c>
      <c r="AG20" s="10">
        <f t="shared" si="47"/>
        <v>159625</v>
      </c>
      <c r="AH20" s="10">
        <f t="shared" si="13"/>
        <v>24.119778653067065</v>
      </c>
      <c r="AI20" s="108">
        <f>60*AI7</f>
        <v>15086.34</v>
      </c>
      <c r="AJ20" s="10">
        <f t="shared" si="14"/>
        <v>28.688705089572693</v>
      </c>
      <c r="AK20" s="10">
        <f t="shared" si="48"/>
        <v>258479.29199999999</v>
      </c>
      <c r="AL20" s="10">
        <f t="shared" si="15"/>
        <v>39.056935376297496</v>
      </c>
      <c r="AM20" s="108"/>
      <c r="AN20" s="10">
        <f t="shared" si="16"/>
        <v>0</v>
      </c>
      <c r="AO20" s="10">
        <f t="shared" si="49"/>
        <v>0</v>
      </c>
      <c r="AP20" s="10">
        <f t="shared" si="17"/>
        <v>0</v>
      </c>
      <c r="AQ20" s="108">
        <f>116*AQ7</f>
        <v>29000</v>
      </c>
      <c r="AR20" s="10">
        <f t="shared" si="18"/>
        <v>55.147401397397125</v>
      </c>
      <c r="AS20" s="10">
        <f t="shared" si="50"/>
        <v>75000</v>
      </c>
      <c r="AT20" s="10">
        <f t="shared" si="19"/>
        <v>11.332707276304024</v>
      </c>
      <c r="AU20" s="108"/>
      <c r="AV20" s="10">
        <f t="shared" si="20"/>
        <v>0</v>
      </c>
      <c r="AW20" s="10">
        <f t="shared" si="51"/>
        <v>0</v>
      </c>
      <c r="AX20" s="10">
        <f t="shared" si="21"/>
        <v>0</v>
      </c>
      <c r="AY20" s="108"/>
      <c r="AZ20" s="10">
        <f t="shared" si="22"/>
        <v>0</v>
      </c>
      <c r="BA20" s="10">
        <f t="shared" si="52"/>
        <v>0</v>
      </c>
      <c r="BB20" s="10">
        <f t="shared" si="23"/>
        <v>0</v>
      </c>
      <c r="BC20" s="10">
        <f t="shared" si="53"/>
        <v>44086.34</v>
      </c>
      <c r="BD20" s="10">
        <f t="shared" si="24"/>
        <v>83.836106486969811</v>
      </c>
      <c r="BE20" s="10">
        <f t="shared" si="54"/>
        <v>333479.29200000002</v>
      </c>
      <c r="BF20" s="10">
        <f t="shared" si="25"/>
        <v>50.38964265260153</v>
      </c>
      <c r="BG20" s="108"/>
      <c r="BH20" s="10">
        <f t="shared" si="26"/>
        <v>0</v>
      </c>
      <c r="BI20" s="10">
        <f t="shared" si="55"/>
        <v>0</v>
      </c>
      <c r="BJ20" s="10">
        <f t="shared" si="27"/>
        <v>0</v>
      </c>
      <c r="BK20" s="108"/>
      <c r="BL20" s="10">
        <f t="shared" si="28"/>
        <v>0</v>
      </c>
      <c r="BM20" s="10">
        <f t="shared" si="56"/>
        <v>168696.97200000001</v>
      </c>
      <c r="BN20" s="10">
        <f t="shared" si="29"/>
        <v>25.490578694331418</v>
      </c>
      <c r="BO20" s="108"/>
      <c r="BP20" s="15">
        <f t="shared" si="30"/>
        <v>0</v>
      </c>
      <c r="BQ20" s="10">
        <f t="shared" si="57"/>
        <v>0</v>
      </c>
      <c r="BR20" s="10">
        <f t="shared" si="31"/>
        <v>0</v>
      </c>
      <c r="BS20" s="10">
        <f t="shared" si="58"/>
        <v>0</v>
      </c>
      <c r="BT20" s="10">
        <f t="shared" si="32"/>
        <v>0</v>
      </c>
      <c r="BU20" s="10">
        <f t="shared" si="59"/>
        <v>168696.97200000001</v>
      </c>
      <c r="BV20" s="10">
        <f t="shared" si="33"/>
        <v>25.490578694331418</v>
      </c>
      <c r="BW20" s="108"/>
      <c r="BX20" s="10">
        <f t="shared" si="34"/>
        <v>0</v>
      </c>
      <c r="BY20" s="10">
        <f t="shared" si="60"/>
        <v>0</v>
      </c>
      <c r="BZ20" s="10">
        <f t="shared" si="35"/>
        <v>0</v>
      </c>
      <c r="CA20" s="10">
        <f t="shared" si="36"/>
        <v>52586.34</v>
      </c>
      <c r="CB20" s="10">
        <f t="shared" si="61"/>
        <v>661801.26399999997</v>
      </c>
      <c r="CC20" s="10">
        <f t="shared" si="37"/>
        <v>1.0540245735703835</v>
      </c>
      <c r="CD20" s="10">
        <f t="shared" si="38"/>
        <v>1.0571567425960833</v>
      </c>
    </row>
    <row r="21" spans="1:91">
      <c r="A21" s="16">
        <f>+Chem!A20</f>
        <v>45942</v>
      </c>
      <c r="B21" s="6" t="str">
        <f>+Chem!B20</f>
        <v>Facial</v>
      </c>
      <c r="C21" s="16" t="str">
        <f>+Chem!C20</f>
        <v>12</v>
      </c>
      <c r="D21" s="8">
        <f>+Chem!D20</f>
        <v>52.38000000000001</v>
      </c>
      <c r="E21" s="7">
        <f>+Chem!E20</f>
        <v>48.902999999999999</v>
      </c>
      <c r="F21" s="7">
        <f t="shared" si="39"/>
        <v>674.92299999999989</v>
      </c>
      <c r="G21" s="108"/>
      <c r="H21" s="10">
        <f t="shared" si="0"/>
        <v>0</v>
      </c>
      <c r="I21" s="8">
        <f t="shared" si="40"/>
        <v>0</v>
      </c>
      <c r="J21" s="10">
        <f t="shared" si="1"/>
        <v>0</v>
      </c>
      <c r="K21" s="108"/>
      <c r="L21" s="10">
        <f t="shared" si="2"/>
        <v>0</v>
      </c>
      <c r="M21" s="10">
        <f t="shared" si="41"/>
        <v>0</v>
      </c>
      <c r="N21" s="10">
        <f t="shared" si="3"/>
        <v>0</v>
      </c>
      <c r="O21" s="108">
        <v>0</v>
      </c>
      <c r="P21" s="10">
        <f t="shared" si="4"/>
        <v>0</v>
      </c>
      <c r="Q21" s="10">
        <f t="shared" si="42"/>
        <v>0</v>
      </c>
      <c r="R21" s="10">
        <f t="shared" si="5"/>
        <v>0</v>
      </c>
      <c r="S21" s="108">
        <f>25*S7</f>
        <v>6250</v>
      </c>
      <c r="T21" s="10">
        <f t="shared" si="6"/>
        <v>11.397551331835787</v>
      </c>
      <c r="U21" s="10">
        <f t="shared" si="43"/>
        <v>165875</v>
      </c>
      <c r="V21" s="10">
        <f t="shared" si="7"/>
        <v>23.146287478377985</v>
      </c>
      <c r="W21" s="108"/>
      <c r="X21" s="10">
        <f t="shared" si="8"/>
        <v>0</v>
      </c>
      <c r="Y21" s="10">
        <f t="shared" si="44"/>
        <v>0</v>
      </c>
      <c r="Z21" s="10">
        <f t="shared" si="9"/>
        <v>0</v>
      </c>
      <c r="AA21" s="108">
        <v>0</v>
      </c>
      <c r="AB21" s="10">
        <f t="shared" si="10"/>
        <v>0</v>
      </c>
      <c r="AC21" s="10">
        <f t="shared" si="45"/>
        <v>0</v>
      </c>
      <c r="AD21" s="10">
        <f t="shared" si="11"/>
        <v>0</v>
      </c>
      <c r="AE21" s="10">
        <f t="shared" si="46"/>
        <v>6250</v>
      </c>
      <c r="AF21" s="10">
        <f t="shared" si="12"/>
        <v>11.397551331835787</v>
      </c>
      <c r="AG21" s="10">
        <f t="shared" si="47"/>
        <v>165875</v>
      </c>
      <c r="AH21" s="10">
        <f t="shared" si="13"/>
        <v>23.146287478377985</v>
      </c>
      <c r="AI21" s="108">
        <f>60*AI7</f>
        <v>15086.34</v>
      </c>
      <c r="AJ21" s="10">
        <f t="shared" si="14"/>
        <v>27.511573529524401</v>
      </c>
      <c r="AK21" s="10">
        <f t="shared" si="48"/>
        <v>273565.63199999998</v>
      </c>
      <c r="AL21" s="10">
        <f t="shared" si="15"/>
        <v>38.17349668410646</v>
      </c>
      <c r="AM21" s="108"/>
      <c r="AN21" s="10">
        <f t="shared" si="16"/>
        <v>0</v>
      </c>
      <c r="AO21" s="10">
        <f t="shared" si="49"/>
        <v>0</v>
      </c>
      <c r="AP21" s="10">
        <f t="shared" si="17"/>
        <v>0</v>
      </c>
      <c r="AQ21" s="108">
        <f>134*AQ7</f>
        <v>33500</v>
      </c>
      <c r="AR21" s="10">
        <f t="shared" si="18"/>
        <v>61.090875138639824</v>
      </c>
      <c r="AS21" s="10">
        <f t="shared" si="50"/>
        <v>108500</v>
      </c>
      <c r="AT21" s="10">
        <f t="shared" si="19"/>
        <v>15.140148855487634</v>
      </c>
      <c r="AU21" s="108"/>
      <c r="AV21" s="10">
        <f t="shared" si="20"/>
        <v>0</v>
      </c>
      <c r="AW21" s="10">
        <f t="shared" si="51"/>
        <v>0</v>
      </c>
      <c r="AX21" s="10">
        <f t="shared" si="21"/>
        <v>0</v>
      </c>
      <c r="AY21" s="108"/>
      <c r="AZ21" s="10">
        <f t="shared" si="22"/>
        <v>0</v>
      </c>
      <c r="BA21" s="10">
        <f t="shared" si="52"/>
        <v>0</v>
      </c>
      <c r="BB21" s="10">
        <f t="shared" si="23"/>
        <v>0</v>
      </c>
      <c r="BC21" s="10">
        <f t="shared" si="53"/>
        <v>48586.34</v>
      </c>
      <c r="BD21" s="10">
        <f t="shared" si="24"/>
        <v>88.602448668164214</v>
      </c>
      <c r="BE21" s="10">
        <f t="shared" si="54"/>
        <v>382065.63199999998</v>
      </c>
      <c r="BF21" s="10">
        <f t="shared" si="25"/>
        <v>53.313645539594098</v>
      </c>
      <c r="BG21" s="108"/>
      <c r="BH21" s="10">
        <f t="shared" si="26"/>
        <v>0</v>
      </c>
      <c r="BI21" s="10">
        <f t="shared" si="55"/>
        <v>0</v>
      </c>
      <c r="BJ21" s="10">
        <f t="shared" si="27"/>
        <v>0</v>
      </c>
      <c r="BK21" s="108"/>
      <c r="BL21" s="10">
        <f t="shared" si="28"/>
        <v>0</v>
      </c>
      <c r="BM21" s="10">
        <f t="shared" si="56"/>
        <v>168696.97200000001</v>
      </c>
      <c r="BN21" s="10">
        <f t="shared" si="29"/>
        <v>23.540066982027923</v>
      </c>
      <c r="BO21" s="108"/>
      <c r="BP21" s="15">
        <f t="shared" si="30"/>
        <v>0</v>
      </c>
      <c r="BQ21" s="10">
        <f t="shared" si="57"/>
        <v>0</v>
      </c>
      <c r="BR21" s="10">
        <f t="shared" si="31"/>
        <v>0</v>
      </c>
      <c r="BS21" s="10">
        <f t="shared" si="58"/>
        <v>0</v>
      </c>
      <c r="BT21" s="10">
        <f t="shared" si="32"/>
        <v>0</v>
      </c>
      <c r="BU21" s="10">
        <f t="shared" si="59"/>
        <v>168696.97200000001</v>
      </c>
      <c r="BV21" s="10">
        <f t="shared" si="33"/>
        <v>23.540066982027923</v>
      </c>
      <c r="BW21" s="108"/>
      <c r="BX21" s="10">
        <f t="shared" si="34"/>
        <v>0</v>
      </c>
      <c r="BY21" s="10">
        <f t="shared" si="60"/>
        <v>0</v>
      </c>
      <c r="BZ21" s="10">
        <f t="shared" si="35"/>
        <v>0</v>
      </c>
      <c r="CA21" s="10">
        <f t="shared" si="36"/>
        <v>54836.34</v>
      </c>
      <c r="CB21" s="10">
        <f t="shared" si="61"/>
        <v>716637.60399999993</v>
      </c>
      <c r="CC21" s="10">
        <f t="shared" si="37"/>
        <v>1.1213287528372493</v>
      </c>
      <c r="CD21" s="10">
        <f t="shared" si="38"/>
        <v>1.0618064638484688</v>
      </c>
      <c r="CH21" s="13"/>
      <c r="CI21" s="13"/>
      <c r="CL21" s="13"/>
      <c r="CM21" s="13"/>
    </row>
    <row r="22" spans="1:91">
      <c r="A22" s="16">
        <f>+Chem!A21</f>
        <v>45943</v>
      </c>
      <c r="B22" s="6" t="str">
        <f>+Chem!B21</f>
        <v>Facial</v>
      </c>
      <c r="C22" s="16" t="str">
        <f>+Chem!C21</f>
        <v>12</v>
      </c>
      <c r="D22" s="8">
        <f>+Chem!D21</f>
        <v>55.008000000000003</v>
      </c>
      <c r="E22" s="7">
        <f>+Chem!E21</f>
        <v>55.070999999999998</v>
      </c>
      <c r="F22" s="7">
        <f t="shared" si="39"/>
        <v>729.99399999999991</v>
      </c>
      <c r="G22" s="108"/>
      <c r="H22" s="10">
        <f t="shared" si="0"/>
        <v>0</v>
      </c>
      <c r="I22" s="8">
        <f t="shared" si="40"/>
        <v>0</v>
      </c>
      <c r="J22" s="10">
        <f t="shared" si="1"/>
        <v>0</v>
      </c>
      <c r="K22" s="108"/>
      <c r="L22" s="10">
        <f t="shared" si="2"/>
        <v>0</v>
      </c>
      <c r="M22" s="10">
        <f t="shared" si="41"/>
        <v>0</v>
      </c>
      <c r="N22" s="10">
        <f t="shared" si="3"/>
        <v>0</v>
      </c>
      <c r="O22" s="108">
        <v>0</v>
      </c>
      <c r="P22" s="10">
        <f t="shared" si="4"/>
        <v>0</v>
      </c>
      <c r="Q22" s="10">
        <f t="shared" si="42"/>
        <v>0</v>
      </c>
      <c r="R22" s="10">
        <f t="shared" si="5"/>
        <v>0</v>
      </c>
      <c r="S22" s="108">
        <f>26.5*S7</f>
        <v>6625</v>
      </c>
      <c r="T22" s="10">
        <f t="shared" si="6"/>
        <v>11.300639658848615</v>
      </c>
      <c r="U22" s="10">
        <f t="shared" si="43"/>
        <v>172500</v>
      </c>
      <c r="V22" s="10">
        <f t="shared" si="7"/>
        <v>22.250525062085931</v>
      </c>
      <c r="W22" s="108"/>
      <c r="X22" s="10">
        <f t="shared" si="8"/>
        <v>0</v>
      </c>
      <c r="Y22" s="10">
        <f t="shared" si="44"/>
        <v>0</v>
      </c>
      <c r="Z22" s="10">
        <f t="shared" si="9"/>
        <v>0</v>
      </c>
      <c r="AA22" s="108">
        <v>0</v>
      </c>
      <c r="AB22" s="10">
        <f t="shared" si="10"/>
        <v>0</v>
      </c>
      <c r="AC22" s="10">
        <f t="shared" si="45"/>
        <v>0</v>
      </c>
      <c r="AD22" s="10">
        <f t="shared" si="11"/>
        <v>0</v>
      </c>
      <c r="AE22" s="10">
        <f t="shared" si="46"/>
        <v>6625</v>
      </c>
      <c r="AF22" s="10">
        <f t="shared" si="12"/>
        <v>11.300639658848615</v>
      </c>
      <c r="AG22" s="10">
        <f t="shared" si="47"/>
        <v>172500</v>
      </c>
      <c r="AH22" s="10">
        <f t="shared" si="13"/>
        <v>22.250525062085931</v>
      </c>
      <c r="AI22" s="108">
        <v>0</v>
      </c>
      <c r="AJ22" s="10">
        <f t="shared" si="14"/>
        <v>0</v>
      </c>
      <c r="AK22" s="10">
        <f t="shared" si="48"/>
        <v>273565.63199999998</v>
      </c>
      <c r="AL22" s="10">
        <f t="shared" si="15"/>
        <v>35.286834498210879</v>
      </c>
      <c r="AM22" s="108"/>
      <c r="AN22" s="10">
        <f t="shared" si="16"/>
        <v>0</v>
      </c>
      <c r="AO22" s="10">
        <f t="shared" si="49"/>
        <v>0</v>
      </c>
      <c r="AP22" s="10">
        <f t="shared" si="17"/>
        <v>0</v>
      </c>
      <c r="AQ22" s="108">
        <f>208*AQ7</f>
        <v>52000</v>
      </c>
      <c r="AR22" s="10">
        <f t="shared" si="18"/>
        <v>88.69936034115139</v>
      </c>
      <c r="AS22" s="10">
        <f t="shared" si="50"/>
        <v>160500</v>
      </c>
      <c r="AT22" s="10">
        <f t="shared" si="19"/>
        <v>20.702662449071259</v>
      </c>
      <c r="AU22" s="108"/>
      <c r="AV22" s="10">
        <f t="shared" si="20"/>
        <v>0</v>
      </c>
      <c r="AW22" s="10">
        <f t="shared" si="51"/>
        <v>0</v>
      </c>
      <c r="AX22" s="10">
        <f t="shared" si="21"/>
        <v>0</v>
      </c>
      <c r="AY22" s="108"/>
      <c r="AZ22" s="10">
        <f t="shared" si="22"/>
        <v>0</v>
      </c>
      <c r="BA22" s="10">
        <f t="shared" si="52"/>
        <v>0</v>
      </c>
      <c r="BB22" s="10">
        <f t="shared" si="23"/>
        <v>0</v>
      </c>
      <c r="BC22" s="10">
        <f t="shared" si="53"/>
        <v>52000</v>
      </c>
      <c r="BD22" s="10">
        <f t="shared" si="24"/>
        <v>88.69936034115139</v>
      </c>
      <c r="BE22" s="10">
        <f t="shared" si="54"/>
        <v>434065.63199999998</v>
      </c>
      <c r="BF22" s="10">
        <f t="shared" si="25"/>
        <v>55.989496947282134</v>
      </c>
      <c r="BG22" s="108"/>
      <c r="BH22" s="10">
        <f t="shared" si="26"/>
        <v>0</v>
      </c>
      <c r="BI22" s="10">
        <f t="shared" si="55"/>
        <v>0</v>
      </c>
      <c r="BJ22" s="10">
        <f t="shared" si="27"/>
        <v>0</v>
      </c>
      <c r="BK22" s="108"/>
      <c r="BL22" s="10">
        <f t="shared" si="28"/>
        <v>0</v>
      </c>
      <c r="BM22" s="10">
        <f t="shared" si="56"/>
        <v>168696.97200000001</v>
      </c>
      <c r="BN22" s="10">
        <f t="shared" si="29"/>
        <v>21.759977990631938</v>
      </c>
      <c r="BO22" s="108"/>
      <c r="BP22" s="15">
        <f t="shared" si="30"/>
        <v>0</v>
      </c>
      <c r="BQ22" s="10">
        <f t="shared" si="57"/>
        <v>0</v>
      </c>
      <c r="BR22" s="10">
        <f t="shared" si="31"/>
        <v>0</v>
      </c>
      <c r="BS22" s="10">
        <f t="shared" si="58"/>
        <v>0</v>
      </c>
      <c r="BT22" s="10">
        <f t="shared" si="32"/>
        <v>0</v>
      </c>
      <c r="BU22" s="10">
        <f t="shared" si="59"/>
        <v>168696.97200000001</v>
      </c>
      <c r="BV22" s="10">
        <f t="shared" si="33"/>
        <v>21.759977990631938</v>
      </c>
      <c r="BW22" s="108"/>
      <c r="BX22" s="10">
        <f t="shared" si="34"/>
        <v>0</v>
      </c>
      <c r="BY22" s="10">
        <f t="shared" si="60"/>
        <v>0</v>
      </c>
      <c r="BZ22" s="10">
        <f t="shared" si="35"/>
        <v>0</v>
      </c>
      <c r="CA22" s="10">
        <f t="shared" si="36"/>
        <v>58625</v>
      </c>
      <c r="CB22" s="10">
        <f t="shared" si="61"/>
        <v>775262.60399999993</v>
      </c>
      <c r="CC22" s="10">
        <f t="shared" si="37"/>
        <v>1.0645348731637341</v>
      </c>
      <c r="CD22" s="10">
        <f t="shared" si="38"/>
        <v>1.062012295991474</v>
      </c>
      <c r="CH22" s="13"/>
      <c r="CI22" s="13"/>
      <c r="CL22" s="13"/>
      <c r="CM22" s="13"/>
    </row>
    <row r="23" spans="1:91">
      <c r="A23" s="16">
        <f>+Chem!A22</f>
        <v>45944</v>
      </c>
      <c r="B23" s="6" t="str">
        <f>+Chem!B22</f>
        <v>Facial</v>
      </c>
      <c r="C23" s="16" t="str">
        <f>+Chem!C22</f>
        <v>12</v>
      </c>
      <c r="D23" s="8">
        <f>+Chem!D22</f>
        <v>59.032000000000004</v>
      </c>
      <c r="E23" s="7">
        <f>+Chem!E22</f>
        <v>60.683</v>
      </c>
      <c r="F23" s="7">
        <f t="shared" si="39"/>
        <v>790.67699999999991</v>
      </c>
      <c r="G23" s="108"/>
      <c r="H23" s="10">
        <f t="shared" si="0"/>
        <v>0</v>
      </c>
      <c r="I23" s="8">
        <f t="shared" si="40"/>
        <v>0</v>
      </c>
      <c r="J23" s="10">
        <f t="shared" si="1"/>
        <v>0</v>
      </c>
      <c r="K23" s="108"/>
      <c r="L23" s="10">
        <f t="shared" si="2"/>
        <v>0</v>
      </c>
      <c r="M23" s="10">
        <f t="shared" si="41"/>
        <v>0</v>
      </c>
      <c r="N23" s="10">
        <f t="shared" si="3"/>
        <v>0</v>
      </c>
      <c r="O23" s="108">
        <v>0</v>
      </c>
      <c r="P23" s="10">
        <f t="shared" si="4"/>
        <v>0</v>
      </c>
      <c r="Q23" s="10">
        <f t="shared" si="42"/>
        <v>0</v>
      </c>
      <c r="R23" s="10">
        <f t="shared" si="5"/>
        <v>0</v>
      </c>
      <c r="S23" s="108">
        <f>26*S7</f>
        <v>6500</v>
      </c>
      <c r="T23" s="10">
        <f t="shared" si="6"/>
        <v>11.111111111111111</v>
      </c>
      <c r="U23" s="10">
        <f t="shared" si="43"/>
        <v>179000</v>
      </c>
      <c r="V23" s="10">
        <f t="shared" si="7"/>
        <v>21.468940816155868</v>
      </c>
      <c r="W23" s="108"/>
      <c r="X23" s="10">
        <f t="shared" si="8"/>
        <v>0</v>
      </c>
      <c r="Y23" s="10">
        <f t="shared" si="44"/>
        <v>0</v>
      </c>
      <c r="Z23" s="10">
        <f t="shared" si="9"/>
        <v>0</v>
      </c>
      <c r="AA23" s="108">
        <v>0</v>
      </c>
      <c r="AB23" s="10">
        <f t="shared" si="10"/>
        <v>0</v>
      </c>
      <c r="AC23" s="10">
        <f t="shared" si="45"/>
        <v>0</v>
      </c>
      <c r="AD23" s="10">
        <f t="shared" si="11"/>
        <v>0</v>
      </c>
      <c r="AE23" s="10">
        <f t="shared" si="46"/>
        <v>6500</v>
      </c>
      <c r="AF23" s="10">
        <f t="shared" si="12"/>
        <v>11.111111111111111</v>
      </c>
      <c r="AG23" s="10">
        <f t="shared" si="47"/>
        <v>179000</v>
      </c>
      <c r="AH23" s="10">
        <f t="shared" si="13"/>
        <v>21.468940816155868</v>
      </c>
      <c r="AI23" s="108">
        <v>0</v>
      </c>
      <c r="AJ23" s="10">
        <f t="shared" si="14"/>
        <v>0</v>
      </c>
      <c r="AK23" s="10">
        <f t="shared" si="48"/>
        <v>273565.63199999998</v>
      </c>
      <c r="AL23" s="10">
        <f t="shared" si="15"/>
        <v>32.810974093532266</v>
      </c>
      <c r="AM23" s="108"/>
      <c r="AN23" s="10">
        <f t="shared" si="16"/>
        <v>0</v>
      </c>
      <c r="AO23" s="10">
        <f t="shared" si="49"/>
        <v>0</v>
      </c>
      <c r="AP23" s="10">
        <f t="shared" si="17"/>
        <v>0</v>
      </c>
      <c r="AQ23" s="108">
        <f>208*AQ7</f>
        <v>52000</v>
      </c>
      <c r="AR23" s="10">
        <f t="shared" si="18"/>
        <v>88.888888888888886</v>
      </c>
      <c r="AS23" s="10">
        <f t="shared" si="50"/>
        <v>212500</v>
      </c>
      <c r="AT23" s="10">
        <f t="shared" si="19"/>
        <v>25.486871080631968</v>
      </c>
      <c r="AU23" s="108"/>
      <c r="AV23" s="10">
        <f t="shared" si="20"/>
        <v>0</v>
      </c>
      <c r="AW23" s="10">
        <f t="shared" si="51"/>
        <v>0</v>
      </c>
      <c r="AX23" s="10">
        <f t="shared" si="21"/>
        <v>0</v>
      </c>
      <c r="AY23" s="108"/>
      <c r="AZ23" s="10">
        <f t="shared" si="22"/>
        <v>0</v>
      </c>
      <c r="BA23" s="10">
        <f t="shared" si="52"/>
        <v>0</v>
      </c>
      <c r="BB23" s="10">
        <f t="shared" si="23"/>
        <v>0</v>
      </c>
      <c r="BC23" s="10">
        <f t="shared" si="53"/>
        <v>52000</v>
      </c>
      <c r="BD23" s="10">
        <f t="shared" si="24"/>
        <v>88.888888888888886</v>
      </c>
      <c r="BE23" s="10">
        <f t="shared" si="54"/>
        <v>486065.63199999998</v>
      </c>
      <c r="BF23" s="10">
        <f t="shared" si="25"/>
        <v>58.29784517416423</v>
      </c>
      <c r="BG23" s="108"/>
      <c r="BH23" s="10">
        <f t="shared" si="26"/>
        <v>0</v>
      </c>
      <c r="BI23" s="10">
        <f t="shared" si="55"/>
        <v>0</v>
      </c>
      <c r="BJ23" s="10">
        <f t="shared" si="27"/>
        <v>0</v>
      </c>
      <c r="BK23" s="108"/>
      <c r="BL23" s="10">
        <f t="shared" si="28"/>
        <v>0</v>
      </c>
      <c r="BM23" s="10">
        <f t="shared" si="56"/>
        <v>168696.97200000001</v>
      </c>
      <c r="BN23" s="10">
        <f t="shared" si="29"/>
        <v>20.233214009679909</v>
      </c>
      <c r="BO23" s="108"/>
      <c r="BP23" s="15">
        <f t="shared" si="30"/>
        <v>0</v>
      </c>
      <c r="BQ23" s="10">
        <f t="shared" si="57"/>
        <v>0</v>
      </c>
      <c r="BR23" s="10">
        <f t="shared" si="31"/>
        <v>0</v>
      </c>
      <c r="BS23" s="10">
        <f t="shared" si="58"/>
        <v>0</v>
      </c>
      <c r="BT23" s="10">
        <f t="shared" si="32"/>
        <v>0</v>
      </c>
      <c r="BU23" s="10">
        <f t="shared" si="59"/>
        <v>168696.97200000001</v>
      </c>
      <c r="BV23" s="10">
        <f t="shared" si="33"/>
        <v>20.233214009679909</v>
      </c>
      <c r="BW23" s="108"/>
      <c r="BX23" s="10">
        <f t="shared" si="34"/>
        <v>0</v>
      </c>
      <c r="BY23" s="10">
        <f t="shared" si="60"/>
        <v>0</v>
      </c>
      <c r="BZ23" s="10">
        <f t="shared" si="35"/>
        <v>0</v>
      </c>
      <c r="CA23" s="10">
        <f t="shared" si="36"/>
        <v>58500</v>
      </c>
      <c r="CB23" s="10">
        <f t="shared" si="61"/>
        <v>833762.60399999993</v>
      </c>
      <c r="CC23" s="10">
        <f t="shared" si="37"/>
        <v>0.96402616877873537</v>
      </c>
      <c r="CD23" s="10">
        <f t="shared" si="38"/>
        <v>1.0544920416301473</v>
      </c>
      <c r="CL23" s="13"/>
      <c r="CM23" s="13"/>
    </row>
    <row r="24" spans="1:91">
      <c r="A24" s="16">
        <f>+Chem!A23</f>
        <v>45945</v>
      </c>
      <c r="B24" s="6" t="str">
        <f>+Chem!B23</f>
        <v>Facial</v>
      </c>
      <c r="C24" s="16" t="str">
        <f>+Chem!C23</f>
        <v>12</v>
      </c>
      <c r="D24" s="8">
        <f>+Chem!D23</f>
        <v>57.671999999999997</v>
      </c>
      <c r="E24" s="7">
        <f>+Chem!E23</f>
        <v>55.631</v>
      </c>
      <c r="F24" s="7">
        <f t="shared" si="39"/>
        <v>846.30799999999988</v>
      </c>
      <c r="G24" s="108"/>
      <c r="H24" s="10">
        <f t="shared" si="0"/>
        <v>0</v>
      </c>
      <c r="I24" s="8">
        <f t="shared" si="40"/>
        <v>0</v>
      </c>
      <c r="J24" s="10">
        <f t="shared" si="1"/>
        <v>0</v>
      </c>
      <c r="K24" s="108"/>
      <c r="L24" s="10">
        <f t="shared" si="2"/>
        <v>0</v>
      </c>
      <c r="M24" s="10">
        <f t="shared" si="41"/>
        <v>0</v>
      </c>
      <c r="N24" s="10">
        <f t="shared" si="3"/>
        <v>0</v>
      </c>
      <c r="O24" s="108">
        <v>0</v>
      </c>
      <c r="P24" s="10">
        <f t="shared" si="4"/>
        <v>0</v>
      </c>
      <c r="Q24" s="10">
        <f t="shared" si="42"/>
        <v>0</v>
      </c>
      <c r="R24" s="10">
        <f t="shared" si="5"/>
        <v>0</v>
      </c>
      <c r="S24" s="108">
        <f>26.5*S7</f>
        <v>6625</v>
      </c>
      <c r="T24" s="10">
        <f t="shared" si="6"/>
        <v>11.397849462365592</v>
      </c>
      <c r="U24" s="10">
        <f t="shared" si="43"/>
        <v>185625</v>
      </c>
      <c r="V24" s="10">
        <f t="shared" si="7"/>
        <v>20.812600059412869</v>
      </c>
      <c r="W24" s="108"/>
      <c r="X24" s="10">
        <f t="shared" si="8"/>
        <v>0</v>
      </c>
      <c r="Y24" s="10">
        <f t="shared" si="44"/>
        <v>0</v>
      </c>
      <c r="Z24" s="10">
        <f t="shared" si="9"/>
        <v>0</v>
      </c>
      <c r="AA24" s="108">
        <v>0</v>
      </c>
      <c r="AB24" s="10">
        <f t="shared" si="10"/>
        <v>0</v>
      </c>
      <c r="AC24" s="10">
        <f t="shared" si="45"/>
        <v>0</v>
      </c>
      <c r="AD24" s="10">
        <f t="shared" si="11"/>
        <v>0</v>
      </c>
      <c r="AE24" s="10">
        <f t="shared" si="46"/>
        <v>6625</v>
      </c>
      <c r="AF24" s="10">
        <f t="shared" si="12"/>
        <v>11.397849462365592</v>
      </c>
      <c r="AG24" s="10">
        <f t="shared" si="47"/>
        <v>185625</v>
      </c>
      <c r="AH24" s="10">
        <f t="shared" si="13"/>
        <v>20.812600059412869</v>
      </c>
      <c r="AI24" s="108">
        <v>0</v>
      </c>
      <c r="AJ24" s="10">
        <f t="shared" si="14"/>
        <v>0</v>
      </c>
      <c r="AK24" s="10">
        <f t="shared" si="48"/>
        <v>273565.63199999998</v>
      </c>
      <c r="AL24" s="10">
        <f t="shared" si="15"/>
        <v>30.672657717530065</v>
      </c>
      <c r="AM24" s="108"/>
      <c r="AN24" s="10">
        <f t="shared" si="16"/>
        <v>0</v>
      </c>
      <c r="AO24" s="10">
        <f t="shared" si="49"/>
        <v>0</v>
      </c>
      <c r="AP24" s="10">
        <f t="shared" si="17"/>
        <v>0</v>
      </c>
      <c r="AQ24" s="108">
        <f>206*AQ7</f>
        <v>51500</v>
      </c>
      <c r="AR24" s="10">
        <f t="shared" si="18"/>
        <v>88.602150537634401</v>
      </c>
      <c r="AS24" s="10">
        <f t="shared" si="50"/>
        <v>264000</v>
      </c>
      <c r="AT24" s="10">
        <f t="shared" si="19"/>
        <v>29.600142306720521</v>
      </c>
      <c r="AU24" s="108"/>
      <c r="AV24" s="10">
        <f t="shared" si="20"/>
        <v>0</v>
      </c>
      <c r="AW24" s="10">
        <f t="shared" si="51"/>
        <v>0</v>
      </c>
      <c r="AX24" s="10">
        <f t="shared" si="21"/>
        <v>0</v>
      </c>
      <c r="AY24" s="108"/>
      <c r="AZ24" s="10">
        <f t="shared" si="22"/>
        <v>0</v>
      </c>
      <c r="BA24" s="10">
        <f t="shared" si="52"/>
        <v>0</v>
      </c>
      <c r="BB24" s="10">
        <f t="shared" si="23"/>
        <v>0</v>
      </c>
      <c r="BC24" s="10">
        <f t="shared" si="53"/>
        <v>51500</v>
      </c>
      <c r="BD24" s="10">
        <f t="shared" si="24"/>
        <v>88.602150537634401</v>
      </c>
      <c r="BE24" s="10">
        <f t="shared" si="54"/>
        <v>537565.63199999998</v>
      </c>
      <c r="BF24" s="10">
        <f t="shared" si="25"/>
        <v>60.272800024250593</v>
      </c>
      <c r="BG24" s="108"/>
      <c r="BH24" s="10">
        <f t="shared" si="26"/>
        <v>0</v>
      </c>
      <c r="BI24" s="10">
        <f t="shared" si="55"/>
        <v>0</v>
      </c>
      <c r="BJ24" s="10">
        <f t="shared" si="27"/>
        <v>0</v>
      </c>
      <c r="BK24" s="108"/>
      <c r="BL24" s="10">
        <f t="shared" si="28"/>
        <v>0</v>
      </c>
      <c r="BM24" s="10">
        <f t="shared" si="56"/>
        <v>168696.97200000001</v>
      </c>
      <c r="BN24" s="10">
        <f t="shared" si="29"/>
        <v>18.914599916336545</v>
      </c>
      <c r="BO24" s="108"/>
      <c r="BP24" s="15">
        <f t="shared" si="30"/>
        <v>0</v>
      </c>
      <c r="BQ24" s="10">
        <f t="shared" si="57"/>
        <v>0</v>
      </c>
      <c r="BR24" s="10">
        <f t="shared" si="31"/>
        <v>0</v>
      </c>
      <c r="BS24" s="10">
        <f t="shared" si="58"/>
        <v>0</v>
      </c>
      <c r="BT24" s="10">
        <f t="shared" si="32"/>
        <v>0</v>
      </c>
      <c r="BU24" s="10">
        <f t="shared" si="59"/>
        <v>168696.97200000001</v>
      </c>
      <c r="BV24" s="10">
        <f t="shared" si="33"/>
        <v>18.914599916336545</v>
      </c>
      <c r="BW24" s="108"/>
      <c r="BX24" s="10">
        <f t="shared" si="34"/>
        <v>0</v>
      </c>
      <c r="BY24" s="10">
        <f t="shared" si="60"/>
        <v>0</v>
      </c>
      <c r="BZ24" s="10">
        <f t="shared" si="35"/>
        <v>0</v>
      </c>
      <c r="CA24" s="10">
        <f t="shared" si="36"/>
        <v>58125</v>
      </c>
      <c r="CB24" s="10">
        <f t="shared" si="61"/>
        <v>891887.60399999993</v>
      </c>
      <c r="CC24" s="10">
        <f t="shared" si="37"/>
        <v>1.0448311193399364</v>
      </c>
      <c r="CD24" s="10">
        <f t="shared" si="38"/>
        <v>1.0538569929623731</v>
      </c>
      <c r="CL24" s="13"/>
      <c r="CM24" s="13"/>
    </row>
    <row r="25" spans="1:91">
      <c r="A25" s="16">
        <f>+Chem!A24</f>
        <v>45946</v>
      </c>
      <c r="B25" s="6" t="str">
        <f>+Chem!B24</f>
        <v>Facial</v>
      </c>
      <c r="C25" s="16" t="str">
        <f>+Chem!C24</f>
        <v>12/12,5</v>
      </c>
      <c r="D25" s="8">
        <f>+Chem!D24</f>
        <v>50.114999999999995</v>
      </c>
      <c r="E25" s="7">
        <f>+Chem!E24</f>
        <v>45.04</v>
      </c>
      <c r="F25" s="7">
        <f t="shared" si="39"/>
        <v>891.34799999999984</v>
      </c>
      <c r="G25" s="108"/>
      <c r="H25" s="10">
        <f t="shared" si="0"/>
        <v>0</v>
      </c>
      <c r="I25" s="8">
        <f t="shared" si="40"/>
        <v>0</v>
      </c>
      <c r="J25" s="10">
        <f t="shared" si="1"/>
        <v>0</v>
      </c>
      <c r="K25" s="108"/>
      <c r="L25" s="10">
        <f t="shared" si="2"/>
        <v>0</v>
      </c>
      <c r="M25" s="10">
        <f t="shared" si="41"/>
        <v>0</v>
      </c>
      <c r="N25" s="10">
        <f t="shared" si="3"/>
        <v>0</v>
      </c>
      <c r="O25" s="108">
        <v>0</v>
      </c>
      <c r="P25" s="10">
        <f t="shared" si="4"/>
        <v>0</v>
      </c>
      <c r="Q25" s="10">
        <f t="shared" si="42"/>
        <v>0</v>
      </c>
      <c r="R25" s="10">
        <f t="shared" si="5"/>
        <v>0</v>
      </c>
      <c r="S25" s="108">
        <f>25*S7</f>
        <v>6250</v>
      </c>
      <c r="T25" s="10">
        <f t="shared" si="6"/>
        <v>11.111111111111111</v>
      </c>
      <c r="U25" s="10">
        <f t="shared" si="43"/>
        <v>191875</v>
      </c>
      <c r="V25" s="10">
        <f t="shared" si="7"/>
        <v>20.237041457961201</v>
      </c>
      <c r="W25" s="108"/>
      <c r="X25" s="10">
        <f t="shared" si="8"/>
        <v>0</v>
      </c>
      <c r="Y25" s="10">
        <f t="shared" si="44"/>
        <v>0</v>
      </c>
      <c r="Z25" s="10">
        <f t="shared" si="9"/>
        <v>0</v>
      </c>
      <c r="AA25" s="108">
        <v>0</v>
      </c>
      <c r="AB25" s="10">
        <f t="shared" si="10"/>
        <v>0</v>
      </c>
      <c r="AC25" s="10">
        <f t="shared" si="45"/>
        <v>0</v>
      </c>
      <c r="AD25" s="10">
        <f t="shared" si="11"/>
        <v>0</v>
      </c>
      <c r="AE25" s="10">
        <f t="shared" si="46"/>
        <v>6250</v>
      </c>
      <c r="AF25" s="10">
        <f t="shared" si="12"/>
        <v>11.111111111111111</v>
      </c>
      <c r="AG25" s="10">
        <f t="shared" si="47"/>
        <v>191875</v>
      </c>
      <c r="AH25" s="10">
        <f t="shared" si="13"/>
        <v>20.237041457961201</v>
      </c>
      <c r="AI25" s="108">
        <v>0</v>
      </c>
      <c r="AJ25" s="10">
        <f t="shared" si="14"/>
        <v>0</v>
      </c>
      <c r="AK25" s="10">
        <f t="shared" si="48"/>
        <v>273565.63199999998</v>
      </c>
      <c r="AL25" s="10">
        <f t="shared" si="15"/>
        <v>28.852946117302185</v>
      </c>
      <c r="AM25" s="108"/>
      <c r="AN25" s="10">
        <f t="shared" si="16"/>
        <v>0</v>
      </c>
      <c r="AO25" s="10">
        <f t="shared" si="49"/>
        <v>0</v>
      </c>
      <c r="AP25" s="10">
        <f t="shared" si="17"/>
        <v>0</v>
      </c>
      <c r="AQ25" s="108">
        <f>200*AQ7</f>
        <v>50000</v>
      </c>
      <c r="AR25" s="10">
        <f t="shared" si="18"/>
        <v>88.888888888888886</v>
      </c>
      <c r="AS25" s="10">
        <f t="shared" si="50"/>
        <v>314000</v>
      </c>
      <c r="AT25" s="10">
        <f t="shared" si="19"/>
        <v>33.117555793093508</v>
      </c>
      <c r="AU25" s="108"/>
      <c r="AV25" s="10">
        <f t="shared" si="20"/>
        <v>0</v>
      </c>
      <c r="AW25" s="10">
        <f t="shared" si="51"/>
        <v>0</v>
      </c>
      <c r="AX25" s="10">
        <f t="shared" si="21"/>
        <v>0</v>
      </c>
      <c r="AY25" s="108"/>
      <c r="AZ25" s="10">
        <f t="shared" si="22"/>
        <v>0</v>
      </c>
      <c r="BA25" s="10">
        <f t="shared" si="52"/>
        <v>0</v>
      </c>
      <c r="BB25" s="10">
        <f t="shared" si="23"/>
        <v>0</v>
      </c>
      <c r="BC25" s="10">
        <f t="shared" si="53"/>
        <v>50000</v>
      </c>
      <c r="BD25" s="10">
        <f t="shared" si="24"/>
        <v>88.888888888888886</v>
      </c>
      <c r="BE25" s="10">
        <f t="shared" si="54"/>
        <v>587565.63199999998</v>
      </c>
      <c r="BF25" s="10">
        <f t="shared" si="25"/>
        <v>61.970501910395704</v>
      </c>
      <c r="BG25" s="108"/>
      <c r="BH25" s="10">
        <f t="shared" si="26"/>
        <v>0</v>
      </c>
      <c r="BI25" s="10">
        <f t="shared" si="55"/>
        <v>0</v>
      </c>
      <c r="BJ25" s="10">
        <f t="shared" si="27"/>
        <v>0</v>
      </c>
      <c r="BK25" s="108"/>
      <c r="BL25" s="10">
        <f t="shared" si="28"/>
        <v>0</v>
      </c>
      <c r="BM25" s="10">
        <f t="shared" si="56"/>
        <v>168696.97200000001</v>
      </c>
      <c r="BN25" s="10">
        <f t="shared" si="29"/>
        <v>17.792456631643102</v>
      </c>
      <c r="BO25" s="108"/>
      <c r="BP25" s="15">
        <f t="shared" si="30"/>
        <v>0</v>
      </c>
      <c r="BQ25" s="10">
        <f t="shared" si="57"/>
        <v>0</v>
      </c>
      <c r="BR25" s="10">
        <f t="shared" si="31"/>
        <v>0</v>
      </c>
      <c r="BS25" s="10">
        <f t="shared" si="58"/>
        <v>0</v>
      </c>
      <c r="BT25" s="10">
        <f t="shared" si="32"/>
        <v>0</v>
      </c>
      <c r="BU25" s="10">
        <f t="shared" si="59"/>
        <v>168696.97200000001</v>
      </c>
      <c r="BV25" s="10">
        <f t="shared" si="33"/>
        <v>17.792456631643102</v>
      </c>
      <c r="BW25" s="108"/>
      <c r="BX25" s="10">
        <f t="shared" si="34"/>
        <v>0</v>
      </c>
      <c r="BY25" s="10">
        <f t="shared" si="60"/>
        <v>0</v>
      </c>
      <c r="BZ25" s="10">
        <f t="shared" si="35"/>
        <v>0</v>
      </c>
      <c r="CA25" s="10">
        <f t="shared" si="36"/>
        <v>56250</v>
      </c>
      <c r="CB25" s="10">
        <f t="shared" si="61"/>
        <v>948137.60399999993</v>
      </c>
      <c r="CC25" s="10">
        <f t="shared" si="37"/>
        <v>1.2488898756660747</v>
      </c>
      <c r="CD25" s="10">
        <f t="shared" si="38"/>
        <v>1.0637120451271558</v>
      </c>
      <c r="CL25" s="13"/>
      <c r="CM25" s="13"/>
    </row>
    <row r="26" spans="1:91">
      <c r="A26" s="16">
        <f>+Chem!A25</f>
        <v>45947</v>
      </c>
      <c r="B26" s="6" t="str">
        <f>+Chem!B25</f>
        <v>Facial</v>
      </c>
      <c r="C26" s="16" t="str">
        <f>+Chem!C25</f>
        <v>12,5/13</v>
      </c>
      <c r="D26" s="8">
        <f>+Chem!D25</f>
        <v>61.978000000000002</v>
      </c>
      <c r="E26" s="7">
        <f>+Chem!E25</f>
        <v>59.747</v>
      </c>
      <c r="F26" s="7">
        <f t="shared" si="39"/>
        <v>951.0949999999998</v>
      </c>
      <c r="G26" s="108"/>
      <c r="H26" s="10">
        <f t="shared" si="0"/>
        <v>0</v>
      </c>
      <c r="I26" s="8">
        <f t="shared" si="40"/>
        <v>0</v>
      </c>
      <c r="J26" s="10">
        <f t="shared" si="1"/>
        <v>0</v>
      </c>
      <c r="K26" s="108"/>
      <c r="L26" s="10">
        <f t="shared" si="2"/>
        <v>0</v>
      </c>
      <c r="M26" s="10">
        <f t="shared" si="41"/>
        <v>0</v>
      </c>
      <c r="N26" s="10">
        <f t="shared" si="3"/>
        <v>0</v>
      </c>
      <c r="O26" s="108">
        <v>0</v>
      </c>
      <c r="P26" s="10">
        <f t="shared" si="4"/>
        <v>0</v>
      </c>
      <c r="Q26" s="10">
        <f t="shared" si="42"/>
        <v>0</v>
      </c>
      <c r="R26" s="10">
        <f t="shared" si="5"/>
        <v>0</v>
      </c>
      <c r="S26" s="108">
        <f>26*S7</f>
        <v>6500</v>
      </c>
      <c r="T26" s="10">
        <f t="shared" si="6"/>
        <v>11.206896551724139</v>
      </c>
      <c r="U26" s="10">
        <f t="shared" si="43"/>
        <v>198375</v>
      </c>
      <c r="V26" s="10">
        <f t="shared" si="7"/>
        <v>19.716488004358499</v>
      </c>
      <c r="W26" s="108"/>
      <c r="X26" s="10">
        <f t="shared" si="8"/>
        <v>0</v>
      </c>
      <c r="Y26" s="10">
        <f t="shared" si="44"/>
        <v>0</v>
      </c>
      <c r="Z26" s="10">
        <f t="shared" si="9"/>
        <v>0</v>
      </c>
      <c r="AA26" s="108">
        <v>0</v>
      </c>
      <c r="AB26" s="10">
        <f t="shared" si="10"/>
        <v>0</v>
      </c>
      <c r="AC26" s="10">
        <f t="shared" si="45"/>
        <v>0</v>
      </c>
      <c r="AD26" s="10">
        <f t="shared" si="11"/>
        <v>0</v>
      </c>
      <c r="AE26" s="10">
        <f t="shared" si="46"/>
        <v>6500</v>
      </c>
      <c r="AF26" s="10">
        <f t="shared" si="12"/>
        <v>11.206896551724139</v>
      </c>
      <c r="AG26" s="10">
        <f t="shared" si="47"/>
        <v>198375</v>
      </c>
      <c r="AH26" s="10">
        <f t="shared" si="13"/>
        <v>19.716488004358499</v>
      </c>
      <c r="AI26" s="108">
        <v>0</v>
      </c>
      <c r="AJ26" s="10">
        <f t="shared" si="14"/>
        <v>0</v>
      </c>
      <c r="AK26" s="10">
        <f t="shared" si="48"/>
        <v>273565.63199999998</v>
      </c>
      <c r="AL26" s="10">
        <f t="shared" si="15"/>
        <v>27.189683688633902</v>
      </c>
      <c r="AM26" s="108"/>
      <c r="AN26" s="10">
        <f t="shared" si="16"/>
        <v>0</v>
      </c>
      <c r="AO26" s="10">
        <f t="shared" si="49"/>
        <v>0</v>
      </c>
      <c r="AP26" s="10">
        <f t="shared" si="17"/>
        <v>0</v>
      </c>
      <c r="AQ26" s="108">
        <f>206*AQ7</f>
        <v>51500</v>
      </c>
      <c r="AR26" s="10">
        <f t="shared" si="18"/>
        <v>88.793103448275872</v>
      </c>
      <c r="AS26" s="10">
        <f t="shared" si="50"/>
        <v>365500</v>
      </c>
      <c r="AT26" s="10">
        <f t="shared" si="19"/>
        <v>36.32703902000268</v>
      </c>
      <c r="AU26" s="108"/>
      <c r="AV26" s="10">
        <f t="shared" si="20"/>
        <v>0</v>
      </c>
      <c r="AW26" s="10">
        <f t="shared" si="51"/>
        <v>0</v>
      </c>
      <c r="AX26" s="10">
        <f t="shared" si="21"/>
        <v>0</v>
      </c>
      <c r="AY26" s="108"/>
      <c r="AZ26" s="10">
        <f t="shared" si="22"/>
        <v>0</v>
      </c>
      <c r="BA26" s="10">
        <f t="shared" si="52"/>
        <v>0</v>
      </c>
      <c r="BB26" s="10">
        <f t="shared" si="23"/>
        <v>0</v>
      </c>
      <c r="BC26" s="10">
        <f t="shared" si="53"/>
        <v>51500</v>
      </c>
      <c r="BD26" s="10">
        <f t="shared" si="24"/>
        <v>88.793103448275872</v>
      </c>
      <c r="BE26" s="10">
        <f t="shared" si="54"/>
        <v>639065.63199999998</v>
      </c>
      <c r="BF26" s="10">
        <f t="shared" si="25"/>
        <v>63.516722708636586</v>
      </c>
      <c r="BG26" s="108"/>
      <c r="BH26" s="10">
        <f t="shared" si="26"/>
        <v>0</v>
      </c>
      <c r="BI26" s="10">
        <f t="shared" si="55"/>
        <v>0</v>
      </c>
      <c r="BJ26" s="10">
        <f t="shared" si="27"/>
        <v>0</v>
      </c>
      <c r="BK26" s="108"/>
      <c r="BL26" s="10">
        <f t="shared" si="28"/>
        <v>0</v>
      </c>
      <c r="BM26" s="10">
        <f t="shared" si="56"/>
        <v>168696.97200000001</v>
      </c>
      <c r="BN26" s="10">
        <f t="shared" si="29"/>
        <v>16.766789287004926</v>
      </c>
      <c r="BO26" s="108"/>
      <c r="BP26" s="15">
        <f t="shared" si="30"/>
        <v>0</v>
      </c>
      <c r="BQ26" s="10">
        <f t="shared" si="57"/>
        <v>0</v>
      </c>
      <c r="BR26" s="10">
        <f t="shared" si="31"/>
        <v>0</v>
      </c>
      <c r="BS26" s="10">
        <f t="shared" si="58"/>
        <v>0</v>
      </c>
      <c r="BT26" s="10">
        <f t="shared" si="32"/>
        <v>0</v>
      </c>
      <c r="BU26" s="10">
        <f t="shared" si="59"/>
        <v>168696.97200000001</v>
      </c>
      <c r="BV26" s="10">
        <f t="shared" si="33"/>
        <v>16.766789287004926</v>
      </c>
      <c r="BW26" s="108"/>
      <c r="BX26" s="10">
        <f t="shared" si="34"/>
        <v>0</v>
      </c>
      <c r="BY26" s="10">
        <f t="shared" si="60"/>
        <v>0</v>
      </c>
      <c r="BZ26" s="10">
        <f t="shared" si="35"/>
        <v>0</v>
      </c>
      <c r="CA26" s="10">
        <f t="shared" si="36"/>
        <v>58000</v>
      </c>
      <c r="CB26" s="10">
        <f t="shared" si="61"/>
        <v>1006137.6039999999</v>
      </c>
      <c r="CC26" s="10">
        <f t="shared" si="37"/>
        <v>0.97076003816091183</v>
      </c>
      <c r="CD26" s="10">
        <f t="shared" si="38"/>
        <v>1.0578728770522399</v>
      </c>
      <c r="CF26" s="13"/>
      <c r="CL26" s="13"/>
    </row>
    <row r="27" spans="1:91">
      <c r="A27" s="16">
        <f>+Chem!A26</f>
        <v>45948</v>
      </c>
      <c r="B27" s="6" t="str">
        <f>+Chem!B26</f>
        <v>Facial</v>
      </c>
      <c r="C27" s="16" t="str">
        <f>+Chem!C26</f>
        <v>13/12</v>
      </c>
      <c r="D27" s="8">
        <f>+Chem!D26</f>
        <v>56.56</v>
      </c>
      <c r="E27" s="7">
        <f>+Chem!E26</f>
        <v>54.112000000000002</v>
      </c>
      <c r="F27" s="7">
        <f t="shared" si="39"/>
        <v>1005.2069999999998</v>
      </c>
      <c r="G27" s="108"/>
      <c r="H27" s="10">
        <f t="shared" si="0"/>
        <v>0</v>
      </c>
      <c r="I27" s="8">
        <f t="shared" si="40"/>
        <v>0</v>
      </c>
      <c r="J27" s="10">
        <f t="shared" si="1"/>
        <v>0</v>
      </c>
      <c r="K27" s="108"/>
      <c r="L27" s="10">
        <f t="shared" si="2"/>
        <v>0</v>
      </c>
      <c r="M27" s="10">
        <f t="shared" si="41"/>
        <v>0</v>
      </c>
      <c r="N27" s="10">
        <f t="shared" si="3"/>
        <v>0</v>
      </c>
      <c r="O27" s="108">
        <v>0</v>
      </c>
      <c r="P27" s="10">
        <f t="shared" si="4"/>
        <v>0</v>
      </c>
      <c r="Q27" s="10">
        <f t="shared" si="42"/>
        <v>0</v>
      </c>
      <c r="R27" s="10">
        <f t="shared" si="5"/>
        <v>0</v>
      </c>
      <c r="S27" s="108">
        <f>20.33*S7</f>
        <v>5082.5</v>
      </c>
      <c r="T27" s="10">
        <f t="shared" si="6"/>
        <v>9.3976794711782929</v>
      </c>
      <c r="U27" s="10">
        <f t="shared" si="43"/>
        <v>203457.5</v>
      </c>
      <c r="V27" s="10">
        <f t="shared" si="7"/>
        <v>19.190119035886536</v>
      </c>
      <c r="W27" s="108"/>
      <c r="X27" s="10">
        <f t="shared" si="8"/>
        <v>0</v>
      </c>
      <c r="Y27" s="10">
        <f t="shared" si="44"/>
        <v>0</v>
      </c>
      <c r="Z27" s="10">
        <f t="shared" si="9"/>
        <v>0</v>
      </c>
      <c r="AA27" s="108">
        <v>0</v>
      </c>
      <c r="AB27" s="10">
        <f t="shared" si="10"/>
        <v>0</v>
      </c>
      <c r="AC27" s="10">
        <f t="shared" si="45"/>
        <v>0</v>
      </c>
      <c r="AD27" s="10">
        <f t="shared" si="11"/>
        <v>0</v>
      </c>
      <c r="AE27" s="10">
        <f t="shared" si="46"/>
        <v>5082.5</v>
      </c>
      <c r="AF27" s="10">
        <f t="shared" si="12"/>
        <v>9.3976794711782929</v>
      </c>
      <c r="AG27" s="10">
        <f t="shared" si="47"/>
        <v>203457.5</v>
      </c>
      <c r="AH27" s="10">
        <f t="shared" si="13"/>
        <v>19.190119035886536</v>
      </c>
      <c r="AI27" s="108">
        <v>0</v>
      </c>
      <c r="AJ27" s="10">
        <f t="shared" si="14"/>
        <v>0</v>
      </c>
      <c r="AK27" s="10">
        <f t="shared" si="48"/>
        <v>273565.63199999998</v>
      </c>
      <c r="AL27" s="10">
        <f t="shared" si="15"/>
        <v>25.802720677328338</v>
      </c>
      <c r="AM27" s="108"/>
      <c r="AN27" s="10">
        <f t="shared" si="16"/>
        <v>0</v>
      </c>
      <c r="AO27" s="10">
        <f t="shared" si="49"/>
        <v>0</v>
      </c>
      <c r="AP27" s="10">
        <f t="shared" si="17"/>
        <v>0</v>
      </c>
      <c r="AQ27" s="108">
        <f>196*AQ7</f>
        <v>49000</v>
      </c>
      <c r="AR27" s="10">
        <f t="shared" si="18"/>
        <v>90.602320528821707</v>
      </c>
      <c r="AS27" s="10">
        <f t="shared" si="50"/>
        <v>414500</v>
      </c>
      <c r="AT27" s="10">
        <f t="shared" si="19"/>
        <v>39.095655556442843</v>
      </c>
      <c r="AU27" s="108"/>
      <c r="AV27" s="10">
        <f t="shared" si="20"/>
        <v>0</v>
      </c>
      <c r="AW27" s="10">
        <f t="shared" si="51"/>
        <v>0</v>
      </c>
      <c r="AX27" s="10">
        <f t="shared" si="21"/>
        <v>0</v>
      </c>
      <c r="AY27" s="108"/>
      <c r="AZ27" s="10">
        <f t="shared" si="22"/>
        <v>0</v>
      </c>
      <c r="BA27" s="10">
        <f t="shared" si="52"/>
        <v>0</v>
      </c>
      <c r="BB27" s="10">
        <f t="shared" si="23"/>
        <v>0</v>
      </c>
      <c r="BC27" s="10">
        <f t="shared" si="53"/>
        <v>49000</v>
      </c>
      <c r="BD27" s="10">
        <f t="shared" si="24"/>
        <v>90.602320528821707</v>
      </c>
      <c r="BE27" s="10">
        <f t="shared" si="54"/>
        <v>688065.63199999998</v>
      </c>
      <c r="BF27" s="10">
        <f t="shared" si="25"/>
        <v>64.898376233771188</v>
      </c>
      <c r="BG27" s="108"/>
      <c r="BH27" s="10">
        <f t="shared" si="26"/>
        <v>0</v>
      </c>
      <c r="BI27" s="10">
        <f t="shared" si="55"/>
        <v>0</v>
      </c>
      <c r="BJ27" s="10">
        <f t="shared" si="27"/>
        <v>0</v>
      </c>
      <c r="BK27" s="108"/>
      <c r="BL27" s="10">
        <f t="shared" si="28"/>
        <v>0</v>
      </c>
      <c r="BM27" s="10">
        <f t="shared" si="56"/>
        <v>168696.97200000001</v>
      </c>
      <c r="BN27" s="10">
        <f t="shared" si="29"/>
        <v>15.911504730342299</v>
      </c>
      <c r="BO27" s="108"/>
      <c r="BP27" s="15">
        <f t="shared" si="30"/>
        <v>0</v>
      </c>
      <c r="BQ27" s="10">
        <f t="shared" si="57"/>
        <v>0</v>
      </c>
      <c r="BR27" s="10">
        <f t="shared" si="31"/>
        <v>0</v>
      </c>
      <c r="BS27" s="10">
        <f t="shared" si="58"/>
        <v>0</v>
      </c>
      <c r="BT27" s="10">
        <f t="shared" si="32"/>
        <v>0</v>
      </c>
      <c r="BU27" s="10">
        <f t="shared" si="59"/>
        <v>168696.97200000001</v>
      </c>
      <c r="BV27" s="10">
        <f t="shared" si="33"/>
        <v>15.911504730342299</v>
      </c>
      <c r="BW27" s="108"/>
      <c r="BX27" s="10">
        <f t="shared" si="34"/>
        <v>0</v>
      </c>
      <c r="BY27" s="10">
        <f t="shared" si="60"/>
        <v>0</v>
      </c>
      <c r="BZ27" s="10">
        <f t="shared" si="35"/>
        <v>0</v>
      </c>
      <c r="CA27" s="10">
        <f t="shared" si="36"/>
        <v>54082.5</v>
      </c>
      <c r="CB27" s="10">
        <f t="shared" si="61"/>
        <v>1060220.1039999998</v>
      </c>
      <c r="CC27" s="10">
        <f t="shared" si="37"/>
        <v>0.99945483441750449</v>
      </c>
      <c r="CD27" s="10">
        <f t="shared" si="38"/>
        <v>1.0547281346031216</v>
      </c>
      <c r="CL27" s="13"/>
    </row>
    <row r="28" spans="1:91">
      <c r="A28" s="16">
        <f>+Chem!A27</f>
        <v>45949</v>
      </c>
      <c r="B28" s="6" t="str">
        <f>+Chem!B27</f>
        <v>Facial</v>
      </c>
      <c r="C28" s="16" t="str">
        <f>+Chem!C27</f>
        <v>12</v>
      </c>
      <c r="D28" s="8">
        <f>+Chem!D27</f>
        <v>56.081000000000003</v>
      </c>
      <c r="E28" s="7">
        <f>+Chem!E27</f>
        <v>53.927</v>
      </c>
      <c r="F28" s="7">
        <f t="shared" si="39"/>
        <v>1059.1339999999998</v>
      </c>
      <c r="G28" s="108"/>
      <c r="H28" s="10">
        <f t="shared" si="0"/>
        <v>0</v>
      </c>
      <c r="I28" s="8">
        <f t="shared" si="40"/>
        <v>0</v>
      </c>
      <c r="J28" s="10">
        <f t="shared" si="1"/>
        <v>0</v>
      </c>
      <c r="K28" s="108"/>
      <c r="L28" s="10">
        <f t="shared" si="2"/>
        <v>0</v>
      </c>
      <c r="M28" s="10">
        <f t="shared" si="41"/>
        <v>0</v>
      </c>
      <c r="N28" s="10">
        <f t="shared" si="3"/>
        <v>0</v>
      </c>
      <c r="O28" s="108">
        <v>0</v>
      </c>
      <c r="P28" s="10">
        <f t="shared" si="4"/>
        <v>0</v>
      </c>
      <c r="Q28" s="10">
        <f t="shared" si="42"/>
        <v>0</v>
      </c>
      <c r="R28" s="10">
        <f t="shared" si="5"/>
        <v>0</v>
      </c>
      <c r="S28" s="108">
        <f>16.33*S7</f>
        <v>4082.4999999999995</v>
      </c>
      <c r="T28" s="10">
        <f t="shared" si="6"/>
        <v>7.9145058886250172</v>
      </c>
      <c r="U28" s="10">
        <f t="shared" si="43"/>
        <v>207540</v>
      </c>
      <c r="V28" s="10">
        <f t="shared" si="7"/>
        <v>18.666982722771174</v>
      </c>
      <c r="W28" s="108"/>
      <c r="X28" s="10">
        <f t="shared" si="8"/>
        <v>0</v>
      </c>
      <c r="Y28" s="10">
        <f t="shared" si="44"/>
        <v>0</v>
      </c>
      <c r="Z28" s="10">
        <f t="shared" si="9"/>
        <v>0</v>
      </c>
      <c r="AA28" s="108">
        <v>0</v>
      </c>
      <c r="AB28" s="10">
        <f t="shared" si="10"/>
        <v>0</v>
      </c>
      <c r="AC28" s="10">
        <f t="shared" si="45"/>
        <v>0</v>
      </c>
      <c r="AD28" s="10">
        <f t="shared" si="11"/>
        <v>0</v>
      </c>
      <c r="AE28" s="10">
        <f t="shared" si="46"/>
        <v>4082.4999999999995</v>
      </c>
      <c r="AF28" s="10">
        <f t="shared" si="12"/>
        <v>7.9145058886250172</v>
      </c>
      <c r="AG28" s="10">
        <f t="shared" si="47"/>
        <v>207540</v>
      </c>
      <c r="AH28" s="10">
        <f t="shared" si="13"/>
        <v>18.666982722771174</v>
      </c>
      <c r="AI28" s="108">
        <v>0</v>
      </c>
      <c r="AJ28" s="10">
        <f t="shared" si="14"/>
        <v>0</v>
      </c>
      <c r="AK28" s="10">
        <f t="shared" si="48"/>
        <v>273565.63199999998</v>
      </c>
      <c r="AL28" s="10">
        <f t="shared" si="15"/>
        <v>24.605593746207848</v>
      </c>
      <c r="AM28" s="108"/>
      <c r="AN28" s="10">
        <f t="shared" si="16"/>
        <v>0</v>
      </c>
      <c r="AO28" s="10">
        <f t="shared" si="49"/>
        <v>0</v>
      </c>
      <c r="AP28" s="10">
        <f t="shared" si="17"/>
        <v>0</v>
      </c>
      <c r="AQ28" s="108">
        <f>190*AQ7</f>
        <v>47500</v>
      </c>
      <c r="AR28" s="10">
        <f t="shared" si="18"/>
        <v>92.08549411137497</v>
      </c>
      <c r="AS28" s="10">
        <f t="shared" si="50"/>
        <v>462000</v>
      </c>
      <c r="AT28" s="10">
        <f t="shared" si="19"/>
        <v>41.554139047510283</v>
      </c>
      <c r="AU28" s="108"/>
      <c r="AV28" s="10">
        <f t="shared" si="20"/>
        <v>0</v>
      </c>
      <c r="AW28" s="10">
        <f t="shared" si="51"/>
        <v>0</v>
      </c>
      <c r="AX28" s="10">
        <f t="shared" si="21"/>
        <v>0</v>
      </c>
      <c r="AY28" s="108"/>
      <c r="AZ28" s="10">
        <f t="shared" si="22"/>
        <v>0</v>
      </c>
      <c r="BA28" s="10">
        <f t="shared" si="52"/>
        <v>0</v>
      </c>
      <c r="BB28" s="10">
        <f t="shared" si="23"/>
        <v>0</v>
      </c>
      <c r="BC28" s="10">
        <f t="shared" si="53"/>
        <v>47500</v>
      </c>
      <c r="BD28" s="10">
        <f t="shared" si="24"/>
        <v>92.08549411137497</v>
      </c>
      <c r="BE28" s="10">
        <f t="shared" si="54"/>
        <v>735565.63199999998</v>
      </c>
      <c r="BF28" s="10">
        <f t="shared" si="25"/>
        <v>66.159732793718135</v>
      </c>
      <c r="BG28" s="108"/>
      <c r="BH28" s="10">
        <f t="shared" si="26"/>
        <v>0</v>
      </c>
      <c r="BI28" s="10">
        <f t="shared" si="55"/>
        <v>0</v>
      </c>
      <c r="BJ28" s="10">
        <f t="shared" si="27"/>
        <v>0</v>
      </c>
      <c r="BK28" s="108"/>
      <c r="BL28" s="10">
        <f t="shared" si="28"/>
        <v>0</v>
      </c>
      <c r="BM28" s="10">
        <f t="shared" si="56"/>
        <v>168696.97200000001</v>
      </c>
      <c r="BN28" s="10">
        <f t="shared" si="29"/>
        <v>15.173284483510709</v>
      </c>
      <c r="BO28" s="108"/>
      <c r="BP28" s="15">
        <f t="shared" si="30"/>
        <v>0</v>
      </c>
      <c r="BQ28" s="10">
        <f t="shared" si="57"/>
        <v>0</v>
      </c>
      <c r="BR28" s="10">
        <f t="shared" si="31"/>
        <v>0</v>
      </c>
      <c r="BS28" s="10">
        <f t="shared" si="58"/>
        <v>0</v>
      </c>
      <c r="BT28" s="10">
        <f t="shared" si="32"/>
        <v>0</v>
      </c>
      <c r="BU28" s="10">
        <f t="shared" si="59"/>
        <v>168696.97200000001</v>
      </c>
      <c r="BV28" s="10">
        <f t="shared" si="33"/>
        <v>15.173284483510709</v>
      </c>
      <c r="BW28" s="108"/>
      <c r="BX28" s="10">
        <f t="shared" si="34"/>
        <v>0</v>
      </c>
      <c r="BY28" s="10">
        <f t="shared" si="60"/>
        <v>0</v>
      </c>
      <c r="BZ28" s="10">
        <f t="shared" si="35"/>
        <v>0</v>
      </c>
      <c r="CA28" s="10">
        <f t="shared" si="36"/>
        <v>51582.5</v>
      </c>
      <c r="CB28" s="10">
        <f t="shared" si="61"/>
        <v>1111802.6039999998</v>
      </c>
      <c r="CC28" s="10">
        <f t="shared" si="37"/>
        <v>0.95652456098058491</v>
      </c>
      <c r="CD28" s="10">
        <f t="shared" si="38"/>
        <v>1.0497279890929758</v>
      </c>
      <c r="CL28" s="13"/>
    </row>
    <row r="29" spans="1:91">
      <c r="A29" s="16">
        <f>+Chem!A28</f>
        <v>45950</v>
      </c>
      <c r="B29" s="6" t="str">
        <f>+Chem!B28</f>
        <v>Facial</v>
      </c>
      <c r="C29" s="16" t="str">
        <f>+Chem!C28</f>
        <v>12</v>
      </c>
      <c r="D29" s="8">
        <f>+Chem!D28</f>
        <v>57.329000000000008</v>
      </c>
      <c r="E29" s="7">
        <f>+Chem!E28</f>
        <v>55.262999999999998</v>
      </c>
      <c r="F29" s="7">
        <f t="shared" si="39"/>
        <v>1114.3969999999997</v>
      </c>
      <c r="G29" s="108"/>
      <c r="H29" s="10">
        <f t="shared" si="0"/>
        <v>0</v>
      </c>
      <c r="I29" s="8">
        <f t="shared" si="40"/>
        <v>0</v>
      </c>
      <c r="J29" s="10">
        <f t="shared" si="1"/>
        <v>0</v>
      </c>
      <c r="K29" s="108"/>
      <c r="L29" s="10">
        <f t="shared" si="2"/>
        <v>0</v>
      </c>
      <c r="M29" s="10">
        <f t="shared" si="41"/>
        <v>0</v>
      </c>
      <c r="N29" s="10">
        <f t="shared" si="3"/>
        <v>0</v>
      </c>
      <c r="O29" s="108">
        <v>0</v>
      </c>
      <c r="P29" s="10">
        <f t="shared" si="4"/>
        <v>0</v>
      </c>
      <c r="Q29" s="10">
        <f t="shared" si="42"/>
        <v>0</v>
      </c>
      <c r="R29" s="10">
        <f t="shared" si="5"/>
        <v>0</v>
      </c>
      <c r="S29" s="108">
        <f>15.67*S7</f>
        <v>3917.5</v>
      </c>
      <c r="T29" s="10">
        <f t="shared" si="6"/>
        <v>8.0083814585782189</v>
      </c>
      <c r="U29" s="10">
        <f t="shared" si="43"/>
        <v>211457.5</v>
      </c>
      <c r="V29" s="10">
        <f t="shared" si="7"/>
        <v>18.217785603203442</v>
      </c>
      <c r="W29" s="108"/>
      <c r="X29" s="10">
        <f t="shared" si="8"/>
        <v>0</v>
      </c>
      <c r="Y29" s="10">
        <f t="shared" si="44"/>
        <v>0</v>
      </c>
      <c r="Z29" s="10">
        <f t="shared" si="9"/>
        <v>0</v>
      </c>
      <c r="AA29" s="108">
        <v>0</v>
      </c>
      <c r="AB29" s="10">
        <f t="shared" si="10"/>
        <v>0</v>
      </c>
      <c r="AC29" s="10">
        <f t="shared" si="45"/>
        <v>0</v>
      </c>
      <c r="AD29" s="10">
        <f t="shared" si="11"/>
        <v>0</v>
      </c>
      <c r="AE29" s="10">
        <f t="shared" si="46"/>
        <v>3917.5</v>
      </c>
      <c r="AF29" s="10">
        <f t="shared" si="12"/>
        <v>8.0083814585782189</v>
      </c>
      <c r="AG29" s="10">
        <f t="shared" si="47"/>
        <v>211457.5</v>
      </c>
      <c r="AH29" s="10">
        <f t="shared" si="13"/>
        <v>18.217785603203442</v>
      </c>
      <c r="AI29" s="108">
        <v>0</v>
      </c>
      <c r="AJ29" s="10">
        <f t="shared" si="14"/>
        <v>0</v>
      </c>
      <c r="AK29" s="10">
        <f t="shared" si="48"/>
        <v>273565.63199999998</v>
      </c>
      <c r="AL29" s="10">
        <f t="shared" si="15"/>
        <v>23.568613230464045</v>
      </c>
      <c r="AM29" s="108"/>
      <c r="AN29" s="10">
        <f t="shared" si="16"/>
        <v>0</v>
      </c>
      <c r="AO29" s="10">
        <f t="shared" si="49"/>
        <v>0</v>
      </c>
      <c r="AP29" s="10">
        <f t="shared" si="17"/>
        <v>0</v>
      </c>
      <c r="AQ29" s="108">
        <f>180*AQ7</f>
        <v>45000</v>
      </c>
      <c r="AR29" s="10">
        <f t="shared" si="18"/>
        <v>91.991618541421786</v>
      </c>
      <c r="AS29" s="10">
        <f t="shared" si="50"/>
        <v>507000</v>
      </c>
      <c r="AT29" s="10">
        <f t="shared" si="19"/>
        <v>43.679781047369545</v>
      </c>
      <c r="AU29" s="108"/>
      <c r="AV29" s="10">
        <f t="shared" si="20"/>
        <v>0</v>
      </c>
      <c r="AW29" s="10">
        <f t="shared" si="51"/>
        <v>0</v>
      </c>
      <c r="AX29" s="10">
        <f t="shared" si="21"/>
        <v>0</v>
      </c>
      <c r="AY29" s="108"/>
      <c r="AZ29" s="10">
        <f t="shared" si="22"/>
        <v>0</v>
      </c>
      <c r="BA29" s="10">
        <f t="shared" si="52"/>
        <v>0</v>
      </c>
      <c r="BB29" s="10">
        <f t="shared" si="23"/>
        <v>0</v>
      </c>
      <c r="BC29" s="10">
        <f t="shared" si="53"/>
        <v>45000</v>
      </c>
      <c r="BD29" s="10">
        <f t="shared" si="24"/>
        <v>91.991618541421786</v>
      </c>
      <c r="BE29" s="10">
        <f t="shared" si="54"/>
        <v>780565.63199999998</v>
      </c>
      <c r="BF29" s="10">
        <f t="shared" si="25"/>
        <v>67.248394277833583</v>
      </c>
      <c r="BG29" s="108"/>
      <c r="BH29" s="10">
        <f t="shared" si="26"/>
        <v>0</v>
      </c>
      <c r="BI29" s="10">
        <f t="shared" si="55"/>
        <v>0</v>
      </c>
      <c r="BJ29" s="10">
        <f t="shared" si="27"/>
        <v>0</v>
      </c>
      <c r="BK29" s="108"/>
      <c r="BL29" s="10">
        <f t="shared" si="28"/>
        <v>0</v>
      </c>
      <c r="BM29" s="10">
        <f t="shared" si="56"/>
        <v>168696.97200000001</v>
      </c>
      <c r="BN29" s="10">
        <f t="shared" si="29"/>
        <v>14.533820118962982</v>
      </c>
      <c r="BO29" s="108"/>
      <c r="BP29" s="15">
        <f t="shared" si="30"/>
        <v>0</v>
      </c>
      <c r="BQ29" s="10">
        <f t="shared" si="57"/>
        <v>0</v>
      </c>
      <c r="BR29" s="10">
        <f t="shared" si="31"/>
        <v>0</v>
      </c>
      <c r="BS29" s="10">
        <f t="shared" si="58"/>
        <v>0</v>
      </c>
      <c r="BT29" s="10">
        <f t="shared" si="32"/>
        <v>0</v>
      </c>
      <c r="BU29" s="10">
        <f t="shared" si="59"/>
        <v>168696.97200000001</v>
      </c>
      <c r="BV29" s="10">
        <f t="shared" si="33"/>
        <v>14.533820118962982</v>
      </c>
      <c r="BW29" s="108"/>
      <c r="BX29" s="10">
        <f t="shared" si="34"/>
        <v>0</v>
      </c>
      <c r="BY29" s="10">
        <f t="shared" si="60"/>
        <v>0</v>
      </c>
      <c r="BZ29" s="10">
        <f t="shared" si="35"/>
        <v>0</v>
      </c>
      <c r="CA29" s="10">
        <f t="shared" si="36"/>
        <v>48917.5</v>
      </c>
      <c r="CB29" s="10">
        <f t="shared" si="61"/>
        <v>1160720.1039999998</v>
      </c>
      <c r="CC29" s="10">
        <f t="shared" si="37"/>
        <v>0.88517633859906264</v>
      </c>
      <c r="CD29" s="10">
        <f t="shared" si="38"/>
        <v>1.0415678649529747</v>
      </c>
      <c r="CL29" s="13"/>
    </row>
    <row r="30" spans="1:91">
      <c r="A30" s="16">
        <f>+Chem!A29</f>
        <v>45951</v>
      </c>
      <c r="B30" s="6" t="str">
        <f>+Chem!B29</f>
        <v>Facial/Sanitary Napkin</v>
      </c>
      <c r="C30" s="16" t="str">
        <f>+Chem!C29</f>
        <v>12/15</v>
      </c>
      <c r="D30" s="8">
        <f>+Chem!D29</f>
        <v>42.079000000000008</v>
      </c>
      <c r="E30" s="7">
        <f>+Chem!E29</f>
        <v>40.225999999999999</v>
      </c>
      <c r="F30" s="7">
        <f t="shared" si="39"/>
        <v>1154.6229999999996</v>
      </c>
      <c r="G30" s="108"/>
      <c r="H30" s="10">
        <f t="shared" si="0"/>
        <v>0</v>
      </c>
      <c r="I30" s="8">
        <f t="shared" si="40"/>
        <v>0</v>
      </c>
      <c r="J30" s="10">
        <f t="shared" si="1"/>
        <v>0</v>
      </c>
      <c r="K30" s="108"/>
      <c r="L30" s="10">
        <f t="shared" si="2"/>
        <v>0</v>
      </c>
      <c r="M30" s="10">
        <f t="shared" si="41"/>
        <v>0</v>
      </c>
      <c r="N30" s="10">
        <f t="shared" si="3"/>
        <v>0</v>
      </c>
      <c r="O30" s="108">
        <v>0</v>
      </c>
      <c r="P30" s="10">
        <f t="shared" si="4"/>
        <v>0</v>
      </c>
      <c r="Q30" s="10">
        <f t="shared" si="42"/>
        <v>0</v>
      </c>
      <c r="R30" s="10">
        <f t="shared" si="5"/>
        <v>0</v>
      </c>
      <c r="S30" s="108">
        <v>0</v>
      </c>
      <c r="T30" s="10">
        <f t="shared" si="6"/>
        <v>0</v>
      </c>
      <c r="U30" s="10">
        <f t="shared" si="43"/>
        <v>211457.5</v>
      </c>
      <c r="V30" s="10">
        <f t="shared" si="7"/>
        <v>17.556612983279592</v>
      </c>
      <c r="W30" s="108"/>
      <c r="X30" s="10">
        <f t="shared" si="8"/>
        <v>0</v>
      </c>
      <c r="Y30" s="10">
        <f t="shared" si="44"/>
        <v>0</v>
      </c>
      <c r="Z30" s="10">
        <f t="shared" si="9"/>
        <v>0</v>
      </c>
      <c r="AA30" s="108">
        <f>176*AA7</f>
        <v>39212.095999999998</v>
      </c>
      <c r="AB30" s="10">
        <f t="shared" si="10"/>
        <v>89.705366679282548</v>
      </c>
      <c r="AC30" s="10">
        <f t="shared" si="45"/>
        <v>39212.095999999998</v>
      </c>
      <c r="AD30" s="10">
        <f t="shared" si="11"/>
        <v>3.2556499236735785</v>
      </c>
      <c r="AE30" s="10">
        <f t="shared" si="46"/>
        <v>39212.095999999998</v>
      </c>
      <c r="AF30" s="10">
        <f t="shared" si="12"/>
        <v>89.705366679282548</v>
      </c>
      <c r="AG30" s="10">
        <f t="shared" si="47"/>
        <v>250669.59599999999</v>
      </c>
      <c r="AH30" s="10">
        <f t="shared" si="13"/>
        <v>20.812262906953173</v>
      </c>
      <c r="AI30" s="108">
        <v>0</v>
      </c>
      <c r="AJ30" s="10">
        <f t="shared" si="14"/>
        <v>0</v>
      </c>
      <c r="AK30" s="10">
        <f t="shared" si="48"/>
        <v>273565.63199999998</v>
      </c>
      <c r="AL30" s="10">
        <f t="shared" si="15"/>
        <v>22.713244630955572</v>
      </c>
      <c r="AM30" s="108"/>
      <c r="AN30" s="10">
        <f t="shared" si="16"/>
        <v>0</v>
      </c>
      <c r="AO30" s="10">
        <f t="shared" si="49"/>
        <v>0</v>
      </c>
      <c r="AP30" s="10">
        <f t="shared" si="17"/>
        <v>0</v>
      </c>
      <c r="AQ30" s="108">
        <f>18*AQ7</f>
        <v>4500</v>
      </c>
      <c r="AR30" s="10">
        <f t="shared" si="18"/>
        <v>10.294633320717452</v>
      </c>
      <c r="AS30" s="10">
        <f t="shared" si="50"/>
        <v>511500</v>
      </c>
      <c r="AT30" s="10">
        <f t="shared" si="19"/>
        <v>42.468143910466701</v>
      </c>
      <c r="AU30" s="108"/>
      <c r="AV30" s="10">
        <f t="shared" si="20"/>
        <v>0</v>
      </c>
      <c r="AW30" s="10">
        <f t="shared" si="51"/>
        <v>0</v>
      </c>
      <c r="AX30" s="10">
        <f t="shared" si="21"/>
        <v>0</v>
      </c>
      <c r="AY30" s="108"/>
      <c r="AZ30" s="10">
        <f t="shared" si="22"/>
        <v>0</v>
      </c>
      <c r="BA30" s="10">
        <f t="shared" si="52"/>
        <v>0</v>
      </c>
      <c r="BB30" s="10">
        <f t="shared" si="23"/>
        <v>0</v>
      </c>
      <c r="BC30" s="10">
        <f t="shared" si="53"/>
        <v>4500</v>
      </c>
      <c r="BD30" s="10">
        <f t="shared" si="24"/>
        <v>10.294633320717452</v>
      </c>
      <c r="BE30" s="10">
        <f t="shared" si="54"/>
        <v>785065.63199999998</v>
      </c>
      <c r="BF30" s="10">
        <f t="shared" si="25"/>
        <v>65.181388541422265</v>
      </c>
      <c r="BG30" s="108"/>
      <c r="BH30" s="10">
        <f t="shared" si="26"/>
        <v>0</v>
      </c>
      <c r="BI30" s="10">
        <f t="shared" si="55"/>
        <v>0</v>
      </c>
      <c r="BJ30" s="10">
        <f t="shared" si="27"/>
        <v>0</v>
      </c>
      <c r="BK30" s="108"/>
      <c r="BL30" s="10">
        <f t="shared" si="28"/>
        <v>0</v>
      </c>
      <c r="BM30" s="10">
        <f t="shared" si="56"/>
        <v>168696.97200000001</v>
      </c>
      <c r="BN30" s="10">
        <f t="shared" si="29"/>
        <v>14.006348551624578</v>
      </c>
      <c r="BO30" s="108"/>
      <c r="BP30" s="15">
        <f t="shared" si="30"/>
        <v>0</v>
      </c>
      <c r="BQ30" s="10">
        <f t="shared" si="57"/>
        <v>0</v>
      </c>
      <c r="BR30" s="10">
        <f t="shared" si="31"/>
        <v>0</v>
      </c>
      <c r="BS30" s="10">
        <f t="shared" si="58"/>
        <v>0</v>
      </c>
      <c r="BT30" s="10">
        <f t="shared" si="32"/>
        <v>0</v>
      </c>
      <c r="BU30" s="10">
        <f t="shared" si="59"/>
        <v>168696.97200000001</v>
      </c>
      <c r="BV30" s="10">
        <f t="shared" si="33"/>
        <v>14.006348551624578</v>
      </c>
      <c r="BW30" s="108"/>
      <c r="BX30" s="10">
        <f t="shared" si="34"/>
        <v>0</v>
      </c>
      <c r="BY30" s="10">
        <f t="shared" si="60"/>
        <v>0</v>
      </c>
      <c r="BZ30" s="10">
        <f t="shared" si="35"/>
        <v>0</v>
      </c>
      <c r="CA30" s="10">
        <f t="shared" si="36"/>
        <v>43712.095999999998</v>
      </c>
      <c r="CB30" s="10">
        <f t="shared" si="61"/>
        <v>1204432.1999999997</v>
      </c>
      <c r="CC30" s="10">
        <f t="shared" si="37"/>
        <v>1.0866627554318102</v>
      </c>
      <c r="CD30" s="10">
        <f t="shared" si="38"/>
        <v>1.0431389293301798</v>
      </c>
    </row>
    <row r="31" spans="1:91">
      <c r="A31" s="16">
        <f>+Chem!A30</f>
        <v>45952</v>
      </c>
      <c r="B31" s="6" t="str">
        <f>+Chem!B30</f>
        <v>Sanitary Napkin</v>
      </c>
      <c r="C31" s="16" t="str">
        <f>+Chem!C30</f>
        <v>15</v>
      </c>
      <c r="D31" s="8">
        <f>+Chem!D30</f>
        <v>56.07</v>
      </c>
      <c r="E31" s="7">
        <f>+Chem!E30</f>
        <v>52.610999999999997</v>
      </c>
      <c r="F31" s="7">
        <f t="shared" si="39"/>
        <v>1207.2339999999997</v>
      </c>
      <c r="G31" s="108"/>
      <c r="H31" s="10">
        <f t="shared" si="0"/>
        <v>0</v>
      </c>
      <c r="I31" s="8">
        <f t="shared" si="40"/>
        <v>0</v>
      </c>
      <c r="J31" s="10">
        <f t="shared" si="1"/>
        <v>0</v>
      </c>
      <c r="K31" s="108"/>
      <c r="L31" s="10">
        <f t="shared" si="2"/>
        <v>0</v>
      </c>
      <c r="M31" s="10">
        <f t="shared" si="41"/>
        <v>0</v>
      </c>
      <c r="N31" s="10">
        <f t="shared" si="3"/>
        <v>0</v>
      </c>
      <c r="O31" s="108">
        <v>0</v>
      </c>
      <c r="P31" s="10">
        <f t="shared" si="4"/>
        <v>0</v>
      </c>
      <c r="Q31" s="10">
        <f t="shared" si="42"/>
        <v>0</v>
      </c>
      <c r="R31" s="10">
        <f t="shared" si="5"/>
        <v>0</v>
      </c>
      <c r="S31" s="108">
        <v>0</v>
      </c>
      <c r="T31" s="10">
        <f t="shared" si="6"/>
        <v>0</v>
      </c>
      <c r="U31" s="10">
        <f t="shared" si="43"/>
        <v>211457.5</v>
      </c>
      <c r="V31" s="10">
        <f t="shared" si="7"/>
        <v>16.858644135432304</v>
      </c>
      <c r="W31" s="108"/>
      <c r="X31" s="10">
        <f t="shared" si="8"/>
        <v>0</v>
      </c>
      <c r="Y31" s="10">
        <f t="shared" si="44"/>
        <v>0</v>
      </c>
      <c r="Z31" s="10">
        <f t="shared" si="9"/>
        <v>0</v>
      </c>
      <c r="AA31" s="108">
        <f>152*AA7</f>
        <v>33864.991999999998</v>
      </c>
      <c r="AB31" s="10">
        <f t="shared" si="10"/>
        <v>67.913360940677578</v>
      </c>
      <c r="AC31" s="10">
        <f t="shared" si="45"/>
        <v>73077.087999999989</v>
      </c>
      <c r="AD31" s="10">
        <f t="shared" si="11"/>
        <v>5.8261382123862715</v>
      </c>
      <c r="AE31" s="10">
        <f t="shared" si="46"/>
        <v>33864.991999999998</v>
      </c>
      <c r="AF31" s="10">
        <f t="shared" si="12"/>
        <v>67.913360940677578</v>
      </c>
      <c r="AG31" s="10">
        <f t="shared" si="47"/>
        <v>284534.58799999999</v>
      </c>
      <c r="AH31" s="10">
        <f t="shared" si="13"/>
        <v>22.684782347818572</v>
      </c>
      <c r="AI31" s="108">
        <v>0</v>
      </c>
      <c r="AJ31" s="10">
        <f t="shared" si="14"/>
        <v>0</v>
      </c>
      <c r="AK31" s="10">
        <f t="shared" si="48"/>
        <v>273565.63199999998</v>
      </c>
      <c r="AL31" s="10">
        <f t="shared" si="15"/>
        <v>21.810272218165025</v>
      </c>
      <c r="AM31" s="108"/>
      <c r="AN31" s="10">
        <f t="shared" si="16"/>
        <v>0</v>
      </c>
      <c r="AO31" s="10">
        <f t="shared" si="49"/>
        <v>0</v>
      </c>
      <c r="AP31" s="10">
        <f t="shared" si="17"/>
        <v>0</v>
      </c>
      <c r="AQ31" s="108">
        <f>64*AQ7</f>
        <v>16000</v>
      </c>
      <c r="AR31" s="10">
        <f t="shared" si="18"/>
        <v>32.086639059322422</v>
      </c>
      <c r="AS31" s="10">
        <f t="shared" si="50"/>
        <v>527500</v>
      </c>
      <c r="AT31" s="10">
        <f t="shared" si="19"/>
        <v>42.055423815379164</v>
      </c>
      <c r="AU31" s="108"/>
      <c r="AV31" s="10">
        <f t="shared" si="20"/>
        <v>0</v>
      </c>
      <c r="AW31" s="10">
        <f t="shared" si="51"/>
        <v>0</v>
      </c>
      <c r="AX31" s="10">
        <f t="shared" si="21"/>
        <v>0</v>
      </c>
      <c r="AY31" s="108"/>
      <c r="AZ31" s="10">
        <f t="shared" si="22"/>
        <v>0</v>
      </c>
      <c r="BA31" s="10">
        <f t="shared" si="52"/>
        <v>0</v>
      </c>
      <c r="BB31" s="10">
        <f t="shared" si="23"/>
        <v>0</v>
      </c>
      <c r="BC31" s="10">
        <f t="shared" si="53"/>
        <v>16000</v>
      </c>
      <c r="BD31" s="10">
        <f t="shared" si="24"/>
        <v>32.086639059322422</v>
      </c>
      <c r="BE31" s="10">
        <f t="shared" si="54"/>
        <v>801065.63199999998</v>
      </c>
      <c r="BF31" s="10">
        <f t="shared" si="25"/>
        <v>63.865696033544182</v>
      </c>
      <c r="BG31" s="108"/>
      <c r="BH31" s="10">
        <f t="shared" si="26"/>
        <v>0</v>
      </c>
      <c r="BI31" s="10">
        <f t="shared" si="55"/>
        <v>0</v>
      </c>
      <c r="BJ31" s="10">
        <f t="shared" si="27"/>
        <v>0</v>
      </c>
      <c r="BK31" s="108"/>
      <c r="BL31" s="10">
        <f t="shared" si="28"/>
        <v>0</v>
      </c>
      <c r="BM31" s="10">
        <f t="shared" si="56"/>
        <v>168696.97200000001</v>
      </c>
      <c r="BN31" s="10">
        <f t="shared" si="29"/>
        <v>13.449521618637256</v>
      </c>
      <c r="BO31" s="108"/>
      <c r="BP31" s="15">
        <f t="shared" si="30"/>
        <v>0</v>
      </c>
      <c r="BQ31" s="10">
        <f t="shared" si="57"/>
        <v>0</v>
      </c>
      <c r="BR31" s="10">
        <f t="shared" si="31"/>
        <v>0</v>
      </c>
      <c r="BS31" s="10">
        <f t="shared" si="58"/>
        <v>0</v>
      </c>
      <c r="BT31" s="10">
        <f t="shared" si="32"/>
        <v>0</v>
      </c>
      <c r="BU31" s="10">
        <f t="shared" si="59"/>
        <v>168696.97200000001</v>
      </c>
      <c r="BV31" s="10">
        <f t="shared" si="33"/>
        <v>13.449521618637256</v>
      </c>
      <c r="BW31" s="108"/>
      <c r="BX31" s="10">
        <f t="shared" si="34"/>
        <v>0</v>
      </c>
      <c r="BY31" s="10">
        <f t="shared" si="60"/>
        <v>0</v>
      </c>
      <c r="BZ31" s="10">
        <f t="shared" si="35"/>
        <v>0</v>
      </c>
      <c r="CA31" s="10">
        <f t="shared" si="36"/>
        <v>49864.991999999998</v>
      </c>
      <c r="CB31" s="10">
        <f t="shared" si="61"/>
        <v>1254297.1919999998</v>
      </c>
      <c r="CC31" s="10">
        <f t="shared" si="37"/>
        <v>0.94780543992701149</v>
      </c>
      <c r="CD31" s="10">
        <f t="shared" si="38"/>
        <v>1.0389843162137582</v>
      </c>
    </row>
    <row r="32" spans="1:91">
      <c r="A32" s="16">
        <f>+Chem!A31</f>
        <v>45953</v>
      </c>
      <c r="B32" s="6" t="str">
        <f>+Chem!B31</f>
        <v>Sanitary Napkin</v>
      </c>
      <c r="C32" s="16" t="str">
        <f>+Chem!C31</f>
        <v>15</v>
      </c>
      <c r="D32" s="8">
        <f>+Chem!D31</f>
        <v>55.677999999999997</v>
      </c>
      <c r="E32" s="7">
        <f>+Chem!E31</f>
        <v>53.991999999999997</v>
      </c>
      <c r="F32" s="7">
        <f t="shared" si="39"/>
        <v>1261.2259999999997</v>
      </c>
      <c r="G32" s="108"/>
      <c r="H32" s="10">
        <f t="shared" si="0"/>
        <v>0</v>
      </c>
      <c r="I32" s="8">
        <f t="shared" si="40"/>
        <v>0</v>
      </c>
      <c r="J32" s="10">
        <f t="shared" si="1"/>
        <v>0</v>
      </c>
      <c r="K32" s="108"/>
      <c r="L32" s="10">
        <f t="shared" si="2"/>
        <v>0</v>
      </c>
      <c r="M32" s="10">
        <f t="shared" si="41"/>
        <v>0</v>
      </c>
      <c r="N32" s="10">
        <f t="shared" si="3"/>
        <v>0</v>
      </c>
      <c r="O32" s="108">
        <v>0</v>
      </c>
      <c r="P32" s="10">
        <f t="shared" si="4"/>
        <v>0</v>
      </c>
      <c r="Q32" s="10">
        <f t="shared" si="42"/>
        <v>0</v>
      </c>
      <c r="R32" s="10">
        <f t="shared" si="5"/>
        <v>0</v>
      </c>
      <c r="S32" s="108">
        <v>0</v>
      </c>
      <c r="T32" s="10">
        <f t="shared" si="6"/>
        <v>0</v>
      </c>
      <c r="U32" s="10">
        <f t="shared" si="43"/>
        <v>211457.5</v>
      </c>
      <c r="V32" s="10">
        <f t="shared" si="7"/>
        <v>16.225136598604593</v>
      </c>
      <c r="W32" s="108"/>
      <c r="X32" s="10">
        <f t="shared" si="8"/>
        <v>0</v>
      </c>
      <c r="Y32" s="10">
        <f t="shared" si="44"/>
        <v>0</v>
      </c>
      <c r="Z32" s="10">
        <f t="shared" si="9"/>
        <v>0</v>
      </c>
      <c r="AA32" s="108">
        <f>148*AA7</f>
        <v>32973.807999999997</v>
      </c>
      <c r="AB32" s="10">
        <f t="shared" si="10"/>
        <v>67.329475379982711</v>
      </c>
      <c r="AC32" s="10">
        <f t="shared" si="45"/>
        <v>106050.89599999998</v>
      </c>
      <c r="AD32" s="10">
        <f t="shared" si="11"/>
        <v>8.1372865658792364</v>
      </c>
      <c r="AE32" s="10">
        <f t="shared" si="46"/>
        <v>32973.807999999997</v>
      </c>
      <c r="AF32" s="10">
        <f t="shared" si="12"/>
        <v>67.329475379982711</v>
      </c>
      <c r="AG32" s="10">
        <f t="shared" si="47"/>
        <v>317508.39600000001</v>
      </c>
      <c r="AH32" s="10">
        <f t="shared" si="13"/>
        <v>24.362423164483832</v>
      </c>
      <c r="AI32" s="108">
        <v>0</v>
      </c>
      <c r="AJ32" s="10">
        <f t="shared" si="14"/>
        <v>0</v>
      </c>
      <c r="AK32" s="10">
        <f t="shared" si="48"/>
        <v>273565.63199999998</v>
      </c>
      <c r="AL32" s="10">
        <f t="shared" si="15"/>
        <v>20.990694337555276</v>
      </c>
      <c r="AM32" s="108"/>
      <c r="AN32" s="10">
        <f t="shared" si="16"/>
        <v>0</v>
      </c>
      <c r="AO32" s="10">
        <f t="shared" si="49"/>
        <v>0</v>
      </c>
      <c r="AP32" s="10">
        <f t="shared" si="17"/>
        <v>0</v>
      </c>
      <c r="AQ32" s="108">
        <f>64*AQ7</f>
        <v>16000</v>
      </c>
      <c r="AR32" s="10">
        <f t="shared" si="18"/>
        <v>32.670524620017297</v>
      </c>
      <c r="AS32" s="10">
        <f t="shared" si="50"/>
        <v>543500</v>
      </c>
      <c r="AT32" s="10">
        <f t="shared" si="19"/>
        <v>41.70276174333658</v>
      </c>
      <c r="AU32" s="108"/>
      <c r="AV32" s="10">
        <f t="shared" si="20"/>
        <v>0</v>
      </c>
      <c r="AW32" s="10">
        <f t="shared" si="51"/>
        <v>0</v>
      </c>
      <c r="AX32" s="10">
        <f t="shared" si="21"/>
        <v>0</v>
      </c>
      <c r="AY32" s="108"/>
      <c r="AZ32" s="10">
        <f t="shared" si="22"/>
        <v>0</v>
      </c>
      <c r="BA32" s="10">
        <f t="shared" si="52"/>
        <v>0</v>
      </c>
      <c r="BB32" s="10">
        <f t="shared" si="23"/>
        <v>0</v>
      </c>
      <c r="BC32" s="10">
        <f t="shared" si="53"/>
        <v>16000</v>
      </c>
      <c r="BD32" s="10">
        <f t="shared" si="24"/>
        <v>32.670524620017297</v>
      </c>
      <c r="BE32" s="10">
        <f t="shared" si="54"/>
        <v>817065.63199999998</v>
      </c>
      <c r="BF32" s="10">
        <f t="shared" si="25"/>
        <v>62.693456080891863</v>
      </c>
      <c r="BG32" s="108"/>
      <c r="BH32" s="10">
        <f t="shared" si="26"/>
        <v>0</v>
      </c>
      <c r="BI32" s="10">
        <f t="shared" si="55"/>
        <v>0</v>
      </c>
      <c r="BJ32" s="10">
        <f t="shared" si="27"/>
        <v>0</v>
      </c>
      <c r="BK32" s="108"/>
      <c r="BL32" s="10">
        <f t="shared" si="28"/>
        <v>0</v>
      </c>
      <c r="BM32" s="10">
        <f t="shared" si="56"/>
        <v>168696.97200000001</v>
      </c>
      <c r="BN32" s="10">
        <f t="shared" si="29"/>
        <v>12.944120754624331</v>
      </c>
      <c r="BO32" s="108"/>
      <c r="BP32" s="15">
        <f t="shared" si="30"/>
        <v>0</v>
      </c>
      <c r="BQ32" s="10">
        <f t="shared" si="57"/>
        <v>0</v>
      </c>
      <c r="BR32" s="10">
        <f t="shared" si="31"/>
        <v>0</v>
      </c>
      <c r="BS32" s="10">
        <f t="shared" si="58"/>
        <v>0</v>
      </c>
      <c r="BT32" s="10">
        <f t="shared" si="32"/>
        <v>0</v>
      </c>
      <c r="BU32" s="10">
        <f t="shared" si="59"/>
        <v>168696.97200000001</v>
      </c>
      <c r="BV32" s="10">
        <f t="shared" si="33"/>
        <v>12.944120754624331</v>
      </c>
      <c r="BW32" s="108"/>
      <c r="BX32" s="10">
        <f t="shared" si="34"/>
        <v>0</v>
      </c>
      <c r="BY32" s="10">
        <f t="shared" si="60"/>
        <v>0</v>
      </c>
      <c r="BZ32" s="10">
        <f t="shared" si="35"/>
        <v>0</v>
      </c>
      <c r="CA32" s="10">
        <f t="shared" si="36"/>
        <v>48973.807999999997</v>
      </c>
      <c r="CB32" s="10">
        <f t="shared" si="61"/>
        <v>1303270.9999999998</v>
      </c>
      <c r="CC32" s="10">
        <f t="shared" si="37"/>
        <v>0.90705674914802192</v>
      </c>
      <c r="CD32" s="10">
        <f t="shared" si="38"/>
        <v>1.0333366105678126</v>
      </c>
    </row>
    <row r="33" spans="1:82">
      <c r="A33" s="16">
        <f>+Chem!A32</f>
        <v>45954</v>
      </c>
      <c r="B33" s="6" t="str">
        <f>+Chem!B32</f>
        <v>Facial</v>
      </c>
      <c r="C33" s="16" t="str">
        <f>+Chem!C32</f>
        <v>12</v>
      </c>
      <c r="D33" s="8">
        <f>+Chem!D32</f>
        <v>30.027000000000001</v>
      </c>
      <c r="E33" s="7">
        <f>+Chem!E32</f>
        <v>29.25</v>
      </c>
      <c r="F33" s="7">
        <f t="shared" si="39"/>
        <v>1290.4759999999997</v>
      </c>
      <c r="G33" s="108"/>
      <c r="H33" s="10">
        <f t="shared" si="0"/>
        <v>0</v>
      </c>
      <c r="I33" s="8">
        <f t="shared" si="40"/>
        <v>0</v>
      </c>
      <c r="J33" s="10">
        <f t="shared" si="1"/>
        <v>0</v>
      </c>
      <c r="K33" s="108"/>
      <c r="L33" s="10">
        <f t="shared" si="2"/>
        <v>0</v>
      </c>
      <c r="M33" s="10">
        <f t="shared" si="41"/>
        <v>0</v>
      </c>
      <c r="N33" s="10">
        <f t="shared" si="3"/>
        <v>0</v>
      </c>
      <c r="O33" s="108">
        <v>0</v>
      </c>
      <c r="P33" s="10">
        <f t="shared" si="4"/>
        <v>0</v>
      </c>
      <c r="Q33" s="10">
        <f t="shared" si="42"/>
        <v>0</v>
      </c>
      <c r="R33" s="10">
        <f t="shared" si="5"/>
        <v>0</v>
      </c>
      <c r="S33" s="108">
        <f>3*S7</f>
        <v>750</v>
      </c>
      <c r="T33" s="10">
        <f t="shared" si="6"/>
        <v>2.6086956521739131</v>
      </c>
      <c r="U33" s="10">
        <f t="shared" si="43"/>
        <v>212207.5</v>
      </c>
      <c r="V33" s="10">
        <f t="shared" si="7"/>
        <v>15.93124282575125</v>
      </c>
      <c r="W33" s="108"/>
      <c r="X33" s="10">
        <f t="shared" si="8"/>
        <v>0</v>
      </c>
      <c r="Y33" s="10">
        <f t="shared" si="44"/>
        <v>0</v>
      </c>
      <c r="Z33" s="10">
        <f t="shared" si="9"/>
        <v>0</v>
      </c>
      <c r="AA33" s="108">
        <v>0</v>
      </c>
      <c r="AB33" s="10">
        <f t="shared" si="10"/>
        <v>0</v>
      </c>
      <c r="AC33" s="10">
        <f t="shared" si="45"/>
        <v>106050.89599999998</v>
      </c>
      <c r="AD33" s="10">
        <f t="shared" si="11"/>
        <v>7.9616534574154612</v>
      </c>
      <c r="AE33" s="10">
        <f t="shared" si="46"/>
        <v>750</v>
      </c>
      <c r="AF33" s="10">
        <f t="shared" si="12"/>
        <v>2.6086956521739131</v>
      </c>
      <c r="AG33" s="10">
        <f t="shared" si="47"/>
        <v>318258.39600000001</v>
      </c>
      <c r="AH33" s="10">
        <f t="shared" si="13"/>
        <v>23.892896283166714</v>
      </c>
      <c r="AI33" s="108">
        <v>0</v>
      </c>
      <c r="AJ33" s="10">
        <f t="shared" si="14"/>
        <v>0</v>
      </c>
      <c r="AK33" s="10">
        <f t="shared" si="48"/>
        <v>273565.63199999998</v>
      </c>
      <c r="AL33" s="10">
        <f t="shared" si="15"/>
        <v>20.537636568792834</v>
      </c>
      <c r="AM33" s="108"/>
      <c r="AN33" s="10">
        <f t="shared" si="16"/>
        <v>0</v>
      </c>
      <c r="AO33" s="10">
        <f t="shared" si="49"/>
        <v>0</v>
      </c>
      <c r="AP33" s="10">
        <f t="shared" si="17"/>
        <v>0</v>
      </c>
      <c r="AQ33" s="108">
        <f>112*AQ7</f>
        <v>28000</v>
      </c>
      <c r="AR33" s="10">
        <f t="shared" si="18"/>
        <v>97.391304347826093</v>
      </c>
      <c r="AS33" s="10">
        <f>AQ33+AS32</f>
        <v>571500</v>
      </c>
      <c r="AT33" s="10">
        <f t="shared" si="19"/>
        <v>42.904728979498081</v>
      </c>
      <c r="AU33" s="108"/>
      <c r="AV33" s="10">
        <f t="shared" si="20"/>
        <v>0</v>
      </c>
      <c r="AW33" s="10">
        <f t="shared" si="51"/>
        <v>0</v>
      </c>
      <c r="AX33" s="10">
        <f t="shared" si="21"/>
        <v>0</v>
      </c>
      <c r="AY33" s="108"/>
      <c r="AZ33" s="10">
        <f t="shared" si="22"/>
        <v>0</v>
      </c>
      <c r="BA33" s="10">
        <f t="shared" si="52"/>
        <v>0</v>
      </c>
      <c r="BB33" s="10">
        <f t="shared" si="23"/>
        <v>0</v>
      </c>
      <c r="BC33" s="10">
        <f t="shared" si="53"/>
        <v>28000</v>
      </c>
      <c r="BD33" s="10">
        <f t="shared" si="24"/>
        <v>97.391304347826093</v>
      </c>
      <c r="BE33" s="10">
        <f t="shared" si="54"/>
        <v>845065.63199999998</v>
      </c>
      <c r="BF33" s="10">
        <f t="shared" si="25"/>
        <v>63.442365548290915</v>
      </c>
      <c r="BG33" s="108"/>
      <c r="BH33" s="10">
        <f t="shared" si="26"/>
        <v>0</v>
      </c>
      <c r="BI33" s="10">
        <f t="shared" si="55"/>
        <v>0</v>
      </c>
      <c r="BJ33" s="10">
        <f t="shared" si="27"/>
        <v>0</v>
      </c>
      <c r="BK33" s="108"/>
      <c r="BL33" s="10">
        <f t="shared" si="28"/>
        <v>0</v>
      </c>
      <c r="BM33" s="10">
        <f t="shared" si="56"/>
        <v>168696.97200000001</v>
      </c>
      <c r="BN33" s="10">
        <f t="shared" si="29"/>
        <v>12.664738168542392</v>
      </c>
      <c r="BO33" s="108"/>
      <c r="BP33" s="15">
        <f t="shared" si="30"/>
        <v>0</v>
      </c>
      <c r="BQ33" s="10">
        <f t="shared" si="57"/>
        <v>0</v>
      </c>
      <c r="BR33" s="10">
        <f t="shared" si="31"/>
        <v>0</v>
      </c>
      <c r="BS33" s="10">
        <f t="shared" si="58"/>
        <v>0</v>
      </c>
      <c r="BT33" s="10">
        <f t="shared" si="32"/>
        <v>0</v>
      </c>
      <c r="BU33" s="10">
        <f t="shared" si="59"/>
        <v>168696.97200000001</v>
      </c>
      <c r="BV33" s="10">
        <f t="shared" si="33"/>
        <v>12.664738168542392</v>
      </c>
      <c r="BW33" s="108"/>
      <c r="BX33" s="10">
        <f t="shared" si="34"/>
        <v>0</v>
      </c>
      <c r="BY33" s="10">
        <f t="shared" si="60"/>
        <v>0</v>
      </c>
      <c r="BZ33" s="10">
        <f t="shared" si="35"/>
        <v>0</v>
      </c>
      <c r="CA33" s="10">
        <f t="shared" si="36"/>
        <v>28750</v>
      </c>
      <c r="CB33" s="10">
        <f t="shared" si="61"/>
        <v>1332020.9999999998</v>
      </c>
      <c r="CC33" s="10">
        <f t="shared" si="37"/>
        <v>0.98290598290598286</v>
      </c>
      <c r="CD33" s="10">
        <f t="shared" si="38"/>
        <v>1.0321935471872394</v>
      </c>
    </row>
    <row r="34" spans="1:82">
      <c r="A34" s="16">
        <f>+Chem!A33</f>
        <v>45955</v>
      </c>
      <c r="B34" s="6" t="str">
        <f>+Chem!B33</f>
        <v>Facial</v>
      </c>
      <c r="C34" s="16" t="str">
        <f>+Chem!C33</f>
        <v>12/13/13,5</v>
      </c>
      <c r="D34" s="8">
        <f>+Chem!D33</f>
        <v>53.856999999999999</v>
      </c>
      <c r="E34" s="7">
        <f>+Chem!E33</f>
        <v>45.805</v>
      </c>
      <c r="F34" s="7">
        <f t="shared" si="39"/>
        <v>1336.2809999999997</v>
      </c>
      <c r="G34" s="108"/>
      <c r="H34" s="10">
        <f t="shared" si="0"/>
        <v>0</v>
      </c>
      <c r="I34" s="8">
        <f t="shared" si="40"/>
        <v>0</v>
      </c>
      <c r="J34" s="10">
        <f t="shared" si="1"/>
        <v>0</v>
      </c>
      <c r="K34" s="108"/>
      <c r="L34" s="10">
        <f t="shared" si="2"/>
        <v>0</v>
      </c>
      <c r="M34" s="10">
        <f t="shared" si="41"/>
        <v>0</v>
      </c>
      <c r="N34" s="10">
        <f t="shared" si="3"/>
        <v>0</v>
      </c>
      <c r="O34" s="108">
        <v>0</v>
      </c>
      <c r="P34" s="10">
        <f t="shared" si="4"/>
        <v>0</v>
      </c>
      <c r="Q34" s="10">
        <f t="shared" si="42"/>
        <v>0</v>
      </c>
      <c r="R34" s="10">
        <f t="shared" si="5"/>
        <v>0</v>
      </c>
      <c r="S34" s="108">
        <f>20.42*S7</f>
        <v>5105</v>
      </c>
      <c r="T34" s="10">
        <f t="shared" si="6"/>
        <v>10.503034667215307</v>
      </c>
      <c r="U34" s="10">
        <f t="shared" si="43"/>
        <v>217312.5</v>
      </c>
      <c r="V34" s="10">
        <f t="shared" si="7"/>
        <v>15.740142515062011</v>
      </c>
      <c r="W34" s="108"/>
      <c r="X34" s="10">
        <f t="shared" si="8"/>
        <v>0</v>
      </c>
      <c r="Y34" s="10">
        <f t="shared" si="44"/>
        <v>0</v>
      </c>
      <c r="Z34" s="10">
        <f t="shared" si="9"/>
        <v>0</v>
      </c>
      <c r="AA34" s="108">
        <v>0</v>
      </c>
      <c r="AB34" s="10">
        <f t="shared" si="10"/>
        <v>0</v>
      </c>
      <c r="AC34" s="10">
        <f t="shared" si="45"/>
        <v>106050.89599999998</v>
      </c>
      <c r="AD34" s="10">
        <f t="shared" si="11"/>
        <v>7.6813630918148714</v>
      </c>
      <c r="AE34" s="10">
        <f t="shared" si="46"/>
        <v>5105</v>
      </c>
      <c r="AF34" s="10">
        <f t="shared" si="12"/>
        <v>10.503034667215307</v>
      </c>
      <c r="AG34" s="10">
        <f t="shared" si="47"/>
        <v>323363.39600000001</v>
      </c>
      <c r="AH34" s="10">
        <f t="shared" si="13"/>
        <v>23.421505606876885</v>
      </c>
      <c r="AI34" s="108">
        <v>0</v>
      </c>
      <c r="AJ34" s="10">
        <f t="shared" si="14"/>
        <v>0</v>
      </c>
      <c r="AK34" s="10">
        <f t="shared" si="48"/>
        <v>273565.63199999998</v>
      </c>
      <c r="AL34" s="10">
        <f t="shared" si="15"/>
        <v>19.81460815601039</v>
      </c>
      <c r="AM34" s="108"/>
      <c r="AN34" s="10">
        <f t="shared" si="16"/>
        <v>0</v>
      </c>
      <c r="AO34" s="10">
        <f t="shared" si="49"/>
        <v>0</v>
      </c>
      <c r="AP34" s="10">
        <f t="shared" si="17"/>
        <v>0</v>
      </c>
      <c r="AQ34" s="108">
        <f>174*AQ7</f>
        <v>43500</v>
      </c>
      <c r="AR34" s="10">
        <f t="shared" si="18"/>
        <v>89.496965332784697</v>
      </c>
      <c r="AS34" s="10">
        <f>AQ34+AS33</f>
        <v>615000</v>
      </c>
      <c r="AT34" s="10">
        <f t="shared" si="19"/>
        <v>44.545010741504228</v>
      </c>
      <c r="AU34" s="108"/>
      <c r="AV34" s="10">
        <f t="shared" si="20"/>
        <v>0</v>
      </c>
      <c r="AW34" s="10">
        <f t="shared" si="51"/>
        <v>0</v>
      </c>
      <c r="AX34" s="10">
        <f t="shared" si="21"/>
        <v>0</v>
      </c>
      <c r="AY34" s="108"/>
      <c r="AZ34" s="10">
        <f t="shared" si="22"/>
        <v>0</v>
      </c>
      <c r="BA34" s="10">
        <f t="shared" si="52"/>
        <v>0</v>
      </c>
      <c r="BB34" s="10">
        <f t="shared" si="23"/>
        <v>0</v>
      </c>
      <c r="BC34" s="10">
        <f t="shared" si="53"/>
        <v>43500</v>
      </c>
      <c r="BD34" s="10">
        <f t="shared" si="24"/>
        <v>89.496965332784697</v>
      </c>
      <c r="BE34" s="10">
        <f t="shared" si="54"/>
        <v>888565.63199999998</v>
      </c>
      <c r="BF34" s="10">
        <f t="shared" si="25"/>
        <v>64.359618897514608</v>
      </c>
      <c r="BG34" s="108"/>
      <c r="BH34" s="10">
        <f t="shared" si="26"/>
        <v>0</v>
      </c>
      <c r="BI34" s="10">
        <f t="shared" si="55"/>
        <v>0</v>
      </c>
      <c r="BJ34" s="10">
        <f t="shared" si="27"/>
        <v>0</v>
      </c>
      <c r="BK34" s="108"/>
      <c r="BL34" s="10">
        <f t="shared" si="28"/>
        <v>0</v>
      </c>
      <c r="BM34" s="10">
        <f t="shared" si="56"/>
        <v>168696.97200000001</v>
      </c>
      <c r="BN34" s="10">
        <f t="shared" si="29"/>
        <v>12.218875495608517</v>
      </c>
      <c r="BO34" s="108"/>
      <c r="BP34" s="15">
        <f t="shared" si="30"/>
        <v>0</v>
      </c>
      <c r="BQ34" s="10">
        <f t="shared" si="57"/>
        <v>0</v>
      </c>
      <c r="BR34" s="10">
        <f t="shared" si="31"/>
        <v>0</v>
      </c>
      <c r="BS34" s="10">
        <f t="shared" si="58"/>
        <v>0</v>
      </c>
      <c r="BT34" s="10">
        <f t="shared" si="32"/>
        <v>0</v>
      </c>
      <c r="BU34" s="10">
        <f t="shared" si="59"/>
        <v>168696.97200000001</v>
      </c>
      <c r="BV34" s="10">
        <f t="shared" si="33"/>
        <v>12.218875495608517</v>
      </c>
      <c r="BW34" s="108"/>
      <c r="BX34" s="10">
        <f t="shared" si="34"/>
        <v>0</v>
      </c>
      <c r="BY34" s="10">
        <f t="shared" si="60"/>
        <v>0</v>
      </c>
      <c r="BZ34" s="10">
        <f t="shared" si="35"/>
        <v>0</v>
      </c>
      <c r="CA34" s="10">
        <f t="shared" si="36"/>
        <v>48605</v>
      </c>
      <c r="CB34" s="10">
        <f t="shared" si="61"/>
        <v>1380625.9999999998</v>
      </c>
      <c r="CC34" s="10">
        <f t="shared" si="37"/>
        <v>1.0611286977404213</v>
      </c>
      <c r="CD34" s="10">
        <f t="shared" si="38"/>
        <v>1.0331853854092066</v>
      </c>
    </row>
    <row r="35" spans="1:82">
      <c r="A35" s="16">
        <f>+Chem!A34</f>
        <v>45956</v>
      </c>
      <c r="B35" s="6" t="str">
        <f>+Chem!B34</f>
        <v>Facial</v>
      </c>
      <c r="C35" s="16" t="str">
        <f>+Chem!C34</f>
        <v>12/14</v>
      </c>
      <c r="D35" s="8">
        <f>+Chem!D34</f>
        <v>53.692999999999998</v>
      </c>
      <c r="E35" s="7">
        <f>+Chem!E34</f>
        <v>43.750999999999998</v>
      </c>
      <c r="F35" s="7">
        <f t="shared" si="39"/>
        <v>1380.0319999999997</v>
      </c>
      <c r="G35" s="108"/>
      <c r="H35" s="10">
        <f t="shared" si="0"/>
        <v>0</v>
      </c>
      <c r="I35" s="8">
        <f t="shared" si="40"/>
        <v>0</v>
      </c>
      <c r="J35" s="10">
        <f t="shared" si="1"/>
        <v>0</v>
      </c>
      <c r="K35" s="108"/>
      <c r="L35" s="10">
        <f t="shared" si="2"/>
        <v>0</v>
      </c>
      <c r="M35" s="10">
        <f t="shared" si="41"/>
        <v>0</v>
      </c>
      <c r="N35" s="10">
        <f t="shared" si="3"/>
        <v>0</v>
      </c>
      <c r="O35" s="108">
        <v>0</v>
      </c>
      <c r="P35" s="10">
        <f t="shared" si="4"/>
        <v>0</v>
      </c>
      <c r="Q35" s="10">
        <f t="shared" si="42"/>
        <v>0</v>
      </c>
      <c r="R35" s="10">
        <f t="shared" si="5"/>
        <v>0</v>
      </c>
      <c r="S35" s="108">
        <f>18.84*S7</f>
        <v>4710</v>
      </c>
      <c r="T35" s="10">
        <f t="shared" si="6"/>
        <v>10.534556027734288</v>
      </c>
      <c r="U35" s="10">
        <f t="shared" si="43"/>
        <v>222022.5</v>
      </c>
      <c r="V35" s="10">
        <f t="shared" si="7"/>
        <v>15.576853457711026</v>
      </c>
      <c r="W35" s="108"/>
      <c r="X35" s="10">
        <f t="shared" si="8"/>
        <v>0</v>
      </c>
      <c r="Y35" s="10">
        <f t="shared" si="44"/>
        <v>0</v>
      </c>
      <c r="Z35" s="10">
        <f t="shared" si="9"/>
        <v>0</v>
      </c>
      <c r="AA35" s="108">
        <v>0</v>
      </c>
      <c r="AB35" s="10">
        <f t="shared" si="10"/>
        <v>0</v>
      </c>
      <c r="AC35" s="10">
        <f t="shared" si="45"/>
        <v>106050.89599999998</v>
      </c>
      <c r="AD35" s="10">
        <f t="shared" si="11"/>
        <v>7.4404137691042678</v>
      </c>
      <c r="AE35" s="10">
        <f t="shared" si="46"/>
        <v>4710</v>
      </c>
      <c r="AF35" s="10">
        <f t="shared" si="12"/>
        <v>10.534556027734288</v>
      </c>
      <c r="AG35" s="10">
        <f t="shared" si="47"/>
        <v>328073.39600000001</v>
      </c>
      <c r="AH35" s="10">
        <f t="shared" si="13"/>
        <v>23.017267226815296</v>
      </c>
      <c r="AI35" s="108">
        <v>0</v>
      </c>
      <c r="AJ35" s="10">
        <f t="shared" si="14"/>
        <v>0</v>
      </c>
      <c r="AK35" s="10">
        <f t="shared" si="48"/>
        <v>273565.63199999998</v>
      </c>
      <c r="AL35" s="10">
        <f t="shared" si="15"/>
        <v>19.193062688376639</v>
      </c>
      <c r="AM35" s="108"/>
      <c r="AN35" s="10">
        <f t="shared" si="16"/>
        <v>0</v>
      </c>
      <c r="AO35" s="10">
        <f t="shared" si="49"/>
        <v>0</v>
      </c>
      <c r="AP35" s="10">
        <f t="shared" si="17"/>
        <v>0</v>
      </c>
      <c r="AQ35" s="108">
        <f>160*AQ7</f>
        <v>40000</v>
      </c>
      <c r="AR35" s="10">
        <f t="shared" si="18"/>
        <v>89.465443972265717</v>
      </c>
      <c r="AS35" s="10">
        <f>AQ35+AS34</f>
        <v>655000</v>
      </c>
      <c r="AT35" s="10">
        <f t="shared" si="19"/>
        <v>45.954076793121068</v>
      </c>
      <c r="AU35" s="108"/>
      <c r="AV35" s="10">
        <f t="shared" si="20"/>
        <v>0</v>
      </c>
      <c r="AW35" s="10">
        <f t="shared" si="51"/>
        <v>0</v>
      </c>
      <c r="AX35" s="10">
        <f t="shared" si="21"/>
        <v>0</v>
      </c>
      <c r="AY35" s="108"/>
      <c r="AZ35" s="10">
        <f t="shared" si="22"/>
        <v>0</v>
      </c>
      <c r="BA35" s="10">
        <f t="shared" si="52"/>
        <v>0</v>
      </c>
      <c r="BB35" s="10">
        <f t="shared" si="23"/>
        <v>0</v>
      </c>
      <c r="BC35" s="10">
        <f t="shared" si="53"/>
        <v>40000</v>
      </c>
      <c r="BD35" s="10">
        <f t="shared" si="24"/>
        <v>89.465443972265717</v>
      </c>
      <c r="BE35" s="10">
        <f t="shared" si="54"/>
        <v>928565.63199999998</v>
      </c>
      <c r="BF35" s="10">
        <f t="shared" si="25"/>
        <v>65.147139481497703</v>
      </c>
      <c r="BG35" s="108"/>
      <c r="BH35" s="10">
        <f t="shared" si="26"/>
        <v>0</v>
      </c>
      <c r="BI35" s="10">
        <f t="shared" si="55"/>
        <v>0</v>
      </c>
      <c r="BJ35" s="10">
        <f t="shared" si="27"/>
        <v>0</v>
      </c>
      <c r="BK35" s="108"/>
      <c r="BL35" s="10">
        <f t="shared" si="28"/>
        <v>0</v>
      </c>
      <c r="BM35" s="10">
        <f t="shared" si="56"/>
        <v>168696.97200000001</v>
      </c>
      <c r="BN35" s="10">
        <f t="shared" si="29"/>
        <v>11.835593291687015</v>
      </c>
      <c r="BO35" s="108"/>
      <c r="BP35" s="15">
        <f t="shared" si="30"/>
        <v>0</v>
      </c>
      <c r="BQ35" s="10">
        <f t="shared" si="57"/>
        <v>0</v>
      </c>
      <c r="BR35" s="10">
        <f t="shared" si="31"/>
        <v>0</v>
      </c>
      <c r="BS35" s="10">
        <f t="shared" si="58"/>
        <v>0</v>
      </c>
      <c r="BT35" s="10">
        <f t="shared" si="32"/>
        <v>0</v>
      </c>
      <c r="BU35" s="10">
        <f t="shared" si="59"/>
        <v>168696.97200000001</v>
      </c>
      <c r="BV35" s="10">
        <f t="shared" si="33"/>
        <v>11.835593291687015</v>
      </c>
      <c r="BW35" s="108"/>
      <c r="BX35" s="10">
        <f t="shared" si="34"/>
        <v>0</v>
      </c>
      <c r="BY35" s="10">
        <f t="shared" si="60"/>
        <v>0</v>
      </c>
      <c r="BZ35" s="10">
        <f t="shared" si="35"/>
        <v>0</v>
      </c>
      <c r="CA35" s="10">
        <f t="shared" si="36"/>
        <v>44710</v>
      </c>
      <c r="CB35" s="10">
        <f t="shared" si="61"/>
        <v>1425335.9999999998</v>
      </c>
      <c r="CC35" s="10">
        <f t="shared" si="37"/>
        <v>1.0219194989828804</v>
      </c>
      <c r="CD35" s="10">
        <f t="shared" si="38"/>
        <v>1.0328282242730604</v>
      </c>
    </row>
    <row r="36" spans="1:82">
      <c r="A36" s="16">
        <f>+Chem!A35</f>
        <v>45957</v>
      </c>
      <c r="B36" s="6" t="str">
        <f>+Chem!B35</f>
        <v>Facial</v>
      </c>
      <c r="C36" s="16" t="str">
        <f>+Chem!C35</f>
        <v>14</v>
      </c>
      <c r="D36" s="8">
        <f>+Chem!D35</f>
        <v>57.25</v>
      </c>
      <c r="E36" s="7">
        <f>+Chem!E35</f>
        <v>51.003999999999998</v>
      </c>
      <c r="F36" s="7">
        <f t="shared" si="39"/>
        <v>1431.0359999999996</v>
      </c>
      <c r="G36" s="108"/>
      <c r="H36" s="10">
        <f t="shared" si="0"/>
        <v>0</v>
      </c>
      <c r="I36" s="8">
        <f t="shared" si="40"/>
        <v>0</v>
      </c>
      <c r="J36" s="10">
        <f t="shared" si="1"/>
        <v>0</v>
      </c>
      <c r="K36" s="108"/>
      <c r="L36" s="10">
        <f t="shared" si="2"/>
        <v>0</v>
      </c>
      <c r="M36" s="10">
        <f t="shared" si="41"/>
        <v>0</v>
      </c>
      <c r="N36" s="10">
        <f t="shared" si="3"/>
        <v>0</v>
      </c>
      <c r="O36" s="108">
        <v>0</v>
      </c>
      <c r="P36" s="10">
        <f t="shared" si="4"/>
        <v>0</v>
      </c>
      <c r="Q36" s="10">
        <f t="shared" si="42"/>
        <v>0</v>
      </c>
      <c r="R36" s="10">
        <f t="shared" si="5"/>
        <v>0</v>
      </c>
      <c r="S36" s="108">
        <f>33*S7</f>
        <v>8250</v>
      </c>
      <c r="T36" s="10">
        <f t="shared" si="6"/>
        <v>15.492957746478872</v>
      </c>
      <c r="U36" s="10">
        <f t="shared" si="43"/>
        <v>230272.5</v>
      </c>
      <c r="V36" s="10">
        <f t="shared" si="7"/>
        <v>15.573832026003224</v>
      </c>
      <c r="W36" s="108"/>
      <c r="X36" s="10">
        <f t="shared" si="8"/>
        <v>0</v>
      </c>
      <c r="Y36" s="10">
        <f t="shared" si="44"/>
        <v>0</v>
      </c>
      <c r="Z36" s="10">
        <f t="shared" si="9"/>
        <v>0</v>
      </c>
      <c r="AA36" s="108">
        <v>0</v>
      </c>
      <c r="AB36" s="10">
        <f t="shared" si="10"/>
        <v>0</v>
      </c>
      <c r="AC36" s="10">
        <f t="shared" si="45"/>
        <v>106050.89599999998</v>
      </c>
      <c r="AD36" s="10">
        <f t="shared" si="11"/>
        <v>7.1724536820989782</v>
      </c>
      <c r="AE36" s="10">
        <f t="shared" si="46"/>
        <v>8250</v>
      </c>
      <c r="AF36" s="10">
        <f t="shared" si="12"/>
        <v>15.492957746478872</v>
      </c>
      <c r="AG36" s="10">
        <f t="shared" si="47"/>
        <v>336323.39600000001</v>
      </c>
      <c r="AH36" s="10">
        <f t="shared" si="13"/>
        <v>22.746285708102203</v>
      </c>
      <c r="AI36" s="108">
        <v>0</v>
      </c>
      <c r="AJ36" s="10">
        <f t="shared" si="14"/>
        <v>0</v>
      </c>
      <c r="AK36" s="10">
        <f t="shared" si="48"/>
        <v>273565.63199999998</v>
      </c>
      <c r="AL36" s="10">
        <f t="shared" si="15"/>
        <v>18.501841083305269</v>
      </c>
      <c r="AM36" s="108"/>
      <c r="AN36" s="10">
        <f t="shared" si="16"/>
        <v>0</v>
      </c>
      <c r="AO36" s="10">
        <f t="shared" si="49"/>
        <v>0</v>
      </c>
      <c r="AP36" s="10">
        <f t="shared" si="17"/>
        <v>0</v>
      </c>
      <c r="AQ36" s="108">
        <f>180*AQ7</f>
        <v>45000</v>
      </c>
      <c r="AR36" s="10">
        <f t="shared" si="18"/>
        <v>84.507042253521121</v>
      </c>
      <c r="AS36" s="10">
        <f t="shared" si="50"/>
        <v>700000</v>
      </c>
      <c r="AT36" s="10">
        <f t="shared" si="19"/>
        <v>47.342528605032115</v>
      </c>
      <c r="AU36" s="108"/>
      <c r="AV36" s="10">
        <f t="shared" si="20"/>
        <v>0</v>
      </c>
      <c r="AW36" s="10">
        <f t="shared" si="51"/>
        <v>0</v>
      </c>
      <c r="AX36" s="10">
        <f t="shared" si="21"/>
        <v>0</v>
      </c>
      <c r="AY36" s="108"/>
      <c r="AZ36" s="10">
        <f t="shared" si="22"/>
        <v>0</v>
      </c>
      <c r="BA36" s="10">
        <f t="shared" si="52"/>
        <v>0</v>
      </c>
      <c r="BB36" s="10">
        <f t="shared" si="23"/>
        <v>0</v>
      </c>
      <c r="BC36" s="10">
        <f t="shared" si="53"/>
        <v>45000</v>
      </c>
      <c r="BD36" s="10">
        <f t="shared" si="24"/>
        <v>84.507042253521121</v>
      </c>
      <c r="BE36" s="10">
        <f t="shared" si="54"/>
        <v>973565.63199999998</v>
      </c>
      <c r="BF36" s="10">
        <f t="shared" si="25"/>
        <v>65.84436968833738</v>
      </c>
      <c r="BG36" s="108"/>
      <c r="BH36" s="10">
        <f t="shared" si="26"/>
        <v>0</v>
      </c>
      <c r="BI36" s="10">
        <f t="shared" si="55"/>
        <v>0</v>
      </c>
      <c r="BJ36" s="10">
        <f t="shared" si="27"/>
        <v>0</v>
      </c>
      <c r="BK36" s="108"/>
      <c r="BL36" s="10">
        <f t="shared" si="28"/>
        <v>0</v>
      </c>
      <c r="BM36" s="10">
        <f t="shared" si="56"/>
        <v>168696.97200000001</v>
      </c>
      <c r="BN36" s="10">
        <f t="shared" si="29"/>
        <v>11.409344603560431</v>
      </c>
      <c r="BO36" s="108"/>
      <c r="BP36" s="15">
        <f t="shared" si="30"/>
        <v>0</v>
      </c>
      <c r="BQ36" s="10">
        <f t="shared" si="57"/>
        <v>0</v>
      </c>
      <c r="BR36" s="10">
        <f t="shared" si="31"/>
        <v>0</v>
      </c>
      <c r="BS36" s="10">
        <f t="shared" si="58"/>
        <v>0</v>
      </c>
      <c r="BT36" s="10">
        <f t="shared" si="32"/>
        <v>0</v>
      </c>
      <c r="BU36" s="10">
        <f t="shared" si="59"/>
        <v>168696.97200000001</v>
      </c>
      <c r="BV36" s="10">
        <f t="shared" si="33"/>
        <v>11.409344603560431</v>
      </c>
      <c r="BW36" s="108"/>
      <c r="BX36" s="10">
        <f t="shared" si="34"/>
        <v>0</v>
      </c>
      <c r="BY36" s="10">
        <f t="shared" si="60"/>
        <v>0</v>
      </c>
      <c r="BZ36" s="10">
        <f t="shared" si="35"/>
        <v>0</v>
      </c>
      <c r="CA36" s="10">
        <f t="shared" si="36"/>
        <v>53250</v>
      </c>
      <c r="CB36" s="10">
        <f t="shared" si="61"/>
        <v>1478585.9999999998</v>
      </c>
      <c r="CC36" s="10">
        <f t="shared" si="37"/>
        <v>1.0440357619010274</v>
      </c>
      <c r="CD36" s="10">
        <f t="shared" si="38"/>
        <v>1.0332276756140308</v>
      </c>
    </row>
    <row r="37" spans="1:82">
      <c r="A37" s="16">
        <f>+Chem!A36</f>
        <v>45958</v>
      </c>
      <c r="B37" s="6" t="str">
        <f>+Chem!B36</f>
        <v>Facial</v>
      </c>
      <c r="C37" s="16" t="str">
        <f>+Chem!C36</f>
        <v>14/13</v>
      </c>
      <c r="D37" s="8">
        <f>+Chem!D36</f>
        <v>55.466000000000001</v>
      </c>
      <c r="E37" s="7">
        <f>+Chem!E36</f>
        <v>48.39</v>
      </c>
      <c r="F37" s="7">
        <f t="shared" si="39"/>
        <v>1479.4259999999997</v>
      </c>
      <c r="G37" s="108"/>
      <c r="H37" s="10">
        <f t="shared" si="0"/>
        <v>0</v>
      </c>
      <c r="I37" s="8">
        <f t="shared" si="40"/>
        <v>0</v>
      </c>
      <c r="J37" s="10">
        <f t="shared" si="1"/>
        <v>0</v>
      </c>
      <c r="K37" s="108"/>
      <c r="L37" s="10">
        <f t="shared" si="2"/>
        <v>0</v>
      </c>
      <c r="M37" s="10">
        <f t="shared" si="41"/>
        <v>0</v>
      </c>
      <c r="N37" s="10">
        <f t="shared" si="3"/>
        <v>0</v>
      </c>
      <c r="O37" s="108">
        <v>0</v>
      </c>
      <c r="P37" s="10">
        <f t="shared" si="4"/>
        <v>0</v>
      </c>
      <c r="Q37" s="10">
        <f t="shared" si="42"/>
        <v>0</v>
      </c>
      <c r="R37" s="10">
        <f t="shared" si="5"/>
        <v>0</v>
      </c>
      <c r="S37" s="108">
        <f>34.5*S7</f>
        <v>8625</v>
      </c>
      <c r="T37" s="10">
        <f t="shared" si="6"/>
        <v>16.235294117647058</v>
      </c>
      <c r="U37" s="10">
        <f t="shared" si="43"/>
        <v>238897.5</v>
      </c>
      <c r="V37" s="10">
        <f t="shared" si="7"/>
        <v>15.596773803935601</v>
      </c>
      <c r="W37" s="108"/>
      <c r="X37" s="10">
        <f t="shared" si="8"/>
        <v>0</v>
      </c>
      <c r="Y37" s="10">
        <f t="shared" si="44"/>
        <v>0</v>
      </c>
      <c r="Z37" s="10">
        <f t="shared" si="9"/>
        <v>0</v>
      </c>
      <c r="AA37" s="108">
        <v>0</v>
      </c>
      <c r="AB37" s="10">
        <f t="shared" si="10"/>
        <v>0</v>
      </c>
      <c r="AC37" s="10">
        <f t="shared" si="45"/>
        <v>106050.89599999998</v>
      </c>
      <c r="AD37" s="10">
        <f t="shared" si="11"/>
        <v>6.9236883459085945</v>
      </c>
      <c r="AE37" s="10">
        <f t="shared" si="46"/>
        <v>8625</v>
      </c>
      <c r="AF37" s="10">
        <f t="shared" si="12"/>
        <v>16.235294117647058</v>
      </c>
      <c r="AG37" s="10">
        <f t="shared" si="47"/>
        <v>344948.39600000001</v>
      </c>
      <c r="AH37" s="10">
        <f t="shared" si="13"/>
        <v>22.520462149844196</v>
      </c>
      <c r="AI37" s="108">
        <v>0</v>
      </c>
      <c r="AJ37" s="10">
        <f t="shared" si="14"/>
        <v>0</v>
      </c>
      <c r="AK37" s="10">
        <f t="shared" si="48"/>
        <v>273565.63199999998</v>
      </c>
      <c r="AL37" s="10">
        <f t="shared" si="15"/>
        <v>17.860133667512997</v>
      </c>
      <c r="AM37" s="108"/>
      <c r="AN37" s="10">
        <f t="shared" si="16"/>
        <v>0</v>
      </c>
      <c r="AO37" s="10">
        <f t="shared" si="49"/>
        <v>0</v>
      </c>
      <c r="AP37" s="10">
        <f t="shared" si="17"/>
        <v>0</v>
      </c>
      <c r="AQ37" s="108">
        <f>178*AQ7</f>
        <v>44500</v>
      </c>
      <c r="AR37" s="10">
        <f t="shared" si="18"/>
        <v>83.764705882352942</v>
      </c>
      <c r="AS37" s="10">
        <f t="shared" si="50"/>
        <v>744500</v>
      </c>
      <c r="AT37" s="10">
        <f t="shared" si="19"/>
        <v>48.605774849171944</v>
      </c>
      <c r="AU37" s="108"/>
      <c r="AV37" s="10">
        <f t="shared" si="20"/>
        <v>0</v>
      </c>
      <c r="AW37" s="10">
        <f t="shared" si="51"/>
        <v>0</v>
      </c>
      <c r="AX37" s="10">
        <f t="shared" si="21"/>
        <v>0</v>
      </c>
      <c r="AY37" s="108"/>
      <c r="AZ37" s="10">
        <f t="shared" si="22"/>
        <v>0</v>
      </c>
      <c r="BA37" s="10">
        <f t="shared" si="52"/>
        <v>0</v>
      </c>
      <c r="BB37" s="10">
        <f t="shared" si="23"/>
        <v>0</v>
      </c>
      <c r="BC37" s="10">
        <f t="shared" si="53"/>
        <v>44500</v>
      </c>
      <c r="BD37" s="10">
        <f t="shared" si="24"/>
        <v>83.764705882352942</v>
      </c>
      <c r="BE37" s="10">
        <f t="shared" si="54"/>
        <v>1018065.632</v>
      </c>
      <c r="BF37" s="10">
        <f t="shared" si="25"/>
        <v>66.465908516684948</v>
      </c>
      <c r="BG37" s="108"/>
      <c r="BH37" s="10">
        <f t="shared" si="26"/>
        <v>0</v>
      </c>
      <c r="BI37" s="10">
        <f t="shared" si="55"/>
        <v>0</v>
      </c>
      <c r="BJ37" s="10">
        <f t="shared" si="27"/>
        <v>0</v>
      </c>
      <c r="BK37" s="108"/>
      <c r="BL37" s="10">
        <f t="shared" si="28"/>
        <v>0</v>
      </c>
      <c r="BM37" s="10">
        <f t="shared" si="56"/>
        <v>168696.97200000001</v>
      </c>
      <c r="BN37" s="10">
        <f t="shared" si="29"/>
        <v>11.013629333470872</v>
      </c>
      <c r="BO37" s="108"/>
      <c r="BP37" s="15">
        <f t="shared" si="30"/>
        <v>0</v>
      </c>
      <c r="BQ37" s="10">
        <f t="shared" si="57"/>
        <v>0</v>
      </c>
      <c r="BR37" s="10">
        <f t="shared" si="31"/>
        <v>0</v>
      </c>
      <c r="BS37" s="10">
        <f t="shared" si="58"/>
        <v>0</v>
      </c>
      <c r="BT37" s="10">
        <f t="shared" si="32"/>
        <v>0</v>
      </c>
      <c r="BU37" s="10">
        <f t="shared" si="59"/>
        <v>168696.97200000001</v>
      </c>
      <c r="BV37" s="10">
        <f t="shared" si="33"/>
        <v>11.013629333470872</v>
      </c>
      <c r="BW37" s="108"/>
      <c r="BX37" s="10">
        <f t="shared" si="34"/>
        <v>0</v>
      </c>
      <c r="BY37" s="10">
        <f t="shared" si="60"/>
        <v>0</v>
      </c>
      <c r="BZ37" s="10">
        <f t="shared" si="35"/>
        <v>0</v>
      </c>
      <c r="CA37" s="10">
        <f t="shared" si="36"/>
        <v>53125</v>
      </c>
      <c r="CB37" s="10">
        <f t="shared" si="61"/>
        <v>1531710.9999999998</v>
      </c>
      <c r="CC37" s="10">
        <f t="shared" si="37"/>
        <v>1.0978507956189296</v>
      </c>
      <c r="CD37" s="10">
        <f t="shared" si="38"/>
        <v>1.0353414094385256</v>
      </c>
    </row>
    <row r="38" spans="1:82">
      <c r="A38" s="16">
        <f>+Chem!A37</f>
        <v>45959</v>
      </c>
      <c r="B38" s="6" t="str">
        <f>+Chem!B37</f>
        <v>Facial</v>
      </c>
      <c r="C38" s="16" t="str">
        <f>+Chem!C37</f>
        <v>13</v>
      </c>
      <c r="D38" s="8">
        <f>+Chem!D37</f>
        <v>57.948</v>
      </c>
      <c r="E38" s="7">
        <f>+Chem!E37</f>
        <v>61.749000000000002</v>
      </c>
      <c r="F38" s="7">
        <f t="shared" si="39"/>
        <v>1541.1749999999997</v>
      </c>
      <c r="G38" s="108"/>
      <c r="H38" s="10">
        <f t="shared" si="0"/>
        <v>0</v>
      </c>
      <c r="I38" s="8">
        <f t="shared" si="40"/>
        <v>0</v>
      </c>
      <c r="J38" s="10">
        <f t="shared" si="1"/>
        <v>0</v>
      </c>
      <c r="K38" s="108"/>
      <c r="L38" s="10">
        <f t="shared" si="2"/>
        <v>0</v>
      </c>
      <c r="M38" s="10">
        <f t="shared" si="41"/>
        <v>0</v>
      </c>
      <c r="N38" s="10">
        <f t="shared" si="3"/>
        <v>0</v>
      </c>
      <c r="O38" s="108">
        <v>0</v>
      </c>
      <c r="P38" s="10">
        <f t="shared" si="4"/>
        <v>0</v>
      </c>
      <c r="Q38" s="10">
        <f t="shared" si="42"/>
        <v>0</v>
      </c>
      <c r="R38" s="10">
        <f t="shared" si="5"/>
        <v>0</v>
      </c>
      <c r="S38" s="108">
        <f>34.5*S7</f>
        <v>8625</v>
      </c>
      <c r="T38" s="10">
        <f t="shared" si="6"/>
        <v>16.389548693586697</v>
      </c>
      <c r="U38" s="10">
        <f t="shared" si="43"/>
        <v>247522.5</v>
      </c>
      <c r="V38" s="10">
        <f t="shared" si="7"/>
        <v>15.623106462265582</v>
      </c>
      <c r="W38" s="108"/>
      <c r="X38" s="10">
        <f t="shared" si="8"/>
        <v>0</v>
      </c>
      <c r="Y38" s="10">
        <f t="shared" si="44"/>
        <v>0</v>
      </c>
      <c r="Z38" s="10">
        <f t="shared" si="9"/>
        <v>0</v>
      </c>
      <c r="AA38" s="108">
        <v>0</v>
      </c>
      <c r="AB38" s="10">
        <f t="shared" si="10"/>
        <v>0</v>
      </c>
      <c r="AC38" s="10">
        <f t="shared" si="45"/>
        <v>106050.89599999998</v>
      </c>
      <c r="AD38" s="10">
        <f t="shared" si="11"/>
        <v>6.693712444834933</v>
      </c>
      <c r="AE38" s="10">
        <f t="shared" si="46"/>
        <v>8625</v>
      </c>
      <c r="AF38" s="10">
        <f t="shared" si="12"/>
        <v>16.389548693586697</v>
      </c>
      <c r="AG38" s="10">
        <f t="shared" si="47"/>
        <v>353573.39600000001</v>
      </c>
      <c r="AH38" s="10">
        <f t="shared" si="13"/>
        <v>22.316818907100519</v>
      </c>
      <c r="AI38" s="108">
        <v>0</v>
      </c>
      <c r="AJ38" s="10">
        <f t="shared" si="14"/>
        <v>0</v>
      </c>
      <c r="AK38" s="10">
        <f t="shared" si="48"/>
        <v>273565.63199999998</v>
      </c>
      <c r="AL38" s="10">
        <f t="shared" si="15"/>
        <v>17.266894901081589</v>
      </c>
      <c r="AM38" s="108"/>
      <c r="AN38" s="10">
        <f t="shared" si="16"/>
        <v>0</v>
      </c>
      <c r="AO38" s="10">
        <f t="shared" si="49"/>
        <v>0</v>
      </c>
      <c r="AP38" s="10">
        <f t="shared" si="17"/>
        <v>0</v>
      </c>
      <c r="AQ38" s="108">
        <f>176*AQ7</f>
        <v>44000</v>
      </c>
      <c r="AR38" s="10">
        <f t="shared" si="18"/>
        <v>83.610451306413296</v>
      </c>
      <c r="AS38" s="10">
        <f t="shared" si="50"/>
        <v>788500</v>
      </c>
      <c r="AT38" s="10">
        <f t="shared" si="19"/>
        <v>49.768483453004926</v>
      </c>
      <c r="AU38" s="108"/>
      <c r="AV38" s="10">
        <f t="shared" si="20"/>
        <v>0</v>
      </c>
      <c r="AW38" s="10">
        <f t="shared" si="51"/>
        <v>0</v>
      </c>
      <c r="AX38" s="10">
        <f t="shared" si="21"/>
        <v>0</v>
      </c>
      <c r="AY38" s="108"/>
      <c r="AZ38" s="10">
        <f t="shared" si="22"/>
        <v>0</v>
      </c>
      <c r="BA38" s="10">
        <f t="shared" si="52"/>
        <v>0</v>
      </c>
      <c r="BB38" s="10">
        <f t="shared" si="23"/>
        <v>0</v>
      </c>
      <c r="BC38" s="10">
        <f t="shared" si="53"/>
        <v>44000</v>
      </c>
      <c r="BD38" s="10">
        <f t="shared" si="24"/>
        <v>83.610451306413296</v>
      </c>
      <c r="BE38" s="10">
        <f t="shared" si="54"/>
        <v>1062065.632</v>
      </c>
      <c r="BF38" s="10">
        <f t="shared" si="25"/>
        <v>67.035378354086518</v>
      </c>
      <c r="BG38" s="108"/>
      <c r="BH38" s="10">
        <f t="shared" si="26"/>
        <v>0</v>
      </c>
      <c r="BI38" s="10">
        <f t="shared" si="55"/>
        <v>0</v>
      </c>
      <c r="BJ38" s="10">
        <f t="shared" si="27"/>
        <v>0</v>
      </c>
      <c r="BK38" s="108"/>
      <c r="BL38" s="10">
        <f t="shared" si="28"/>
        <v>0</v>
      </c>
      <c r="BM38" s="10">
        <f t="shared" si="56"/>
        <v>168696.97200000001</v>
      </c>
      <c r="BN38" s="10">
        <f t="shared" si="29"/>
        <v>10.647802738812981</v>
      </c>
      <c r="BO38" s="108"/>
      <c r="BP38" s="15">
        <f t="shared" si="30"/>
        <v>0</v>
      </c>
      <c r="BQ38" s="10">
        <f t="shared" si="57"/>
        <v>0</v>
      </c>
      <c r="BR38" s="10">
        <f t="shared" si="31"/>
        <v>0</v>
      </c>
      <c r="BS38" s="10">
        <f t="shared" si="58"/>
        <v>0</v>
      </c>
      <c r="BT38" s="10">
        <f t="shared" si="32"/>
        <v>0</v>
      </c>
      <c r="BU38" s="10">
        <f t="shared" si="59"/>
        <v>168696.97200000001</v>
      </c>
      <c r="BV38" s="10">
        <f t="shared" si="33"/>
        <v>10.647802738812981</v>
      </c>
      <c r="BW38" s="108"/>
      <c r="BX38" s="10">
        <f t="shared" si="34"/>
        <v>0</v>
      </c>
      <c r="BY38" s="10">
        <f t="shared" si="60"/>
        <v>0</v>
      </c>
      <c r="BZ38" s="10">
        <f t="shared" si="35"/>
        <v>0</v>
      </c>
      <c r="CA38" s="10">
        <f t="shared" si="36"/>
        <v>52625</v>
      </c>
      <c r="CB38" s="10">
        <f t="shared" si="61"/>
        <v>1584335.9999999998</v>
      </c>
      <c r="CC38" s="10">
        <f t="shared" si="37"/>
        <v>0.85224052211371837</v>
      </c>
      <c r="CD38" s="10">
        <f t="shared" si="38"/>
        <v>1.028005255730206</v>
      </c>
    </row>
    <row r="39" spans="1:82">
      <c r="A39" s="16">
        <f>+Chem!A38</f>
        <v>45960</v>
      </c>
      <c r="B39" s="6" t="str">
        <f>+Chem!B38</f>
        <v>Facial/MG</v>
      </c>
      <c r="C39" s="16" t="str">
        <f>+Chem!C38</f>
        <v>13/15,5/22/17/16,5</v>
      </c>
      <c r="D39" s="8">
        <f>+Chem!D38</f>
        <v>64.97</v>
      </c>
      <c r="E39" s="7">
        <f>+Chem!E38</f>
        <v>53.747</v>
      </c>
      <c r="F39" s="7">
        <f t="shared" si="39"/>
        <v>1594.9219999999998</v>
      </c>
      <c r="G39" s="108"/>
      <c r="H39" s="10">
        <f t="shared" si="0"/>
        <v>0</v>
      </c>
      <c r="I39" s="8">
        <f t="shared" si="40"/>
        <v>0</v>
      </c>
      <c r="J39" s="10">
        <f t="shared" si="1"/>
        <v>0</v>
      </c>
      <c r="K39" s="108"/>
      <c r="L39" s="10">
        <f t="shared" si="2"/>
        <v>0</v>
      </c>
      <c r="M39" s="10">
        <f t="shared" si="41"/>
        <v>0</v>
      </c>
      <c r="N39" s="10">
        <f t="shared" si="3"/>
        <v>0</v>
      </c>
      <c r="O39" s="108">
        <v>0</v>
      </c>
      <c r="P39" s="10">
        <f t="shared" si="4"/>
        <v>0</v>
      </c>
      <c r="Q39" s="10">
        <f t="shared" si="42"/>
        <v>0</v>
      </c>
      <c r="R39" s="10">
        <f t="shared" si="5"/>
        <v>0</v>
      </c>
      <c r="S39" s="108">
        <f>75.5*S7</f>
        <v>18875</v>
      </c>
      <c r="T39" s="10">
        <f t="shared" si="6"/>
        <v>26.369676629388955</v>
      </c>
      <c r="U39" s="10">
        <f t="shared" si="43"/>
        <v>266397.5</v>
      </c>
      <c r="V39" s="10">
        <f t="shared" si="7"/>
        <v>16.087636866704084</v>
      </c>
      <c r="W39" s="108"/>
      <c r="X39" s="10">
        <f t="shared" si="8"/>
        <v>0</v>
      </c>
      <c r="Y39" s="10">
        <f t="shared" si="44"/>
        <v>0</v>
      </c>
      <c r="Z39" s="10">
        <f t="shared" si="9"/>
        <v>0</v>
      </c>
      <c r="AA39" s="108">
        <f>20*AA7</f>
        <v>4455.92</v>
      </c>
      <c r="AB39" s="10">
        <f t="shared" si="10"/>
        <v>6.2252275224596998</v>
      </c>
      <c r="AC39" s="10">
        <f t="shared" si="45"/>
        <v>110506.81599999998</v>
      </c>
      <c r="AD39" s="10">
        <f t="shared" si="11"/>
        <v>6.6734617520948367</v>
      </c>
      <c r="AE39" s="10">
        <f t="shared" si="46"/>
        <v>23330.92</v>
      </c>
      <c r="AF39" s="10">
        <f t="shared" si="12"/>
        <v>32.594904151848652</v>
      </c>
      <c r="AG39" s="10">
        <f t="shared" si="47"/>
        <v>376904.31599999999</v>
      </c>
      <c r="AH39" s="10">
        <f t="shared" si="13"/>
        <v>22.761098618798918</v>
      </c>
      <c r="AI39" s="108">
        <f>172*AI7</f>
        <v>43247.508000000002</v>
      </c>
      <c r="AJ39" s="10">
        <f t="shared" si="14"/>
        <v>60.419751045664206</v>
      </c>
      <c r="AK39" s="10">
        <f t="shared" si="48"/>
        <v>316813.14</v>
      </c>
      <c r="AL39" s="10">
        <f t="shared" si="15"/>
        <v>19.132216897381852</v>
      </c>
      <c r="AM39" s="108"/>
      <c r="AN39" s="10">
        <f t="shared" si="16"/>
        <v>0</v>
      </c>
      <c r="AO39" s="10">
        <f t="shared" si="49"/>
        <v>0</v>
      </c>
      <c r="AP39" s="10">
        <f t="shared" si="17"/>
        <v>0</v>
      </c>
      <c r="AQ39" s="108">
        <f>20*AQ7</f>
        <v>5000</v>
      </c>
      <c r="AR39" s="10">
        <f t="shared" si="18"/>
        <v>6.9853448024871412</v>
      </c>
      <c r="AS39" s="10">
        <f t="shared" si="50"/>
        <v>793500</v>
      </c>
      <c r="AT39" s="10">
        <f t="shared" si="19"/>
        <v>47.91914283628671</v>
      </c>
      <c r="AU39" s="108"/>
      <c r="AV39" s="10">
        <f t="shared" si="20"/>
        <v>0</v>
      </c>
      <c r="AW39" s="10">
        <f t="shared" si="51"/>
        <v>0</v>
      </c>
      <c r="AX39" s="10">
        <f t="shared" si="21"/>
        <v>0</v>
      </c>
      <c r="AY39" s="108"/>
      <c r="AZ39" s="10">
        <f t="shared" si="22"/>
        <v>0</v>
      </c>
      <c r="BA39" s="10">
        <f t="shared" si="52"/>
        <v>0</v>
      </c>
      <c r="BB39" s="10">
        <f t="shared" si="23"/>
        <v>0</v>
      </c>
      <c r="BC39" s="10">
        <f t="shared" si="53"/>
        <v>48247.508000000002</v>
      </c>
      <c r="BD39" s="10">
        <f t="shared" si="24"/>
        <v>67.405095848151348</v>
      </c>
      <c r="BE39" s="10">
        <f t="shared" si="54"/>
        <v>1110313.1399999999</v>
      </c>
      <c r="BF39" s="10">
        <f t="shared" si="25"/>
        <v>67.051359733668562</v>
      </c>
      <c r="BG39" s="108"/>
      <c r="BH39" s="10">
        <f t="shared" si="26"/>
        <v>0</v>
      </c>
      <c r="BI39" s="10">
        <f t="shared" si="55"/>
        <v>0</v>
      </c>
      <c r="BJ39" s="10">
        <f t="shared" si="27"/>
        <v>0</v>
      </c>
      <c r="BK39" s="108"/>
      <c r="BL39" s="10">
        <f t="shared" si="28"/>
        <v>0</v>
      </c>
      <c r="BM39" s="10">
        <f t="shared" si="56"/>
        <v>168696.97200000001</v>
      </c>
      <c r="BN39" s="10">
        <f t="shared" si="29"/>
        <v>10.187541647532527</v>
      </c>
      <c r="BO39" s="108"/>
      <c r="BP39" s="15">
        <f t="shared" si="30"/>
        <v>0</v>
      </c>
      <c r="BQ39" s="10">
        <f t="shared" si="57"/>
        <v>0</v>
      </c>
      <c r="BR39" s="10">
        <f t="shared" si="31"/>
        <v>0</v>
      </c>
      <c r="BS39" s="10">
        <f t="shared" si="58"/>
        <v>0</v>
      </c>
      <c r="BT39" s="10">
        <f t="shared" si="32"/>
        <v>0</v>
      </c>
      <c r="BU39" s="10">
        <f t="shared" si="59"/>
        <v>168696.97200000001</v>
      </c>
      <c r="BV39" s="10">
        <f t="shared" si="33"/>
        <v>10.187541647532527</v>
      </c>
      <c r="BW39" s="108"/>
      <c r="BX39" s="10">
        <f t="shared" si="34"/>
        <v>0</v>
      </c>
      <c r="BY39" s="10">
        <f t="shared" si="60"/>
        <v>0</v>
      </c>
      <c r="BZ39" s="10">
        <f t="shared" si="35"/>
        <v>0</v>
      </c>
      <c r="CA39" s="10">
        <f t="shared" si="36"/>
        <v>71578.428</v>
      </c>
      <c r="CB39" s="10">
        <f t="shared" si="61"/>
        <v>1655914.4279999998</v>
      </c>
      <c r="CC39" s="10">
        <f t="shared" si="37"/>
        <v>1.3317660148473405</v>
      </c>
      <c r="CD39" s="10">
        <f t="shared" si="38"/>
        <v>1.0382416368950957</v>
      </c>
    </row>
    <row r="40" spans="1:82">
      <c r="A40" s="16">
        <f>+Chem!A39</f>
        <v>45961</v>
      </c>
      <c r="B40" s="6" t="str">
        <f>+Chem!B39</f>
        <v>MG</v>
      </c>
      <c r="C40" s="16" t="str">
        <f>+Chem!C39</f>
        <v>16,5/14</v>
      </c>
      <c r="D40" s="8">
        <f>+Chem!D39</f>
        <v>65.960999999999999</v>
      </c>
      <c r="E40" s="7">
        <f>+Chem!E39</f>
        <v>60.962000000000003</v>
      </c>
      <c r="F40" s="7">
        <f>+E40+F39</f>
        <v>1655.8839999999998</v>
      </c>
      <c r="G40" s="108"/>
      <c r="H40" s="10">
        <f t="shared" si="0"/>
        <v>0</v>
      </c>
      <c r="I40" s="8">
        <f>G40+I39</f>
        <v>0</v>
      </c>
      <c r="J40" s="10">
        <f t="shared" si="1"/>
        <v>0</v>
      </c>
      <c r="K40" s="108"/>
      <c r="L40" s="10">
        <f t="shared" si="2"/>
        <v>0</v>
      </c>
      <c r="M40" s="10">
        <f>+K40+M39</f>
        <v>0</v>
      </c>
      <c r="N40" s="10">
        <f t="shared" si="3"/>
        <v>0</v>
      </c>
      <c r="O40" s="108">
        <f>76*O7</f>
        <v>19013.603999999999</v>
      </c>
      <c r="P40" s="10">
        <f t="shared" si="4"/>
        <v>27.45434446976202</v>
      </c>
      <c r="Q40" s="10">
        <f>+O40+Q39</f>
        <v>19013.603999999999</v>
      </c>
      <c r="R40" s="10">
        <f t="shared" si="5"/>
        <v>1.1021294353947486</v>
      </c>
      <c r="S40" s="108">
        <f>32*S7</f>
        <v>8000</v>
      </c>
      <c r="T40" s="10">
        <f t="shared" si="6"/>
        <v>11.551453146815099</v>
      </c>
      <c r="U40" s="10">
        <f>+S40+U39</f>
        <v>274397.5</v>
      </c>
      <c r="V40" s="10">
        <f t="shared" si="7"/>
        <v>15.905535938832561</v>
      </c>
      <c r="W40" s="108"/>
      <c r="X40" s="10">
        <f t="shared" si="8"/>
        <v>0</v>
      </c>
      <c r="Y40" s="10">
        <f>+W40+Y39</f>
        <v>0</v>
      </c>
      <c r="Z40" s="10">
        <f t="shared" si="9"/>
        <v>0</v>
      </c>
      <c r="AA40" s="108"/>
      <c r="AB40" s="10">
        <f t="shared" si="10"/>
        <v>0</v>
      </c>
      <c r="AC40" s="10">
        <f>AA40+AC39</f>
        <v>110506.81599999998</v>
      </c>
      <c r="AD40" s="10">
        <f t="shared" si="11"/>
        <v>6.4055617612185118</v>
      </c>
      <c r="AE40" s="10">
        <f t="shared" si="46"/>
        <v>27013.603999999999</v>
      </c>
      <c r="AF40" s="10">
        <f t="shared" si="12"/>
        <v>39.005797616577119</v>
      </c>
      <c r="AG40" s="10">
        <f>AE40+AG39</f>
        <v>403917.92</v>
      </c>
      <c r="AH40" s="10">
        <f t="shared" si="13"/>
        <v>23.413227135445819</v>
      </c>
      <c r="AI40" s="108">
        <f>168*AI7</f>
        <v>42241.752</v>
      </c>
      <c r="AJ40" s="10">
        <f t="shared" si="14"/>
        <v>60.994202383422881</v>
      </c>
      <c r="AK40" s="10">
        <f>AI40+AK39</f>
        <v>359054.89199999999</v>
      </c>
      <c r="AL40" s="10">
        <f t="shared" si="15"/>
        <v>20.812727844530809</v>
      </c>
      <c r="AM40" s="108"/>
      <c r="AN40" s="10">
        <f t="shared" si="16"/>
        <v>0</v>
      </c>
      <c r="AO40" s="10">
        <f>AM40+AO39</f>
        <v>0</v>
      </c>
      <c r="AP40" s="10">
        <f t="shared" si="17"/>
        <v>0</v>
      </c>
      <c r="AQ40" s="108"/>
      <c r="AR40" s="10">
        <f t="shared" si="18"/>
        <v>0</v>
      </c>
      <c r="AS40" s="10">
        <f>AQ40+AS39</f>
        <v>793500</v>
      </c>
      <c r="AT40" s="10">
        <f t="shared" si="19"/>
        <v>45.995472872251518</v>
      </c>
      <c r="AU40" s="108"/>
      <c r="AV40" s="10">
        <f t="shared" si="20"/>
        <v>0</v>
      </c>
      <c r="AW40" s="10">
        <f>AU40+AW39</f>
        <v>0</v>
      </c>
      <c r="AX40" s="10">
        <f t="shared" si="21"/>
        <v>0</v>
      </c>
      <c r="AY40" s="108"/>
      <c r="AZ40" s="10">
        <f t="shared" si="22"/>
        <v>0</v>
      </c>
      <c r="BA40" s="10">
        <f>AY40+BA39</f>
        <v>0</v>
      </c>
      <c r="BB40" s="10">
        <f t="shared" si="23"/>
        <v>0</v>
      </c>
      <c r="BC40" s="10">
        <f t="shared" si="53"/>
        <v>42241.752</v>
      </c>
      <c r="BD40" s="10">
        <f>BC40/CA40*100</f>
        <v>60.994202383422881</v>
      </c>
      <c r="BE40" s="10">
        <f>BC40+BE39</f>
        <v>1152554.892</v>
      </c>
      <c r="BF40" s="10">
        <f>BE40/CB40*100</f>
        <v>66.808200716782324</v>
      </c>
      <c r="BG40" s="108"/>
      <c r="BH40" s="10">
        <f>+BG40/CA40*100</f>
        <v>0</v>
      </c>
      <c r="BI40" s="10">
        <f>+BG40+BI39</f>
        <v>0</v>
      </c>
      <c r="BJ40" s="10">
        <f>+BI40/CB40*100</f>
        <v>0</v>
      </c>
      <c r="BK40" s="108"/>
      <c r="BL40" s="10">
        <f>BK40/CA40*100</f>
        <v>0</v>
      </c>
      <c r="BM40" s="10">
        <f>BK40+BM39</f>
        <v>168696.97200000001</v>
      </c>
      <c r="BN40" s="10">
        <f>BM40/CB40*100</f>
        <v>9.7785721477718646</v>
      </c>
      <c r="BO40" s="108"/>
      <c r="BP40" s="15">
        <f>BO40/CA40*100</f>
        <v>0</v>
      </c>
      <c r="BQ40" s="10">
        <f>BO40+BQ39</f>
        <v>0</v>
      </c>
      <c r="BR40" s="10">
        <f>BQ40/CB40*100</f>
        <v>0</v>
      </c>
      <c r="BS40" s="10">
        <f>BG40+BK40+BO40</f>
        <v>0</v>
      </c>
      <c r="BT40" s="10">
        <f>BS40/CA40*100</f>
        <v>0</v>
      </c>
      <c r="BU40" s="10">
        <f>BS40+BU39</f>
        <v>168696.97200000001</v>
      </c>
      <c r="BV40" s="10">
        <f>BU40/CB40*100</f>
        <v>9.7785721477718646</v>
      </c>
      <c r="BW40" s="108"/>
      <c r="BX40" s="10">
        <f>BW40/CA40*100</f>
        <v>0</v>
      </c>
      <c r="BY40" s="10">
        <f>BW40+BY39</f>
        <v>0</v>
      </c>
      <c r="BZ40" s="10">
        <f>BY40/CB40*100</f>
        <v>0</v>
      </c>
      <c r="CA40" s="10">
        <f t="shared" si="36"/>
        <v>69255.356</v>
      </c>
      <c r="CB40" s="10">
        <f>CA40+CB39</f>
        <v>1725169.7839999998</v>
      </c>
      <c r="CC40" s="10">
        <f t="shared" si="37"/>
        <v>1.1360414028411141</v>
      </c>
      <c r="CD40" s="10">
        <f t="shared" si="38"/>
        <v>1.041842172519331</v>
      </c>
    </row>
    <row r="41" spans="1:82">
      <c r="A41" s="16"/>
      <c r="B41" s="16"/>
      <c r="C41" s="16"/>
      <c r="D41" s="8"/>
      <c r="E41" s="7"/>
      <c r="F41" s="7"/>
      <c r="G41" s="108"/>
      <c r="H41" s="10"/>
      <c r="I41" s="8"/>
      <c r="J41" s="10"/>
      <c r="K41" s="108"/>
      <c r="L41" s="10"/>
      <c r="M41" s="10"/>
      <c r="N41" s="10"/>
      <c r="O41" s="108"/>
      <c r="P41" s="10"/>
      <c r="Q41" s="10"/>
      <c r="R41" s="10"/>
      <c r="S41" s="108"/>
      <c r="T41" s="10"/>
      <c r="U41" s="10"/>
      <c r="V41" s="10"/>
      <c r="W41" s="108"/>
      <c r="X41" s="10"/>
      <c r="Y41" s="10"/>
      <c r="Z41" s="10"/>
      <c r="AA41" s="108"/>
      <c r="AB41" s="10"/>
      <c r="AC41" s="10"/>
      <c r="AD41" s="10"/>
      <c r="AE41" s="10"/>
      <c r="AF41" s="10"/>
      <c r="AG41" s="10"/>
      <c r="AH41" s="10"/>
      <c r="AI41" s="108"/>
      <c r="AJ41" s="10"/>
      <c r="AK41" s="10"/>
      <c r="AL41" s="10"/>
      <c r="AM41" s="108"/>
      <c r="AN41" s="10"/>
      <c r="AO41" s="10"/>
      <c r="AP41" s="10"/>
      <c r="AQ41" s="108"/>
      <c r="AR41" s="10"/>
      <c r="AS41" s="10"/>
      <c r="AT41" s="10"/>
      <c r="AU41" s="108"/>
      <c r="AV41" s="10"/>
      <c r="AW41" s="10"/>
      <c r="AX41" s="10"/>
      <c r="AY41" s="108"/>
      <c r="AZ41" s="10"/>
      <c r="BA41" s="10"/>
      <c r="BB41" s="10"/>
      <c r="BC41" s="10"/>
      <c r="BD41" s="10"/>
      <c r="BE41" s="10"/>
      <c r="BF41" s="10"/>
      <c r="BG41" s="108"/>
      <c r="BH41" s="10"/>
      <c r="BI41" s="10"/>
      <c r="BJ41" s="10"/>
      <c r="BK41" s="108"/>
      <c r="BL41" s="10"/>
      <c r="BM41" s="10"/>
      <c r="BN41" s="10"/>
      <c r="BO41" s="108"/>
      <c r="BP41" s="15"/>
      <c r="BQ41" s="10"/>
      <c r="BR41" s="10"/>
      <c r="BS41" s="10"/>
      <c r="BT41" s="10"/>
      <c r="BU41" s="10"/>
      <c r="BV41" s="10"/>
      <c r="BW41" s="108"/>
      <c r="BX41" s="10"/>
      <c r="BY41" s="10"/>
      <c r="BZ41" s="10"/>
      <c r="CA41" s="10"/>
      <c r="CB41" s="10"/>
      <c r="CC41" s="10"/>
      <c r="CD41" s="10"/>
    </row>
    <row r="42" spans="1:82" ht="13.5" thickBot="1">
      <c r="A42" s="11" t="s">
        <v>28</v>
      </c>
      <c r="B42" s="11"/>
      <c r="C42" s="12"/>
      <c r="D42" s="12">
        <f>SUM(D10:D41)</f>
        <v>1762.4719999999998</v>
      </c>
      <c r="E42" s="12">
        <f>SUM(E10:E41)</f>
        <v>1655.8839999999998</v>
      </c>
      <c r="F42" s="12"/>
      <c r="G42" s="12">
        <f>SUM(G10:G41)</f>
        <v>0</v>
      </c>
      <c r="H42" s="12">
        <f>G42/CA42*100</f>
        <v>0</v>
      </c>
      <c r="I42" s="12"/>
      <c r="J42" s="12"/>
      <c r="K42" s="12">
        <f>SUM(K10:K41)</f>
        <v>0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>
        <f>SUM(AA10:AA41)</f>
        <v>110506.81599999998</v>
      </c>
      <c r="AB42" s="12">
        <f>+AA42/$CA$42*100</f>
        <v>6.4055617612185118</v>
      </c>
      <c r="AC42" s="12"/>
      <c r="AD42" s="12"/>
      <c r="AE42" s="12">
        <f>SUM(AE10:AE41)</f>
        <v>403917.92</v>
      </c>
      <c r="AF42" s="19">
        <f>AE42/$CA$42*100</f>
        <v>23.413227135445819</v>
      </c>
      <c r="AG42" s="12"/>
      <c r="AH42" s="12"/>
      <c r="AI42" s="12">
        <f>SUM(AI10:AI41)</f>
        <v>359054.89199999999</v>
      </c>
      <c r="AJ42" s="12">
        <f>AI42/$CA$42*100</f>
        <v>20.812727844530809</v>
      </c>
      <c r="AK42" s="12"/>
      <c r="AL42" s="12"/>
      <c r="AM42" s="12">
        <f>SUM(AM10:AM41)</f>
        <v>0</v>
      </c>
      <c r="AN42" s="12">
        <f>AM42/$CA$42*100</f>
        <v>0</v>
      </c>
      <c r="AO42" s="12"/>
      <c r="AP42" s="12"/>
      <c r="AQ42" s="12">
        <f>SUM(AQ10:AQ41)</f>
        <v>793500</v>
      </c>
      <c r="AR42" s="12">
        <f>AQ42/$CA$42*100</f>
        <v>45.995472872251518</v>
      </c>
      <c r="AS42" s="12"/>
      <c r="AT42" s="12"/>
      <c r="AU42" s="12">
        <f>SUM(AU10:AU41)</f>
        <v>0</v>
      </c>
      <c r="AV42" s="12">
        <f>AU42/$CA$42*100</f>
        <v>0</v>
      </c>
      <c r="AW42" s="12"/>
      <c r="AX42" s="12"/>
      <c r="AY42" s="12">
        <f>SUM(AY10:AY41)</f>
        <v>0</v>
      </c>
      <c r="AZ42" s="12">
        <f>AY42/$CA$42*100</f>
        <v>0</v>
      </c>
      <c r="BA42" s="12"/>
      <c r="BB42" s="12"/>
      <c r="BC42" s="12">
        <f>SUM(BC10:BC41)</f>
        <v>1152554.892</v>
      </c>
      <c r="BD42" s="12">
        <f>BC42/$CA$42*100</f>
        <v>66.808200716782324</v>
      </c>
      <c r="BE42" s="12"/>
      <c r="BF42" s="12"/>
      <c r="BG42" s="12">
        <f>SUM(BG10:BG41)</f>
        <v>0</v>
      </c>
      <c r="BH42" s="12">
        <f>BG42/$CA$42*100</f>
        <v>0</v>
      </c>
      <c r="BI42" s="12"/>
      <c r="BJ42" s="12"/>
      <c r="BK42" s="12">
        <f>SUM(BK10:BK41)</f>
        <v>168696.97200000001</v>
      </c>
      <c r="BL42" s="12">
        <f>BK42/$CA$42*100</f>
        <v>9.7785721477718646</v>
      </c>
      <c r="BM42" s="12"/>
      <c r="BN42" s="12"/>
      <c r="BO42" s="12">
        <f>SUM(BO10:BO41)</f>
        <v>0</v>
      </c>
      <c r="BP42" s="12">
        <f>BO42/$CA$42*100</f>
        <v>0</v>
      </c>
      <c r="BQ42" s="12"/>
      <c r="BR42" s="12"/>
      <c r="BS42" s="12">
        <f>SUM(BS10:BS41)</f>
        <v>168696.97200000001</v>
      </c>
      <c r="BT42" s="12">
        <f>BS42/$CA$42*100</f>
        <v>9.7785721477718646</v>
      </c>
      <c r="BU42" s="12"/>
      <c r="BV42" s="12"/>
      <c r="BW42" s="12">
        <f>SUM(BW10:BW41)</f>
        <v>0</v>
      </c>
      <c r="BX42" s="12">
        <f>BW42/$CA$42*100</f>
        <v>0</v>
      </c>
      <c r="BY42" s="12"/>
      <c r="BZ42" s="12"/>
      <c r="CA42" s="12">
        <f>SUM(CA10:CA41)</f>
        <v>1725169.7839999998</v>
      </c>
      <c r="CB42" s="12">
        <f>CA42/$CA$42*100</f>
        <v>100</v>
      </c>
      <c r="CC42" s="12">
        <f>CA42/1000/E42</f>
        <v>1.041842172519331</v>
      </c>
      <c r="CD42" s="12"/>
    </row>
    <row r="43" spans="1:82" ht="13.5" thickTop="1"/>
    <row r="44" spans="1:82">
      <c r="AQ44" s="13"/>
      <c r="AU44" s="13"/>
      <c r="BT44" s="13"/>
      <c r="BW44" s="13"/>
      <c r="BX44" s="13"/>
    </row>
    <row r="45" spans="1:82">
      <c r="E45" s="13"/>
      <c r="F45" s="13"/>
      <c r="G45" s="13"/>
      <c r="I45" s="13"/>
      <c r="AQ45" s="13"/>
      <c r="AU45" s="13"/>
      <c r="BW45" s="13"/>
    </row>
  </sheetData>
  <mergeCells count="25">
    <mergeCell ref="AE8:AH8"/>
    <mergeCell ref="S8:V8"/>
    <mergeCell ref="AA8:AD8"/>
    <mergeCell ref="A8:A9"/>
    <mergeCell ref="B8:B9"/>
    <mergeCell ref="C8:C9"/>
    <mergeCell ref="K8:N8"/>
    <mergeCell ref="G8:J8"/>
    <mergeCell ref="D8:D9"/>
    <mergeCell ref="E8:F8"/>
    <mergeCell ref="O8:R8"/>
    <mergeCell ref="W8:Z8"/>
    <mergeCell ref="AI8:AL8"/>
    <mergeCell ref="AM8:AP8"/>
    <mergeCell ref="CC8:CD8"/>
    <mergeCell ref="BK8:BN8"/>
    <mergeCell ref="BS8:BV8"/>
    <mergeCell ref="BW8:BZ8"/>
    <mergeCell ref="CA8:CB8"/>
    <mergeCell ref="BO8:BR8"/>
    <mergeCell ref="BG8:BJ8"/>
    <mergeCell ref="BC8:BF8"/>
    <mergeCell ref="AQ8:AT8"/>
    <mergeCell ref="AY8:BB8"/>
    <mergeCell ref="AU8:AX8"/>
  </mergeCells>
  <phoneticPr fontId="31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45"/>
  <sheetViews>
    <sheetView tabSelected="1" zoomScale="85" workbookViewId="0">
      <pane xSplit="5" ySplit="8" topLeftCell="F9" activePane="bottomRight" state="frozen"/>
      <selection pane="topRight" activeCell="E1" sqref="E1"/>
      <selection pane="bottomLeft" activeCell="A9" sqref="A9"/>
      <selection pane="bottomRight" activeCell="F13" sqref="F13"/>
    </sheetView>
  </sheetViews>
  <sheetFormatPr defaultColWidth="10.42578125" defaultRowHeight="15" customHeight="1"/>
  <cols>
    <col min="1" max="1" width="8.140625" style="272" customWidth="1"/>
    <col min="2" max="2" width="13.5703125" style="272" customWidth="1"/>
    <col min="3" max="3" width="13.28515625" style="273" customWidth="1"/>
    <col min="4" max="4" width="11.140625" style="273" customWidth="1"/>
    <col min="5" max="5" width="11" style="274" customWidth="1"/>
    <col min="6" max="17" width="12.42578125" style="532" customWidth="1"/>
    <col min="18" max="20" width="12.42578125" style="532" hidden="1" customWidth="1"/>
    <col min="21" max="23" width="12.42578125" style="532" customWidth="1"/>
    <col min="24" max="32" width="12.42578125" style="532" hidden="1" customWidth="1"/>
    <col min="33" max="44" width="12.42578125" style="532" customWidth="1"/>
    <col min="45" max="47" width="12.42578125" style="532" hidden="1" customWidth="1"/>
    <col min="48" max="56" width="12.42578125" style="532" customWidth="1"/>
    <col min="57" max="65" width="12.42578125" style="532" hidden="1" customWidth="1"/>
    <col min="66" max="86" width="12.42578125" style="532" customWidth="1"/>
    <col min="87" max="110" width="12.42578125" style="532" hidden="1" customWidth="1"/>
    <col min="111" max="113" width="12.42578125" style="532" customWidth="1"/>
    <col min="114" max="131" width="12.42578125" style="532" hidden="1" customWidth="1"/>
    <col min="132" max="140" width="12.42578125" style="532" customWidth="1"/>
    <col min="141" max="269" width="12.42578125" style="532" hidden="1" customWidth="1"/>
    <col min="270" max="303" width="5.5703125" style="532" hidden="1" customWidth="1"/>
    <col min="304" max="304" width="8.7109375" style="532" hidden="1" customWidth="1"/>
    <col min="305" max="305" width="7.7109375" style="532" hidden="1" customWidth="1"/>
    <col min="306" max="306" width="21" style="532" bestFit="1" customWidth="1"/>
    <col min="307" max="307" width="19.85546875" style="532" bestFit="1" customWidth="1"/>
    <col min="308" max="16384" width="10.42578125" style="272"/>
  </cols>
  <sheetData>
    <row r="1" spans="1:308" ht="15" customHeight="1">
      <c r="A1" s="268"/>
      <c r="B1" s="269"/>
      <c r="C1" s="270"/>
      <c r="D1" s="270"/>
      <c r="E1" s="271"/>
    </row>
    <row r="2" spans="1:308" ht="15" customHeight="1">
      <c r="A2" s="268"/>
    </row>
    <row r="3" spans="1:308" ht="15" customHeight="1">
      <c r="A3" s="276"/>
    </row>
    <row r="4" spans="1:308" ht="15" customHeight="1">
      <c r="A4" s="517" t="s">
        <v>328</v>
      </c>
    </row>
    <row r="5" spans="1:308" ht="15" customHeight="1" thickBot="1">
      <c r="F5" s="1029" t="s">
        <v>341</v>
      </c>
      <c r="G5" s="1030"/>
      <c r="H5" s="1030"/>
      <c r="I5" s="1030"/>
      <c r="J5" s="1030"/>
      <c r="K5" s="1030"/>
      <c r="L5" s="1030"/>
      <c r="M5" s="1030"/>
      <c r="N5" s="1030"/>
      <c r="O5" s="1030"/>
      <c r="P5" s="1030"/>
      <c r="Q5" s="1030"/>
      <c r="R5" s="1030"/>
      <c r="S5" s="1030"/>
      <c r="T5" s="1030"/>
      <c r="U5" s="1030"/>
      <c r="V5" s="1030"/>
      <c r="W5" s="1030"/>
      <c r="X5" s="1030"/>
      <c r="Y5" s="1030"/>
      <c r="Z5" s="1030"/>
      <c r="AA5" s="1030"/>
      <c r="AB5" s="1030"/>
      <c r="AC5" s="1030"/>
      <c r="AD5" s="1030"/>
      <c r="AE5" s="1030"/>
      <c r="AF5" s="1030"/>
      <c r="AG5" s="1030"/>
      <c r="AH5" s="1030"/>
      <c r="AI5" s="1030"/>
      <c r="AJ5" s="1030"/>
      <c r="AK5" s="1030"/>
      <c r="AL5" s="1030"/>
      <c r="AM5" s="1030"/>
      <c r="AN5" s="1030"/>
      <c r="AO5" s="1030"/>
      <c r="AP5" s="1030"/>
      <c r="AQ5" s="1030"/>
      <c r="AR5" s="1030"/>
      <c r="AS5" s="1030"/>
      <c r="AT5" s="1030"/>
      <c r="AU5" s="1030"/>
      <c r="AV5" s="1030"/>
      <c r="AW5" s="1030"/>
      <c r="AX5" s="1030"/>
      <c r="AY5" s="1030"/>
      <c r="AZ5" s="1030"/>
      <c r="BA5" s="1030"/>
      <c r="BB5" s="1030"/>
      <c r="BC5" s="1030"/>
      <c r="BD5" s="1030"/>
      <c r="BE5" s="1030"/>
      <c r="BF5" s="1030"/>
      <c r="BG5" s="1030"/>
      <c r="BH5" s="1030"/>
      <c r="BI5" s="1030"/>
      <c r="BJ5" s="1030"/>
      <c r="BK5" s="1030"/>
      <c r="BL5" s="1030"/>
      <c r="BM5" s="1030"/>
      <c r="BN5" s="1030"/>
      <c r="BO5" s="1030"/>
      <c r="BP5" s="1030"/>
      <c r="BQ5" s="1030"/>
      <c r="BR5" s="1030"/>
      <c r="BS5" s="1030"/>
      <c r="BT5" s="1030"/>
      <c r="BU5" s="1030"/>
      <c r="BV5" s="1030"/>
      <c r="BW5" s="1030"/>
      <c r="BX5" s="1030"/>
      <c r="BY5" s="1030"/>
      <c r="BZ5" s="1030"/>
      <c r="CA5" s="1030"/>
      <c r="CB5" s="1030"/>
      <c r="CC5" s="1030"/>
      <c r="CD5" s="1030"/>
      <c r="CE5" s="1030"/>
      <c r="CF5" s="1030"/>
      <c r="CG5" s="1030"/>
      <c r="CH5" s="1030"/>
      <c r="CI5" s="1030"/>
      <c r="CJ5" s="1030"/>
      <c r="CK5" s="1030"/>
      <c r="CL5" s="1030"/>
      <c r="CM5" s="1030"/>
      <c r="CN5" s="1030"/>
      <c r="CO5" s="1030"/>
      <c r="CP5" s="1030"/>
      <c r="CQ5" s="1030"/>
      <c r="CR5" s="1030"/>
      <c r="CS5" s="1030"/>
      <c r="CT5" s="1030"/>
      <c r="CU5" s="1030"/>
      <c r="CV5" s="1030"/>
      <c r="CW5" s="1030"/>
      <c r="CX5" s="1030"/>
      <c r="CY5" s="1030"/>
      <c r="CZ5" s="1030"/>
      <c r="DA5" s="1030"/>
      <c r="DB5" s="1030"/>
      <c r="DC5" s="1030"/>
      <c r="DD5" s="1030"/>
      <c r="DE5" s="1030"/>
      <c r="DF5" s="1030"/>
      <c r="DG5" s="1030"/>
      <c r="DH5" s="1030"/>
      <c r="DI5" s="1030"/>
      <c r="DJ5" s="1030"/>
      <c r="DK5" s="1030"/>
      <c r="DL5" s="1030"/>
      <c r="DM5" s="1030"/>
      <c r="DN5" s="1030"/>
      <c r="DO5" s="1030"/>
      <c r="DP5" s="1030"/>
      <c r="DQ5" s="1030"/>
      <c r="DR5" s="1030"/>
      <c r="DS5" s="1030"/>
      <c r="DT5" s="1030"/>
      <c r="DU5" s="1030"/>
      <c r="DV5" s="1030"/>
      <c r="DW5" s="1030"/>
      <c r="DX5" s="1030"/>
      <c r="DY5" s="1030"/>
      <c r="DZ5" s="1030"/>
      <c r="EA5" s="1030"/>
      <c r="EB5" s="1030"/>
      <c r="EC5" s="1030"/>
      <c r="ED5" s="1030"/>
      <c r="EE5" s="1030"/>
      <c r="EF5" s="1030"/>
      <c r="EG5" s="1030"/>
      <c r="EH5" s="1030"/>
      <c r="EI5" s="1030"/>
      <c r="EJ5" s="1030"/>
      <c r="EK5" s="1030"/>
      <c r="EL5" s="1030"/>
      <c r="EM5" s="1030"/>
      <c r="EN5" s="1030"/>
      <c r="EO5" s="1030"/>
      <c r="EP5" s="1030"/>
      <c r="EQ5" s="1030"/>
      <c r="ER5" s="1030"/>
      <c r="ES5" s="1030"/>
      <c r="ET5" s="1030"/>
      <c r="EU5" s="1030"/>
      <c r="EV5" s="1030"/>
      <c r="EW5" s="1030"/>
      <c r="EX5" s="1030"/>
      <c r="EY5" s="1030"/>
      <c r="EZ5" s="1030"/>
      <c r="FA5" s="1030"/>
      <c r="FB5" s="1030"/>
      <c r="FC5" s="1030"/>
      <c r="FD5" s="1030"/>
      <c r="FE5" s="1030"/>
      <c r="FF5" s="1030"/>
      <c r="FG5" s="1030"/>
      <c r="FH5" s="1030"/>
      <c r="FI5" s="1030"/>
      <c r="FJ5" s="1030"/>
      <c r="FK5" s="1030"/>
      <c r="FL5" s="1030"/>
      <c r="FM5" s="1030"/>
      <c r="FN5" s="1030"/>
      <c r="FO5" s="1030"/>
      <c r="FP5" s="1030"/>
      <c r="FQ5" s="1030"/>
      <c r="FR5" s="1030"/>
      <c r="FS5" s="1030"/>
      <c r="FT5" s="1030"/>
      <c r="FU5" s="1030"/>
      <c r="FV5" s="1030"/>
      <c r="FW5" s="1030"/>
      <c r="FX5" s="1030"/>
      <c r="FY5" s="1030"/>
      <c r="FZ5" s="1030"/>
      <c r="GA5" s="1030"/>
      <c r="GB5" s="1030"/>
      <c r="GC5" s="1031"/>
      <c r="GD5" s="979" t="s">
        <v>342</v>
      </c>
      <c r="GE5" s="980"/>
      <c r="GF5" s="980"/>
      <c r="GG5" s="980"/>
      <c r="GH5" s="980"/>
      <c r="GI5" s="980"/>
      <c r="GJ5" s="980"/>
      <c r="GK5" s="980"/>
      <c r="GL5" s="980"/>
      <c r="GM5" s="980"/>
      <c r="GN5" s="980"/>
      <c r="GO5" s="980"/>
      <c r="GP5" s="980"/>
      <c r="GQ5" s="980"/>
      <c r="GR5" s="980"/>
      <c r="GS5" s="980"/>
      <c r="GT5" s="980"/>
      <c r="GU5" s="980"/>
      <c r="GV5" s="980"/>
      <c r="GW5" s="980"/>
      <c r="GX5" s="980"/>
      <c r="GY5" s="980"/>
      <c r="GZ5" s="980"/>
      <c r="HA5" s="980"/>
      <c r="HB5" s="980"/>
      <c r="HC5" s="980"/>
      <c r="HD5" s="980"/>
      <c r="HE5" s="980"/>
      <c r="HF5" s="980"/>
      <c r="HG5" s="980"/>
      <c r="HH5" s="980"/>
      <c r="HI5" s="980"/>
      <c r="HJ5" s="980"/>
      <c r="HK5" s="980"/>
      <c r="HL5" s="980"/>
      <c r="HM5" s="980"/>
      <c r="HN5" s="980"/>
      <c r="HO5" s="980"/>
      <c r="HP5" s="980"/>
      <c r="HQ5" s="980"/>
      <c r="HR5" s="980"/>
      <c r="HS5" s="980"/>
      <c r="HT5" s="980"/>
      <c r="HU5" s="980"/>
      <c r="HV5" s="980"/>
      <c r="HW5" s="980"/>
      <c r="HX5" s="980"/>
      <c r="HY5" s="980"/>
      <c r="HZ5" s="980"/>
      <c r="IA5" s="980"/>
      <c r="IB5" s="980"/>
      <c r="IC5" s="980"/>
      <c r="ID5" s="980"/>
      <c r="IE5" s="980"/>
      <c r="IF5" s="980"/>
      <c r="IG5" s="980"/>
      <c r="IH5" s="980"/>
      <c r="II5" s="980"/>
      <c r="IJ5" s="980"/>
      <c r="IK5" s="980"/>
      <c r="IL5" s="980"/>
      <c r="IM5" s="980"/>
      <c r="IN5" s="980"/>
      <c r="IO5" s="980"/>
      <c r="IP5" s="980"/>
      <c r="IQ5" s="980"/>
      <c r="IR5" s="980"/>
      <c r="IS5" s="980"/>
      <c r="IT5" s="980"/>
      <c r="IU5" s="980"/>
      <c r="IV5" s="980"/>
      <c r="IW5" s="980"/>
      <c r="IX5" s="980"/>
      <c r="IY5" s="980"/>
      <c r="IZ5" s="980"/>
      <c r="JA5" s="980"/>
      <c r="JB5" s="980"/>
      <c r="JC5" s="980"/>
      <c r="JD5" s="980"/>
      <c r="JE5" s="980"/>
      <c r="JF5" s="980"/>
      <c r="JG5" s="980"/>
      <c r="JH5" s="980"/>
      <c r="JI5" s="980"/>
      <c r="JJ5" s="980"/>
      <c r="JK5" s="980"/>
      <c r="JL5" s="980"/>
      <c r="JM5" s="980"/>
      <c r="JN5" s="980"/>
      <c r="JO5" s="980"/>
      <c r="JP5" s="980"/>
      <c r="JQ5" s="980"/>
      <c r="JR5" s="980"/>
      <c r="JS5" s="980"/>
      <c r="JT5" s="980"/>
      <c r="JU5" s="980"/>
      <c r="JV5" s="980"/>
      <c r="JW5" s="980"/>
      <c r="JX5" s="980"/>
      <c r="JY5" s="980"/>
      <c r="JZ5" s="980"/>
      <c r="KA5" s="980"/>
      <c r="KB5" s="980"/>
      <c r="KC5" s="980"/>
      <c r="KD5" s="980"/>
      <c r="KE5" s="980"/>
      <c r="KF5" s="980"/>
      <c r="KG5" s="980"/>
      <c r="KH5" s="980"/>
      <c r="KI5" s="980"/>
      <c r="KJ5" s="980"/>
      <c r="KK5" s="980"/>
      <c r="KL5" s="980"/>
      <c r="KM5" s="980"/>
      <c r="KN5" s="980"/>
      <c r="KO5" s="980"/>
      <c r="KP5" s="980"/>
      <c r="KQ5" s="980"/>
      <c r="KR5" s="980"/>
      <c r="KS5" s="981"/>
      <c r="KT5" s="962" t="s">
        <v>343</v>
      </c>
      <c r="KU5" s="962" t="s">
        <v>342</v>
      </c>
    </row>
    <row r="6" spans="1:308" ht="15" customHeight="1">
      <c r="A6" s="976" t="s">
        <v>30</v>
      </c>
      <c r="B6" s="967" t="s">
        <v>4</v>
      </c>
      <c r="C6" s="967" t="s">
        <v>5</v>
      </c>
      <c r="D6" s="973" t="s">
        <v>41</v>
      </c>
      <c r="E6" s="970" t="s">
        <v>39</v>
      </c>
      <c r="F6" s="955" t="s">
        <v>344</v>
      </c>
      <c r="G6" s="963"/>
      <c r="H6" s="956"/>
      <c r="I6" s="955" t="s">
        <v>345</v>
      </c>
      <c r="J6" s="963"/>
      <c r="K6" s="956"/>
      <c r="L6" s="955" t="s">
        <v>346</v>
      </c>
      <c r="M6" s="963"/>
      <c r="N6" s="956"/>
      <c r="O6" s="955" t="s">
        <v>347</v>
      </c>
      <c r="P6" s="963"/>
      <c r="Q6" s="956"/>
      <c r="R6" s="955" t="s">
        <v>348</v>
      </c>
      <c r="S6" s="963"/>
      <c r="T6" s="956"/>
      <c r="U6" s="955" t="s">
        <v>349</v>
      </c>
      <c r="V6" s="963"/>
      <c r="W6" s="956"/>
      <c r="X6" s="955" t="s">
        <v>350</v>
      </c>
      <c r="Y6" s="963"/>
      <c r="Z6" s="956"/>
      <c r="AA6" s="955" t="s">
        <v>351</v>
      </c>
      <c r="AB6" s="963"/>
      <c r="AC6" s="956"/>
      <c r="AD6" s="955" t="s">
        <v>352</v>
      </c>
      <c r="AE6" s="963"/>
      <c r="AF6" s="956"/>
      <c r="AG6" s="955" t="s">
        <v>353</v>
      </c>
      <c r="AH6" s="963"/>
      <c r="AI6" s="956"/>
      <c r="AJ6" s="955" t="s">
        <v>354</v>
      </c>
      <c r="AK6" s="963"/>
      <c r="AL6" s="956"/>
      <c r="AM6" s="955" t="s">
        <v>355</v>
      </c>
      <c r="AN6" s="963"/>
      <c r="AO6" s="956"/>
      <c r="AP6" s="955" t="s">
        <v>356</v>
      </c>
      <c r="AQ6" s="963"/>
      <c r="AR6" s="956"/>
      <c r="AS6" s="955" t="s">
        <v>357</v>
      </c>
      <c r="AT6" s="963"/>
      <c r="AU6" s="956"/>
      <c r="AV6" s="955" t="s">
        <v>358</v>
      </c>
      <c r="AW6" s="963"/>
      <c r="AX6" s="956"/>
      <c r="AY6" s="958" t="s">
        <v>359</v>
      </c>
      <c r="AZ6" s="959"/>
      <c r="BA6" s="959"/>
      <c r="BB6" s="958" t="s">
        <v>360</v>
      </c>
      <c r="BC6" s="959"/>
      <c r="BD6" s="960"/>
      <c r="BE6" s="958" t="s">
        <v>361</v>
      </c>
      <c r="BF6" s="959"/>
      <c r="BG6" s="959"/>
      <c r="BH6" s="958" t="s">
        <v>362</v>
      </c>
      <c r="BI6" s="959"/>
      <c r="BJ6" s="960"/>
      <c r="BK6" s="958" t="s">
        <v>363</v>
      </c>
      <c r="BL6" s="959"/>
      <c r="BM6" s="959"/>
      <c r="BN6" s="958" t="s">
        <v>364</v>
      </c>
      <c r="BO6" s="959"/>
      <c r="BP6" s="960"/>
      <c r="BQ6" s="958" t="s">
        <v>365</v>
      </c>
      <c r="BR6" s="959"/>
      <c r="BS6" s="959"/>
      <c r="BT6" s="958" t="s">
        <v>366</v>
      </c>
      <c r="BU6" s="959"/>
      <c r="BV6" s="960"/>
      <c r="BW6" s="958" t="s">
        <v>367</v>
      </c>
      <c r="BX6" s="959"/>
      <c r="BY6" s="959"/>
      <c r="BZ6" s="958" t="s">
        <v>368</v>
      </c>
      <c r="CA6" s="959"/>
      <c r="CB6" s="960"/>
      <c r="CC6" s="958" t="s">
        <v>369</v>
      </c>
      <c r="CD6" s="959"/>
      <c r="CE6" s="959"/>
      <c r="CF6" s="958" t="s">
        <v>370</v>
      </c>
      <c r="CG6" s="959"/>
      <c r="CH6" s="960"/>
      <c r="CI6" s="958" t="s">
        <v>371</v>
      </c>
      <c r="CJ6" s="959"/>
      <c r="CK6" s="959"/>
      <c r="CL6" s="958" t="s">
        <v>372</v>
      </c>
      <c r="CM6" s="959"/>
      <c r="CN6" s="960"/>
      <c r="CO6" s="958" t="s">
        <v>373</v>
      </c>
      <c r="CP6" s="959"/>
      <c r="CQ6" s="959"/>
      <c r="CR6" s="958" t="s">
        <v>374</v>
      </c>
      <c r="CS6" s="959"/>
      <c r="CT6" s="960"/>
      <c r="CU6" s="958" t="s">
        <v>375</v>
      </c>
      <c r="CV6" s="959"/>
      <c r="CW6" s="959"/>
      <c r="CX6" s="958" t="s">
        <v>376</v>
      </c>
      <c r="CY6" s="959"/>
      <c r="CZ6" s="960"/>
      <c r="DA6" s="958" t="s">
        <v>377</v>
      </c>
      <c r="DB6" s="959"/>
      <c r="DC6" s="959"/>
      <c r="DD6" s="958" t="s">
        <v>378</v>
      </c>
      <c r="DE6" s="959"/>
      <c r="DF6" s="960"/>
      <c r="DG6" s="958" t="s">
        <v>379</v>
      </c>
      <c r="DH6" s="959"/>
      <c r="DI6" s="959"/>
      <c r="DJ6" s="958" t="s">
        <v>380</v>
      </c>
      <c r="DK6" s="959"/>
      <c r="DL6" s="960"/>
      <c r="DM6" s="958" t="s">
        <v>381</v>
      </c>
      <c r="DN6" s="959"/>
      <c r="DO6" s="959"/>
      <c r="DP6" s="958" t="s">
        <v>382</v>
      </c>
      <c r="DQ6" s="959"/>
      <c r="DR6" s="960"/>
      <c r="DS6" s="958" t="s">
        <v>383</v>
      </c>
      <c r="DT6" s="959"/>
      <c r="DU6" s="959"/>
      <c r="DV6" s="958" t="s">
        <v>384</v>
      </c>
      <c r="DW6" s="959"/>
      <c r="DX6" s="960"/>
      <c r="DY6" s="958" t="s">
        <v>385</v>
      </c>
      <c r="DZ6" s="959"/>
      <c r="EA6" s="959"/>
      <c r="EB6" s="961" t="s">
        <v>495</v>
      </c>
      <c r="EC6" s="959"/>
      <c r="ED6" s="960"/>
      <c r="EE6" s="961" t="s">
        <v>496</v>
      </c>
      <c r="EF6" s="959"/>
      <c r="EG6" s="959"/>
      <c r="EH6" s="958"/>
      <c r="EI6" s="959"/>
      <c r="EJ6" s="960"/>
      <c r="EK6" s="958"/>
      <c r="EL6" s="959"/>
      <c r="EM6" s="959"/>
      <c r="EN6" s="958"/>
      <c r="EO6" s="959"/>
      <c r="EP6" s="960"/>
      <c r="EQ6" s="958"/>
      <c r="ER6" s="959"/>
      <c r="ES6" s="959"/>
      <c r="ET6" s="958"/>
      <c r="EU6" s="959"/>
      <c r="EV6" s="960"/>
      <c r="EW6" s="958"/>
      <c r="EX6" s="959"/>
      <c r="EY6" s="959"/>
      <c r="EZ6" s="958"/>
      <c r="FA6" s="959"/>
      <c r="FB6" s="960"/>
      <c r="FC6" s="958"/>
      <c r="FD6" s="959"/>
      <c r="FE6" s="959"/>
      <c r="FF6" s="958"/>
      <c r="FG6" s="959"/>
      <c r="FH6" s="960"/>
      <c r="FI6" s="958"/>
      <c r="FJ6" s="959"/>
      <c r="FK6" s="959"/>
      <c r="FL6" s="958"/>
      <c r="FM6" s="959"/>
      <c r="FN6" s="960"/>
      <c r="FO6" s="958"/>
      <c r="FP6" s="959"/>
      <c r="FQ6" s="959"/>
      <c r="FR6" s="958"/>
      <c r="FS6" s="959"/>
      <c r="FT6" s="960"/>
      <c r="FU6" s="958"/>
      <c r="FV6" s="959"/>
      <c r="FW6" s="959"/>
      <c r="FX6" s="958"/>
      <c r="FY6" s="959"/>
      <c r="FZ6" s="960"/>
      <c r="GA6" s="958"/>
      <c r="GB6" s="959"/>
      <c r="GC6" s="959"/>
      <c r="GD6" s="958" t="s">
        <v>386</v>
      </c>
      <c r="GE6" s="959"/>
      <c r="GF6" s="960"/>
      <c r="GG6" s="958" t="s">
        <v>387</v>
      </c>
      <c r="GH6" s="959"/>
      <c r="GI6" s="959"/>
      <c r="GJ6" s="958" t="s">
        <v>388</v>
      </c>
      <c r="GK6" s="959"/>
      <c r="GL6" s="960"/>
      <c r="GM6" s="958" t="s">
        <v>389</v>
      </c>
      <c r="GN6" s="959"/>
      <c r="GO6" s="959"/>
      <c r="GP6" s="958" t="s">
        <v>390</v>
      </c>
      <c r="GQ6" s="959"/>
      <c r="GR6" s="960"/>
      <c r="GS6" s="958" t="s">
        <v>391</v>
      </c>
      <c r="GT6" s="959"/>
      <c r="GU6" s="959"/>
      <c r="GV6" s="958" t="s">
        <v>392</v>
      </c>
      <c r="GW6" s="959"/>
      <c r="GX6" s="960"/>
      <c r="GY6" s="958" t="s">
        <v>393</v>
      </c>
      <c r="GZ6" s="959"/>
      <c r="HA6" s="959"/>
      <c r="HB6" s="958" t="s">
        <v>368</v>
      </c>
      <c r="HC6" s="959"/>
      <c r="HD6" s="960"/>
      <c r="HE6" s="958" t="s">
        <v>384</v>
      </c>
      <c r="HF6" s="959"/>
      <c r="HG6" s="959"/>
      <c r="HH6" s="958" t="s">
        <v>383</v>
      </c>
      <c r="HI6" s="959"/>
      <c r="HJ6" s="960"/>
      <c r="HK6" s="958" t="s">
        <v>364</v>
      </c>
      <c r="HL6" s="959"/>
      <c r="HM6" s="959"/>
      <c r="HN6" s="958" t="s">
        <v>394</v>
      </c>
      <c r="HO6" s="959"/>
      <c r="HP6" s="960"/>
      <c r="HQ6" s="958" t="s">
        <v>375</v>
      </c>
      <c r="HR6" s="959"/>
      <c r="HS6" s="959"/>
      <c r="HT6" s="958" t="s">
        <v>395</v>
      </c>
      <c r="HU6" s="959"/>
      <c r="HV6" s="960"/>
      <c r="HW6" s="958" t="s">
        <v>396</v>
      </c>
      <c r="HX6" s="959"/>
      <c r="HY6" s="959"/>
      <c r="HZ6" s="958" t="s">
        <v>397</v>
      </c>
      <c r="IA6" s="959"/>
      <c r="IB6" s="960"/>
      <c r="IC6" s="958" t="s">
        <v>398</v>
      </c>
      <c r="ID6" s="959"/>
      <c r="IE6" s="959"/>
      <c r="IF6" s="958" t="s">
        <v>399</v>
      </c>
      <c r="IG6" s="959"/>
      <c r="IH6" s="960"/>
      <c r="II6" s="957" t="s">
        <v>370</v>
      </c>
      <c r="IJ6" s="957"/>
      <c r="IK6" s="957"/>
      <c r="IL6" s="958" t="s">
        <v>373</v>
      </c>
      <c r="IM6" s="959"/>
      <c r="IN6" s="960"/>
      <c r="IO6" s="958" t="s">
        <v>374</v>
      </c>
      <c r="IP6" s="959"/>
      <c r="IQ6" s="959"/>
      <c r="IR6" s="958" t="s">
        <v>369</v>
      </c>
      <c r="IS6" s="959"/>
      <c r="IT6" s="960"/>
      <c r="IU6" s="958" t="s">
        <v>400</v>
      </c>
      <c r="IV6" s="959"/>
      <c r="IW6" s="959"/>
      <c r="IX6" s="958" t="s">
        <v>377</v>
      </c>
      <c r="IY6" s="959"/>
      <c r="IZ6" s="960"/>
      <c r="JA6" s="958" t="s">
        <v>401</v>
      </c>
      <c r="JB6" s="959"/>
      <c r="JC6" s="959"/>
      <c r="JD6" s="958" t="s">
        <v>402</v>
      </c>
      <c r="JE6" s="959"/>
      <c r="JF6" s="960"/>
      <c r="JG6" s="958" t="s">
        <v>403</v>
      </c>
      <c r="JH6" s="959"/>
      <c r="JI6" s="959"/>
      <c r="JJ6" s="958"/>
      <c r="JK6" s="959"/>
      <c r="JL6" s="960"/>
      <c r="JM6" s="958"/>
      <c r="JN6" s="959"/>
      <c r="JO6" s="959"/>
      <c r="JP6" s="958"/>
      <c r="JQ6" s="959"/>
      <c r="JR6" s="960"/>
      <c r="JS6" s="958"/>
      <c r="JT6" s="959"/>
      <c r="JU6" s="959"/>
      <c r="JV6" s="958"/>
      <c r="JW6" s="959"/>
      <c r="JX6" s="960"/>
      <c r="JY6" s="958"/>
      <c r="JZ6" s="959"/>
      <c r="KA6" s="959"/>
      <c r="KB6" s="958"/>
      <c r="KC6" s="959"/>
      <c r="KD6" s="960"/>
      <c r="KE6" s="958"/>
      <c r="KF6" s="959"/>
      <c r="KG6" s="959"/>
      <c r="KH6" s="958"/>
      <c r="KI6" s="959"/>
      <c r="KJ6" s="960"/>
      <c r="KK6" s="958"/>
      <c r="KL6" s="959"/>
      <c r="KM6" s="959"/>
      <c r="KN6" s="958"/>
      <c r="KO6" s="959"/>
      <c r="KP6" s="960"/>
      <c r="KQ6" s="957"/>
      <c r="KR6" s="957"/>
      <c r="KS6" s="957"/>
      <c r="KT6" s="962"/>
      <c r="KU6" s="962"/>
    </row>
    <row r="7" spans="1:308" ht="15" customHeight="1">
      <c r="A7" s="977"/>
      <c r="B7" s="968"/>
      <c r="C7" s="968"/>
      <c r="D7" s="974"/>
      <c r="E7" s="971"/>
      <c r="F7" s="955" t="s">
        <v>136</v>
      </c>
      <c r="G7" s="956"/>
      <c r="H7" s="533" t="s">
        <v>404</v>
      </c>
      <c r="I7" s="955" t="s">
        <v>136</v>
      </c>
      <c r="J7" s="956"/>
      <c r="K7" s="533" t="s">
        <v>404</v>
      </c>
      <c r="L7" s="955" t="s">
        <v>136</v>
      </c>
      <c r="M7" s="956"/>
      <c r="N7" s="533" t="s">
        <v>404</v>
      </c>
      <c r="O7" s="955" t="s">
        <v>136</v>
      </c>
      <c r="P7" s="956"/>
      <c r="Q7" s="533" t="s">
        <v>404</v>
      </c>
      <c r="R7" s="955" t="s">
        <v>136</v>
      </c>
      <c r="S7" s="956"/>
      <c r="T7" s="533" t="s">
        <v>404</v>
      </c>
      <c r="U7" s="955" t="s">
        <v>136</v>
      </c>
      <c r="V7" s="956"/>
      <c r="W7" s="533" t="s">
        <v>404</v>
      </c>
      <c r="X7" s="955" t="s">
        <v>136</v>
      </c>
      <c r="Y7" s="956"/>
      <c r="Z7" s="533" t="s">
        <v>404</v>
      </c>
      <c r="AA7" s="955" t="s">
        <v>136</v>
      </c>
      <c r="AB7" s="956"/>
      <c r="AC7" s="533" t="s">
        <v>404</v>
      </c>
      <c r="AD7" s="955" t="s">
        <v>136</v>
      </c>
      <c r="AE7" s="956"/>
      <c r="AF7" s="533" t="s">
        <v>404</v>
      </c>
      <c r="AG7" s="955" t="s">
        <v>136</v>
      </c>
      <c r="AH7" s="956"/>
      <c r="AI7" s="533" t="s">
        <v>404</v>
      </c>
      <c r="AJ7" s="955" t="s">
        <v>136</v>
      </c>
      <c r="AK7" s="956"/>
      <c r="AL7" s="533" t="s">
        <v>404</v>
      </c>
      <c r="AM7" s="955" t="s">
        <v>136</v>
      </c>
      <c r="AN7" s="956"/>
      <c r="AO7" s="533" t="s">
        <v>404</v>
      </c>
      <c r="AP7" s="955" t="s">
        <v>136</v>
      </c>
      <c r="AQ7" s="956"/>
      <c r="AR7" s="533" t="s">
        <v>404</v>
      </c>
      <c r="AS7" s="955" t="s">
        <v>136</v>
      </c>
      <c r="AT7" s="956"/>
      <c r="AU7" s="533" t="s">
        <v>404</v>
      </c>
      <c r="AV7" s="955" t="s">
        <v>136</v>
      </c>
      <c r="AW7" s="956"/>
      <c r="AX7" s="533" t="s">
        <v>404</v>
      </c>
      <c r="AY7" s="955" t="s">
        <v>136</v>
      </c>
      <c r="AZ7" s="956"/>
      <c r="BA7" s="533" t="s">
        <v>404</v>
      </c>
      <c r="BB7" s="955" t="s">
        <v>136</v>
      </c>
      <c r="BC7" s="956"/>
      <c r="BD7" s="533" t="s">
        <v>404</v>
      </c>
      <c r="BE7" s="955" t="s">
        <v>136</v>
      </c>
      <c r="BF7" s="956"/>
      <c r="BG7" s="533" t="s">
        <v>404</v>
      </c>
      <c r="BH7" s="955" t="s">
        <v>136</v>
      </c>
      <c r="BI7" s="956"/>
      <c r="BJ7" s="533" t="s">
        <v>404</v>
      </c>
      <c r="BK7" s="955" t="s">
        <v>136</v>
      </c>
      <c r="BL7" s="956"/>
      <c r="BM7" s="533" t="s">
        <v>404</v>
      </c>
      <c r="BN7" s="955" t="s">
        <v>136</v>
      </c>
      <c r="BO7" s="956"/>
      <c r="BP7" s="533" t="s">
        <v>404</v>
      </c>
      <c r="BQ7" s="955" t="s">
        <v>136</v>
      </c>
      <c r="BR7" s="956"/>
      <c r="BS7" s="533" t="s">
        <v>404</v>
      </c>
      <c r="BT7" s="955" t="s">
        <v>136</v>
      </c>
      <c r="BU7" s="956"/>
      <c r="BV7" s="533" t="s">
        <v>404</v>
      </c>
      <c r="BW7" s="955" t="s">
        <v>136</v>
      </c>
      <c r="BX7" s="956"/>
      <c r="BY7" s="533" t="s">
        <v>404</v>
      </c>
      <c r="BZ7" s="955" t="s">
        <v>136</v>
      </c>
      <c r="CA7" s="956"/>
      <c r="CB7" s="533" t="s">
        <v>404</v>
      </c>
      <c r="CC7" s="955" t="s">
        <v>136</v>
      </c>
      <c r="CD7" s="956"/>
      <c r="CE7" s="533" t="s">
        <v>404</v>
      </c>
      <c r="CF7" s="955" t="s">
        <v>136</v>
      </c>
      <c r="CG7" s="956"/>
      <c r="CH7" s="533" t="s">
        <v>404</v>
      </c>
      <c r="CI7" s="955" t="s">
        <v>136</v>
      </c>
      <c r="CJ7" s="956"/>
      <c r="CK7" s="533" t="s">
        <v>404</v>
      </c>
      <c r="CL7" s="955" t="s">
        <v>136</v>
      </c>
      <c r="CM7" s="956"/>
      <c r="CN7" s="533" t="s">
        <v>404</v>
      </c>
      <c r="CO7" s="955" t="s">
        <v>136</v>
      </c>
      <c r="CP7" s="956"/>
      <c r="CQ7" s="533" t="s">
        <v>404</v>
      </c>
      <c r="CR7" s="955" t="s">
        <v>136</v>
      </c>
      <c r="CS7" s="956"/>
      <c r="CT7" s="533" t="s">
        <v>404</v>
      </c>
      <c r="CU7" s="955" t="s">
        <v>136</v>
      </c>
      <c r="CV7" s="956"/>
      <c r="CW7" s="533" t="s">
        <v>404</v>
      </c>
      <c r="CX7" s="955" t="s">
        <v>136</v>
      </c>
      <c r="CY7" s="956"/>
      <c r="CZ7" s="533" t="s">
        <v>404</v>
      </c>
      <c r="DA7" s="955" t="s">
        <v>136</v>
      </c>
      <c r="DB7" s="956"/>
      <c r="DC7" s="533" t="s">
        <v>404</v>
      </c>
      <c r="DD7" s="955" t="s">
        <v>136</v>
      </c>
      <c r="DE7" s="956"/>
      <c r="DF7" s="533" t="s">
        <v>404</v>
      </c>
      <c r="DG7" s="955" t="s">
        <v>136</v>
      </c>
      <c r="DH7" s="956"/>
      <c r="DI7" s="533" t="s">
        <v>404</v>
      </c>
      <c r="DJ7" s="955" t="s">
        <v>136</v>
      </c>
      <c r="DK7" s="956"/>
      <c r="DL7" s="533" t="s">
        <v>404</v>
      </c>
      <c r="DM7" s="955" t="s">
        <v>136</v>
      </c>
      <c r="DN7" s="956"/>
      <c r="DO7" s="533" t="s">
        <v>404</v>
      </c>
      <c r="DP7" s="955" t="s">
        <v>136</v>
      </c>
      <c r="DQ7" s="956"/>
      <c r="DR7" s="533" t="s">
        <v>404</v>
      </c>
      <c r="DS7" s="955" t="s">
        <v>136</v>
      </c>
      <c r="DT7" s="956"/>
      <c r="DU7" s="533" t="s">
        <v>404</v>
      </c>
      <c r="DV7" s="955" t="s">
        <v>136</v>
      </c>
      <c r="DW7" s="956"/>
      <c r="DX7" s="533" t="s">
        <v>404</v>
      </c>
      <c r="DY7" s="955" t="s">
        <v>136</v>
      </c>
      <c r="DZ7" s="956"/>
      <c r="EA7" s="533" t="s">
        <v>404</v>
      </c>
      <c r="EB7" s="955" t="s">
        <v>136</v>
      </c>
      <c r="EC7" s="956"/>
      <c r="ED7" s="533" t="s">
        <v>404</v>
      </c>
      <c r="EE7" s="955" t="s">
        <v>136</v>
      </c>
      <c r="EF7" s="956"/>
      <c r="EG7" s="533" t="s">
        <v>404</v>
      </c>
      <c r="EH7" s="955" t="s">
        <v>136</v>
      </c>
      <c r="EI7" s="956"/>
      <c r="EJ7" s="533" t="s">
        <v>404</v>
      </c>
      <c r="EK7" s="955" t="s">
        <v>136</v>
      </c>
      <c r="EL7" s="956"/>
      <c r="EM7" s="533" t="s">
        <v>404</v>
      </c>
      <c r="EN7" s="955" t="s">
        <v>136</v>
      </c>
      <c r="EO7" s="956"/>
      <c r="EP7" s="533" t="s">
        <v>404</v>
      </c>
      <c r="EQ7" s="955" t="s">
        <v>136</v>
      </c>
      <c r="ER7" s="956"/>
      <c r="ES7" s="533" t="s">
        <v>404</v>
      </c>
      <c r="ET7" s="955" t="s">
        <v>136</v>
      </c>
      <c r="EU7" s="956"/>
      <c r="EV7" s="533" t="s">
        <v>404</v>
      </c>
      <c r="EW7" s="955" t="s">
        <v>136</v>
      </c>
      <c r="EX7" s="956"/>
      <c r="EY7" s="533" t="s">
        <v>404</v>
      </c>
      <c r="EZ7" s="955" t="s">
        <v>136</v>
      </c>
      <c r="FA7" s="956"/>
      <c r="FB7" s="533" t="s">
        <v>404</v>
      </c>
      <c r="FC7" s="955" t="s">
        <v>136</v>
      </c>
      <c r="FD7" s="956"/>
      <c r="FE7" s="533" t="s">
        <v>404</v>
      </c>
      <c r="FF7" s="955" t="s">
        <v>136</v>
      </c>
      <c r="FG7" s="956"/>
      <c r="FH7" s="533" t="s">
        <v>404</v>
      </c>
      <c r="FI7" s="955" t="s">
        <v>136</v>
      </c>
      <c r="FJ7" s="956"/>
      <c r="FK7" s="533" t="s">
        <v>404</v>
      </c>
      <c r="FL7" s="955" t="s">
        <v>136</v>
      </c>
      <c r="FM7" s="956"/>
      <c r="FN7" s="533" t="s">
        <v>404</v>
      </c>
      <c r="FO7" s="955" t="s">
        <v>136</v>
      </c>
      <c r="FP7" s="956"/>
      <c r="FQ7" s="533" t="s">
        <v>404</v>
      </c>
      <c r="FR7" s="955" t="s">
        <v>136</v>
      </c>
      <c r="FS7" s="956"/>
      <c r="FT7" s="533" t="s">
        <v>404</v>
      </c>
      <c r="FU7" s="955" t="s">
        <v>136</v>
      </c>
      <c r="FV7" s="956"/>
      <c r="FW7" s="533" t="s">
        <v>404</v>
      </c>
      <c r="FX7" s="955" t="s">
        <v>136</v>
      </c>
      <c r="FY7" s="956"/>
      <c r="FZ7" s="533" t="s">
        <v>404</v>
      </c>
      <c r="GA7" s="955" t="s">
        <v>136</v>
      </c>
      <c r="GB7" s="956"/>
      <c r="GC7" s="533" t="s">
        <v>404</v>
      </c>
      <c r="GD7" s="955" t="s">
        <v>136</v>
      </c>
      <c r="GE7" s="956"/>
      <c r="GF7" s="533" t="s">
        <v>404</v>
      </c>
      <c r="GG7" s="955" t="s">
        <v>136</v>
      </c>
      <c r="GH7" s="956"/>
      <c r="GI7" s="533" t="s">
        <v>404</v>
      </c>
      <c r="GJ7" s="955" t="s">
        <v>136</v>
      </c>
      <c r="GK7" s="956"/>
      <c r="GL7" s="533" t="s">
        <v>404</v>
      </c>
      <c r="GM7" s="955" t="s">
        <v>136</v>
      </c>
      <c r="GN7" s="956"/>
      <c r="GO7" s="533" t="s">
        <v>404</v>
      </c>
      <c r="GP7" s="955" t="s">
        <v>136</v>
      </c>
      <c r="GQ7" s="956"/>
      <c r="GR7" s="533" t="s">
        <v>404</v>
      </c>
      <c r="GS7" s="955" t="s">
        <v>136</v>
      </c>
      <c r="GT7" s="956"/>
      <c r="GU7" s="533" t="s">
        <v>404</v>
      </c>
      <c r="GV7" s="955" t="s">
        <v>136</v>
      </c>
      <c r="GW7" s="956"/>
      <c r="GX7" s="533" t="s">
        <v>404</v>
      </c>
      <c r="GY7" s="955" t="s">
        <v>136</v>
      </c>
      <c r="GZ7" s="956"/>
      <c r="HA7" s="533" t="s">
        <v>404</v>
      </c>
      <c r="HB7" s="955" t="s">
        <v>136</v>
      </c>
      <c r="HC7" s="956"/>
      <c r="HD7" s="533" t="s">
        <v>404</v>
      </c>
      <c r="HE7" s="955" t="s">
        <v>136</v>
      </c>
      <c r="HF7" s="956"/>
      <c r="HG7" s="533" t="s">
        <v>404</v>
      </c>
      <c r="HH7" s="955" t="s">
        <v>136</v>
      </c>
      <c r="HI7" s="956"/>
      <c r="HJ7" s="533" t="s">
        <v>404</v>
      </c>
      <c r="HK7" s="955" t="s">
        <v>136</v>
      </c>
      <c r="HL7" s="956"/>
      <c r="HM7" s="533" t="s">
        <v>404</v>
      </c>
      <c r="HN7" s="955" t="s">
        <v>136</v>
      </c>
      <c r="HO7" s="956"/>
      <c r="HP7" s="533" t="s">
        <v>404</v>
      </c>
      <c r="HQ7" s="955" t="s">
        <v>136</v>
      </c>
      <c r="HR7" s="956"/>
      <c r="HS7" s="533" t="s">
        <v>404</v>
      </c>
      <c r="HT7" s="955" t="s">
        <v>136</v>
      </c>
      <c r="HU7" s="956"/>
      <c r="HV7" s="533" t="s">
        <v>404</v>
      </c>
      <c r="HW7" s="955" t="s">
        <v>136</v>
      </c>
      <c r="HX7" s="956"/>
      <c r="HY7" s="533" t="s">
        <v>404</v>
      </c>
      <c r="HZ7" s="955" t="s">
        <v>136</v>
      </c>
      <c r="IA7" s="956"/>
      <c r="IB7" s="533" t="s">
        <v>404</v>
      </c>
      <c r="IC7" s="955" t="s">
        <v>136</v>
      </c>
      <c r="ID7" s="956"/>
      <c r="IE7" s="533" t="s">
        <v>404</v>
      </c>
      <c r="IF7" s="955" t="s">
        <v>136</v>
      </c>
      <c r="IG7" s="956"/>
      <c r="IH7" s="533" t="s">
        <v>404</v>
      </c>
      <c r="II7" s="957" t="s">
        <v>136</v>
      </c>
      <c r="IJ7" s="957"/>
      <c r="IK7" s="538" t="s">
        <v>404</v>
      </c>
      <c r="IL7" s="955" t="s">
        <v>136</v>
      </c>
      <c r="IM7" s="956"/>
      <c r="IN7" s="533" t="s">
        <v>404</v>
      </c>
      <c r="IO7" s="955" t="s">
        <v>136</v>
      </c>
      <c r="IP7" s="956"/>
      <c r="IQ7" s="533" t="s">
        <v>404</v>
      </c>
      <c r="IR7" s="955" t="s">
        <v>136</v>
      </c>
      <c r="IS7" s="956"/>
      <c r="IT7" s="533" t="s">
        <v>404</v>
      </c>
      <c r="IU7" s="955" t="s">
        <v>136</v>
      </c>
      <c r="IV7" s="956"/>
      <c r="IW7" s="533" t="s">
        <v>404</v>
      </c>
      <c r="IX7" s="955" t="s">
        <v>136</v>
      </c>
      <c r="IY7" s="956"/>
      <c r="IZ7" s="533" t="s">
        <v>404</v>
      </c>
      <c r="JA7" s="955" t="s">
        <v>136</v>
      </c>
      <c r="JB7" s="956"/>
      <c r="JC7" s="533" t="s">
        <v>404</v>
      </c>
      <c r="JD7" s="955" t="s">
        <v>136</v>
      </c>
      <c r="JE7" s="956"/>
      <c r="JF7" s="533" t="s">
        <v>404</v>
      </c>
      <c r="JG7" s="955" t="s">
        <v>136</v>
      </c>
      <c r="JH7" s="956"/>
      <c r="JI7" s="533" t="s">
        <v>404</v>
      </c>
      <c r="JJ7" s="955" t="s">
        <v>136</v>
      </c>
      <c r="JK7" s="956"/>
      <c r="JL7" s="533" t="s">
        <v>404</v>
      </c>
      <c r="JM7" s="955" t="s">
        <v>136</v>
      </c>
      <c r="JN7" s="956"/>
      <c r="JO7" s="533" t="s">
        <v>404</v>
      </c>
      <c r="JP7" s="955" t="s">
        <v>136</v>
      </c>
      <c r="JQ7" s="956"/>
      <c r="JR7" s="533" t="s">
        <v>404</v>
      </c>
      <c r="JS7" s="955" t="s">
        <v>136</v>
      </c>
      <c r="JT7" s="956"/>
      <c r="JU7" s="533" t="s">
        <v>404</v>
      </c>
      <c r="JV7" s="955" t="s">
        <v>136</v>
      </c>
      <c r="JW7" s="956"/>
      <c r="JX7" s="533" t="s">
        <v>404</v>
      </c>
      <c r="JY7" s="955" t="s">
        <v>136</v>
      </c>
      <c r="JZ7" s="956"/>
      <c r="KA7" s="533" t="s">
        <v>404</v>
      </c>
      <c r="KB7" s="955" t="s">
        <v>136</v>
      </c>
      <c r="KC7" s="956"/>
      <c r="KD7" s="533" t="s">
        <v>404</v>
      </c>
      <c r="KE7" s="955" t="s">
        <v>136</v>
      </c>
      <c r="KF7" s="956"/>
      <c r="KG7" s="533" t="s">
        <v>404</v>
      </c>
      <c r="KH7" s="955" t="s">
        <v>136</v>
      </c>
      <c r="KI7" s="956"/>
      <c r="KJ7" s="533" t="s">
        <v>404</v>
      </c>
      <c r="KK7" s="955" t="s">
        <v>136</v>
      </c>
      <c r="KL7" s="956"/>
      <c r="KM7" s="533" t="s">
        <v>404</v>
      </c>
      <c r="KN7" s="955" t="s">
        <v>136</v>
      </c>
      <c r="KO7" s="956"/>
      <c r="KP7" s="533" t="s">
        <v>404</v>
      </c>
      <c r="KQ7" s="957" t="s">
        <v>136</v>
      </c>
      <c r="KR7" s="957"/>
      <c r="KS7" s="538" t="s">
        <v>404</v>
      </c>
      <c r="KT7" s="962"/>
      <c r="KU7" s="962"/>
    </row>
    <row r="8" spans="1:308" ht="15" customHeight="1" thickBot="1">
      <c r="A8" s="978"/>
      <c r="B8" s="969"/>
      <c r="C8" s="969"/>
      <c r="D8" s="975"/>
      <c r="E8" s="972"/>
      <c r="F8" s="534" t="s">
        <v>137</v>
      </c>
      <c r="G8" s="534" t="s">
        <v>40</v>
      </c>
      <c r="H8" s="535"/>
      <c r="I8" s="534" t="s">
        <v>137</v>
      </c>
      <c r="J8" s="534" t="s">
        <v>40</v>
      </c>
      <c r="K8" s="535"/>
      <c r="L8" s="534" t="s">
        <v>137</v>
      </c>
      <c r="M8" s="534" t="s">
        <v>40</v>
      </c>
      <c r="N8" s="535"/>
      <c r="O8" s="534" t="s">
        <v>137</v>
      </c>
      <c r="P8" s="534" t="s">
        <v>40</v>
      </c>
      <c r="Q8" s="535"/>
      <c r="R8" s="534" t="s">
        <v>137</v>
      </c>
      <c r="S8" s="534" t="s">
        <v>40</v>
      </c>
      <c r="T8" s="535"/>
      <c r="U8" s="534" t="s">
        <v>137</v>
      </c>
      <c r="V8" s="534" t="s">
        <v>40</v>
      </c>
      <c r="W8" s="535"/>
      <c r="X8" s="534" t="s">
        <v>137</v>
      </c>
      <c r="Y8" s="534" t="s">
        <v>40</v>
      </c>
      <c r="Z8" s="535"/>
      <c r="AA8" s="534" t="s">
        <v>137</v>
      </c>
      <c r="AB8" s="534" t="s">
        <v>40</v>
      </c>
      <c r="AC8" s="535"/>
      <c r="AD8" s="534" t="s">
        <v>137</v>
      </c>
      <c r="AE8" s="534" t="s">
        <v>40</v>
      </c>
      <c r="AF8" s="535"/>
      <c r="AG8" s="534" t="s">
        <v>137</v>
      </c>
      <c r="AH8" s="534" t="s">
        <v>40</v>
      </c>
      <c r="AI8" s="535"/>
      <c r="AJ8" s="534" t="s">
        <v>137</v>
      </c>
      <c r="AK8" s="534" t="s">
        <v>40</v>
      </c>
      <c r="AL8" s="535"/>
      <c r="AM8" s="534" t="s">
        <v>137</v>
      </c>
      <c r="AN8" s="534" t="s">
        <v>40</v>
      </c>
      <c r="AO8" s="535"/>
      <c r="AP8" s="534" t="s">
        <v>137</v>
      </c>
      <c r="AQ8" s="534" t="s">
        <v>40</v>
      </c>
      <c r="AR8" s="535"/>
      <c r="AS8" s="534" t="s">
        <v>137</v>
      </c>
      <c r="AT8" s="534" t="s">
        <v>40</v>
      </c>
      <c r="AU8" s="535"/>
      <c r="AV8" s="534" t="s">
        <v>137</v>
      </c>
      <c r="AW8" s="534" t="s">
        <v>40</v>
      </c>
      <c r="AX8" s="535"/>
      <c r="AY8" s="534" t="s">
        <v>137</v>
      </c>
      <c r="AZ8" s="534" t="s">
        <v>40</v>
      </c>
      <c r="BA8" s="535"/>
      <c r="BB8" s="534" t="s">
        <v>137</v>
      </c>
      <c r="BC8" s="534" t="s">
        <v>40</v>
      </c>
      <c r="BD8" s="535"/>
      <c r="BE8" s="534" t="s">
        <v>137</v>
      </c>
      <c r="BF8" s="534" t="s">
        <v>40</v>
      </c>
      <c r="BG8" s="535"/>
      <c r="BH8" s="534" t="s">
        <v>137</v>
      </c>
      <c r="BI8" s="534" t="s">
        <v>40</v>
      </c>
      <c r="BJ8" s="535"/>
      <c r="BK8" s="534" t="s">
        <v>137</v>
      </c>
      <c r="BL8" s="534" t="s">
        <v>40</v>
      </c>
      <c r="BM8" s="535"/>
      <c r="BN8" s="534" t="s">
        <v>137</v>
      </c>
      <c r="BO8" s="534" t="s">
        <v>40</v>
      </c>
      <c r="BP8" s="535"/>
      <c r="BQ8" s="534" t="s">
        <v>137</v>
      </c>
      <c r="BR8" s="534" t="s">
        <v>40</v>
      </c>
      <c r="BS8" s="535"/>
      <c r="BT8" s="534" t="s">
        <v>137</v>
      </c>
      <c r="BU8" s="534" t="s">
        <v>40</v>
      </c>
      <c r="BV8" s="535"/>
      <c r="BW8" s="534" t="s">
        <v>137</v>
      </c>
      <c r="BX8" s="534" t="s">
        <v>40</v>
      </c>
      <c r="BY8" s="535"/>
      <c r="BZ8" s="534" t="s">
        <v>137</v>
      </c>
      <c r="CA8" s="534" t="s">
        <v>40</v>
      </c>
      <c r="CB8" s="535"/>
      <c r="CC8" s="534" t="s">
        <v>137</v>
      </c>
      <c r="CD8" s="534" t="s">
        <v>40</v>
      </c>
      <c r="CE8" s="535"/>
      <c r="CF8" s="534" t="s">
        <v>137</v>
      </c>
      <c r="CG8" s="534" t="s">
        <v>40</v>
      </c>
      <c r="CH8" s="535"/>
      <c r="CI8" s="534" t="s">
        <v>137</v>
      </c>
      <c r="CJ8" s="534" t="s">
        <v>40</v>
      </c>
      <c r="CK8" s="535"/>
      <c r="CL8" s="534" t="s">
        <v>137</v>
      </c>
      <c r="CM8" s="534" t="s">
        <v>40</v>
      </c>
      <c r="CN8" s="535"/>
      <c r="CO8" s="534" t="s">
        <v>137</v>
      </c>
      <c r="CP8" s="534" t="s">
        <v>40</v>
      </c>
      <c r="CQ8" s="535"/>
      <c r="CR8" s="534" t="s">
        <v>137</v>
      </c>
      <c r="CS8" s="534" t="s">
        <v>40</v>
      </c>
      <c r="CT8" s="535"/>
      <c r="CU8" s="534" t="s">
        <v>137</v>
      </c>
      <c r="CV8" s="534" t="s">
        <v>40</v>
      </c>
      <c r="CW8" s="535"/>
      <c r="CX8" s="534" t="s">
        <v>137</v>
      </c>
      <c r="CY8" s="534" t="s">
        <v>40</v>
      </c>
      <c r="CZ8" s="535"/>
      <c r="DA8" s="534" t="s">
        <v>137</v>
      </c>
      <c r="DB8" s="534" t="s">
        <v>40</v>
      </c>
      <c r="DC8" s="535"/>
      <c r="DD8" s="534" t="s">
        <v>137</v>
      </c>
      <c r="DE8" s="534" t="s">
        <v>40</v>
      </c>
      <c r="DF8" s="535"/>
      <c r="DG8" s="534" t="s">
        <v>137</v>
      </c>
      <c r="DH8" s="534" t="s">
        <v>40</v>
      </c>
      <c r="DI8" s="535"/>
      <c r="DJ8" s="534" t="s">
        <v>137</v>
      </c>
      <c r="DK8" s="534" t="s">
        <v>40</v>
      </c>
      <c r="DL8" s="535"/>
      <c r="DM8" s="534" t="s">
        <v>137</v>
      </c>
      <c r="DN8" s="534" t="s">
        <v>40</v>
      </c>
      <c r="DO8" s="535"/>
      <c r="DP8" s="534" t="s">
        <v>137</v>
      </c>
      <c r="DQ8" s="534" t="s">
        <v>40</v>
      </c>
      <c r="DR8" s="535"/>
      <c r="DS8" s="534" t="s">
        <v>137</v>
      </c>
      <c r="DT8" s="534" t="s">
        <v>40</v>
      </c>
      <c r="DU8" s="535"/>
      <c r="DV8" s="534" t="s">
        <v>137</v>
      </c>
      <c r="DW8" s="534" t="s">
        <v>40</v>
      </c>
      <c r="DX8" s="535"/>
      <c r="DY8" s="534" t="s">
        <v>137</v>
      </c>
      <c r="DZ8" s="534" t="s">
        <v>40</v>
      </c>
      <c r="EA8" s="535"/>
      <c r="EB8" s="534" t="s">
        <v>137</v>
      </c>
      <c r="EC8" s="534" t="s">
        <v>40</v>
      </c>
      <c r="ED8" s="533"/>
      <c r="EE8" s="534" t="s">
        <v>137</v>
      </c>
      <c r="EF8" s="534" t="s">
        <v>40</v>
      </c>
      <c r="EG8" s="535"/>
      <c r="EH8" s="534" t="s">
        <v>137</v>
      </c>
      <c r="EI8" s="534" t="s">
        <v>40</v>
      </c>
      <c r="EJ8" s="535"/>
      <c r="EK8" s="534" t="s">
        <v>137</v>
      </c>
      <c r="EL8" s="534" t="s">
        <v>40</v>
      </c>
      <c r="EM8" s="535"/>
      <c r="EN8" s="534" t="s">
        <v>137</v>
      </c>
      <c r="EO8" s="534" t="s">
        <v>40</v>
      </c>
      <c r="EP8" s="535"/>
      <c r="EQ8" s="534" t="s">
        <v>137</v>
      </c>
      <c r="ER8" s="534" t="s">
        <v>40</v>
      </c>
      <c r="ES8" s="535"/>
      <c r="ET8" s="534" t="s">
        <v>137</v>
      </c>
      <c r="EU8" s="534" t="s">
        <v>40</v>
      </c>
      <c r="EV8" s="535"/>
      <c r="EW8" s="534" t="s">
        <v>137</v>
      </c>
      <c r="EX8" s="534" t="s">
        <v>40</v>
      </c>
      <c r="EY8" s="535"/>
      <c r="EZ8" s="534" t="s">
        <v>137</v>
      </c>
      <c r="FA8" s="534" t="s">
        <v>40</v>
      </c>
      <c r="FB8" s="535"/>
      <c r="FC8" s="534" t="s">
        <v>137</v>
      </c>
      <c r="FD8" s="534" t="s">
        <v>40</v>
      </c>
      <c r="FE8" s="535"/>
      <c r="FF8" s="534" t="s">
        <v>137</v>
      </c>
      <c r="FG8" s="534" t="s">
        <v>40</v>
      </c>
      <c r="FH8" s="535"/>
      <c r="FI8" s="534" t="s">
        <v>137</v>
      </c>
      <c r="FJ8" s="534" t="s">
        <v>40</v>
      </c>
      <c r="FK8" s="535"/>
      <c r="FL8" s="534" t="s">
        <v>137</v>
      </c>
      <c r="FM8" s="534" t="s">
        <v>40</v>
      </c>
      <c r="FN8" s="535"/>
      <c r="FO8" s="534" t="s">
        <v>137</v>
      </c>
      <c r="FP8" s="534" t="s">
        <v>40</v>
      </c>
      <c r="FQ8" s="535"/>
      <c r="FR8" s="534" t="s">
        <v>137</v>
      </c>
      <c r="FS8" s="534" t="s">
        <v>40</v>
      </c>
      <c r="FT8" s="535"/>
      <c r="FU8" s="534" t="s">
        <v>137</v>
      </c>
      <c r="FV8" s="534" t="s">
        <v>40</v>
      </c>
      <c r="FW8" s="535"/>
      <c r="FX8" s="534" t="s">
        <v>137</v>
      </c>
      <c r="FY8" s="534" t="s">
        <v>40</v>
      </c>
      <c r="FZ8" s="535"/>
      <c r="GA8" s="534" t="s">
        <v>137</v>
      </c>
      <c r="GB8" s="534" t="s">
        <v>40</v>
      </c>
      <c r="GC8" s="535"/>
      <c r="GD8" s="534" t="s">
        <v>137</v>
      </c>
      <c r="GE8" s="534" t="s">
        <v>40</v>
      </c>
      <c r="GF8" s="535"/>
      <c r="GG8" s="534" t="s">
        <v>137</v>
      </c>
      <c r="GH8" s="534" t="s">
        <v>40</v>
      </c>
      <c r="GI8" s="535"/>
      <c r="GJ8" s="534" t="s">
        <v>137</v>
      </c>
      <c r="GK8" s="534" t="s">
        <v>40</v>
      </c>
      <c r="GL8" s="535"/>
      <c r="GM8" s="534" t="s">
        <v>137</v>
      </c>
      <c r="GN8" s="534" t="s">
        <v>40</v>
      </c>
      <c r="GO8" s="535"/>
      <c r="GP8" s="534" t="s">
        <v>137</v>
      </c>
      <c r="GQ8" s="534" t="s">
        <v>40</v>
      </c>
      <c r="GR8" s="535"/>
      <c r="GS8" s="534" t="s">
        <v>137</v>
      </c>
      <c r="GT8" s="534" t="s">
        <v>40</v>
      </c>
      <c r="GU8" s="535"/>
      <c r="GV8" s="534" t="s">
        <v>137</v>
      </c>
      <c r="GW8" s="534" t="s">
        <v>40</v>
      </c>
      <c r="GX8" s="535"/>
      <c r="GY8" s="534" t="s">
        <v>137</v>
      </c>
      <c r="GZ8" s="534" t="s">
        <v>40</v>
      </c>
      <c r="HA8" s="535"/>
      <c r="HB8" s="534" t="s">
        <v>137</v>
      </c>
      <c r="HC8" s="534" t="s">
        <v>40</v>
      </c>
      <c r="HD8" s="535"/>
      <c r="HE8" s="534" t="s">
        <v>137</v>
      </c>
      <c r="HF8" s="534" t="s">
        <v>40</v>
      </c>
      <c r="HG8" s="535"/>
      <c r="HH8" s="534" t="s">
        <v>137</v>
      </c>
      <c r="HI8" s="534" t="s">
        <v>40</v>
      </c>
      <c r="HJ8" s="535"/>
      <c r="HK8" s="534" t="s">
        <v>137</v>
      </c>
      <c r="HL8" s="534" t="s">
        <v>40</v>
      </c>
      <c r="HM8" s="535"/>
      <c r="HN8" s="534" t="s">
        <v>137</v>
      </c>
      <c r="HO8" s="534" t="s">
        <v>40</v>
      </c>
      <c r="HP8" s="535"/>
      <c r="HQ8" s="534" t="s">
        <v>137</v>
      </c>
      <c r="HR8" s="534" t="s">
        <v>40</v>
      </c>
      <c r="HS8" s="535"/>
      <c r="HT8" s="534" t="s">
        <v>137</v>
      </c>
      <c r="HU8" s="534" t="s">
        <v>40</v>
      </c>
      <c r="HV8" s="535"/>
      <c r="HW8" s="534" t="s">
        <v>137</v>
      </c>
      <c r="HX8" s="534" t="s">
        <v>40</v>
      </c>
      <c r="HY8" s="535"/>
      <c r="HZ8" s="534" t="s">
        <v>137</v>
      </c>
      <c r="IA8" s="534" t="s">
        <v>40</v>
      </c>
      <c r="IB8" s="535"/>
      <c r="IC8" s="534" t="s">
        <v>137</v>
      </c>
      <c r="ID8" s="534" t="s">
        <v>40</v>
      </c>
      <c r="IE8" s="535"/>
      <c r="IF8" s="534" t="s">
        <v>137</v>
      </c>
      <c r="IG8" s="534" t="s">
        <v>40</v>
      </c>
      <c r="IH8" s="535"/>
      <c r="II8" s="534" t="s">
        <v>137</v>
      </c>
      <c r="IJ8" s="534" t="s">
        <v>40</v>
      </c>
      <c r="IK8" s="535"/>
      <c r="IL8" s="534" t="s">
        <v>137</v>
      </c>
      <c r="IM8" s="534" t="s">
        <v>40</v>
      </c>
      <c r="IN8" s="535"/>
      <c r="IO8" s="534" t="s">
        <v>137</v>
      </c>
      <c r="IP8" s="534" t="s">
        <v>40</v>
      </c>
      <c r="IQ8" s="535"/>
      <c r="IR8" s="534" t="s">
        <v>137</v>
      </c>
      <c r="IS8" s="534" t="s">
        <v>40</v>
      </c>
      <c r="IT8" s="535"/>
      <c r="IU8" s="534" t="s">
        <v>137</v>
      </c>
      <c r="IV8" s="534" t="s">
        <v>40</v>
      </c>
      <c r="IW8" s="535"/>
      <c r="IX8" s="534" t="s">
        <v>137</v>
      </c>
      <c r="IY8" s="534" t="s">
        <v>40</v>
      </c>
      <c r="IZ8" s="535"/>
      <c r="JA8" s="534" t="s">
        <v>137</v>
      </c>
      <c r="JB8" s="534" t="s">
        <v>40</v>
      </c>
      <c r="JC8" s="535"/>
      <c r="JD8" s="534" t="s">
        <v>137</v>
      </c>
      <c r="JE8" s="534" t="s">
        <v>40</v>
      </c>
      <c r="JF8" s="535"/>
      <c r="JG8" s="534" t="s">
        <v>137</v>
      </c>
      <c r="JH8" s="534" t="s">
        <v>40</v>
      </c>
      <c r="JI8" s="535"/>
      <c r="JJ8" s="534" t="s">
        <v>137</v>
      </c>
      <c r="JK8" s="534" t="s">
        <v>40</v>
      </c>
      <c r="JL8" s="535" t="s">
        <v>421</v>
      </c>
      <c r="JM8" s="534" t="s">
        <v>137</v>
      </c>
      <c r="JN8" s="534" t="s">
        <v>40</v>
      </c>
      <c r="JO8" s="535" t="s">
        <v>421</v>
      </c>
      <c r="JP8" s="534" t="s">
        <v>137</v>
      </c>
      <c r="JQ8" s="534" t="s">
        <v>40</v>
      </c>
      <c r="JR8" s="535" t="s">
        <v>421</v>
      </c>
      <c r="JS8" s="534" t="s">
        <v>137</v>
      </c>
      <c r="JT8" s="534" t="s">
        <v>40</v>
      </c>
      <c r="JU8" s="535" t="s">
        <v>421</v>
      </c>
      <c r="JV8" s="534" t="s">
        <v>137</v>
      </c>
      <c r="JW8" s="534" t="s">
        <v>40</v>
      </c>
      <c r="JX8" s="535" t="s">
        <v>421</v>
      </c>
      <c r="JY8" s="534" t="s">
        <v>137</v>
      </c>
      <c r="JZ8" s="534" t="s">
        <v>40</v>
      </c>
      <c r="KA8" s="535" t="s">
        <v>421</v>
      </c>
      <c r="KB8" s="534" t="s">
        <v>137</v>
      </c>
      <c r="KC8" s="534" t="s">
        <v>40</v>
      </c>
      <c r="KD8" s="535" t="s">
        <v>421</v>
      </c>
      <c r="KE8" s="534" t="s">
        <v>137</v>
      </c>
      <c r="KF8" s="534" t="s">
        <v>40</v>
      </c>
      <c r="KG8" s="535" t="s">
        <v>421</v>
      </c>
      <c r="KH8" s="534" t="s">
        <v>137</v>
      </c>
      <c r="KI8" s="534" t="s">
        <v>40</v>
      </c>
      <c r="KJ8" s="535" t="s">
        <v>421</v>
      </c>
      <c r="KK8" s="534" t="s">
        <v>137</v>
      </c>
      <c r="KL8" s="534" t="s">
        <v>40</v>
      </c>
      <c r="KM8" s="535" t="s">
        <v>421</v>
      </c>
      <c r="KN8" s="534" t="s">
        <v>137</v>
      </c>
      <c r="KO8" s="534" t="s">
        <v>40</v>
      </c>
      <c r="KP8" s="535" t="s">
        <v>421</v>
      </c>
      <c r="KQ8" s="534" t="s">
        <v>137</v>
      </c>
      <c r="KR8" s="534" t="s">
        <v>40</v>
      </c>
      <c r="KS8" s="535" t="s">
        <v>421</v>
      </c>
      <c r="KT8" s="962"/>
      <c r="KU8" s="962"/>
    </row>
    <row r="9" spans="1:308" ht="15" customHeight="1">
      <c r="A9" s="277">
        <f>+Report1!A9</f>
        <v>45931</v>
      </c>
      <c r="B9" s="278" t="str">
        <f>+Report1!B9</f>
        <v>Facial</v>
      </c>
      <c r="C9" s="420" t="str">
        <f>+Report1!C9</f>
        <v>12/10,3</v>
      </c>
      <c r="D9" s="279">
        <f>+Report1!P9</f>
        <v>16.946999999999999</v>
      </c>
      <c r="E9" s="280">
        <f>+Report1!R9</f>
        <v>17.940999999999999</v>
      </c>
      <c r="F9" s="539"/>
      <c r="G9" s="540">
        <f t="shared" ref="G9:G39" si="0">+F9/$E9</f>
        <v>0</v>
      </c>
      <c r="H9" s="541">
        <f>+F9*$H$8</f>
        <v>0</v>
      </c>
      <c r="I9" s="539">
        <v>93.023255813953483</v>
      </c>
      <c r="J9" s="540">
        <f t="shared" ref="J9:J39" si="1">+I9/$E9</f>
        <v>5.1849537826182202</v>
      </c>
      <c r="K9" s="541">
        <f>+I9*$H$8</f>
        <v>0</v>
      </c>
      <c r="L9" s="539"/>
      <c r="M9" s="540">
        <f t="shared" ref="M9:M39" si="2">+L9/$E9</f>
        <v>0</v>
      </c>
      <c r="N9" s="541">
        <f>+L9*$H$8</f>
        <v>0</v>
      </c>
      <c r="O9" s="539">
        <v>9</v>
      </c>
      <c r="P9" s="540">
        <f t="shared" ref="P9:P39" si="3">+O9/$E9</f>
        <v>0.50164427846831283</v>
      </c>
      <c r="Q9" s="541">
        <f>+O9*$H$8</f>
        <v>0</v>
      </c>
      <c r="R9" s="539"/>
      <c r="S9" s="540">
        <f t="shared" ref="S9:S39" si="4">+R9/$E9</f>
        <v>0</v>
      </c>
      <c r="T9" s="541">
        <f>+R9*$H$8</f>
        <v>0</v>
      </c>
      <c r="U9" s="539">
        <v>2.5624999999999858</v>
      </c>
      <c r="V9" s="540">
        <f t="shared" ref="V9:V39" si="5">+U9/$E9</f>
        <v>0.14282927373056051</v>
      </c>
      <c r="W9" s="541">
        <f>+U9*$H$8</f>
        <v>0</v>
      </c>
      <c r="X9" s="539"/>
      <c r="Y9" s="540">
        <f t="shared" ref="Y9:Y39" si="6">+X9/$E9</f>
        <v>0</v>
      </c>
      <c r="Z9" s="541">
        <f>+X9*$H$8</f>
        <v>0</v>
      </c>
      <c r="AA9" s="539"/>
      <c r="AB9" s="540">
        <f t="shared" ref="AB9:AB39" si="7">+AA9/$E9</f>
        <v>0</v>
      </c>
      <c r="AC9" s="541">
        <f>+AA9*$H$8</f>
        <v>0</v>
      </c>
      <c r="AD9" s="539"/>
      <c r="AE9" s="540">
        <f t="shared" ref="AE9:AE39" si="8">+AD9/$E9</f>
        <v>0</v>
      </c>
      <c r="AF9" s="541">
        <f>+AD9*$H$8</f>
        <v>0</v>
      </c>
      <c r="AG9" s="539"/>
      <c r="AH9" s="540">
        <f t="shared" ref="AH9:AH39" si="9">+AG9/$E9</f>
        <v>0</v>
      </c>
      <c r="AI9" s="541">
        <f>+AG9*$H$8</f>
        <v>0</v>
      </c>
      <c r="AJ9" s="539">
        <v>0</v>
      </c>
      <c r="AK9" s="540">
        <f t="shared" ref="AK9:AK39" si="10">+AJ9/$E9</f>
        <v>0</v>
      </c>
      <c r="AL9" s="541">
        <f>+AJ9*$H$8</f>
        <v>0</v>
      </c>
      <c r="AM9" s="539">
        <v>0</v>
      </c>
      <c r="AN9" s="540">
        <f t="shared" ref="AN9:AN39" si="11">+AM9/$E9</f>
        <v>0</v>
      </c>
      <c r="AO9" s="541">
        <f>+AM9*$H$8</f>
        <v>0</v>
      </c>
      <c r="AP9" s="539">
        <v>28.481012658227826</v>
      </c>
      <c r="AQ9" s="540">
        <f t="shared" ref="AQ9:AQ39" si="12">+AP9/$E9</f>
        <v>1.5874818938870647</v>
      </c>
      <c r="AR9" s="541">
        <f>+AP9*$H$8</f>
        <v>0</v>
      </c>
      <c r="AS9" s="539"/>
      <c r="AT9" s="540">
        <f t="shared" ref="AT9:AT39" si="13">+AS9/$E9</f>
        <v>0</v>
      </c>
      <c r="AU9" s="541">
        <f>+AS9*$H$8</f>
        <v>0</v>
      </c>
      <c r="AV9" s="539">
        <v>2.7749999999999986</v>
      </c>
      <c r="AW9" s="540">
        <f t="shared" ref="AW9:AW39" si="14">+AV9/$E9</f>
        <v>0.15467365252772972</v>
      </c>
      <c r="AX9" s="541">
        <f>+AV9*$H$8</f>
        <v>0</v>
      </c>
      <c r="AY9" s="539">
        <v>14.000000000000028</v>
      </c>
      <c r="AZ9" s="540">
        <f t="shared" ref="AZ9:AZ39" si="15">+AY9/$E9</f>
        <v>0.78033554428404373</v>
      </c>
      <c r="BA9" s="541">
        <f>+AY9*$H$8</f>
        <v>0</v>
      </c>
      <c r="BB9" s="539">
        <v>0</v>
      </c>
      <c r="BC9" s="540">
        <f t="shared" ref="BC9:BC39" si="16">+BB9/$E9</f>
        <v>0</v>
      </c>
      <c r="BD9" s="541">
        <f>+BB9*$H$8</f>
        <v>0</v>
      </c>
      <c r="BE9" s="539"/>
      <c r="BF9" s="540">
        <f t="shared" ref="BF9:BF39" si="17">+BE9/$E9</f>
        <v>0</v>
      </c>
      <c r="BG9" s="541">
        <f>+BE9*$H$8</f>
        <v>0</v>
      </c>
      <c r="BH9" s="539"/>
      <c r="BI9" s="540">
        <f t="shared" ref="BI9:BI39" si="18">+BH9/$E9</f>
        <v>0</v>
      </c>
      <c r="BJ9" s="541">
        <f>+BH9*$H$8</f>
        <v>0</v>
      </c>
      <c r="BK9" s="539"/>
      <c r="BL9" s="540">
        <f t="shared" ref="BL9:BL39" si="19">+BK9/$E9</f>
        <v>0</v>
      </c>
      <c r="BM9" s="541">
        <f>+BK9*$H$8</f>
        <v>0</v>
      </c>
      <c r="BN9" s="539">
        <v>7.5925925925925952</v>
      </c>
      <c r="BO9" s="540">
        <f t="shared" ref="BO9:BO39" si="20">+BN9/$E9</f>
        <v>0.42319784809055211</v>
      </c>
      <c r="BP9" s="541">
        <f>+BN9*$H$8</f>
        <v>0</v>
      </c>
      <c r="BQ9" s="539">
        <v>0</v>
      </c>
      <c r="BR9" s="540">
        <f t="shared" ref="BR9:BR39" si="21">+BQ9/$E9</f>
        <v>0</v>
      </c>
      <c r="BS9" s="541">
        <f>+BQ9*$H$8</f>
        <v>0</v>
      </c>
      <c r="BT9" s="539"/>
      <c r="BU9" s="540">
        <f t="shared" ref="BU9:BU39" si="22">+BT9/$E9</f>
        <v>0</v>
      </c>
      <c r="BV9" s="541">
        <f>+BT9*$H$8</f>
        <v>0</v>
      </c>
      <c r="BW9" s="539">
        <v>0</v>
      </c>
      <c r="BX9" s="540">
        <f t="shared" ref="BX9:BX39" si="23">+BW9/$E9</f>
        <v>0</v>
      </c>
      <c r="BY9" s="541">
        <f>+BW9*$H$8</f>
        <v>0</v>
      </c>
      <c r="BZ9" s="539"/>
      <c r="CA9" s="540">
        <f t="shared" ref="CA9:CA39" si="24">+BZ9/$E9</f>
        <v>0</v>
      </c>
      <c r="CB9" s="541">
        <f>+BZ9*$H$8</f>
        <v>0</v>
      </c>
      <c r="CC9" s="539">
        <v>0</v>
      </c>
      <c r="CD9" s="540">
        <f t="shared" ref="CD9:CD39" si="25">+CC9/$E9</f>
        <v>0</v>
      </c>
      <c r="CE9" s="541">
        <f>+CC9*$H$8</f>
        <v>0</v>
      </c>
      <c r="CF9" s="539">
        <v>9.9999999999999978E-2</v>
      </c>
      <c r="CG9" s="540">
        <f t="shared" ref="CG9:CG39" si="26">+CF9/$E9</f>
        <v>5.5738253163145858E-3</v>
      </c>
      <c r="CH9" s="541">
        <f>+CF9*$H$8</f>
        <v>0</v>
      </c>
      <c r="CI9" s="539"/>
      <c r="CJ9" s="540">
        <f t="shared" ref="CJ9:CJ39" si="27">+CI9/$E9</f>
        <v>0</v>
      </c>
      <c r="CK9" s="541">
        <f>+CI9*$H$8</f>
        <v>0</v>
      </c>
      <c r="CL9" s="539"/>
      <c r="CM9" s="540">
        <f t="shared" ref="CM9:CM39" si="28">+CL9/$E9</f>
        <v>0</v>
      </c>
      <c r="CN9" s="541">
        <f>+CL9*$H$8</f>
        <v>0</v>
      </c>
      <c r="CO9" s="539"/>
      <c r="CP9" s="540">
        <f t="shared" ref="CP9:CP39" si="29">+CO9/$E9</f>
        <v>0</v>
      </c>
      <c r="CQ9" s="541">
        <f>+CO9*$H$8</f>
        <v>0</v>
      </c>
      <c r="CR9" s="539"/>
      <c r="CS9" s="540">
        <f t="shared" ref="CS9:CS39" si="30">+CR9/$E9</f>
        <v>0</v>
      </c>
      <c r="CT9" s="541">
        <f>+CR9*$H$8</f>
        <v>0</v>
      </c>
      <c r="CU9" s="539"/>
      <c r="CV9" s="540">
        <f t="shared" ref="CV9:CV39" si="31">+CU9/$E9</f>
        <v>0</v>
      </c>
      <c r="CW9" s="541">
        <f>+CU9*$H$8</f>
        <v>0</v>
      </c>
      <c r="CX9" s="539"/>
      <c r="CY9" s="540">
        <f t="shared" ref="CY9:CY39" si="32">+CX9/$E9</f>
        <v>0</v>
      </c>
      <c r="CZ9" s="541">
        <f>+CX9*$H$8</f>
        <v>0</v>
      </c>
      <c r="DA9" s="539"/>
      <c r="DB9" s="540">
        <f t="shared" ref="DB9:DB39" si="33">+DA9/$E9</f>
        <v>0</v>
      </c>
      <c r="DC9" s="541">
        <f>+DA9*$H$8</f>
        <v>0</v>
      </c>
      <c r="DD9" s="539"/>
      <c r="DE9" s="540">
        <f t="shared" ref="DE9:DE39" si="34">+DD9/$E9</f>
        <v>0</v>
      </c>
      <c r="DF9" s="541">
        <f>+DD9*$H$8</f>
        <v>0</v>
      </c>
      <c r="DG9" s="539">
        <v>0</v>
      </c>
      <c r="DH9" s="540">
        <f t="shared" ref="DH9:DH39" si="35">+DG9/$E9</f>
        <v>0</v>
      </c>
      <c r="DI9" s="541">
        <v>0</v>
      </c>
      <c r="DJ9" s="539"/>
      <c r="DK9" s="540">
        <f t="shared" ref="DK9:DK39" si="36">+DJ9/$E9</f>
        <v>0</v>
      </c>
      <c r="DL9" s="541">
        <f>+DJ9*$H$8</f>
        <v>0</v>
      </c>
      <c r="DM9" s="539"/>
      <c r="DN9" s="540">
        <f t="shared" ref="DN9:DN39" si="37">+DM9/$E9</f>
        <v>0</v>
      </c>
      <c r="DO9" s="541">
        <f>+DM9*$H$8</f>
        <v>0</v>
      </c>
      <c r="DP9" s="539"/>
      <c r="DQ9" s="540">
        <f t="shared" ref="DQ9:DQ39" si="38">+DP9/$E9</f>
        <v>0</v>
      </c>
      <c r="DR9" s="541">
        <f>+DP9*$H$8</f>
        <v>0</v>
      </c>
      <c r="DS9" s="539"/>
      <c r="DT9" s="540">
        <f t="shared" ref="DT9:DT39" si="39">+DS9/$E9</f>
        <v>0</v>
      </c>
      <c r="DU9" s="541">
        <f>+DS9*$H$8</f>
        <v>0</v>
      </c>
      <c r="DV9" s="539"/>
      <c r="DW9" s="540">
        <f t="shared" ref="DW9:DW39" si="40">+DV9/$E9</f>
        <v>0</v>
      </c>
      <c r="DX9" s="541">
        <f>+DV9*$H$8</f>
        <v>0</v>
      </c>
      <c r="DY9" s="539"/>
      <c r="DZ9" s="540">
        <f t="shared" ref="DZ9:DZ39" si="41">+DY9/$E9</f>
        <v>0</v>
      </c>
      <c r="EA9" s="541">
        <f>+DY9*$H$8</f>
        <v>0</v>
      </c>
      <c r="EB9" s="539">
        <v>14.534883720930225</v>
      </c>
      <c r="EC9" s="540">
        <f t="shared" ref="EC9:EC39" si="42">+EB9/$E9</f>
        <v>0.81014902853409654</v>
      </c>
      <c r="ED9" s="541">
        <f>+EB9*$H$8</f>
        <v>0</v>
      </c>
      <c r="EE9" s="539">
        <v>1</v>
      </c>
      <c r="EF9" s="540">
        <f t="shared" ref="EF9:EF39" si="43">+EE9/$E9</f>
        <v>5.5738253163145873E-2</v>
      </c>
      <c r="EG9" s="541">
        <f>+EE9*$H$8</f>
        <v>0</v>
      </c>
      <c r="EH9" s="539"/>
      <c r="EI9" s="540">
        <f t="shared" ref="EI9:EI39" si="44">+EH9/$E9</f>
        <v>0</v>
      </c>
      <c r="EJ9" s="541">
        <f>+EH9*$H$8</f>
        <v>0</v>
      </c>
      <c r="EK9" s="539"/>
      <c r="EL9" s="540">
        <f t="shared" ref="EL9:EL39" si="45">+EK9/$E9</f>
        <v>0</v>
      </c>
      <c r="EM9" s="541">
        <f>+EK9*$H$8</f>
        <v>0</v>
      </c>
      <c r="EN9" s="539"/>
      <c r="EO9" s="540">
        <f t="shared" ref="EO9:EO39" si="46">+EN9/$E9</f>
        <v>0</v>
      </c>
      <c r="EP9" s="541">
        <f>+EN9*$H$8</f>
        <v>0</v>
      </c>
      <c r="EQ9" s="539"/>
      <c r="ER9" s="540">
        <f t="shared" ref="ER9:ER39" si="47">+EQ9/$E9</f>
        <v>0</v>
      </c>
      <c r="ES9" s="541">
        <f>+EQ9*$H$8</f>
        <v>0</v>
      </c>
      <c r="ET9" s="539"/>
      <c r="EU9" s="540">
        <f t="shared" ref="EU9:EU39" si="48">+ET9/$E9</f>
        <v>0</v>
      </c>
      <c r="EV9" s="541">
        <f>+ET9*$H$8</f>
        <v>0</v>
      </c>
      <c r="EW9" s="539"/>
      <c r="EX9" s="540">
        <f t="shared" ref="EX9:EX39" si="49">+EW9/$E9</f>
        <v>0</v>
      </c>
      <c r="EY9" s="541">
        <f>+EW9*$H$8</f>
        <v>0</v>
      </c>
      <c r="EZ9" s="539"/>
      <c r="FA9" s="540">
        <f t="shared" ref="FA9:FA39" si="50">+EZ9/$E9</f>
        <v>0</v>
      </c>
      <c r="FB9" s="541">
        <f>+EZ9*$H$8</f>
        <v>0</v>
      </c>
      <c r="FC9" s="539"/>
      <c r="FD9" s="540">
        <f t="shared" ref="FD9:FD39" si="51">+FC9/$E9</f>
        <v>0</v>
      </c>
      <c r="FE9" s="541">
        <f>+FC9*$H$8</f>
        <v>0</v>
      </c>
      <c r="FF9" s="539"/>
      <c r="FG9" s="540">
        <f t="shared" ref="FG9:FG39" si="52">+FF9/$E9</f>
        <v>0</v>
      </c>
      <c r="FH9" s="541">
        <f>+FF9*$H$8</f>
        <v>0</v>
      </c>
      <c r="FI9" s="539"/>
      <c r="FJ9" s="540">
        <f t="shared" ref="FJ9:FJ39" si="53">+FI9/$E9</f>
        <v>0</v>
      </c>
      <c r="FK9" s="541">
        <f>+FI9*$H$8</f>
        <v>0</v>
      </c>
      <c r="FL9" s="539"/>
      <c r="FM9" s="540">
        <f t="shared" ref="FM9:FM39" si="54">+FL9/$E9</f>
        <v>0</v>
      </c>
      <c r="FN9" s="541">
        <f>+FL9*$H$8</f>
        <v>0</v>
      </c>
      <c r="FO9" s="539"/>
      <c r="FP9" s="540">
        <f t="shared" ref="FP9:FP39" si="55">+FO9/$E9</f>
        <v>0</v>
      </c>
      <c r="FQ9" s="541">
        <f>+FO9*$H$8</f>
        <v>0</v>
      </c>
      <c r="FR9" s="539"/>
      <c r="FS9" s="540">
        <f t="shared" ref="FS9:FS39" si="56">+FR9/$E9</f>
        <v>0</v>
      </c>
      <c r="FT9" s="541">
        <f>+FR9*$H$8</f>
        <v>0</v>
      </c>
      <c r="FU9" s="539"/>
      <c r="FV9" s="540">
        <f t="shared" ref="FV9:FV39" si="57">+FU9/$E9</f>
        <v>0</v>
      </c>
      <c r="FW9" s="541">
        <f>+FU9*$H$8</f>
        <v>0</v>
      </c>
      <c r="FX9" s="539"/>
      <c r="FY9" s="540">
        <f t="shared" ref="FY9:FY39" si="58">+FX9/$E9</f>
        <v>0</v>
      </c>
      <c r="FZ9" s="541">
        <f>+FX9*$H$8</f>
        <v>0</v>
      </c>
      <c r="GA9" s="539"/>
      <c r="GB9" s="540">
        <f t="shared" ref="GB9:GB39" si="59">+GA9/$E9</f>
        <v>0</v>
      </c>
      <c r="GC9" s="541">
        <f>+GA9*$H$8</f>
        <v>0</v>
      </c>
      <c r="GD9" s="539"/>
      <c r="GE9" s="540">
        <f t="shared" ref="GE9:GE39" si="60">+GD9/$E9</f>
        <v>0</v>
      </c>
      <c r="GF9" s="541">
        <f>+GD9*$H$8</f>
        <v>0</v>
      </c>
      <c r="GG9" s="539"/>
      <c r="GH9" s="540">
        <f t="shared" ref="GH9:GH39" si="61">+GG9/$E9</f>
        <v>0</v>
      </c>
      <c r="GI9" s="541">
        <f>+GG9*$H$8</f>
        <v>0</v>
      </c>
      <c r="GJ9" s="539"/>
      <c r="GK9" s="540">
        <f t="shared" ref="GK9:GK39" si="62">+GJ9/$E9</f>
        <v>0</v>
      </c>
      <c r="GL9" s="541">
        <f>+GJ9*$H$8</f>
        <v>0</v>
      </c>
      <c r="GM9" s="539"/>
      <c r="GN9" s="540">
        <f t="shared" ref="GN9:GN39" si="63">+GM9/$E9</f>
        <v>0</v>
      </c>
      <c r="GO9" s="541">
        <f>+GM9*$H$8</f>
        <v>0</v>
      </c>
      <c r="GP9" s="539"/>
      <c r="GQ9" s="540">
        <f t="shared" ref="GQ9:GQ39" si="64">+GP9/$E9</f>
        <v>0</v>
      </c>
      <c r="GR9" s="541">
        <f>+GP9*$H$8</f>
        <v>0</v>
      </c>
      <c r="GS9" s="539"/>
      <c r="GT9" s="540">
        <f t="shared" ref="GT9:GT39" si="65">+GS9/$E9</f>
        <v>0</v>
      </c>
      <c r="GU9" s="541">
        <f>+GS9*$H$8</f>
        <v>0</v>
      </c>
      <c r="GV9" s="539"/>
      <c r="GW9" s="540">
        <f t="shared" ref="GW9:GW39" si="66">+GV9/$E9</f>
        <v>0</v>
      </c>
      <c r="GX9" s="541">
        <f>+GV9*$H$8</f>
        <v>0</v>
      </c>
      <c r="GY9" s="539"/>
      <c r="GZ9" s="540">
        <f t="shared" ref="GZ9:GZ39" si="67">+GY9/$E9</f>
        <v>0</v>
      </c>
      <c r="HA9" s="541">
        <f>+GY9*$H$8</f>
        <v>0</v>
      </c>
      <c r="HB9" s="539"/>
      <c r="HC9" s="540">
        <f t="shared" ref="HC9:HC39" si="68">+HB9/$E9</f>
        <v>0</v>
      </c>
      <c r="HD9" s="541">
        <f>+HB9*$H$8</f>
        <v>0</v>
      </c>
      <c r="HE9" s="539"/>
      <c r="HF9" s="540">
        <f t="shared" ref="HF9:HF39" si="69">+HE9/$E9</f>
        <v>0</v>
      </c>
      <c r="HG9" s="541">
        <f>+HE9*$H$8</f>
        <v>0</v>
      </c>
      <c r="HH9" s="539"/>
      <c r="HI9" s="540">
        <f t="shared" ref="HI9:HI39" si="70">+HH9/$E9</f>
        <v>0</v>
      </c>
      <c r="HJ9" s="541">
        <f>+HH9*$H$8</f>
        <v>0</v>
      </c>
      <c r="HK9" s="539"/>
      <c r="HL9" s="540">
        <f t="shared" ref="HL9:HL39" si="71">+HK9/$E9</f>
        <v>0</v>
      </c>
      <c r="HM9" s="541">
        <f>+HK9*$H$8</f>
        <v>0</v>
      </c>
      <c r="HN9" s="539"/>
      <c r="HO9" s="540">
        <f t="shared" ref="HO9:HO39" si="72">+HN9/$E9</f>
        <v>0</v>
      </c>
      <c r="HP9" s="541">
        <f>+HN9*$H$8</f>
        <v>0</v>
      </c>
      <c r="HQ9" s="539"/>
      <c r="HR9" s="540">
        <f t="shared" ref="HR9:HR39" si="73">+HQ9/$E9</f>
        <v>0</v>
      </c>
      <c r="HS9" s="541">
        <f>+HQ9*$H$8</f>
        <v>0</v>
      </c>
      <c r="HT9" s="539"/>
      <c r="HU9" s="540">
        <f t="shared" ref="HU9:HU39" si="74">+HT9/$E9</f>
        <v>0</v>
      </c>
      <c r="HV9" s="541">
        <f>+HT9*$H$8</f>
        <v>0</v>
      </c>
      <c r="HW9" s="539"/>
      <c r="HX9" s="540">
        <f t="shared" ref="HX9:HX39" si="75">+HW9/$E9</f>
        <v>0</v>
      </c>
      <c r="HY9" s="541">
        <f>+HW9*$H$8</f>
        <v>0</v>
      </c>
      <c r="HZ9" s="539"/>
      <c r="IA9" s="540">
        <f t="shared" ref="IA9:IA39" si="76">+HZ9/$E9</f>
        <v>0</v>
      </c>
      <c r="IB9" s="541">
        <f>+HZ9*$H$8</f>
        <v>0</v>
      </c>
      <c r="IC9" s="539"/>
      <c r="ID9" s="540">
        <f t="shared" ref="ID9:ID39" si="77">+IC9/$E9</f>
        <v>0</v>
      </c>
      <c r="IE9" s="541">
        <f>+IC9*$H$8</f>
        <v>0</v>
      </c>
      <c r="IF9" s="539"/>
      <c r="IG9" s="540">
        <f t="shared" ref="IG9:IG39" si="78">+IF9/$E9</f>
        <v>0</v>
      </c>
      <c r="IH9" s="541">
        <f>+IF9*$H$8</f>
        <v>0</v>
      </c>
      <c r="II9" s="539"/>
      <c r="IJ9" s="540">
        <f t="shared" ref="IJ9:IJ39" si="79">+II9/$E9</f>
        <v>0</v>
      </c>
      <c r="IK9" s="541">
        <f>+II9*$H$8</f>
        <v>0</v>
      </c>
      <c r="IL9" s="539"/>
      <c r="IM9" s="540">
        <f t="shared" ref="IM9:IM39" si="80">+IL9/$E9</f>
        <v>0</v>
      </c>
      <c r="IN9" s="541">
        <f>+IL9*$H$8</f>
        <v>0</v>
      </c>
      <c r="IO9" s="539"/>
      <c r="IP9" s="540">
        <f t="shared" ref="IP9:IP39" si="81">+IO9/$E9</f>
        <v>0</v>
      </c>
      <c r="IQ9" s="541">
        <f>+IO9*$H$8</f>
        <v>0</v>
      </c>
      <c r="IR9" s="539"/>
      <c r="IS9" s="540">
        <f t="shared" ref="IS9:IS39" si="82">+IR9/$E9</f>
        <v>0</v>
      </c>
      <c r="IT9" s="541">
        <f>+IR9*$H$8</f>
        <v>0</v>
      </c>
      <c r="IU9" s="539"/>
      <c r="IV9" s="540">
        <f t="shared" ref="IV9:IV39" si="83">+IU9/$E9</f>
        <v>0</v>
      </c>
      <c r="IW9" s="541">
        <f>+IU9*$H$8</f>
        <v>0</v>
      </c>
      <c r="IX9" s="539"/>
      <c r="IY9" s="540">
        <f t="shared" ref="IY9:IY39" si="84">+IX9/$E9</f>
        <v>0</v>
      </c>
      <c r="IZ9" s="541">
        <f>+IX9*$H$8</f>
        <v>0</v>
      </c>
      <c r="JA9" s="539"/>
      <c r="JB9" s="540">
        <f t="shared" ref="JB9:JB39" si="85">+JA9/$E9</f>
        <v>0</v>
      </c>
      <c r="JC9" s="541">
        <f>+JA9*$H$8</f>
        <v>0</v>
      </c>
      <c r="JD9" s="539"/>
      <c r="JE9" s="540">
        <f t="shared" ref="JE9:JE39" si="86">+JD9/$E9</f>
        <v>0</v>
      </c>
      <c r="JF9" s="541">
        <f>+JD9*$H$8</f>
        <v>0</v>
      </c>
      <c r="JG9" s="539"/>
      <c r="JH9" s="540">
        <f t="shared" ref="JH9:JH39" si="87">+JG9/$E9</f>
        <v>0</v>
      </c>
      <c r="JI9" s="541">
        <f>+JG9*$H$8</f>
        <v>0</v>
      </c>
      <c r="JJ9" s="539"/>
      <c r="JK9" s="541" t="str">
        <f t="shared" ref="JK9:JK39" si="88">IFERROR((JJ9/$L9),"0")</f>
        <v>0</v>
      </c>
      <c r="JL9" s="541" t="str">
        <f t="shared" ref="JL9:JL39" si="89">IFERROR(((JJ9*JL$8)/$L9),"0")</f>
        <v>0</v>
      </c>
      <c r="JM9" s="539"/>
      <c r="JN9" s="541" t="str">
        <f t="shared" ref="JN9:JN39" si="90">IFERROR((JM9/$L9),"0")</f>
        <v>0</v>
      </c>
      <c r="JO9" s="541" t="str">
        <f t="shared" ref="JO9:JO39" si="91">IFERROR(((JM9*JO$8)/$L9),"0")</f>
        <v>0</v>
      </c>
      <c r="JP9" s="539"/>
      <c r="JQ9" s="541" t="str">
        <f t="shared" ref="JQ9:JQ39" si="92">IFERROR((JP9/$L9),"0")</f>
        <v>0</v>
      </c>
      <c r="JR9" s="541" t="str">
        <f t="shared" ref="JR9:JR39" si="93">IFERROR(((JP9*JR$8)/$L9),"0")</f>
        <v>0</v>
      </c>
      <c r="JS9" s="539"/>
      <c r="JT9" s="541" t="str">
        <f t="shared" ref="JT9:JT39" si="94">IFERROR((JS9/$L9),"0")</f>
        <v>0</v>
      </c>
      <c r="JU9" s="541" t="str">
        <f t="shared" ref="JU9:JU39" si="95">IFERROR(((JS9*JU$8)/$L9),"0")</f>
        <v>0</v>
      </c>
      <c r="JV9" s="539"/>
      <c r="JW9" s="541" t="str">
        <f t="shared" ref="JW9:JW39" si="96">IFERROR((JV9/$L9),"0")</f>
        <v>0</v>
      </c>
      <c r="JX9" s="541" t="str">
        <f t="shared" ref="JX9:JX39" si="97">IFERROR(((JV9*JX$8)/$L9),"0")</f>
        <v>0</v>
      </c>
      <c r="JY9" s="539"/>
      <c r="JZ9" s="541" t="str">
        <f t="shared" ref="JZ9:JZ39" si="98">IFERROR((JY9/$L9),"0")</f>
        <v>0</v>
      </c>
      <c r="KA9" s="541" t="str">
        <f t="shared" ref="KA9:KA39" si="99">IFERROR(((JY9*KA$8)/$L9),"0")</f>
        <v>0</v>
      </c>
      <c r="KB9" s="539"/>
      <c r="KC9" s="541" t="str">
        <f t="shared" ref="KC9:KC39" si="100">IFERROR((KB9/$L9),"0")</f>
        <v>0</v>
      </c>
      <c r="KD9" s="541" t="str">
        <f t="shared" ref="KD9:KD39" si="101">IFERROR(((KB9*KD$8)/$L9),"0")</f>
        <v>0</v>
      </c>
      <c r="KE9" s="539"/>
      <c r="KF9" s="541" t="str">
        <f t="shared" ref="KF9:KF39" si="102">IFERROR((KE9/$L9),"0")</f>
        <v>0</v>
      </c>
      <c r="KG9" s="541" t="str">
        <f t="shared" ref="KG9:KG39" si="103">IFERROR(((KE9*KG$8)/$L9),"0")</f>
        <v>0</v>
      </c>
      <c r="KH9" s="539"/>
      <c r="KI9" s="541" t="str">
        <f t="shared" ref="KI9:KI39" si="104">IFERROR((KH9/$L9),"0")</f>
        <v>0</v>
      </c>
      <c r="KJ9" s="541" t="str">
        <f t="shared" ref="KJ9:KJ39" si="105">IFERROR(((KH9*KJ$8)/$L9),"0")</f>
        <v>0</v>
      </c>
      <c r="KK9" s="539"/>
      <c r="KL9" s="541" t="str">
        <f t="shared" ref="KL9:KL39" si="106">IFERROR((KK9/$L9),"0")</f>
        <v>0</v>
      </c>
      <c r="KM9" s="541" t="str">
        <f t="shared" ref="KM9:KM39" si="107">IFERROR(((KK9*KM$8)/$L9),"0")</f>
        <v>0</v>
      </c>
      <c r="KN9" s="539"/>
      <c r="KO9" s="541" t="str">
        <f t="shared" ref="KO9:KO39" si="108">IFERROR((KN9/$L9),"0")</f>
        <v>0</v>
      </c>
      <c r="KP9" s="541" t="str">
        <f t="shared" ref="KP9:KP39" si="109">IFERROR(((KN9*KP$8)/$L9),"0")</f>
        <v>0</v>
      </c>
      <c r="KQ9" s="539"/>
      <c r="KR9" s="541" t="str">
        <f t="shared" ref="KR9:KR39" si="110">IFERROR((KQ9/$L9),"0")</f>
        <v>0</v>
      </c>
      <c r="KS9" s="541" t="str">
        <f t="shared" ref="KS9:KS39" si="111">IFERROR(((KQ9*KS$8)/$L9),"0")</f>
        <v>0</v>
      </c>
      <c r="KT9" s="541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41">
        <f>GF9+GI9+GL9+GO9+GR9+GU9+GX9+HA9+HD9+HG9+HJ9+HM9+HP9+HS9+HV9+HY9+IB9+IE9+IH9+IK9+IN9+IQ9+IT9+IW9+IZ9+JC9+JF9+JI9+JL9+JO9+JR9+JU9+JX9++KA9+KD9+KG9+KJ9++KM9+KP9+KS9</f>
        <v>0</v>
      </c>
      <c r="KV9" s="275">
        <f>+F9+I9+L9+O9+R9+U9+X9+AA9+AD9+AG9+AJ9+AM9+AP9+AS9+AV9+AY9+BB9+BE9+BH9+BK9+BN9+BQ9+BT9+BW9+BZ9+CC9+CF9+CI9+CL9+CO9+CR9+CU9+CX9+DA9+DD9+DJ9+DM9+DP9+DS9+DV9+DY9+EB9+DG9+EE9</f>
        <v>173.06924478570417</v>
      </c>
    </row>
    <row r="10" spans="1:308" ht="15" customHeight="1">
      <c r="A10" s="277">
        <f>+A9+1</f>
        <v>45932</v>
      </c>
      <c r="B10" s="278" t="str">
        <f>+Report1!B10</f>
        <v>Facial/MG</v>
      </c>
      <c r="C10" s="420" t="str">
        <f>+Report1!C10</f>
        <v>10,3/15,5/16,5</v>
      </c>
      <c r="D10" s="279">
        <f>+Report1!P10</f>
        <v>70.090999999999994</v>
      </c>
      <c r="E10" s="280">
        <f>+Report1!R10</f>
        <v>55.192</v>
      </c>
      <c r="F10" s="539">
        <v>116.27947441860465</v>
      </c>
      <c r="G10" s="540">
        <f t="shared" si="0"/>
        <v>2.1068175536056795</v>
      </c>
      <c r="H10" s="541">
        <f t="shared" ref="H10:H39" si="112">+F10*$H$8</f>
        <v>0</v>
      </c>
      <c r="I10" s="539">
        <v>639.53488372093034</v>
      </c>
      <c r="J10" s="540">
        <f t="shared" si="1"/>
        <v>11.58745622048359</v>
      </c>
      <c r="K10" s="541">
        <f t="shared" ref="K10:K39" si="113">+I10*$H$8</f>
        <v>0</v>
      </c>
      <c r="L10" s="539"/>
      <c r="M10" s="540">
        <f t="shared" si="2"/>
        <v>0</v>
      </c>
      <c r="N10" s="541">
        <f t="shared" ref="N10:N39" si="114">+L10*$H$8</f>
        <v>0</v>
      </c>
      <c r="O10" s="539">
        <v>9</v>
      </c>
      <c r="P10" s="540">
        <f t="shared" si="3"/>
        <v>0.16306711117553269</v>
      </c>
      <c r="Q10" s="541">
        <f t="shared" ref="Q10:Q39" si="115">+O10*$H$8</f>
        <v>0</v>
      </c>
      <c r="R10" s="539"/>
      <c r="S10" s="540">
        <f t="shared" si="4"/>
        <v>0</v>
      </c>
      <c r="T10" s="541">
        <f t="shared" ref="T10:T39" si="116">+R10*$H$8</f>
        <v>0</v>
      </c>
      <c r="U10" s="539">
        <v>2.5625000000000142</v>
      </c>
      <c r="V10" s="540">
        <f t="shared" si="5"/>
        <v>4.6428830265256092E-2</v>
      </c>
      <c r="W10" s="541">
        <f t="shared" ref="W10:W39" si="117">+U10*$H$8</f>
        <v>0</v>
      </c>
      <c r="X10" s="539"/>
      <c r="Y10" s="540">
        <f t="shared" si="6"/>
        <v>0</v>
      </c>
      <c r="Z10" s="541">
        <f t="shared" ref="Z10:Z39" si="118">+X10*$H$8</f>
        <v>0</v>
      </c>
      <c r="AA10" s="539"/>
      <c r="AB10" s="540">
        <f t="shared" si="7"/>
        <v>0</v>
      </c>
      <c r="AC10" s="541">
        <f t="shared" ref="AC10:AC39" si="119">+AA10*$H$8</f>
        <v>0</v>
      </c>
      <c r="AD10" s="539"/>
      <c r="AE10" s="540">
        <f t="shared" si="8"/>
        <v>0</v>
      </c>
      <c r="AF10" s="541">
        <f t="shared" ref="AF10:AF39" si="120">+AD10*$H$8</f>
        <v>0</v>
      </c>
      <c r="AG10" s="539"/>
      <c r="AH10" s="540">
        <f t="shared" si="9"/>
        <v>0</v>
      </c>
      <c r="AI10" s="541">
        <f t="shared" ref="AI10:AI39" si="121">+AG10*$H$8</f>
        <v>0</v>
      </c>
      <c r="AJ10" s="539">
        <v>0</v>
      </c>
      <c r="AK10" s="540">
        <f t="shared" si="10"/>
        <v>0</v>
      </c>
      <c r="AL10" s="541">
        <f t="shared" ref="AL10:AL39" si="122">+AJ10*$H$8</f>
        <v>0</v>
      </c>
      <c r="AM10" s="539">
        <v>0</v>
      </c>
      <c r="AN10" s="540">
        <f t="shared" si="11"/>
        <v>0</v>
      </c>
      <c r="AO10" s="541">
        <f t="shared" ref="AO10:AO39" si="123">+AM10*$H$8</f>
        <v>0</v>
      </c>
      <c r="AP10" s="539">
        <v>8.5443037974683307</v>
      </c>
      <c r="AQ10" s="540">
        <f t="shared" si="12"/>
        <v>0.15481054858436605</v>
      </c>
      <c r="AR10" s="541">
        <f t="shared" ref="AR10:AR39" si="124">+AP10*$H$8</f>
        <v>0</v>
      </c>
      <c r="AS10" s="539"/>
      <c r="AT10" s="540">
        <f t="shared" si="13"/>
        <v>0</v>
      </c>
      <c r="AU10" s="541">
        <f t="shared" ref="AU10:AU39" si="125">+AS10*$H$8</f>
        <v>0</v>
      </c>
      <c r="AV10" s="539">
        <v>2.7749999999999488</v>
      </c>
      <c r="AW10" s="540">
        <f t="shared" si="14"/>
        <v>5.0279025945788321E-2</v>
      </c>
      <c r="AX10" s="541">
        <f t="shared" ref="AX10:AX39" si="126">+AV10*$H$8</f>
        <v>0</v>
      </c>
      <c r="AY10" s="539">
        <v>77</v>
      </c>
      <c r="AZ10" s="540">
        <f t="shared" si="15"/>
        <v>1.3951297289462241</v>
      </c>
      <c r="BA10" s="541">
        <f t="shared" ref="BA10:BA39" si="127">+AY10*$H$8</f>
        <v>0</v>
      </c>
      <c r="BB10" s="539">
        <v>0</v>
      </c>
      <c r="BC10" s="540">
        <f t="shared" si="16"/>
        <v>0</v>
      </c>
      <c r="BD10" s="541">
        <f t="shared" ref="BD10:BD39" si="128">+BB10*$H$8</f>
        <v>0</v>
      </c>
      <c r="BE10" s="539"/>
      <c r="BF10" s="540">
        <f t="shared" si="17"/>
        <v>0</v>
      </c>
      <c r="BG10" s="541">
        <f t="shared" ref="BG10:BG39" si="129">+BE10*$H$8</f>
        <v>0</v>
      </c>
      <c r="BH10" s="539"/>
      <c r="BI10" s="540">
        <f t="shared" si="18"/>
        <v>0</v>
      </c>
      <c r="BJ10" s="541">
        <f t="shared" ref="BJ10:BJ39" si="130">+BH10*$H$8</f>
        <v>0</v>
      </c>
      <c r="BK10" s="539"/>
      <c r="BL10" s="540">
        <f t="shared" si="19"/>
        <v>0</v>
      </c>
      <c r="BM10" s="541">
        <f t="shared" ref="BM10:BM39" si="131">+BK10*$H$8</f>
        <v>0</v>
      </c>
      <c r="BN10" s="539">
        <v>15.18518518518519</v>
      </c>
      <c r="BO10" s="540">
        <f t="shared" si="20"/>
        <v>0.2751338089792939</v>
      </c>
      <c r="BP10" s="541">
        <f t="shared" ref="BP10:BP39" si="132">+BN10*$H$8</f>
        <v>0</v>
      </c>
      <c r="BQ10" s="539">
        <v>0</v>
      </c>
      <c r="BR10" s="540">
        <f t="shared" si="21"/>
        <v>0</v>
      </c>
      <c r="BS10" s="541">
        <f t="shared" ref="BS10:BS39" si="133">+BQ10*$H$8</f>
        <v>0</v>
      </c>
      <c r="BT10" s="539"/>
      <c r="BU10" s="540">
        <f t="shared" si="22"/>
        <v>0</v>
      </c>
      <c r="BV10" s="541">
        <f t="shared" ref="BV10:BV39" si="134">+BT10*$H$8</f>
        <v>0</v>
      </c>
      <c r="BW10" s="539">
        <v>0</v>
      </c>
      <c r="BX10" s="540">
        <f t="shared" si="23"/>
        <v>0</v>
      </c>
      <c r="BY10" s="541">
        <f t="shared" ref="BY10:BY39" si="135">+BW10*$H$8</f>
        <v>0</v>
      </c>
      <c r="BZ10" s="539"/>
      <c r="CA10" s="540">
        <f t="shared" si="24"/>
        <v>0</v>
      </c>
      <c r="CB10" s="541">
        <f t="shared" ref="CB10:CB39" si="136">+BZ10*$H$8</f>
        <v>0</v>
      </c>
      <c r="CC10" s="539">
        <v>0</v>
      </c>
      <c r="CD10" s="540">
        <f t="shared" si="25"/>
        <v>0</v>
      </c>
      <c r="CE10" s="541">
        <f t="shared" ref="CE10:CE39" si="137">+CC10*$H$8</f>
        <v>0</v>
      </c>
      <c r="CF10" s="539">
        <v>0.10000000000000003</v>
      </c>
      <c r="CG10" s="540">
        <f t="shared" si="26"/>
        <v>1.8118567908392527E-3</v>
      </c>
      <c r="CH10" s="541">
        <f t="shared" ref="CH10:CH39" si="138">+CF10*$H$8</f>
        <v>0</v>
      </c>
      <c r="CI10" s="539"/>
      <c r="CJ10" s="540">
        <f t="shared" si="27"/>
        <v>0</v>
      </c>
      <c r="CK10" s="541">
        <f t="shared" ref="CK10:CK39" si="139">+CI10*$H$8</f>
        <v>0</v>
      </c>
      <c r="CL10" s="539"/>
      <c r="CM10" s="540">
        <f t="shared" si="28"/>
        <v>0</v>
      </c>
      <c r="CN10" s="541">
        <f t="shared" ref="CN10:CN39" si="140">+CL10*$H$8</f>
        <v>0</v>
      </c>
      <c r="CO10" s="539"/>
      <c r="CP10" s="540">
        <f t="shared" si="29"/>
        <v>0</v>
      </c>
      <c r="CQ10" s="541">
        <f t="shared" ref="CQ10:CQ39" si="141">+CO10*$H$8</f>
        <v>0</v>
      </c>
      <c r="CR10" s="539"/>
      <c r="CS10" s="540">
        <f t="shared" si="30"/>
        <v>0</v>
      </c>
      <c r="CT10" s="541">
        <f t="shared" ref="CT10:CT39" si="142">+CR10*$H$8</f>
        <v>0</v>
      </c>
      <c r="CU10" s="539"/>
      <c r="CV10" s="540">
        <f t="shared" si="31"/>
        <v>0</v>
      </c>
      <c r="CW10" s="541">
        <f t="shared" ref="CW10:CW39" si="143">+CU10*$H$8</f>
        <v>0</v>
      </c>
      <c r="CX10" s="539"/>
      <c r="CY10" s="540">
        <f t="shared" si="32"/>
        <v>0</v>
      </c>
      <c r="CZ10" s="541">
        <f t="shared" ref="CZ10:CZ39" si="144">+CX10*$H$8</f>
        <v>0</v>
      </c>
      <c r="DA10" s="539"/>
      <c r="DB10" s="540">
        <f t="shared" si="33"/>
        <v>0</v>
      </c>
      <c r="DC10" s="541">
        <f t="shared" ref="DC10:DC39" si="145">+DA10*$H$8</f>
        <v>0</v>
      </c>
      <c r="DD10" s="539"/>
      <c r="DE10" s="540">
        <f t="shared" si="34"/>
        <v>0</v>
      </c>
      <c r="DF10" s="541">
        <f t="shared" ref="DF10:DF39" si="146">+DD10*$H$8</f>
        <v>0</v>
      </c>
      <c r="DG10" s="539">
        <v>0</v>
      </c>
      <c r="DH10" s="540">
        <f t="shared" si="35"/>
        <v>0</v>
      </c>
      <c r="DI10" s="541">
        <v>0</v>
      </c>
      <c r="DJ10" s="539"/>
      <c r="DK10" s="540">
        <f t="shared" si="36"/>
        <v>0</v>
      </c>
      <c r="DL10" s="541">
        <f t="shared" ref="DL10:DL39" si="147">+DJ10*$H$8</f>
        <v>0</v>
      </c>
      <c r="DM10" s="539"/>
      <c r="DN10" s="540">
        <f t="shared" si="37"/>
        <v>0</v>
      </c>
      <c r="DO10" s="541">
        <f t="shared" ref="DO10:DO39" si="148">+DM10*$H$8</f>
        <v>0</v>
      </c>
      <c r="DP10" s="539"/>
      <c r="DQ10" s="540">
        <f t="shared" si="38"/>
        <v>0</v>
      </c>
      <c r="DR10" s="541">
        <f t="shared" ref="DR10:DR39" si="149">+DP10*$H$8</f>
        <v>0</v>
      </c>
      <c r="DS10" s="539"/>
      <c r="DT10" s="540">
        <f t="shared" si="39"/>
        <v>0</v>
      </c>
      <c r="DU10" s="541">
        <f t="shared" ref="DU10:DU39" si="150">+DS10*$H$8</f>
        <v>0</v>
      </c>
      <c r="DV10" s="539"/>
      <c r="DW10" s="540">
        <f t="shared" si="40"/>
        <v>0</v>
      </c>
      <c r="DX10" s="541">
        <f t="shared" ref="DX10:DX39" si="151">+DV10*$H$8</f>
        <v>0</v>
      </c>
      <c r="DY10" s="539"/>
      <c r="DZ10" s="540">
        <f t="shared" si="41"/>
        <v>0</v>
      </c>
      <c r="EA10" s="541">
        <f t="shared" ref="EA10:EA39" si="152">+DY10*$H$8</f>
        <v>0</v>
      </c>
      <c r="EB10" s="539">
        <v>14.534883720930338</v>
      </c>
      <c r="EC10" s="540">
        <f t="shared" si="42"/>
        <v>0.26335127773826528</v>
      </c>
      <c r="ED10" s="541">
        <f t="shared" ref="ED10:ED39" si="153">+EB10*$H$8</f>
        <v>0</v>
      </c>
      <c r="EE10" s="539">
        <v>1</v>
      </c>
      <c r="EF10" s="540">
        <f t="shared" si="43"/>
        <v>1.811856790839252E-2</v>
      </c>
      <c r="EG10" s="541">
        <f t="shared" ref="EG10:EG39" si="154">+EE10*$H$8</f>
        <v>0</v>
      </c>
      <c r="EH10" s="539"/>
      <c r="EI10" s="540">
        <f t="shared" si="44"/>
        <v>0</v>
      </c>
      <c r="EJ10" s="541">
        <f t="shared" ref="EJ10:EJ39" si="155">+EH10*$H$8</f>
        <v>0</v>
      </c>
      <c r="EK10" s="539"/>
      <c r="EL10" s="540">
        <f t="shared" si="45"/>
        <v>0</v>
      </c>
      <c r="EM10" s="541">
        <f t="shared" ref="EM10:EM39" si="156">+EK10*$H$8</f>
        <v>0</v>
      </c>
      <c r="EN10" s="539"/>
      <c r="EO10" s="540">
        <f t="shared" si="46"/>
        <v>0</v>
      </c>
      <c r="EP10" s="541">
        <f t="shared" ref="EP10:EP39" si="157">+EN10*$H$8</f>
        <v>0</v>
      </c>
      <c r="EQ10" s="539"/>
      <c r="ER10" s="540">
        <f t="shared" si="47"/>
        <v>0</v>
      </c>
      <c r="ES10" s="541">
        <f t="shared" ref="ES10:ES39" si="158">+EQ10*$H$8</f>
        <v>0</v>
      </c>
      <c r="ET10" s="539"/>
      <c r="EU10" s="540">
        <f t="shared" si="48"/>
        <v>0</v>
      </c>
      <c r="EV10" s="541">
        <f t="shared" ref="EV10:EV39" si="159">+ET10*$H$8</f>
        <v>0</v>
      </c>
      <c r="EW10" s="539"/>
      <c r="EX10" s="540">
        <f t="shared" si="49"/>
        <v>0</v>
      </c>
      <c r="EY10" s="541">
        <f t="shared" ref="EY10:EY39" si="160">+EW10*$H$8</f>
        <v>0</v>
      </c>
      <c r="EZ10" s="539"/>
      <c r="FA10" s="540">
        <f t="shared" si="50"/>
        <v>0</v>
      </c>
      <c r="FB10" s="541">
        <f t="shared" ref="FB10:FB39" si="161">+EZ10*$H$8</f>
        <v>0</v>
      </c>
      <c r="FC10" s="539"/>
      <c r="FD10" s="540">
        <f t="shared" si="51"/>
        <v>0</v>
      </c>
      <c r="FE10" s="541">
        <f t="shared" ref="FE10:FE39" si="162">+FC10*$H$8</f>
        <v>0</v>
      </c>
      <c r="FF10" s="539"/>
      <c r="FG10" s="540">
        <f t="shared" si="52"/>
        <v>0</v>
      </c>
      <c r="FH10" s="541">
        <f t="shared" ref="FH10:FH39" si="163">+FF10*$H$8</f>
        <v>0</v>
      </c>
      <c r="FI10" s="539"/>
      <c r="FJ10" s="540">
        <f t="shared" si="53"/>
        <v>0</v>
      </c>
      <c r="FK10" s="541">
        <f t="shared" ref="FK10:FK39" si="164">+FI10*$H$8</f>
        <v>0</v>
      </c>
      <c r="FL10" s="539"/>
      <c r="FM10" s="540">
        <f t="shared" si="54"/>
        <v>0</v>
      </c>
      <c r="FN10" s="541">
        <f t="shared" ref="FN10:FN39" si="165">+FL10*$H$8</f>
        <v>0</v>
      </c>
      <c r="FO10" s="539"/>
      <c r="FP10" s="540">
        <f t="shared" si="55"/>
        <v>0</v>
      </c>
      <c r="FQ10" s="541">
        <f t="shared" ref="FQ10:FQ39" si="166">+FO10*$H$8</f>
        <v>0</v>
      </c>
      <c r="FR10" s="539"/>
      <c r="FS10" s="540">
        <f t="shared" si="56"/>
        <v>0</v>
      </c>
      <c r="FT10" s="541">
        <f t="shared" ref="FT10:FT39" si="167">+FR10*$H$8</f>
        <v>0</v>
      </c>
      <c r="FU10" s="539"/>
      <c r="FV10" s="540">
        <f t="shared" si="57"/>
        <v>0</v>
      </c>
      <c r="FW10" s="541">
        <f t="shared" ref="FW10:FW39" si="168">+FU10*$H$8</f>
        <v>0</v>
      </c>
      <c r="FX10" s="539"/>
      <c r="FY10" s="540">
        <f t="shared" si="58"/>
        <v>0</v>
      </c>
      <c r="FZ10" s="541">
        <f t="shared" ref="FZ10:FZ39" si="169">+FX10*$H$8</f>
        <v>0</v>
      </c>
      <c r="GA10" s="539"/>
      <c r="GB10" s="540">
        <f t="shared" si="59"/>
        <v>0</v>
      </c>
      <c r="GC10" s="541">
        <f t="shared" ref="GC10:GC39" si="170">+GA10*$H$8</f>
        <v>0</v>
      </c>
      <c r="GD10" s="539"/>
      <c r="GE10" s="540">
        <f t="shared" si="60"/>
        <v>0</v>
      </c>
      <c r="GF10" s="541">
        <f t="shared" ref="GF10:GF39" si="171">+GD10*$H$8</f>
        <v>0</v>
      </c>
      <c r="GG10" s="539"/>
      <c r="GH10" s="540">
        <f t="shared" si="61"/>
        <v>0</v>
      </c>
      <c r="GI10" s="541">
        <f t="shared" ref="GI10:GI39" si="172">+GG10*$H$8</f>
        <v>0</v>
      </c>
      <c r="GJ10" s="539"/>
      <c r="GK10" s="540">
        <f t="shared" si="62"/>
        <v>0</v>
      </c>
      <c r="GL10" s="541">
        <f t="shared" ref="GL10:GL39" si="173">+GJ10*$H$8</f>
        <v>0</v>
      </c>
      <c r="GM10" s="539"/>
      <c r="GN10" s="540">
        <f t="shared" si="63"/>
        <v>0</v>
      </c>
      <c r="GO10" s="541">
        <f t="shared" ref="GO10:GO39" si="174">+GM10*$H$8</f>
        <v>0</v>
      </c>
      <c r="GP10" s="539"/>
      <c r="GQ10" s="540">
        <f t="shared" si="64"/>
        <v>0</v>
      </c>
      <c r="GR10" s="541">
        <f t="shared" ref="GR10:GR39" si="175">+GP10*$H$8</f>
        <v>0</v>
      </c>
      <c r="GS10" s="539"/>
      <c r="GT10" s="540">
        <f t="shared" si="65"/>
        <v>0</v>
      </c>
      <c r="GU10" s="541">
        <f t="shared" ref="GU10:GU39" si="176">+GS10*$H$8</f>
        <v>0</v>
      </c>
      <c r="GV10" s="539"/>
      <c r="GW10" s="540">
        <f t="shared" si="66"/>
        <v>0</v>
      </c>
      <c r="GX10" s="541">
        <f t="shared" ref="GX10:GX39" si="177">+GV10*$H$8</f>
        <v>0</v>
      </c>
      <c r="GY10" s="539"/>
      <c r="GZ10" s="540">
        <f t="shared" si="67"/>
        <v>0</v>
      </c>
      <c r="HA10" s="541">
        <f t="shared" ref="HA10:HA39" si="178">+GY10*$H$8</f>
        <v>0</v>
      </c>
      <c r="HB10" s="539"/>
      <c r="HC10" s="540">
        <f t="shared" si="68"/>
        <v>0</v>
      </c>
      <c r="HD10" s="541">
        <f t="shared" ref="HD10:HD39" si="179">+HB10*$H$8</f>
        <v>0</v>
      </c>
      <c r="HE10" s="539"/>
      <c r="HF10" s="540">
        <f t="shared" si="69"/>
        <v>0</v>
      </c>
      <c r="HG10" s="541">
        <f t="shared" ref="HG10:HG39" si="180">+HE10*$H$8</f>
        <v>0</v>
      </c>
      <c r="HH10" s="539"/>
      <c r="HI10" s="540">
        <f t="shared" si="70"/>
        <v>0</v>
      </c>
      <c r="HJ10" s="541">
        <f t="shared" ref="HJ10:HJ39" si="181">+HH10*$H$8</f>
        <v>0</v>
      </c>
      <c r="HK10" s="539"/>
      <c r="HL10" s="540">
        <f t="shared" si="71"/>
        <v>0</v>
      </c>
      <c r="HM10" s="541">
        <f t="shared" ref="HM10:HM39" si="182">+HK10*$H$8</f>
        <v>0</v>
      </c>
      <c r="HN10" s="539"/>
      <c r="HO10" s="540">
        <f t="shared" si="72"/>
        <v>0</v>
      </c>
      <c r="HP10" s="541">
        <f t="shared" ref="HP10:HP39" si="183">+HN10*$H$8</f>
        <v>0</v>
      </c>
      <c r="HQ10" s="539"/>
      <c r="HR10" s="540">
        <f t="shared" si="73"/>
        <v>0</v>
      </c>
      <c r="HS10" s="541">
        <f t="shared" ref="HS10:HS39" si="184">+HQ10*$H$8</f>
        <v>0</v>
      </c>
      <c r="HT10" s="539"/>
      <c r="HU10" s="540">
        <f t="shared" si="74"/>
        <v>0</v>
      </c>
      <c r="HV10" s="541">
        <f t="shared" ref="HV10:HV39" si="185">+HT10*$H$8</f>
        <v>0</v>
      </c>
      <c r="HW10" s="539"/>
      <c r="HX10" s="540">
        <f t="shared" si="75"/>
        <v>0</v>
      </c>
      <c r="HY10" s="541">
        <f t="shared" ref="HY10:HY39" si="186">+HW10*$H$8</f>
        <v>0</v>
      </c>
      <c r="HZ10" s="539"/>
      <c r="IA10" s="540">
        <f t="shared" si="76"/>
        <v>0</v>
      </c>
      <c r="IB10" s="541">
        <f t="shared" ref="IB10:IB39" si="187">+HZ10*$H$8</f>
        <v>0</v>
      </c>
      <c r="IC10" s="539"/>
      <c r="ID10" s="540">
        <f t="shared" si="77"/>
        <v>0</v>
      </c>
      <c r="IE10" s="541">
        <f t="shared" ref="IE10:IE39" si="188">+IC10*$H$8</f>
        <v>0</v>
      </c>
      <c r="IF10" s="539"/>
      <c r="IG10" s="540">
        <f t="shared" si="78"/>
        <v>0</v>
      </c>
      <c r="IH10" s="541">
        <f t="shared" ref="IH10:IH39" si="189">+IF10*$H$8</f>
        <v>0</v>
      </c>
      <c r="II10" s="539"/>
      <c r="IJ10" s="540">
        <f t="shared" si="79"/>
        <v>0</v>
      </c>
      <c r="IK10" s="541">
        <f t="shared" ref="IK10:IK39" si="190">+II10*$H$8</f>
        <v>0</v>
      </c>
      <c r="IL10" s="539"/>
      <c r="IM10" s="540">
        <f t="shared" si="80"/>
        <v>0</v>
      </c>
      <c r="IN10" s="541">
        <f t="shared" ref="IN10:IN39" si="191">+IL10*$H$8</f>
        <v>0</v>
      </c>
      <c r="IO10" s="539"/>
      <c r="IP10" s="540">
        <f t="shared" si="81"/>
        <v>0</v>
      </c>
      <c r="IQ10" s="541">
        <f t="shared" ref="IQ10:IQ39" si="192">+IO10*$H$8</f>
        <v>0</v>
      </c>
      <c r="IR10" s="539"/>
      <c r="IS10" s="540">
        <f t="shared" si="82"/>
        <v>0</v>
      </c>
      <c r="IT10" s="541">
        <f t="shared" ref="IT10:IT39" si="193">+IR10*$H$8</f>
        <v>0</v>
      </c>
      <c r="IU10" s="539"/>
      <c r="IV10" s="540">
        <f t="shared" si="83"/>
        <v>0</v>
      </c>
      <c r="IW10" s="541">
        <f t="shared" ref="IW10:IW39" si="194">+IU10*$H$8</f>
        <v>0</v>
      </c>
      <c r="IX10" s="539"/>
      <c r="IY10" s="540">
        <f t="shared" si="84"/>
        <v>0</v>
      </c>
      <c r="IZ10" s="541">
        <f t="shared" ref="IZ10:IZ39" si="195">+IX10*$H$8</f>
        <v>0</v>
      </c>
      <c r="JA10" s="539"/>
      <c r="JB10" s="540">
        <f t="shared" si="85"/>
        <v>0</v>
      </c>
      <c r="JC10" s="541">
        <f t="shared" ref="JC10:JC39" si="196">+JA10*$H$8</f>
        <v>0</v>
      </c>
      <c r="JD10" s="539"/>
      <c r="JE10" s="540">
        <f t="shared" si="86"/>
        <v>0</v>
      </c>
      <c r="JF10" s="541">
        <f t="shared" ref="JF10:JF39" si="197">+JD10*$H$8</f>
        <v>0</v>
      </c>
      <c r="JG10" s="539"/>
      <c r="JH10" s="540">
        <f t="shared" si="87"/>
        <v>0</v>
      </c>
      <c r="JI10" s="541">
        <f t="shared" ref="JI10:JI39" si="198">+JG10*$H$8</f>
        <v>0</v>
      </c>
      <c r="JJ10" s="539"/>
      <c r="JK10" s="541" t="str">
        <f t="shared" si="88"/>
        <v>0</v>
      </c>
      <c r="JL10" s="541" t="str">
        <f t="shared" si="89"/>
        <v>0</v>
      </c>
      <c r="JM10" s="539"/>
      <c r="JN10" s="541" t="str">
        <f t="shared" si="90"/>
        <v>0</v>
      </c>
      <c r="JO10" s="541" t="str">
        <f t="shared" si="91"/>
        <v>0</v>
      </c>
      <c r="JP10" s="539"/>
      <c r="JQ10" s="541" t="str">
        <f t="shared" si="92"/>
        <v>0</v>
      </c>
      <c r="JR10" s="541" t="str">
        <f t="shared" si="93"/>
        <v>0</v>
      </c>
      <c r="JS10" s="539"/>
      <c r="JT10" s="541" t="str">
        <f t="shared" si="94"/>
        <v>0</v>
      </c>
      <c r="JU10" s="541" t="str">
        <f t="shared" si="95"/>
        <v>0</v>
      </c>
      <c r="JV10" s="539"/>
      <c r="JW10" s="541" t="str">
        <f t="shared" si="96"/>
        <v>0</v>
      </c>
      <c r="JX10" s="541" t="str">
        <f t="shared" si="97"/>
        <v>0</v>
      </c>
      <c r="JY10" s="539"/>
      <c r="JZ10" s="541" t="str">
        <f t="shared" si="98"/>
        <v>0</v>
      </c>
      <c r="KA10" s="541" t="str">
        <f t="shared" si="99"/>
        <v>0</v>
      </c>
      <c r="KB10" s="539"/>
      <c r="KC10" s="541" t="str">
        <f t="shared" si="100"/>
        <v>0</v>
      </c>
      <c r="KD10" s="541" t="str">
        <f t="shared" si="101"/>
        <v>0</v>
      </c>
      <c r="KE10" s="539"/>
      <c r="KF10" s="541" t="str">
        <f t="shared" si="102"/>
        <v>0</v>
      </c>
      <c r="KG10" s="541" t="str">
        <f t="shared" si="103"/>
        <v>0</v>
      </c>
      <c r="KH10" s="539"/>
      <c r="KI10" s="541" t="str">
        <f t="shared" si="104"/>
        <v>0</v>
      </c>
      <c r="KJ10" s="541" t="str">
        <f t="shared" si="105"/>
        <v>0</v>
      </c>
      <c r="KK10" s="539"/>
      <c r="KL10" s="541" t="str">
        <f t="shared" si="106"/>
        <v>0</v>
      </c>
      <c r="KM10" s="541" t="str">
        <f t="shared" si="107"/>
        <v>0</v>
      </c>
      <c r="KN10" s="539"/>
      <c r="KO10" s="541" t="str">
        <f t="shared" si="108"/>
        <v>0</v>
      </c>
      <c r="KP10" s="541" t="str">
        <f t="shared" si="109"/>
        <v>0</v>
      </c>
      <c r="KQ10" s="539"/>
      <c r="KR10" s="541" t="str">
        <f t="shared" si="110"/>
        <v>0</v>
      </c>
      <c r="KS10" s="541" t="str">
        <f t="shared" si="111"/>
        <v>0</v>
      </c>
      <c r="KT10" s="541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41">
        <f>GF10+GI10+GL10+GO10+GR10+GU10+GX10+HA10+HD10+HG10+HJ10+HM10+HP10+HS10+HV10+HY10+IB10+IE10+IH10+IK10+IN10+IQ10+IT10+IW10+IZ10+JC10+JF10+JI10+JL10+JO10+JR10+JU10+JX10++KA10+KD10+KG10+KJ10++KM10+KP10+KS10</f>
        <v>0</v>
      </c>
      <c r="KV10" s="275">
        <f>+F10+I10+L10+O10+R10+U10+X10+AA10+AD10+AG10+AJ10+AM10+AP10+AS10+AV10+AY10+BB10+BE10+BH10+BK10+BN10+BQ10+BT10+BW10+BZ10+CC10+CF10+CI10+CL10+CO10+CR10+CU10+CX10+DA10+DD10+DJ10+DM10+DP10+DS10+DV10+DY10+EB10+DG10+EE10</f>
        <v>886.51623084311882</v>
      </c>
    </row>
    <row r="11" spans="1:308" ht="15" customHeight="1">
      <c r="A11" s="277">
        <f t="shared" ref="A11:A39" si="199">+A10+1</f>
        <v>45933</v>
      </c>
      <c r="B11" s="278" t="str">
        <f>+Report1!B11</f>
        <v>MG</v>
      </c>
      <c r="C11" s="420" t="str">
        <f>+Report1!C11</f>
        <v>16,5/21</v>
      </c>
      <c r="D11" s="279">
        <f>+Report1!P11</f>
        <v>78.805000000000007</v>
      </c>
      <c r="E11" s="280">
        <f>+Report1!R11</f>
        <v>84.813000000000002</v>
      </c>
      <c r="F11" s="539">
        <v>139.53488372093011</v>
      </c>
      <c r="G11" s="540">
        <f t="shared" si="0"/>
        <v>1.6452063212117258</v>
      </c>
      <c r="H11" s="541">
        <f t="shared" si="112"/>
        <v>0</v>
      </c>
      <c r="I11" s="539">
        <v>837.20930232558135</v>
      </c>
      <c r="J11" s="540">
        <f t="shared" si="1"/>
        <v>9.8712379272703625</v>
      </c>
      <c r="K11" s="541">
        <f t="shared" si="113"/>
        <v>0</v>
      </c>
      <c r="L11" s="539"/>
      <c r="M11" s="540">
        <f t="shared" si="2"/>
        <v>0</v>
      </c>
      <c r="N11" s="541">
        <f t="shared" si="114"/>
        <v>0</v>
      </c>
      <c r="O11" s="539">
        <v>6</v>
      </c>
      <c r="P11" s="540">
        <f t="shared" si="3"/>
        <v>7.0743871812104273E-2</v>
      </c>
      <c r="Q11" s="541">
        <f t="shared" si="115"/>
        <v>0</v>
      </c>
      <c r="R11" s="539"/>
      <c r="S11" s="540">
        <f t="shared" si="4"/>
        <v>0</v>
      </c>
      <c r="T11" s="541">
        <f t="shared" si="116"/>
        <v>0</v>
      </c>
      <c r="U11" s="539">
        <v>2.5625</v>
      </c>
      <c r="V11" s="540">
        <f t="shared" si="5"/>
        <v>3.0213528586419534E-2</v>
      </c>
      <c r="W11" s="541">
        <f t="shared" si="117"/>
        <v>0</v>
      </c>
      <c r="X11" s="539"/>
      <c r="Y11" s="540">
        <f t="shared" si="6"/>
        <v>0</v>
      </c>
      <c r="Z11" s="541">
        <f t="shared" si="118"/>
        <v>0</v>
      </c>
      <c r="AA11" s="539"/>
      <c r="AB11" s="540">
        <f t="shared" si="7"/>
        <v>0</v>
      </c>
      <c r="AC11" s="541">
        <f t="shared" si="119"/>
        <v>0</v>
      </c>
      <c r="AD11" s="539"/>
      <c r="AE11" s="540">
        <f t="shared" si="8"/>
        <v>0</v>
      </c>
      <c r="AF11" s="541">
        <f t="shared" si="120"/>
        <v>0</v>
      </c>
      <c r="AG11" s="539"/>
      <c r="AH11" s="540">
        <f t="shared" si="9"/>
        <v>0</v>
      </c>
      <c r="AI11" s="541">
        <f t="shared" si="121"/>
        <v>0</v>
      </c>
      <c r="AJ11" s="539">
        <v>0</v>
      </c>
      <c r="AK11" s="540">
        <f t="shared" si="10"/>
        <v>0</v>
      </c>
      <c r="AL11" s="541">
        <f t="shared" si="122"/>
        <v>0</v>
      </c>
      <c r="AM11" s="539">
        <v>0</v>
      </c>
      <c r="AN11" s="540">
        <f t="shared" si="11"/>
        <v>0</v>
      </c>
      <c r="AO11" s="541">
        <f t="shared" si="123"/>
        <v>0</v>
      </c>
      <c r="AP11" s="539">
        <v>0</v>
      </c>
      <c r="AQ11" s="540">
        <f t="shared" si="12"/>
        <v>0</v>
      </c>
      <c r="AR11" s="541">
        <f t="shared" si="124"/>
        <v>0</v>
      </c>
      <c r="AS11" s="539"/>
      <c r="AT11" s="540">
        <f t="shared" si="13"/>
        <v>0</v>
      </c>
      <c r="AU11" s="541">
        <f t="shared" si="125"/>
        <v>0</v>
      </c>
      <c r="AV11" s="539">
        <v>11.100000000000023</v>
      </c>
      <c r="AW11" s="540">
        <f t="shared" si="14"/>
        <v>0.13087616285239317</v>
      </c>
      <c r="AX11" s="541">
        <f t="shared" si="126"/>
        <v>0</v>
      </c>
      <c r="AY11" s="539">
        <v>14</v>
      </c>
      <c r="AZ11" s="540">
        <f t="shared" si="15"/>
        <v>0.16506903422824332</v>
      </c>
      <c r="BA11" s="541">
        <f t="shared" si="127"/>
        <v>0</v>
      </c>
      <c r="BB11" s="539">
        <v>53.666666666666657</v>
      </c>
      <c r="BC11" s="540">
        <f t="shared" si="16"/>
        <v>0.63276463120826587</v>
      </c>
      <c r="BD11" s="541">
        <f t="shared" si="128"/>
        <v>0</v>
      </c>
      <c r="BE11" s="539"/>
      <c r="BF11" s="540">
        <f t="shared" si="17"/>
        <v>0</v>
      </c>
      <c r="BG11" s="541">
        <f t="shared" si="129"/>
        <v>0</v>
      </c>
      <c r="BH11" s="539"/>
      <c r="BI11" s="540">
        <f t="shared" si="18"/>
        <v>0</v>
      </c>
      <c r="BJ11" s="541">
        <f t="shared" si="130"/>
        <v>0</v>
      </c>
      <c r="BK11" s="539"/>
      <c r="BL11" s="540">
        <f t="shared" si="19"/>
        <v>0</v>
      </c>
      <c r="BM11" s="541">
        <f t="shared" si="131"/>
        <v>0</v>
      </c>
      <c r="BN11" s="539">
        <v>17.716049382716037</v>
      </c>
      <c r="BO11" s="540">
        <f t="shared" si="20"/>
        <v>0.20888365442462872</v>
      </c>
      <c r="BP11" s="541">
        <f t="shared" si="132"/>
        <v>0</v>
      </c>
      <c r="BQ11" s="539">
        <v>0</v>
      </c>
      <c r="BR11" s="540">
        <f t="shared" si="21"/>
        <v>0</v>
      </c>
      <c r="BS11" s="541">
        <f t="shared" si="133"/>
        <v>0</v>
      </c>
      <c r="BT11" s="539"/>
      <c r="BU11" s="540">
        <f t="shared" si="22"/>
        <v>0</v>
      </c>
      <c r="BV11" s="541">
        <f t="shared" si="134"/>
        <v>0</v>
      </c>
      <c r="BW11" s="539">
        <v>0</v>
      </c>
      <c r="BX11" s="540">
        <f t="shared" si="23"/>
        <v>0</v>
      </c>
      <c r="BY11" s="541">
        <f t="shared" si="135"/>
        <v>0</v>
      </c>
      <c r="BZ11" s="539"/>
      <c r="CA11" s="540">
        <f t="shared" si="24"/>
        <v>0</v>
      </c>
      <c r="CB11" s="541">
        <f t="shared" si="136"/>
        <v>0</v>
      </c>
      <c r="CC11" s="539">
        <v>6.25</v>
      </c>
      <c r="CD11" s="540">
        <f t="shared" si="25"/>
        <v>7.3691533137608622E-2</v>
      </c>
      <c r="CE11" s="541">
        <f t="shared" si="137"/>
        <v>0</v>
      </c>
      <c r="CF11" s="539">
        <v>9.9999999999999978E-2</v>
      </c>
      <c r="CG11" s="540">
        <f t="shared" si="26"/>
        <v>1.1790645302017376E-3</v>
      </c>
      <c r="CH11" s="541">
        <f t="shared" si="138"/>
        <v>0</v>
      </c>
      <c r="CI11" s="539"/>
      <c r="CJ11" s="540">
        <f t="shared" si="27"/>
        <v>0</v>
      </c>
      <c r="CK11" s="541">
        <f t="shared" si="139"/>
        <v>0</v>
      </c>
      <c r="CL11" s="539"/>
      <c r="CM11" s="540">
        <f t="shared" si="28"/>
        <v>0</v>
      </c>
      <c r="CN11" s="541">
        <f t="shared" si="140"/>
        <v>0</v>
      </c>
      <c r="CO11" s="539"/>
      <c r="CP11" s="540">
        <f t="shared" si="29"/>
        <v>0</v>
      </c>
      <c r="CQ11" s="541">
        <f t="shared" si="141"/>
        <v>0</v>
      </c>
      <c r="CR11" s="539"/>
      <c r="CS11" s="540">
        <f t="shared" si="30"/>
        <v>0</v>
      </c>
      <c r="CT11" s="541">
        <f t="shared" si="142"/>
        <v>0</v>
      </c>
      <c r="CU11" s="539"/>
      <c r="CV11" s="540">
        <f t="shared" si="31"/>
        <v>0</v>
      </c>
      <c r="CW11" s="541">
        <f t="shared" si="143"/>
        <v>0</v>
      </c>
      <c r="CX11" s="539"/>
      <c r="CY11" s="540">
        <f t="shared" si="32"/>
        <v>0</v>
      </c>
      <c r="CZ11" s="541">
        <f t="shared" si="144"/>
        <v>0</v>
      </c>
      <c r="DA11" s="539"/>
      <c r="DB11" s="540">
        <f t="shared" si="33"/>
        <v>0</v>
      </c>
      <c r="DC11" s="541">
        <f t="shared" si="145"/>
        <v>0</v>
      </c>
      <c r="DD11" s="539"/>
      <c r="DE11" s="540">
        <f t="shared" si="34"/>
        <v>0</v>
      </c>
      <c r="DF11" s="541">
        <f t="shared" si="146"/>
        <v>0</v>
      </c>
      <c r="DG11" s="539">
        <v>0</v>
      </c>
      <c r="DH11" s="540">
        <f t="shared" si="35"/>
        <v>0</v>
      </c>
      <c r="DI11" s="541">
        <v>0</v>
      </c>
      <c r="DJ11" s="539"/>
      <c r="DK11" s="540">
        <f t="shared" si="36"/>
        <v>0</v>
      </c>
      <c r="DL11" s="541">
        <f t="shared" si="147"/>
        <v>0</v>
      </c>
      <c r="DM11" s="539"/>
      <c r="DN11" s="540">
        <f t="shared" si="37"/>
        <v>0</v>
      </c>
      <c r="DO11" s="541">
        <f t="shared" si="148"/>
        <v>0</v>
      </c>
      <c r="DP11" s="539"/>
      <c r="DQ11" s="540">
        <f t="shared" si="38"/>
        <v>0</v>
      </c>
      <c r="DR11" s="541">
        <f t="shared" si="149"/>
        <v>0</v>
      </c>
      <c r="DS11" s="539"/>
      <c r="DT11" s="540">
        <f t="shared" si="39"/>
        <v>0</v>
      </c>
      <c r="DU11" s="541">
        <f t="shared" si="150"/>
        <v>0</v>
      </c>
      <c r="DV11" s="539"/>
      <c r="DW11" s="540">
        <f t="shared" si="40"/>
        <v>0</v>
      </c>
      <c r="DX11" s="541">
        <f t="shared" si="151"/>
        <v>0</v>
      </c>
      <c r="DY11" s="539"/>
      <c r="DZ11" s="540">
        <f t="shared" si="41"/>
        <v>0</v>
      </c>
      <c r="EA11" s="541">
        <f t="shared" si="152"/>
        <v>0</v>
      </c>
      <c r="EB11" s="539">
        <v>14.534883720930225</v>
      </c>
      <c r="EC11" s="540">
        <f t="shared" si="42"/>
        <v>0.17137565845955482</v>
      </c>
      <c r="ED11" s="541">
        <f t="shared" si="153"/>
        <v>0</v>
      </c>
      <c r="EE11" s="539">
        <v>1</v>
      </c>
      <c r="EF11" s="540">
        <f t="shared" si="43"/>
        <v>1.1790645302017379E-2</v>
      </c>
      <c r="EG11" s="541">
        <f t="shared" si="154"/>
        <v>0</v>
      </c>
      <c r="EH11" s="539"/>
      <c r="EI11" s="540">
        <f t="shared" si="44"/>
        <v>0</v>
      </c>
      <c r="EJ11" s="541">
        <f t="shared" si="155"/>
        <v>0</v>
      </c>
      <c r="EK11" s="539"/>
      <c r="EL11" s="540">
        <f t="shared" si="45"/>
        <v>0</v>
      </c>
      <c r="EM11" s="541">
        <f t="shared" si="156"/>
        <v>0</v>
      </c>
      <c r="EN11" s="539"/>
      <c r="EO11" s="540">
        <f t="shared" si="46"/>
        <v>0</v>
      </c>
      <c r="EP11" s="541">
        <f t="shared" si="157"/>
        <v>0</v>
      </c>
      <c r="EQ11" s="539"/>
      <c r="ER11" s="540">
        <f t="shared" si="47"/>
        <v>0</v>
      </c>
      <c r="ES11" s="541">
        <f t="shared" si="158"/>
        <v>0</v>
      </c>
      <c r="ET11" s="539"/>
      <c r="EU11" s="540">
        <f t="shared" si="48"/>
        <v>0</v>
      </c>
      <c r="EV11" s="541">
        <f t="shared" si="159"/>
        <v>0</v>
      </c>
      <c r="EW11" s="539"/>
      <c r="EX11" s="540">
        <f t="shared" si="49"/>
        <v>0</v>
      </c>
      <c r="EY11" s="541">
        <f t="shared" si="160"/>
        <v>0</v>
      </c>
      <c r="EZ11" s="539"/>
      <c r="FA11" s="540">
        <f t="shared" si="50"/>
        <v>0</v>
      </c>
      <c r="FB11" s="541">
        <f t="shared" si="161"/>
        <v>0</v>
      </c>
      <c r="FC11" s="539"/>
      <c r="FD11" s="540">
        <f t="shared" si="51"/>
        <v>0</v>
      </c>
      <c r="FE11" s="541">
        <f t="shared" si="162"/>
        <v>0</v>
      </c>
      <c r="FF11" s="539"/>
      <c r="FG11" s="540">
        <f t="shared" si="52"/>
        <v>0</v>
      </c>
      <c r="FH11" s="541">
        <f t="shared" si="163"/>
        <v>0</v>
      </c>
      <c r="FI11" s="539"/>
      <c r="FJ11" s="540">
        <f t="shared" si="53"/>
        <v>0</v>
      </c>
      <c r="FK11" s="541">
        <f t="shared" si="164"/>
        <v>0</v>
      </c>
      <c r="FL11" s="539"/>
      <c r="FM11" s="540">
        <f t="shared" si="54"/>
        <v>0</v>
      </c>
      <c r="FN11" s="541">
        <f t="shared" si="165"/>
        <v>0</v>
      </c>
      <c r="FO11" s="539"/>
      <c r="FP11" s="540">
        <f t="shared" si="55"/>
        <v>0</v>
      </c>
      <c r="FQ11" s="541">
        <f t="shared" si="166"/>
        <v>0</v>
      </c>
      <c r="FR11" s="539"/>
      <c r="FS11" s="540">
        <f t="shared" si="56"/>
        <v>0</v>
      </c>
      <c r="FT11" s="541">
        <f t="shared" si="167"/>
        <v>0</v>
      </c>
      <c r="FU11" s="539"/>
      <c r="FV11" s="540">
        <f t="shared" si="57"/>
        <v>0</v>
      </c>
      <c r="FW11" s="541">
        <f t="shared" si="168"/>
        <v>0</v>
      </c>
      <c r="FX11" s="539"/>
      <c r="FY11" s="540">
        <f t="shared" si="58"/>
        <v>0</v>
      </c>
      <c r="FZ11" s="541">
        <f t="shared" si="169"/>
        <v>0</v>
      </c>
      <c r="GA11" s="539"/>
      <c r="GB11" s="540">
        <f t="shared" si="59"/>
        <v>0</v>
      </c>
      <c r="GC11" s="541">
        <f t="shared" si="170"/>
        <v>0</v>
      </c>
      <c r="GD11" s="539"/>
      <c r="GE11" s="540">
        <f t="shared" si="60"/>
        <v>0</v>
      </c>
      <c r="GF11" s="541">
        <f t="shared" si="171"/>
        <v>0</v>
      </c>
      <c r="GG11" s="539"/>
      <c r="GH11" s="540">
        <f t="shared" si="61"/>
        <v>0</v>
      </c>
      <c r="GI11" s="541">
        <f t="shared" si="172"/>
        <v>0</v>
      </c>
      <c r="GJ11" s="539"/>
      <c r="GK11" s="540">
        <f t="shared" si="62"/>
        <v>0</v>
      </c>
      <c r="GL11" s="541">
        <f t="shared" si="173"/>
        <v>0</v>
      </c>
      <c r="GM11" s="539"/>
      <c r="GN11" s="540">
        <f t="shared" si="63"/>
        <v>0</v>
      </c>
      <c r="GO11" s="541">
        <f t="shared" si="174"/>
        <v>0</v>
      </c>
      <c r="GP11" s="539"/>
      <c r="GQ11" s="540">
        <f t="shared" si="64"/>
        <v>0</v>
      </c>
      <c r="GR11" s="541">
        <f t="shared" si="175"/>
        <v>0</v>
      </c>
      <c r="GS11" s="539"/>
      <c r="GT11" s="540">
        <f t="shared" si="65"/>
        <v>0</v>
      </c>
      <c r="GU11" s="541">
        <f t="shared" si="176"/>
        <v>0</v>
      </c>
      <c r="GV11" s="539"/>
      <c r="GW11" s="540">
        <f t="shared" si="66"/>
        <v>0</v>
      </c>
      <c r="GX11" s="541">
        <f t="shared" si="177"/>
        <v>0</v>
      </c>
      <c r="GY11" s="539"/>
      <c r="GZ11" s="540">
        <f t="shared" si="67"/>
        <v>0</v>
      </c>
      <c r="HA11" s="541">
        <f t="shared" si="178"/>
        <v>0</v>
      </c>
      <c r="HB11" s="539"/>
      <c r="HC11" s="540">
        <f t="shared" si="68"/>
        <v>0</v>
      </c>
      <c r="HD11" s="541">
        <f t="shared" si="179"/>
        <v>0</v>
      </c>
      <c r="HE11" s="539"/>
      <c r="HF11" s="540">
        <f t="shared" si="69"/>
        <v>0</v>
      </c>
      <c r="HG11" s="541">
        <f t="shared" si="180"/>
        <v>0</v>
      </c>
      <c r="HH11" s="539"/>
      <c r="HI11" s="540">
        <f t="shared" si="70"/>
        <v>0</v>
      </c>
      <c r="HJ11" s="541">
        <f t="shared" si="181"/>
        <v>0</v>
      </c>
      <c r="HK11" s="539"/>
      <c r="HL11" s="540">
        <f t="shared" si="71"/>
        <v>0</v>
      </c>
      <c r="HM11" s="541">
        <f t="shared" si="182"/>
        <v>0</v>
      </c>
      <c r="HN11" s="539"/>
      <c r="HO11" s="540">
        <f t="shared" si="72"/>
        <v>0</v>
      </c>
      <c r="HP11" s="541">
        <f t="shared" si="183"/>
        <v>0</v>
      </c>
      <c r="HQ11" s="539"/>
      <c r="HR11" s="540">
        <f t="shared" si="73"/>
        <v>0</v>
      </c>
      <c r="HS11" s="541">
        <f t="shared" si="184"/>
        <v>0</v>
      </c>
      <c r="HT11" s="539"/>
      <c r="HU11" s="540">
        <f t="shared" si="74"/>
        <v>0</v>
      </c>
      <c r="HV11" s="541">
        <f t="shared" si="185"/>
        <v>0</v>
      </c>
      <c r="HW11" s="539"/>
      <c r="HX11" s="540">
        <f t="shared" si="75"/>
        <v>0</v>
      </c>
      <c r="HY11" s="541">
        <f t="shared" si="186"/>
        <v>0</v>
      </c>
      <c r="HZ11" s="539"/>
      <c r="IA11" s="540">
        <f t="shared" si="76"/>
        <v>0</v>
      </c>
      <c r="IB11" s="541">
        <f t="shared" si="187"/>
        <v>0</v>
      </c>
      <c r="IC11" s="539"/>
      <c r="ID11" s="540">
        <f t="shared" si="77"/>
        <v>0</v>
      </c>
      <c r="IE11" s="541">
        <f t="shared" si="188"/>
        <v>0</v>
      </c>
      <c r="IF11" s="539"/>
      <c r="IG11" s="540">
        <f t="shared" si="78"/>
        <v>0</v>
      </c>
      <c r="IH11" s="541">
        <f t="shared" si="189"/>
        <v>0</v>
      </c>
      <c r="II11" s="539"/>
      <c r="IJ11" s="540">
        <f t="shared" si="79"/>
        <v>0</v>
      </c>
      <c r="IK11" s="541">
        <f t="shared" si="190"/>
        <v>0</v>
      </c>
      <c r="IL11" s="539"/>
      <c r="IM11" s="540">
        <f t="shared" si="80"/>
        <v>0</v>
      </c>
      <c r="IN11" s="541">
        <f t="shared" si="191"/>
        <v>0</v>
      </c>
      <c r="IO11" s="539"/>
      <c r="IP11" s="540">
        <f t="shared" si="81"/>
        <v>0</v>
      </c>
      <c r="IQ11" s="541">
        <f t="shared" si="192"/>
        <v>0</v>
      </c>
      <c r="IR11" s="539"/>
      <c r="IS11" s="540">
        <f t="shared" si="82"/>
        <v>0</v>
      </c>
      <c r="IT11" s="541">
        <f t="shared" si="193"/>
        <v>0</v>
      </c>
      <c r="IU11" s="539"/>
      <c r="IV11" s="540">
        <f t="shared" si="83"/>
        <v>0</v>
      </c>
      <c r="IW11" s="541">
        <f t="shared" si="194"/>
        <v>0</v>
      </c>
      <c r="IX11" s="539"/>
      <c r="IY11" s="540">
        <f t="shared" si="84"/>
        <v>0</v>
      </c>
      <c r="IZ11" s="541">
        <f t="shared" si="195"/>
        <v>0</v>
      </c>
      <c r="JA11" s="539"/>
      <c r="JB11" s="540">
        <f t="shared" si="85"/>
        <v>0</v>
      </c>
      <c r="JC11" s="541">
        <f t="shared" si="196"/>
        <v>0</v>
      </c>
      <c r="JD11" s="539"/>
      <c r="JE11" s="540">
        <f t="shared" si="86"/>
        <v>0</v>
      </c>
      <c r="JF11" s="541">
        <f t="shared" si="197"/>
        <v>0</v>
      </c>
      <c r="JG11" s="539"/>
      <c r="JH11" s="540">
        <f t="shared" si="87"/>
        <v>0</v>
      </c>
      <c r="JI11" s="541">
        <f t="shared" si="198"/>
        <v>0</v>
      </c>
      <c r="JJ11" s="539"/>
      <c r="JK11" s="541" t="str">
        <f t="shared" si="88"/>
        <v>0</v>
      </c>
      <c r="JL11" s="541" t="str">
        <f t="shared" si="89"/>
        <v>0</v>
      </c>
      <c r="JM11" s="539"/>
      <c r="JN11" s="541" t="str">
        <f t="shared" si="90"/>
        <v>0</v>
      </c>
      <c r="JO11" s="541" t="str">
        <f t="shared" si="91"/>
        <v>0</v>
      </c>
      <c r="JP11" s="539"/>
      <c r="JQ11" s="541" t="str">
        <f t="shared" si="92"/>
        <v>0</v>
      </c>
      <c r="JR11" s="541" t="str">
        <f t="shared" si="93"/>
        <v>0</v>
      </c>
      <c r="JS11" s="539"/>
      <c r="JT11" s="541" t="str">
        <f t="shared" si="94"/>
        <v>0</v>
      </c>
      <c r="JU11" s="541" t="str">
        <f t="shared" si="95"/>
        <v>0</v>
      </c>
      <c r="JV11" s="539"/>
      <c r="JW11" s="541" t="str">
        <f t="shared" si="96"/>
        <v>0</v>
      </c>
      <c r="JX11" s="541" t="str">
        <f t="shared" si="97"/>
        <v>0</v>
      </c>
      <c r="JY11" s="539"/>
      <c r="JZ11" s="541" t="str">
        <f t="shared" si="98"/>
        <v>0</v>
      </c>
      <c r="KA11" s="541" t="str">
        <f t="shared" si="99"/>
        <v>0</v>
      </c>
      <c r="KB11" s="539"/>
      <c r="KC11" s="541" t="str">
        <f t="shared" si="100"/>
        <v>0</v>
      </c>
      <c r="KD11" s="541" t="str">
        <f t="shared" si="101"/>
        <v>0</v>
      </c>
      <c r="KE11" s="539"/>
      <c r="KF11" s="541" t="str">
        <f t="shared" si="102"/>
        <v>0</v>
      </c>
      <c r="KG11" s="541" t="str">
        <f t="shared" si="103"/>
        <v>0</v>
      </c>
      <c r="KH11" s="539"/>
      <c r="KI11" s="541" t="str">
        <f t="shared" si="104"/>
        <v>0</v>
      </c>
      <c r="KJ11" s="541" t="str">
        <f t="shared" si="105"/>
        <v>0</v>
      </c>
      <c r="KK11" s="539"/>
      <c r="KL11" s="541" t="str">
        <f t="shared" si="106"/>
        <v>0</v>
      </c>
      <c r="KM11" s="541" t="str">
        <f t="shared" si="107"/>
        <v>0</v>
      </c>
      <c r="KN11" s="539"/>
      <c r="KO11" s="541" t="str">
        <f t="shared" si="108"/>
        <v>0</v>
      </c>
      <c r="KP11" s="541" t="str">
        <f t="shared" si="109"/>
        <v>0</v>
      </c>
      <c r="KQ11" s="539"/>
      <c r="KR11" s="541" t="str">
        <f t="shared" si="110"/>
        <v>0</v>
      </c>
      <c r="KS11" s="541" t="str">
        <f t="shared" si="111"/>
        <v>0</v>
      </c>
      <c r="KT11" s="541">
        <f t="shared" ref="KT11:KT41" si="200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41">
        <f t="shared" ref="KU11:KU41" si="201">GF11+GI11+GL11+GO11+GR11+GU11+GX11+HA11+HD11+HG11+HJ11+HM11+HP11+HS11+HV11+HY11+IB11+IE11+IH11+IK11+IN11+IQ11+IT11+IW11+IZ11+JC11+JF11+JI11+JL11+JO11+JR11+JU11+JX11++KA11+KD11+KG11+KJ11++KM11+KP11+KS11</f>
        <v>0</v>
      </c>
      <c r="KV11" s="275">
        <f>+F11+I11+L11+O11+R11+U11+X11+AA11+AD11+AG11+AJ11+AM11+AP11+AS11+AV11+AY11+BB11+BE11+BH11+BK11+BN11+BQ11+BT11+BW11+BZ11+CC11+CF11+CI11+CL11+CO11+CR11+CU11+CX11+DA11+DD11+DJ11+DM11+DP11+DS11+DV11+DY11+EB11+DG11+EE11</f>
        <v>1103.6742858168241</v>
      </c>
    </row>
    <row r="12" spans="1:308" ht="15" customHeight="1">
      <c r="A12" s="277">
        <f t="shared" si="199"/>
        <v>45934</v>
      </c>
      <c r="B12" s="278" t="str">
        <f>+Report1!B12</f>
        <v>MG</v>
      </c>
      <c r="C12" s="420" t="str">
        <f>+Report1!C12</f>
        <v>21</v>
      </c>
      <c r="D12" s="279">
        <f>+Report1!P12</f>
        <v>71.09</v>
      </c>
      <c r="E12" s="280">
        <f>+Report1!R12</f>
        <v>60.372999999999998</v>
      </c>
      <c r="F12" s="539">
        <v>151.16279069767444</v>
      </c>
      <c r="G12" s="540">
        <f t="shared" si="0"/>
        <v>2.5038144650369278</v>
      </c>
      <c r="H12" s="541">
        <f t="shared" si="112"/>
        <v>0</v>
      </c>
      <c r="I12" s="539">
        <v>854.65116279069775</v>
      </c>
      <c r="J12" s="540">
        <f t="shared" si="1"/>
        <v>14.1561817830934</v>
      </c>
      <c r="K12" s="541">
        <f t="shared" si="113"/>
        <v>0</v>
      </c>
      <c r="L12" s="539"/>
      <c r="M12" s="540">
        <f t="shared" si="2"/>
        <v>0</v>
      </c>
      <c r="N12" s="541">
        <f t="shared" si="114"/>
        <v>0</v>
      </c>
      <c r="O12" s="539">
        <v>6</v>
      </c>
      <c r="P12" s="540">
        <f t="shared" si="3"/>
        <v>9.9382174150696501E-2</v>
      </c>
      <c r="Q12" s="541">
        <f t="shared" si="115"/>
        <v>0</v>
      </c>
      <c r="R12" s="539"/>
      <c r="S12" s="540">
        <f t="shared" si="4"/>
        <v>0</v>
      </c>
      <c r="T12" s="541">
        <f t="shared" si="116"/>
        <v>0</v>
      </c>
      <c r="U12" s="539">
        <v>2.5625</v>
      </c>
      <c r="V12" s="540">
        <f t="shared" si="5"/>
        <v>4.2444470210193298E-2</v>
      </c>
      <c r="W12" s="541">
        <f t="shared" si="117"/>
        <v>0</v>
      </c>
      <c r="X12" s="539"/>
      <c r="Y12" s="540">
        <f t="shared" si="6"/>
        <v>0</v>
      </c>
      <c r="Z12" s="541">
        <f t="shared" si="118"/>
        <v>0</v>
      </c>
      <c r="AA12" s="539"/>
      <c r="AB12" s="540">
        <f t="shared" si="7"/>
        <v>0</v>
      </c>
      <c r="AC12" s="541">
        <f t="shared" si="119"/>
        <v>0</v>
      </c>
      <c r="AD12" s="539"/>
      <c r="AE12" s="540">
        <f t="shared" si="8"/>
        <v>0</v>
      </c>
      <c r="AF12" s="541">
        <f t="shared" si="120"/>
        <v>0</v>
      </c>
      <c r="AG12" s="539"/>
      <c r="AH12" s="540">
        <f t="shared" si="9"/>
        <v>0</v>
      </c>
      <c r="AI12" s="541">
        <f t="shared" si="121"/>
        <v>0</v>
      </c>
      <c r="AJ12" s="539">
        <v>7.3453500000000105</v>
      </c>
      <c r="AK12" s="540">
        <f t="shared" si="10"/>
        <v>0.1216661421496366</v>
      </c>
      <c r="AL12" s="541">
        <f t="shared" si="122"/>
        <v>0</v>
      </c>
      <c r="AM12" s="539">
        <v>0</v>
      </c>
      <c r="AN12" s="540">
        <f t="shared" si="11"/>
        <v>0</v>
      </c>
      <c r="AO12" s="541">
        <f t="shared" si="123"/>
        <v>0</v>
      </c>
      <c r="AP12" s="539">
        <v>0</v>
      </c>
      <c r="AQ12" s="540">
        <f t="shared" si="12"/>
        <v>0</v>
      </c>
      <c r="AR12" s="541">
        <f t="shared" si="124"/>
        <v>0</v>
      </c>
      <c r="AS12" s="539"/>
      <c r="AT12" s="540">
        <f t="shared" si="13"/>
        <v>0</v>
      </c>
      <c r="AU12" s="541">
        <f t="shared" si="125"/>
        <v>0</v>
      </c>
      <c r="AV12" s="539">
        <v>11.09999999999998</v>
      </c>
      <c r="AW12" s="540">
        <f t="shared" si="14"/>
        <v>0.18385702217878822</v>
      </c>
      <c r="AX12" s="541">
        <f t="shared" si="126"/>
        <v>0</v>
      </c>
      <c r="AY12" s="539">
        <v>0</v>
      </c>
      <c r="AZ12" s="540">
        <f t="shared" si="15"/>
        <v>0</v>
      </c>
      <c r="BA12" s="541">
        <f t="shared" si="127"/>
        <v>0</v>
      </c>
      <c r="BB12" s="539">
        <v>66.499999999999986</v>
      </c>
      <c r="BC12" s="540">
        <f t="shared" si="16"/>
        <v>1.1014857635035527</v>
      </c>
      <c r="BD12" s="541">
        <f t="shared" si="128"/>
        <v>0</v>
      </c>
      <c r="BE12" s="539"/>
      <c r="BF12" s="540">
        <f t="shared" si="17"/>
        <v>0</v>
      </c>
      <c r="BG12" s="541">
        <f t="shared" si="129"/>
        <v>0</v>
      </c>
      <c r="BH12" s="539"/>
      <c r="BI12" s="540">
        <f t="shared" si="18"/>
        <v>0</v>
      </c>
      <c r="BJ12" s="541">
        <f t="shared" si="130"/>
        <v>0</v>
      </c>
      <c r="BK12" s="539"/>
      <c r="BL12" s="540">
        <f t="shared" si="19"/>
        <v>0</v>
      </c>
      <c r="BM12" s="541">
        <f t="shared" si="131"/>
        <v>0</v>
      </c>
      <c r="BN12" s="539">
        <v>10.123456790123463</v>
      </c>
      <c r="BO12" s="540">
        <f t="shared" si="20"/>
        <v>0.16768185762051685</v>
      </c>
      <c r="BP12" s="541">
        <f t="shared" si="132"/>
        <v>0</v>
      </c>
      <c r="BQ12" s="539">
        <v>0</v>
      </c>
      <c r="BR12" s="540">
        <f t="shared" si="21"/>
        <v>0</v>
      </c>
      <c r="BS12" s="541">
        <f t="shared" si="133"/>
        <v>0</v>
      </c>
      <c r="BT12" s="539"/>
      <c r="BU12" s="540">
        <f t="shared" si="22"/>
        <v>0</v>
      </c>
      <c r="BV12" s="541">
        <f t="shared" si="134"/>
        <v>0</v>
      </c>
      <c r="BW12" s="539">
        <v>0</v>
      </c>
      <c r="BX12" s="540">
        <f t="shared" si="23"/>
        <v>0</v>
      </c>
      <c r="BY12" s="541">
        <f t="shared" si="135"/>
        <v>0</v>
      </c>
      <c r="BZ12" s="539"/>
      <c r="CA12" s="540">
        <f t="shared" si="24"/>
        <v>0</v>
      </c>
      <c r="CB12" s="541">
        <f t="shared" si="136"/>
        <v>0</v>
      </c>
      <c r="CC12" s="539">
        <v>3.125</v>
      </c>
      <c r="CD12" s="540">
        <f t="shared" si="25"/>
        <v>5.1761549036821099E-2</v>
      </c>
      <c r="CE12" s="541">
        <f t="shared" si="137"/>
        <v>0</v>
      </c>
      <c r="CF12" s="539">
        <v>9.9999999999999978E-2</v>
      </c>
      <c r="CG12" s="540">
        <f t="shared" si="26"/>
        <v>1.6563695691782748E-3</v>
      </c>
      <c r="CH12" s="541">
        <f t="shared" si="138"/>
        <v>0</v>
      </c>
      <c r="CI12" s="539"/>
      <c r="CJ12" s="540">
        <f t="shared" si="27"/>
        <v>0</v>
      </c>
      <c r="CK12" s="541">
        <f t="shared" si="139"/>
        <v>0</v>
      </c>
      <c r="CL12" s="539"/>
      <c r="CM12" s="540">
        <f t="shared" si="28"/>
        <v>0</v>
      </c>
      <c r="CN12" s="541">
        <f t="shared" si="140"/>
        <v>0</v>
      </c>
      <c r="CO12" s="539"/>
      <c r="CP12" s="540">
        <f t="shared" si="29"/>
        <v>0</v>
      </c>
      <c r="CQ12" s="541">
        <f t="shared" si="141"/>
        <v>0</v>
      </c>
      <c r="CR12" s="539"/>
      <c r="CS12" s="540">
        <f t="shared" si="30"/>
        <v>0</v>
      </c>
      <c r="CT12" s="541">
        <f t="shared" si="142"/>
        <v>0</v>
      </c>
      <c r="CU12" s="539"/>
      <c r="CV12" s="540">
        <f t="shared" si="31"/>
        <v>0</v>
      </c>
      <c r="CW12" s="541">
        <f t="shared" si="143"/>
        <v>0</v>
      </c>
      <c r="CX12" s="539"/>
      <c r="CY12" s="540">
        <f t="shared" si="32"/>
        <v>0</v>
      </c>
      <c r="CZ12" s="541">
        <f t="shared" si="144"/>
        <v>0</v>
      </c>
      <c r="DA12" s="539"/>
      <c r="DB12" s="540">
        <f t="shared" si="33"/>
        <v>0</v>
      </c>
      <c r="DC12" s="541">
        <f t="shared" si="145"/>
        <v>0</v>
      </c>
      <c r="DD12" s="539"/>
      <c r="DE12" s="540">
        <f t="shared" si="34"/>
        <v>0</v>
      </c>
      <c r="DF12" s="541">
        <f t="shared" si="146"/>
        <v>0</v>
      </c>
      <c r="DG12" s="539">
        <v>0</v>
      </c>
      <c r="DH12" s="540">
        <f t="shared" si="35"/>
        <v>0</v>
      </c>
      <c r="DI12" s="541">
        <v>0</v>
      </c>
      <c r="DJ12" s="539"/>
      <c r="DK12" s="540">
        <f t="shared" si="36"/>
        <v>0</v>
      </c>
      <c r="DL12" s="541">
        <f t="shared" si="147"/>
        <v>0</v>
      </c>
      <c r="DM12" s="539"/>
      <c r="DN12" s="540">
        <f t="shared" si="37"/>
        <v>0</v>
      </c>
      <c r="DO12" s="541">
        <f t="shared" si="148"/>
        <v>0</v>
      </c>
      <c r="DP12" s="539"/>
      <c r="DQ12" s="540">
        <f t="shared" si="38"/>
        <v>0</v>
      </c>
      <c r="DR12" s="541">
        <f t="shared" si="149"/>
        <v>0</v>
      </c>
      <c r="DS12" s="539"/>
      <c r="DT12" s="540">
        <f t="shared" si="39"/>
        <v>0</v>
      </c>
      <c r="DU12" s="541">
        <f t="shared" si="150"/>
        <v>0</v>
      </c>
      <c r="DV12" s="539"/>
      <c r="DW12" s="540">
        <f t="shared" si="40"/>
        <v>0</v>
      </c>
      <c r="DX12" s="541">
        <f t="shared" si="151"/>
        <v>0</v>
      </c>
      <c r="DY12" s="539"/>
      <c r="DZ12" s="540">
        <f t="shared" si="41"/>
        <v>0</v>
      </c>
      <c r="EA12" s="541">
        <f t="shared" si="152"/>
        <v>0</v>
      </c>
      <c r="EB12" s="539">
        <v>14.534883720930225</v>
      </c>
      <c r="EC12" s="540">
        <f t="shared" si="42"/>
        <v>0.24075139086893521</v>
      </c>
      <c r="ED12" s="541">
        <f t="shared" si="153"/>
        <v>0</v>
      </c>
      <c r="EE12" s="539">
        <v>1</v>
      </c>
      <c r="EF12" s="540">
        <f t="shared" si="43"/>
        <v>1.6563695691782752E-2</v>
      </c>
      <c r="EG12" s="541">
        <f t="shared" si="154"/>
        <v>0</v>
      </c>
      <c r="EH12" s="539"/>
      <c r="EI12" s="540">
        <f t="shared" si="44"/>
        <v>0</v>
      </c>
      <c r="EJ12" s="541">
        <f t="shared" si="155"/>
        <v>0</v>
      </c>
      <c r="EK12" s="539"/>
      <c r="EL12" s="540">
        <f t="shared" si="45"/>
        <v>0</v>
      </c>
      <c r="EM12" s="541">
        <f t="shared" si="156"/>
        <v>0</v>
      </c>
      <c r="EN12" s="539"/>
      <c r="EO12" s="540">
        <f t="shared" si="46"/>
        <v>0</v>
      </c>
      <c r="EP12" s="541">
        <f t="shared" si="157"/>
        <v>0</v>
      </c>
      <c r="EQ12" s="539"/>
      <c r="ER12" s="540">
        <f t="shared" si="47"/>
        <v>0</v>
      </c>
      <c r="ES12" s="541">
        <f t="shared" si="158"/>
        <v>0</v>
      </c>
      <c r="ET12" s="539"/>
      <c r="EU12" s="540">
        <f t="shared" si="48"/>
        <v>0</v>
      </c>
      <c r="EV12" s="541">
        <f t="shared" si="159"/>
        <v>0</v>
      </c>
      <c r="EW12" s="539"/>
      <c r="EX12" s="540">
        <f t="shared" si="49"/>
        <v>0</v>
      </c>
      <c r="EY12" s="541">
        <f t="shared" si="160"/>
        <v>0</v>
      </c>
      <c r="EZ12" s="539"/>
      <c r="FA12" s="540">
        <f t="shared" si="50"/>
        <v>0</v>
      </c>
      <c r="FB12" s="541">
        <f t="shared" si="161"/>
        <v>0</v>
      </c>
      <c r="FC12" s="539"/>
      <c r="FD12" s="540">
        <f t="shared" si="51"/>
        <v>0</v>
      </c>
      <c r="FE12" s="541">
        <f t="shared" si="162"/>
        <v>0</v>
      </c>
      <c r="FF12" s="539"/>
      <c r="FG12" s="540">
        <f t="shared" si="52"/>
        <v>0</v>
      </c>
      <c r="FH12" s="541">
        <f t="shared" si="163"/>
        <v>0</v>
      </c>
      <c r="FI12" s="539"/>
      <c r="FJ12" s="540">
        <f t="shared" si="53"/>
        <v>0</v>
      </c>
      <c r="FK12" s="541">
        <f t="shared" si="164"/>
        <v>0</v>
      </c>
      <c r="FL12" s="539"/>
      <c r="FM12" s="540">
        <f t="shared" si="54"/>
        <v>0</v>
      </c>
      <c r="FN12" s="541">
        <f t="shared" si="165"/>
        <v>0</v>
      </c>
      <c r="FO12" s="539"/>
      <c r="FP12" s="540">
        <f t="shared" si="55"/>
        <v>0</v>
      </c>
      <c r="FQ12" s="541">
        <f t="shared" si="166"/>
        <v>0</v>
      </c>
      <c r="FR12" s="539"/>
      <c r="FS12" s="540">
        <f t="shared" si="56"/>
        <v>0</v>
      </c>
      <c r="FT12" s="541">
        <f t="shared" si="167"/>
        <v>0</v>
      </c>
      <c r="FU12" s="539"/>
      <c r="FV12" s="540">
        <f t="shared" si="57"/>
        <v>0</v>
      </c>
      <c r="FW12" s="541">
        <f t="shared" si="168"/>
        <v>0</v>
      </c>
      <c r="FX12" s="539"/>
      <c r="FY12" s="540">
        <f t="shared" si="58"/>
        <v>0</v>
      </c>
      <c r="FZ12" s="541">
        <f t="shared" si="169"/>
        <v>0</v>
      </c>
      <c r="GA12" s="539"/>
      <c r="GB12" s="540">
        <f t="shared" si="59"/>
        <v>0</v>
      </c>
      <c r="GC12" s="541">
        <f t="shared" si="170"/>
        <v>0</v>
      </c>
      <c r="GD12" s="539"/>
      <c r="GE12" s="540">
        <f t="shared" si="60"/>
        <v>0</v>
      </c>
      <c r="GF12" s="541">
        <f t="shared" si="171"/>
        <v>0</v>
      </c>
      <c r="GG12" s="539"/>
      <c r="GH12" s="540">
        <f t="shared" si="61"/>
        <v>0</v>
      </c>
      <c r="GI12" s="541">
        <f t="shared" si="172"/>
        <v>0</v>
      </c>
      <c r="GJ12" s="539"/>
      <c r="GK12" s="540">
        <f t="shared" si="62"/>
        <v>0</v>
      </c>
      <c r="GL12" s="541">
        <f t="shared" si="173"/>
        <v>0</v>
      </c>
      <c r="GM12" s="539"/>
      <c r="GN12" s="540">
        <f t="shared" si="63"/>
        <v>0</v>
      </c>
      <c r="GO12" s="541">
        <f t="shared" si="174"/>
        <v>0</v>
      </c>
      <c r="GP12" s="539"/>
      <c r="GQ12" s="540">
        <f t="shared" si="64"/>
        <v>0</v>
      </c>
      <c r="GR12" s="541">
        <f t="shared" si="175"/>
        <v>0</v>
      </c>
      <c r="GS12" s="539"/>
      <c r="GT12" s="540">
        <f t="shared" si="65"/>
        <v>0</v>
      </c>
      <c r="GU12" s="541">
        <f t="shared" si="176"/>
        <v>0</v>
      </c>
      <c r="GV12" s="539"/>
      <c r="GW12" s="540">
        <f t="shared" si="66"/>
        <v>0</v>
      </c>
      <c r="GX12" s="541">
        <f t="shared" si="177"/>
        <v>0</v>
      </c>
      <c r="GY12" s="539"/>
      <c r="GZ12" s="540">
        <f t="shared" si="67"/>
        <v>0</v>
      </c>
      <c r="HA12" s="541">
        <f t="shared" si="178"/>
        <v>0</v>
      </c>
      <c r="HB12" s="539"/>
      <c r="HC12" s="540">
        <f t="shared" si="68"/>
        <v>0</v>
      </c>
      <c r="HD12" s="541">
        <f t="shared" si="179"/>
        <v>0</v>
      </c>
      <c r="HE12" s="539"/>
      <c r="HF12" s="540">
        <f t="shared" si="69"/>
        <v>0</v>
      </c>
      <c r="HG12" s="541">
        <f t="shared" si="180"/>
        <v>0</v>
      </c>
      <c r="HH12" s="539"/>
      <c r="HI12" s="540">
        <f t="shared" si="70"/>
        <v>0</v>
      </c>
      <c r="HJ12" s="541">
        <f t="shared" si="181"/>
        <v>0</v>
      </c>
      <c r="HK12" s="539"/>
      <c r="HL12" s="540">
        <f t="shared" si="71"/>
        <v>0</v>
      </c>
      <c r="HM12" s="541">
        <f t="shared" si="182"/>
        <v>0</v>
      </c>
      <c r="HN12" s="539"/>
      <c r="HO12" s="540">
        <f t="shared" si="72"/>
        <v>0</v>
      </c>
      <c r="HP12" s="541">
        <f t="shared" si="183"/>
        <v>0</v>
      </c>
      <c r="HQ12" s="539"/>
      <c r="HR12" s="540">
        <f t="shared" si="73"/>
        <v>0</v>
      </c>
      <c r="HS12" s="541">
        <f t="shared" si="184"/>
        <v>0</v>
      </c>
      <c r="HT12" s="539"/>
      <c r="HU12" s="540">
        <f t="shared" si="74"/>
        <v>0</v>
      </c>
      <c r="HV12" s="541">
        <f t="shared" si="185"/>
        <v>0</v>
      </c>
      <c r="HW12" s="539"/>
      <c r="HX12" s="540">
        <f t="shared" si="75"/>
        <v>0</v>
      </c>
      <c r="HY12" s="541">
        <f t="shared" si="186"/>
        <v>0</v>
      </c>
      <c r="HZ12" s="539"/>
      <c r="IA12" s="540">
        <f t="shared" si="76"/>
        <v>0</v>
      </c>
      <c r="IB12" s="541">
        <f t="shared" si="187"/>
        <v>0</v>
      </c>
      <c r="IC12" s="539"/>
      <c r="ID12" s="540">
        <f t="shared" si="77"/>
        <v>0</v>
      </c>
      <c r="IE12" s="541">
        <f t="shared" si="188"/>
        <v>0</v>
      </c>
      <c r="IF12" s="539"/>
      <c r="IG12" s="540">
        <f t="shared" si="78"/>
        <v>0</v>
      </c>
      <c r="IH12" s="541">
        <f t="shared" si="189"/>
        <v>0</v>
      </c>
      <c r="II12" s="539"/>
      <c r="IJ12" s="540">
        <f t="shared" si="79"/>
        <v>0</v>
      </c>
      <c r="IK12" s="541">
        <f t="shared" si="190"/>
        <v>0</v>
      </c>
      <c r="IL12" s="539"/>
      <c r="IM12" s="540">
        <f t="shared" si="80"/>
        <v>0</v>
      </c>
      <c r="IN12" s="541">
        <f t="shared" si="191"/>
        <v>0</v>
      </c>
      <c r="IO12" s="539"/>
      <c r="IP12" s="540">
        <f t="shared" si="81"/>
        <v>0</v>
      </c>
      <c r="IQ12" s="541">
        <f t="shared" si="192"/>
        <v>0</v>
      </c>
      <c r="IR12" s="539"/>
      <c r="IS12" s="540">
        <f t="shared" si="82"/>
        <v>0</v>
      </c>
      <c r="IT12" s="541">
        <f t="shared" si="193"/>
        <v>0</v>
      </c>
      <c r="IU12" s="539"/>
      <c r="IV12" s="540">
        <f t="shared" si="83"/>
        <v>0</v>
      </c>
      <c r="IW12" s="541">
        <f t="shared" si="194"/>
        <v>0</v>
      </c>
      <c r="IX12" s="539"/>
      <c r="IY12" s="540">
        <f t="shared" si="84"/>
        <v>0</v>
      </c>
      <c r="IZ12" s="541">
        <f t="shared" si="195"/>
        <v>0</v>
      </c>
      <c r="JA12" s="539"/>
      <c r="JB12" s="540">
        <f t="shared" si="85"/>
        <v>0</v>
      </c>
      <c r="JC12" s="541">
        <f t="shared" si="196"/>
        <v>0</v>
      </c>
      <c r="JD12" s="539"/>
      <c r="JE12" s="540">
        <f t="shared" si="86"/>
        <v>0</v>
      </c>
      <c r="JF12" s="541">
        <f t="shared" si="197"/>
        <v>0</v>
      </c>
      <c r="JG12" s="539"/>
      <c r="JH12" s="540">
        <f t="shared" si="87"/>
        <v>0</v>
      </c>
      <c r="JI12" s="541">
        <f t="shared" si="198"/>
        <v>0</v>
      </c>
      <c r="JJ12" s="539"/>
      <c r="JK12" s="541" t="str">
        <f t="shared" si="88"/>
        <v>0</v>
      </c>
      <c r="JL12" s="541" t="str">
        <f t="shared" si="89"/>
        <v>0</v>
      </c>
      <c r="JM12" s="539"/>
      <c r="JN12" s="541" t="str">
        <f t="shared" si="90"/>
        <v>0</v>
      </c>
      <c r="JO12" s="541" t="str">
        <f t="shared" si="91"/>
        <v>0</v>
      </c>
      <c r="JP12" s="539"/>
      <c r="JQ12" s="541" t="str">
        <f t="shared" si="92"/>
        <v>0</v>
      </c>
      <c r="JR12" s="541" t="str">
        <f t="shared" si="93"/>
        <v>0</v>
      </c>
      <c r="JS12" s="539"/>
      <c r="JT12" s="541" t="str">
        <f t="shared" si="94"/>
        <v>0</v>
      </c>
      <c r="JU12" s="541" t="str">
        <f t="shared" si="95"/>
        <v>0</v>
      </c>
      <c r="JV12" s="539"/>
      <c r="JW12" s="541" t="str">
        <f t="shared" si="96"/>
        <v>0</v>
      </c>
      <c r="JX12" s="541" t="str">
        <f t="shared" si="97"/>
        <v>0</v>
      </c>
      <c r="JY12" s="539"/>
      <c r="JZ12" s="541" t="str">
        <f t="shared" si="98"/>
        <v>0</v>
      </c>
      <c r="KA12" s="541" t="str">
        <f t="shared" si="99"/>
        <v>0</v>
      </c>
      <c r="KB12" s="539"/>
      <c r="KC12" s="541" t="str">
        <f t="shared" si="100"/>
        <v>0</v>
      </c>
      <c r="KD12" s="541" t="str">
        <f t="shared" si="101"/>
        <v>0</v>
      </c>
      <c r="KE12" s="539"/>
      <c r="KF12" s="541" t="str">
        <f t="shared" si="102"/>
        <v>0</v>
      </c>
      <c r="KG12" s="541" t="str">
        <f t="shared" si="103"/>
        <v>0</v>
      </c>
      <c r="KH12" s="539"/>
      <c r="KI12" s="541" t="str">
        <f t="shared" si="104"/>
        <v>0</v>
      </c>
      <c r="KJ12" s="541" t="str">
        <f t="shared" si="105"/>
        <v>0</v>
      </c>
      <c r="KK12" s="539"/>
      <c r="KL12" s="541" t="str">
        <f t="shared" si="106"/>
        <v>0</v>
      </c>
      <c r="KM12" s="541" t="str">
        <f t="shared" si="107"/>
        <v>0</v>
      </c>
      <c r="KN12" s="539"/>
      <c r="KO12" s="541" t="str">
        <f t="shared" si="108"/>
        <v>0</v>
      </c>
      <c r="KP12" s="541" t="str">
        <f t="shared" si="109"/>
        <v>0</v>
      </c>
      <c r="KQ12" s="539"/>
      <c r="KR12" s="541" t="str">
        <f t="shared" si="110"/>
        <v>0</v>
      </c>
      <c r="KS12" s="541" t="str">
        <f t="shared" si="111"/>
        <v>0</v>
      </c>
      <c r="KT12" s="541">
        <f t="shared" si="200"/>
        <v>0</v>
      </c>
      <c r="KU12" s="541">
        <f t="shared" si="201"/>
        <v>0</v>
      </c>
      <c r="KV12" s="275">
        <f t="shared" ref="KV12:KV41" si="202">+F12+I12+L12+O12+R12+U12+X12+AA12+AD12+AG12+AJ12+AM12+AP12+AS12+AV12+AY12+BB12+BE12+BH12+BK12+BN12+BQ12+BT12+BW12+BZ12+CC12+CF12+CI12+CL12+CO12+CR12+CU12+CX12+DA12+DD12+DJ12+DM12+DP12+DS12+DV12+DY12+EB12+DG12+EE12</f>
        <v>1128.2051439994257</v>
      </c>
    </row>
    <row r="13" spans="1:308" ht="15" customHeight="1">
      <c r="A13" s="277">
        <f t="shared" si="199"/>
        <v>45935</v>
      </c>
      <c r="B13" s="278" t="str">
        <f>+Report1!B13</f>
        <v>MG</v>
      </c>
      <c r="C13" s="420" t="str">
        <f>+Report1!C13</f>
        <v>21</v>
      </c>
      <c r="D13" s="279">
        <f>+Report1!P13</f>
        <v>72.461999999999989</v>
      </c>
      <c r="E13" s="280">
        <f>+Report1!R13</f>
        <v>70.710999999999999</v>
      </c>
      <c r="F13" s="539">
        <v>151.16279069767444</v>
      </c>
      <c r="G13" s="540">
        <f t="shared" si="0"/>
        <v>2.1377549560559808</v>
      </c>
      <c r="H13" s="541">
        <f t="shared" si="112"/>
        <v>0</v>
      </c>
      <c r="I13" s="539">
        <v>854.65116279069775</v>
      </c>
      <c r="J13" s="540">
        <f t="shared" si="1"/>
        <v>12.086537636162658</v>
      </c>
      <c r="K13" s="541">
        <f t="shared" si="113"/>
        <v>0</v>
      </c>
      <c r="L13" s="539"/>
      <c r="M13" s="540">
        <f t="shared" si="2"/>
        <v>0</v>
      </c>
      <c r="N13" s="541">
        <f t="shared" si="114"/>
        <v>0</v>
      </c>
      <c r="O13" s="539">
        <v>6</v>
      </c>
      <c r="P13" s="540">
        <f t="shared" si="3"/>
        <v>8.4852427486529686E-2</v>
      </c>
      <c r="Q13" s="541">
        <f t="shared" si="115"/>
        <v>0</v>
      </c>
      <c r="R13" s="539"/>
      <c r="S13" s="540">
        <f t="shared" si="4"/>
        <v>0</v>
      </c>
      <c r="T13" s="541">
        <f t="shared" si="116"/>
        <v>0</v>
      </c>
      <c r="U13" s="539">
        <v>2.5625</v>
      </c>
      <c r="V13" s="540">
        <f t="shared" si="5"/>
        <v>3.6239057572372051E-2</v>
      </c>
      <c r="W13" s="541">
        <f t="shared" si="117"/>
        <v>0</v>
      </c>
      <c r="X13" s="539"/>
      <c r="Y13" s="540">
        <f t="shared" si="6"/>
        <v>0</v>
      </c>
      <c r="Z13" s="541">
        <f t="shared" si="118"/>
        <v>0</v>
      </c>
      <c r="AA13" s="539"/>
      <c r="AB13" s="540">
        <f t="shared" si="7"/>
        <v>0</v>
      </c>
      <c r="AC13" s="541">
        <f t="shared" si="119"/>
        <v>0</v>
      </c>
      <c r="AD13" s="539"/>
      <c r="AE13" s="540">
        <f t="shared" si="8"/>
        <v>0</v>
      </c>
      <c r="AF13" s="541">
        <f t="shared" si="120"/>
        <v>0</v>
      </c>
      <c r="AG13" s="539"/>
      <c r="AH13" s="540">
        <f t="shared" si="9"/>
        <v>0</v>
      </c>
      <c r="AI13" s="541">
        <f t="shared" si="121"/>
        <v>0</v>
      </c>
      <c r="AJ13" s="539">
        <v>7.3453500000000105</v>
      </c>
      <c r="AK13" s="540">
        <f t="shared" si="10"/>
        <v>0.10387846303969694</v>
      </c>
      <c r="AL13" s="541">
        <f t="shared" si="122"/>
        <v>0</v>
      </c>
      <c r="AM13" s="539">
        <v>0</v>
      </c>
      <c r="AN13" s="540">
        <f t="shared" si="11"/>
        <v>0</v>
      </c>
      <c r="AO13" s="541">
        <f t="shared" si="123"/>
        <v>0</v>
      </c>
      <c r="AP13" s="539">
        <v>0</v>
      </c>
      <c r="AQ13" s="540">
        <f t="shared" si="12"/>
        <v>0</v>
      </c>
      <c r="AR13" s="541">
        <f t="shared" si="124"/>
        <v>0</v>
      </c>
      <c r="AS13" s="539"/>
      <c r="AT13" s="540">
        <f t="shared" si="13"/>
        <v>0</v>
      </c>
      <c r="AU13" s="541">
        <f t="shared" si="125"/>
        <v>0</v>
      </c>
      <c r="AV13" s="539">
        <v>11.09999999999998</v>
      </c>
      <c r="AW13" s="540">
        <f t="shared" si="14"/>
        <v>0.15697699085007963</v>
      </c>
      <c r="AX13" s="541">
        <f t="shared" si="126"/>
        <v>0</v>
      </c>
      <c r="AY13" s="539">
        <v>0</v>
      </c>
      <c r="AZ13" s="540">
        <f t="shared" si="15"/>
        <v>0</v>
      </c>
      <c r="BA13" s="541">
        <f t="shared" si="127"/>
        <v>0</v>
      </c>
      <c r="BB13" s="539">
        <v>66.499999999999986</v>
      </c>
      <c r="BC13" s="540">
        <f t="shared" si="16"/>
        <v>0.94044773797570369</v>
      </c>
      <c r="BD13" s="541">
        <f t="shared" si="128"/>
        <v>0</v>
      </c>
      <c r="BE13" s="539"/>
      <c r="BF13" s="540">
        <f t="shared" si="17"/>
        <v>0</v>
      </c>
      <c r="BG13" s="541">
        <f t="shared" si="129"/>
        <v>0</v>
      </c>
      <c r="BH13" s="539"/>
      <c r="BI13" s="540">
        <f t="shared" si="18"/>
        <v>0</v>
      </c>
      <c r="BJ13" s="541">
        <f t="shared" si="130"/>
        <v>0</v>
      </c>
      <c r="BK13" s="539"/>
      <c r="BL13" s="540">
        <f t="shared" si="19"/>
        <v>0</v>
      </c>
      <c r="BM13" s="541">
        <f t="shared" si="131"/>
        <v>0</v>
      </c>
      <c r="BN13" s="539">
        <v>10.123456790123463</v>
      </c>
      <c r="BO13" s="540">
        <f t="shared" si="20"/>
        <v>0.1431666471994946</v>
      </c>
      <c r="BP13" s="541">
        <f t="shared" si="132"/>
        <v>0</v>
      </c>
      <c r="BQ13" s="539">
        <v>0</v>
      </c>
      <c r="BR13" s="540">
        <f t="shared" si="21"/>
        <v>0</v>
      </c>
      <c r="BS13" s="541">
        <f t="shared" si="133"/>
        <v>0</v>
      </c>
      <c r="BT13" s="539"/>
      <c r="BU13" s="540">
        <f t="shared" si="22"/>
        <v>0</v>
      </c>
      <c r="BV13" s="541">
        <f t="shared" si="134"/>
        <v>0</v>
      </c>
      <c r="BW13" s="539">
        <v>0</v>
      </c>
      <c r="BX13" s="540">
        <f t="shared" si="23"/>
        <v>0</v>
      </c>
      <c r="BY13" s="541">
        <f t="shared" si="135"/>
        <v>0</v>
      </c>
      <c r="BZ13" s="539"/>
      <c r="CA13" s="540">
        <f t="shared" si="24"/>
        <v>0</v>
      </c>
      <c r="CB13" s="541">
        <f t="shared" si="136"/>
        <v>0</v>
      </c>
      <c r="CC13" s="539">
        <v>3.125</v>
      </c>
      <c r="CD13" s="540">
        <f t="shared" si="25"/>
        <v>4.4193972649234206E-2</v>
      </c>
      <c r="CE13" s="541">
        <f t="shared" si="137"/>
        <v>0</v>
      </c>
      <c r="CF13" s="539">
        <v>0.1</v>
      </c>
      <c r="CG13" s="540">
        <f t="shared" si="26"/>
        <v>1.4142071247754946E-3</v>
      </c>
      <c r="CH13" s="541">
        <f t="shared" si="138"/>
        <v>0</v>
      </c>
      <c r="CI13" s="539"/>
      <c r="CJ13" s="540">
        <f t="shared" si="27"/>
        <v>0</v>
      </c>
      <c r="CK13" s="541">
        <f t="shared" si="139"/>
        <v>0</v>
      </c>
      <c r="CL13" s="539"/>
      <c r="CM13" s="540">
        <f t="shared" si="28"/>
        <v>0</v>
      </c>
      <c r="CN13" s="541">
        <f t="shared" si="140"/>
        <v>0</v>
      </c>
      <c r="CO13" s="539"/>
      <c r="CP13" s="540">
        <f t="shared" si="29"/>
        <v>0</v>
      </c>
      <c r="CQ13" s="541">
        <f t="shared" si="141"/>
        <v>0</v>
      </c>
      <c r="CR13" s="539"/>
      <c r="CS13" s="540">
        <f t="shared" si="30"/>
        <v>0</v>
      </c>
      <c r="CT13" s="541">
        <f t="shared" si="142"/>
        <v>0</v>
      </c>
      <c r="CU13" s="539"/>
      <c r="CV13" s="540">
        <f t="shared" si="31"/>
        <v>0</v>
      </c>
      <c r="CW13" s="541">
        <f t="shared" si="143"/>
        <v>0</v>
      </c>
      <c r="CX13" s="539"/>
      <c r="CY13" s="540">
        <f t="shared" si="32"/>
        <v>0</v>
      </c>
      <c r="CZ13" s="541">
        <f t="shared" si="144"/>
        <v>0</v>
      </c>
      <c r="DA13" s="539"/>
      <c r="DB13" s="540">
        <f t="shared" si="33"/>
        <v>0</v>
      </c>
      <c r="DC13" s="541">
        <f t="shared" si="145"/>
        <v>0</v>
      </c>
      <c r="DD13" s="539"/>
      <c r="DE13" s="540">
        <f t="shared" si="34"/>
        <v>0</v>
      </c>
      <c r="DF13" s="541">
        <f t="shared" si="146"/>
        <v>0</v>
      </c>
      <c r="DG13" s="539">
        <v>0</v>
      </c>
      <c r="DH13" s="540">
        <f t="shared" si="35"/>
        <v>0</v>
      </c>
      <c r="DI13" s="541">
        <v>0</v>
      </c>
      <c r="DJ13" s="539"/>
      <c r="DK13" s="540">
        <f t="shared" si="36"/>
        <v>0</v>
      </c>
      <c r="DL13" s="541">
        <f t="shared" si="147"/>
        <v>0</v>
      </c>
      <c r="DM13" s="539"/>
      <c r="DN13" s="540">
        <f t="shared" si="37"/>
        <v>0</v>
      </c>
      <c r="DO13" s="541">
        <f t="shared" si="148"/>
        <v>0</v>
      </c>
      <c r="DP13" s="539"/>
      <c r="DQ13" s="540">
        <f t="shared" si="38"/>
        <v>0</v>
      </c>
      <c r="DR13" s="541">
        <f t="shared" si="149"/>
        <v>0</v>
      </c>
      <c r="DS13" s="539"/>
      <c r="DT13" s="540">
        <f t="shared" si="39"/>
        <v>0</v>
      </c>
      <c r="DU13" s="541">
        <f t="shared" si="150"/>
        <v>0</v>
      </c>
      <c r="DV13" s="539"/>
      <c r="DW13" s="540">
        <f t="shared" si="40"/>
        <v>0</v>
      </c>
      <c r="DX13" s="541">
        <f t="shared" si="151"/>
        <v>0</v>
      </c>
      <c r="DY13" s="539"/>
      <c r="DZ13" s="540">
        <f t="shared" si="41"/>
        <v>0</v>
      </c>
      <c r="EA13" s="541">
        <f t="shared" si="152"/>
        <v>0</v>
      </c>
      <c r="EB13" s="539">
        <v>14.534883720930225</v>
      </c>
      <c r="EC13" s="540">
        <f t="shared" si="42"/>
        <v>0.20555336115922876</v>
      </c>
      <c r="ED13" s="541">
        <f t="shared" si="153"/>
        <v>0</v>
      </c>
      <c r="EE13" s="539">
        <v>1</v>
      </c>
      <c r="EF13" s="540">
        <f t="shared" si="43"/>
        <v>1.4142071247754946E-2</v>
      </c>
      <c r="EG13" s="541">
        <f t="shared" si="154"/>
        <v>0</v>
      </c>
      <c r="EH13" s="539"/>
      <c r="EI13" s="540">
        <f t="shared" si="44"/>
        <v>0</v>
      </c>
      <c r="EJ13" s="541">
        <f t="shared" si="155"/>
        <v>0</v>
      </c>
      <c r="EK13" s="539"/>
      <c r="EL13" s="540">
        <f t="shared" si="45"/>
        <v>0</v>
      </c>
      <c r="EM13" s="541">
        <f t="shared" si="156"/>
        <v>0</v>
      </c>
      <c r="EN13" s="539"/>
      <c r="EO13" s="540">
        <f t="shared" si="46"/>
        <v>0</v>
      </c>
      <c r="EP13" s="541">
        <f t="shared" si="157"/>
        <v>0</v>
      </c>
      <c r="EQ13" s="539"/>
      <c r="ER13" s="540">
        <f t="shared" si="47"/>
        <v>0</v>
      </c>
      <c r="ES13" s="541">
        <f t="shared" si="158"/>
        <v>0</v>
      </c>
      <c r="ET13" s="539"/>
      <c r="EU13" s="540">
        <f t="shared" si="48"/>
        <v>0</v>
      </c>
      <c r="EV13" s="541">
        <f t="shared" si="159"/>
        <v>0</v>
      </c>
      <c r="EW13" s="539"/>
      <c r="EX13" s="540">
        <f t="shared" si="49"/>
        <v>0</v>
      </c>
      <c r="EY13" s="541">
        <f t="shared" si="160"/>
        <v>0</v>
      </c>
      <c r="EZ13" s="539"/>
      <c r="FA13" s="540">
        <f t="shared" si="50"/>
        <v>0</v>
      </c>
      <c r="FB13" s="541">
        <f t="shared" si="161"/>
        <v>0</v>
      </c>
      <c r="FC13" s="539"/>
      <c r="FD13" s="540">
        <f t="shared" si="51"/>
        <v>0</v>
      </c>
      <c r="FE13" s="541">
        <f t="shared" si="162"/>
        <v>0</v>
      </c>
      <c r="FF13" s="539"/>
      <c r="FG13" s="540">
        <f t="shared" si="52"/>
        <v>0</v>
      </c>
      <c r="FH13" s="541">
        <f t="shared" si="163"/>
        <v>0</v>
      </c>
      <c r="FI13" s="539"/>
      <c r="FJ13" s="540">
        <f t="shared" si="53"/>
        <v>0</v>
      </c>
      <c r="FK13" s="541">
        <f t="shared" si="164"/>
        <v>0</v>
      </c>
      <c r="FL13" s="539"/>
      <c r="FM13" s="540">
        <f t="shared" si="54"/>
        <v>0</v>
      </c>
      <c r="FN13" s="541">
        <f t="shared" si="165"/>
        <v>0</v>
      </c>
      <c r="FO13" s="539"/>
      <c r="FP13" s="540">
        <f t="shared" si="55"/>
        <v>0</v>
      </c>
      <c r="FQ13" s="541">
        <f t="shared" si="166"/>
        <v>0</v>
      </c>
      <c r="FR13" s="539"/>
      <c r="FS13" s="540">
        <f t="shared" si="56"/>
        <v>0</v>
      </c>
      <c r="FT13" s="541">
        <f t="shared" si="167"/>
        <v>0</v>
      </c>
      <c r="FU13" s="539"/>
      <c r="FV13" s="540">
        <f t="shared" si="57"/>
        <v>0</v>
      </c>
      <c r="FW13" s="541">
        <f t="shared" si="168"/>
        <v>0</v>
      </c>
      <c r="FX13" s="539"/>
      <c r="FY13" s="540">
        <f t="shared" si="58"/>
        <v>0</v>
      </c>
      <c r="FZ13" s="541">
        <f t="shared" si="169"/>
        <v>0</v>
      </c>
      <c r="GA13" s="539"/>
      <c r="GB13" s="540">
        <f t="shared" si="59"/>
        <v>0</v>
      </c>
      <c r="GC13" s="541">
        <f t="shared" si="170"/>
        <v>0</v>
      </c>
      <c r="GD13" s="539"/>
      <c r="GE13" s="540">
        <f t="shared" si="60"/>
        <v>0</v>
      </c>
      <c r="GF13" s="541">
        <f t="shared" si="171"/>
        <v>0</v>
      </c>
      <c r="GG13" s="539"/>
      <c r="GH13" s="540">
        <f t="shared" si="61"/>
        <v>0</v>
      </c>
      <c r="GI13" s="541">
        <f t="shared" si="172"/>
        <v>0</v>
      </c>
      <c r="GJ13" s="539"/>
      <c r="GK13" s="540">
        <f t="shared" si="62"/>
        <v>0</v>
      </c>
      <c r="GL13" s="541">
        <f t="shared" si="173"/>
        <v>0</v>
      </c>
      <c r="GM13" s="539"/>
      <c r="GN13" s="540">
        <f t="shared" si="63"/>
        <v>0</v>
      </c>
      <c r="GO13" s="541">
        <f t="shared" si="174"/>
        <v>0</v>
      </c>
      <c r="GP13" s="539"/>
      <c r="GQ13" s="540">
        <f t="shared" si="64"/>
        <v>0</v>
      </c>
      <c r="GR13" s="541">
        <f t="shared" si="175"/>
        <v>0</v>
      </c>
      <c r="GS13" s="539"/>
      <c r="GT13" s="540">
        <f t="shared" si="65"/>
        <v>0</v>
      </c>
      <c r="GU13" s="541">
        <f t="shared" si="176"/>
        <v>0</v>
      </c>
      <c r="GV13" s="539"/>
      <c r="GW13" s="540">
        <f t="shared" si="66"/>
        <v>0</v>
      </c>
      <c r="GX13" s="541">
        <f t="shared" si="177"/>
        <v>0</v>
      </c>
      <c r="GY13" s="539"/>
      <c r="GZ13" s="540">
        <f t="shared" si="67"/>
        <v>0</v>
      </c>
      <c r="HA13" s="541">
        <f t="shared" si="178"/>
        <v>0</v>
      </c>
      <c r="HB13" s="539"/>
      <c r="HC13" s="540">
        <f t="shared" si="68"/>
        <v>0</v>
      </c>
      <c r="HD13" s="541">
        <f t="shared" si="179"/>
        <v>0</v>
      </c>
      <c r="HE13" s="539"/>
      <c r="HF13" s="540">
        <f t="shared" si="69"/>
        <v>0</v>
      </c>
      <c r="HG13" s="541">
        <f t="shared" si="180"/>
        <v>0</v>
      </c>
      <c r="HH13" s="539"/>
      <c r="HI13" s="540">
        <f t="shared" si="70"/>
        <v>0</v>
      </c>
      <c r="HJ13" s="541">
        <f t="shared" si="181"/>
        <v>0</v>
      </c>
      <c r="HK13" s="539"/>
      <c r="HL13" s="540">
        <f t="shared" si="71"/>
        <v>0</v>
      </c>
      <c r="HM13" s="541">
        <f t="shared" si="182"/>
        <v>0</v>
      </c>
      <c r="HN13" s="539"/>
      <c r="HO13" s="540">
        <f t="shared" si="72"/>
        <v>0</v>
      </c>
      <c r="HP13" s="541">
        <f t="shared" si="183"/>
        <v>0</v>
      </c>
      <c r="HQ13" s="539"/>
      <c r="HR13" s="540">
        <f t="shared" si="73"/>
        <v>0</v>
      </c>
      <c r="HS13" s="541">
        <f t="shared" si="184"/>
        <v>0</v>
      </c>
      <c r="HT13" s="539"/>
      <c r="HU13" s="540">
        <f t="shared" si="74"/>
        <v>0</v>
      </c>
      <c r="HV13" s="541">
        <f t="shared" si="185"/>
        <v>0</v>
      </c>
      <c r="HW13" s="539"/>
      <c r="HX13" s="540">
        <f t="shared" si="75"/>
        <v>0</v>
      </c>
      <c r="HY13" s="541">
        <f t="shared" si="186"/>
        <v>0</v>
      </c>
      <c r="HZ13" s="539"/>
      <c r="IA13" s="540">
        <f t="shared" si="76"/>
        <v>0</v>
      </c>
      <c r="IB13" s="541">
        <f t="shared" si="187"/>
        <v>0</v>
      </c>
      <c r="IC13" s="539"/>
      <c r="ID13" s="540">
        <f t="shared" si="77"/>
        <v>0</v>
      </c>
      <c r="IE13" s="541">
        <f t="shared" si="188"/>
        <v>0</v>
      </c>
      <c r="IF13" s="539"/>
      <c r="IG13" s="540">
        <f t="shared" si="78"/>
        <v>0</v>
      </c>
      <c r="IH13" s="541">
        <f t="shared" si="189"/>
        <v>0</v>
      </c>
      <c r="II13" s="539"/>
      <c r="IJ13" s="540">
        <f t="shared" si="79"/>
        <v>0</v>
      </c>
      <c r="IK13" s="541">
        <f t="shared" si="190"/>
        <v>0</v>
      </c>
      <c r="IL13" s="539"/>
      <c r="IM13" s="540">
        <f t="shared" si="80"/>
        <v>0</v>
      </c>
      <c r="IN13" s="541">
        <f t="shared" si="191"/>
        <v>0</v>
      </c>
      <c r="IO13" s="539"/>
      <c r="IP13" s="540">
        <f t="shared" si="81"/>
        <v>0</v>
      </c>
      <c r="IQ13" s="541">
        <f t="shared" si="192"/>
        <v>0</v>
      </c>
      <c r="IR13" s="539"/>
      <c r="IS13" s="540">
        <f t="shared" si="82"/>
        <v>0</v>
      </c>
      <c r="IT13" s="541">
        <f t="shared" si="193"/>
        <v>0</v>
      </c>
      <c r="IU13" s="539"/>
      <c r="IV13" s="540">
        <f t="shared" si="83"/>
        <v>0</v>
      </c>
      <c r="IW13" s="541">
        <f t="shared" si="194"/>
        <v>0</v>
      </c>
      <c r="IX13" s="539"/>
      <c r="IY13" s="540">
        <f t="shared" si="84"/>
        <v>0</v>
      </c>
      <c r="IZ13" s="541">
        <f t="shared" si="195"/>
        <v>0</v>
      </c>
      <c r="JA13" s="539"/>
      <c r="JB13" s="540">
        <f t="shared" si="85"/>
        <v>0</v>
      </c>
      <c r="JC13" s="541">
        <f t="shared" si="196"/>
        <v>0</v>
      </c>
      <c r="JD13" s="539"/>
      <c r="JE13" s="540">
        <f t="shared" si="86"/>
        <v>0</v>
      </c>
      <c r="JF13" s="541">
        <f t="shared" si="197"/>
        <v>0</v>
      </c>
      <c r="JG13" s="539"/>
      <c r="JH13" s="540">
        <f t="shared" si="87"/>
        <v>0</v>
      </c>
      <c r="JI13" s="541">
        <f t="shared" si="198"/>
        <v>0</v>
      </c>
      <c r="JJ13" s="539"/>
      <c r="JK13" s="541" t="str">
        <f t="shared" si="88"/>
        <v>0</v>
      </c>
      <c r="JL13" s="541" t="str">
        <f t="shared" si="89"/>
        <v>0</v>
      </c>
      <c r="JM13" s="539"/>
      <c r="JN13" s="541" t="str">
        <f t="shared" si="90"/>
        <v>0</v>
      </c>
      <c r="JO13" s="541" t="str">
        <f t="shared" si="91"/>
        <v>0</v>
      </c>
      <c r="JP13" s="539"/>
      <c r="JQ13" s="541" t="str">
        <f t="shared" si="92"/>
        <v>0</v>
      </c>
      <c r="JR13" s="541" t="str">
        <f t="shared" si="93"/>
        <v>0</v>
      </c>
      <c r="JS13" s="539"/>
      <c r="JT13" s="541" t="str">
        <f t="shared" si="94"/>
        <v>0</v>
      </c>
      <c r="JU13" s="541" t="str">
        <f t="shared" si="95"/>
        <v>0</v>
      </c>
      <c r="JV13" s="539"/>
      <c r="JW13" s="541" t="str">
        <f t="shared" si="96"/>
        <v>0</v>
      </c>
      <c r="JX13" s="541" t="str">
        <f t="shared" si="97"/>
        <v>0</v>
      </c>
      <c r="JY13" s="539"/>
      <c r="JZ13" s="541" t="str">
        <f t="shared" si="98"/>
        <v>0</v>
      </c>
      <c r="KA13" s="541" t="str">
        <f t="shared" si="99"/>
        <v>0</v>
      </c>
      <c r="KB13" s="539"/>
      <c r="KC13" s="541" t="str">
        <f t="shared" si="100"/>
        <v>0</v>
      </c>
      <c r="KD13" s="541" t="str">
        <f t="shared" si="101"/>
        <v>0</v>
      </c>
      <c r="KE13" s="539"/>
      <c r="KF13" s="541" t="str">
        <f t="shared" si="102"/>
        <v>0</v>
      </c>
      <c r="KG13" s="541" t="str">
        <f t="shared" si="103"/>
        <v>0</v>
      </c>
      <c r="KH13" s="539"/>
      <c r="KI13" s="541" t="str">
        <f t="shared" si="104"/>
        <v>0</v>
      </c>
      <c r="KJ13" s="541" t="str">
        <f t="shared" si="105"/>
        <v>0</v>
      </c>
      <c r="KK13" s="539"/>
      <c r="KL13" s="541" t="str">
        <f t="shared" si="106"/>
        <v>0</v>
      </c>
      <c r="KM13" s="541" t="str">
        <f t="shared" si="107"/>
        <v>0</v>
      </c>
      <c r="KN13" s="539"/>
      <c r="KO13" s="541" t="str">
        <f t="shared" si="108"/>
        <v>0</v>
      </c>
      <c r="KP13" s="541" t="str">
        <f t="shared" si="109"/>
        <v>0</v>
      </c>
      <c r="KQ13" s="539"/>
      <c r="KR13" s="541" t="str">
        <f t="shared" si="110"/>
        <v>0</v>
      </c>
      <c r="KS13" s="541" t="str">
        <f t="shared" si="111"/>
        <v>0</v>
      </c>
      <c r="KT13" s="541">
        <f t="shared" si="200"/>
        <v>0</v>
      </c>
      <c r="KU13" s="541">
        <f t="shared" si="201"/>
        <v>0</v>
      </c>
      <c r="KV13" s="275">
        <f t="shared" si="202"/>
        <v>1128.2051439994257</v>
      </c>
    </row>
    <row r="14" spans="1:308" ht="15" customHeight="1">
      <c r="A14" s="277">
        <f t="shared" si="199"/>
        <v>45936</v>
      </c>
      <c r="B14" s="278" t="str">
        <f>+Report1!B14</f>
        <v>MG</v>
      </c>
      <c r="C14" s="420" t="str">
        <f>+Report1!C14</f>
        <v>21/22/16,5/14</v>
      </c>
      <c r="D14" s="279">
        <f>+Report1!P14</f>
        <v>69.388000000000005</v>
      </c>
      <c r="E14" s="280">
        <f>+Report1!R14</f>
        <v>63.195</v>
      </c>
      <c r="F14" s="539">
        <v>151.16279069767438</v>
      </c>
      <c r="G14" s="540">
        <f t="shared" si="0"/>
        <v>2.392005549452874</v>
      </c>
      <c r="H14" s="541">
        <f t="shared" si="112"/>
        <v>0</v>
      </c>
      <c r="I14" s="539">
        <v>848.83720930232562</v>
      </c>
      <c r="J14" s="540">
        <f t="shared" si="1"/>
        <v>13.432031162312297</v>
      </c>
      <c r="K14" s="541">
        <f t="shared" si="113"/>
        <v>0</v>
      </c>
      <c r="L14" s="539"/>
      <c r="M14" s="540">
        <f t="shared" si="2"/>
        <v>0</v>
      </c>
      <c r="N14" s="541">
        <f t="shared" si="114"/>
        <v>0</v>
      </c>
      <c r="O14" s="539">
        <v>6</v>
      </c>
      <c r="P14" s="540">
        <f t="shared" si="3"/>
        <v>9.4944220270591032E-2</v>
      </c>
      <c r="Q14" s="541">
        <f t="shared" si="115"/>
        <v>0</v>
      </c>
      <c r="R14" s="539"/>
      <c r="S14" s="540">
        <f t="shared" si="4"/>
        <v>0</v>
      </c>
      <c r="T14" s="541">
        <f t="shared" si="116"/>
        <v>0</v>
      </c>
      <c r="U14" s="539">
        <v>2.5624999999999858</v>
      </c>
      <c r="V14" s="540">
        <f t="shared" si="5"/>
        <v>4.0549094073898027E-2</v>
      </c>
      <c r="W14" s="541">
        <f t="shared" si="117"/>
        <v>0</v>
      </c>
      <c r="X14" s="539"/>
      <c r="Y14" s="540">
        <f t="shared" si="6"/>
        <v>0</v>
      </c>
      <c r="Z14" s="541">
        <f t="shared" si="118"/>
        <v>0</v>
      </c>
      <c r="AA14" s="539"/>
      <c r="AB14" s="540">
        <f t="shared" si="7"/>
        <v>0</v>
      </c>
      <c r="AC14" s="541">
        <f t="shared" si="119"/>
        <v>0</v>
      </c>
      <c r="AD14" s="539"/>
      <c r="AE14" s="540">
        <f t="shared" si="8"/>
        <v>0</v>
      </c>
      <c r="AF14" s="541">
        <f t="shared" si="120"/>
        <v>0</v>
      </c>
      <c r="AG14" s="539"/>
      <c r="AH14" s="540">
        <f t="shared" si="9"/>
        <v>0</v>
      </c>
      <c r="AI14" s="541">
        <f t="shared" si="121"/>
        <v>0</v>
      </c>
      <c r="AJ14" s="539">
        <v>0</v>
      </c>
      <c r="AK14" s="540">
        <f t="shared" si="10"/>
        <v>0</v>
      </c>
      <c r="AL14" s="541">
        <f t="shared" si="122"/>
        <v>0</v>
      </c>
      <c r="AM14" s="539">
        <v>0</v>
      </c>
      <c r="AN14" s="540">
        <f t="shared" si="11"/>
        <v>0</v>
      </c>
      <c r="AO14" s="541">
        <f t="shared" si="123"/>
        <v>0</v>
      </c>
      <c r="AP14" s="539">
        <v>0</v>
      </c>
      <c r="AQ14" s="540">
        <f t="shared" si="12"/>
        <v>0</v>
      </c>
      <c r="AR14" s="541">
        <f t="shared" si="124"/>
        <v>0</v>
      </c>
      <c r="AS14" s="539"/>
      <c r="AT14" s="540">
        <f t="shared" si="13"/>
        <v>0</v>
      </c>
      <c r="AU14" s="541">
        <f t="shared" si="125"/>
        <v>0</v>
      </c>
      <c r="AV14" s="539">
        <v>16.650000000000034</v>
      </c>
      <c r="AW14" s="540">
        <f t="shared" si="14"/>
        <v>0.26347021125089065</v>
      </c>
      <c r="AX14" s="541">
        <f t="shared" si="126"/>
        <v>0</v>
      </c>
      <c r="AY14" s="539">
        <v>0</v>
      </c>
      <c r="AZ14" s="540">
        <f t="shared" si="15"/>
        <v>0</v>
      </c>
      <c r="BA14" s="541">
        <f t="shared" si="127"/>
        <v>0</v>
      </c>
      <c r="BB14" s="539">
        <v>86.333333333333286</v>
      </c>
      <c r="BC14" s="540">
        <f t="shared" si="16"/>
        <v>1.3661418361157256</v>
      </c>
      <c r="BD14" s="541">
        <f t="shared" si="128"/>
        <v>0</v>
      </c>
      <c r="BE14" s="539"/>
      <c r="BF14" s="540">
        <f t="shared" si="17"/>
        <v>0</v>
      </c>
      <c r="BG14" s="541">
        <f t="shared" si="129"/>
        <v>0</v>
      </c>
      <c r="BH14" s="539"/>
      <c r="BI14" s="540">
        <f t="shared" si="18"/>
        <v>0</v>
      </c>
      <c r="BJ14" s="541">
        <f t="shared" si="130"/>
        <v>0</v>
      </c>
      <c r="BK14" s="539"/>
      <c r="BL14" s="540">
        <f t="shared" si="19"/>
        <v>0</v>
      </c>
      <c r="BM14" s="541">
        <f t="shared" si="131"/>
        <v>0</v>
      </c>
      <c r="BN14" s="539">
        <v>15.185185185185183</v>
      </c>
      <c r="BO14" s="540">
        <f t="shared" si="20"/>
        <v>0.24029092784532294</v>
      </c>
      <c r="BP14" s="541">
        <f t="shared" si="132"/>
        <v>0</v>
      </c>
      <c r="BQ14" s="539">
        <v>0</v>
      </c>
      <c r="BR14" s="540">
        <f t="shared" si="21"/>
        <v>0</v>
      </c>
      <c r="BS14" s="541">
        <f t="shared" si="133"/>
        <v>0</v>
      </c>
      <c r="BT14" s="539"/>
      <c r="BU14" s="540">
        <f t="shared" si="22"/>
        <v>0</v>
      </c>
      <c r="BV14" s="541">
        <f t="shared" si="134"/>
        <v>0</v>
      </c>
      <c r="BW14" s="539">
        <v>0.34000000000000341</v>
      </c>
      <c r="BX14" s="540">
        <f t="shared" si="23"/>
        <v>5.3801724820002122E-3</v>
      </c>
      <c r="BY14" s="541">
        <f t="shared" si="135"/>
        <v>0</v>
      </c>
      <c r="BZ14" s="539"/>
      <c r="CA14" s="540">
        <f t="shared" si="24"/>
        <v>0</v>
      </c>
      <c r="CB14" s="541">
        <f t="shared" si="136"/>
        <v>0</v>
      </c>
      <c r="CC14" s="539">
        <v>6.25</v>
      </c>
      <c r="CD14" s="540">
        <f t="shared" si="25"/>
        <v>9.8900229448532315E-2</v>
      </c>
      <c r="CE14" s="541">
        <f t="shared" si="137"/>
        <v>0</v>
      </c>
      <c r="CF14" s="539">
        <v>9.9999999999999978E-2</v>
      </c>
      <c r="CG14" s="540">
        <f t="shared" si="26"/>
        <v>1.5824036711765167E-3</v>
      </c>
      <c r="CH14" s="541">
        <f t="shared" si="138"/>
        <v>0</v>
      </c>
      <c r="CI14" s="539"/>
      <c r="CJ14" s="540">
        <f t="shared" si="27"/>
        <v>0</v>
      </c>
      <c r="CK14" s="541">
        <f t="shared" si="139"/>
        <v>0</v>
      </c>
      <c r="CL14" s="539"/>
      <c r="CM14" s="540">
        <f t="shared" si="28"/>
        <v>0</v>
      </c>
      <c r="CN14" s="541">
        <f t="shared" si="140"/>
        <v>0</v>
      </c>
      <c r="CO14" s="539"/>
      <c r="CP14" s="540">
        <f t="shared" si="29"/>
        <v>0</v>
      </c>
      <c r="CQ14" s="541">
        <f t="shared" si="141"/>
        <v>0</v>
      </c>
      <c r="CR14" s="539"/>
      <c r="CS14" s="540">
        <f t="shared" si="30"/>
        <v>0</v>
      </c>
      <c r="CT14" s="541">
        <f t="shared" si="142"/>
        <v>0</v>
      </c>
      <c r="CU14" s="539"/>
      <c r="CV14" s="540">
        <f t="shared" si="31"/>
        <v>0</v>
      </c>
      <c r="CW14" s="541">
        <f t="shared" si="143"/>
        <v>0</v>
      </c>
      <c r="CX14" s="539"/>
      <c r="CY14" s="540">
        <f t="shared" si="32"/>
        <v>0</v>
      </c>
      <c r="CZ14" s="541">
        <f t="shared" si="144"/>
        <v>0</v>
      </c>
      <c r="DA14" s="539"/>
      <c r="DB14" s="540">
        <f t="shared" si="33"/>
        <v>0</v>
      </c>
      <c r="DC14" s="541">
        <f t="shared" si="145"/>
        <v>0</v>
      </c>
      <c r="DD14" s="539"/>
      <c r="DE14" s="540">
        <f t="shared" si="34"/>
        <v>0</v>
      </c>
      <c r="DF14" s="541">
        <f t="shared" si="146"/>
        <v>0</v>
      </c>
      <c r="DG14" s="539">
        <v>2.0999999999999996</v>
      </c>
      <c r="DH14" s="540">
        <f t="shared" si="35"/>
        <v>3.3230477094706855E-2</v>
      </c>
      <c r="DI14" s="541">
        <f t="shared" ref="DI14:DI39" si="203">+DG14*$H$8</f>
        <v>0</v>
      </c>
      <c r="DJ14" s="539"/>
      <c r="DK14" s="540">
        <f t="shared" si="36"/>
        <v>0</v>
      </c>
      <c r="DL14" s="541">
        <f t="shared" si="147"/>
        <v>0</v>
      </c>
      <c r="DM14" s="539"/>
      <c r="DN14" s="540">
        <f t="shared" si="37"/>
        <v>0</v>
      </c>
      <c r="DO14" s="541">
        <f t="shared" si="148"/>
        <v>0</v>
      </c>
      <c r="DP14" s="539"/>
      <c r="DQ14" s="540">
        <f t="shared" si="38"/>
        <v>0</v>
      </c>
      <c r="DR14" s="541">
        <f t="shared" si="149"/>
        <v>0</v>
      </c>
      <c r="DS14" s="539"/>
      <c r="DT14" s="540">
        <f t="shared" si="39"/>
        <v>0</v>
      </c>
      <c r="DU14" s="541">
        <f t="shared" si="150"/>
        <v>0</v>
      </c>
      <c r="DV14" s="539"/>
      <c r="DW14" s="540">
        <f t="shared" si="40"/>
        <v>0</v>
      </c>
      <c r="DX14" s="541">
        <f t="shared" si="151"/>
        <v>0</v>
      </c>
      <c r="DY14" s="539"/>
      <c r="DZ14" s="540">
        <f t="shared" si="41"/>
        <v>0</v>
      </c>
      <c r="EA14" s="541">
        <f t="shared" si="152"/>
        <v>0</v>
      </c>
      <c r="EB14" s="539">
        <v>14.534883720930225</v>
      </c>
      <c r="EC14" s="540">
        <f t="shared" si="42"/>
        <v>0.23000053360123782</v>
      </c>
      <c r="ED14" s="541">
        <f t="shared" si="153"/>
        <v>0</v>
      </c>
      <c r="EE14" s="539">
        <v>2</v>
      </c>
      <c r="EF14" s="540">
        <f t="shared" si="43"/>
        <v>3.1648073423530342E-2</v>
      </c>
      <c r="EG14" s="541">
        <f t="shared" si="154"/>
        <v>0</v>
      </c>
      <c r="EH14" s="539"/>
      <c r="EI14" s="540">
        <f t="shared" si="44"/>
        <v>0</v>
      </c>
      <c r="EJ14" s="541">
        <f t="shared" si="155"/>
        <v>0</v>
      </c>
      <c r="EK14" s="539"/>
      <c r="EL14" s="540">
        <f t="shared" si="45"/>
        <v>0</v>
      </c>
      <c r="EM14" s="541">
        <f t="shared" si="156"/>
        <v>0</v>
      </c>
      <c r="EN14" s="539"/>
      <c r="EO14" s="540">
        <f t="shared" si="46"/>
        <v>0</v>
      </c>
      <c r="EP14" s="541">
        <f t="shared" si="157"/>
        <v>0</v>
      </c>
      <c r="EQ14" s="539"/>
      <c r="ER14" s="540">
        <f t="shared" si="47"/>
        <v>0</v>
      </c>
      <c r="ES14" s="541">
        <f t="shared" si="158"/>
        <v>0</v>
      </c>
      <c r="ET14" s="539"/>
      <c r="EU14" s="540">
        <f t="shared" si="48"/>
        <v>0</v>
      </c>
      <c r="EV14" s="541">
        <f t="shared" si="159"/>
        <v>0</v>
      </c>
      <c r="EW14" s="539"/>
      <c r="EX14" s="540">
        <f t="shared" si="49"/>
        <v>0</v>
      </c>
      <c r="EY14" s="541">
        <f t="shared" si="160"/>
        <v>0</v>
      </c>
      <c r="EZ14" s="539"/>
      <c r="FA14" s="540">
        <f t="shared" si="50"/>
        <v>0</v>
      </c>
      <c r="FB14" s="541">
        <f t="shared" si="161"/>
        <v>0</v>
      </c>
      <c r="FC14" s="539"/>
      <c r="FD14" s="540">
        <f t="shared" si="51"/>
        <v>0</v>
      </c>
      <c r="FE14" s="541">
        <f t="shared" si="162"/>
        <v>0</v>
      </c>
      <c r="FF14" s="539"/>
      <c r="FG14" s="540">
        <f t="shared" si="52"/>
        <v>0</v>
      </c>
      <c r="FH14" s="541">
        <f t="shared" si="163"/>
        <v>0</v>
      </c>
      <c r="FI14" s="539"/>
      <c r="FJ14" s="540">
        <f t="shared" si="53"/>
        <v>0</v>
      </c>
      <c r="FK14" s="541">
        <f t="shared" si="164"/>
        <v>0</v>
      </c>
      <c r="FL14" s="539"/>
      <c r="FM14" s="540">
        <f t="shared" si="54"/>
        <v>0</v>
      </c>
      <c r="FN14" s="541">
        <f t="shared" si="165"/>
        <v>0</v>
      </c>
      <c r="FO14" s="539"/>
      <c r="FP14" s="540">
        <f t="shared" si="55"/>
        <v>0</v>
      </c>
      <c r="FQ14" s="541">
        <f t="shared" si="166"/>
        <v>0</v>
      </c>
      <c r="FR14" s="539"/>
      <c r="FS14" s="540">
        <f t="shared" si="56"/>
        <v>0</v>
      </c>
      <c r="FT14" s="541">
        <f t="shared" si="167"/>
        <v>0</v>
      </c>
      <c r="FU14" s="539"/>
      <c r="FV14" s="540">
        <f t="shared" si="57"/>
        <v>0</v>
      </c>
      <c r="FW14" s="541">
        <f t="shared" si="168"/>
        <v>0</v>
      </c>
      <c r="FX14" s="539"/>
      <c r="FY14" s="540">
        <f t="shared" si="58"/>
        <v>0</v>
      </c>
      <c r="FZ14" s="541">
        <f t="shared" si="169"/>
        <v>0</v>
      </c>
      <c r="GA14" s="539"/>
      <c r="GB14" s="540">
        <f t="shared" si="59"/>
        <v>0</v>
      </c>
      <c r="GC14" s="541">
        <f t="shared" si="170"/>
        <v>0</v>
      </c>
      <c r="GD14" s="539"/>
      <c r="GE14" s="540">
        <f t="shared" si="60"/>
        <v>0</v>
      </c>
      <c r="GF14" s="541">
        <f t="shared" si="171"/>
        <v>0</v>
      </c>
      <c r="GG14" s="539"/>
      <c r="GH14" s="540">
        <f t="shared" si="61"/>
        <v>0</v>
      </c>
      <c r="GI14" s="541">
        <f t="shared" si="172"/>
        <v>0</v>
      </c>
      <c r="GJ14" s="539"/>
      <c r="GK14" s="540">
        <f t="shared" si="62"/>
        <v>0</v>
      </c>
      <c r="GL14" s="541">
        <f t="shared" si="173"/>
        <v>0</v>
      </c>
      <c r="GM14" s="539"/>
      <c r="GN14" s="540">
        <f t="shared" si="63"/>
        <v>0</v>
      </c>
      <c r="GO14" s="541">
        <f t="shared" si="174"/>
        <v>0</v>
      </c>
      <c r="GP14" s="539"/>
      <c r="GQ14" s="540">
        <f t="shared" si="64"/>
        <v>0</v>
      </c>
      <c r="GR14" s="541">
        <f t="shared" si="175"/>
        <v>0</v>
      </c>
      <c r="GS14" s="539"/>
      <c r="GT14" s="540">
        <f t="shared" si="65"/>
        <v>0</v>
      </c>
      <c r="GU14" s="541">
        <f t="shared" si="176"/>
        <v>0</v>
      </c>
      <c r="GV14" s="539"/>
      <c r="GW14" s="540">
        <f t="shared" si="66"/>
        <v>0</v>
      </c>
      <c r="GX14" s="541">
        <f t="shared" si="177"/>
        <v>0</v>
      </c>
      <c r="GY14" s="539"/>
      <c r="GZ14" s="540">
        <f t="shared" si="67"/>
        <v>0</v>
      </c>
      <c r="HA14" s="541">
        <f t="shared" si="178"/>
        <v>0</v>
      </c>
      <c r="HB14" s="539"/>
      <c r="HC14" s="540">
        <f t="shared" si="68"/>
        <v>0</v>
      </c>
      <c r="HD14" s="541">
        <f t="shared" si="179"/>
        <v>0</v>
      </c>
      <c r="HE14" s="539"/>
      <c r="HF14" s="540">
        <f t="shared" si="69"/>
        <v>0</v>
      </c>
      <c r="HG14" s="541">
        <f t="shared" si="180"/>
        <v>0</v>
      </c>
      <c r="HH14" s="539"/>
      <c r="HI14" s="540">
        <f t="shared" si="70"/>
        <v>0</v>
      </c>
      <c r="HJ14" s="541">
        <f t="shared" si="181"/>
        <v>0</v>
      </c>
      <c r="HK14" s="539"/>
      <c r="HL14" s="540">
        <f t="shared" si="71"/>
        <v>0</v>
      </c>
      <c r="HM14" s="541">
        <f t="shared" si="182"/>
        <v>0</v>
      </c>
      <c r="HN14" s="539"/>
      <c r="HO14" s="540">
        <f t="shared" si="72"/>
        <v>0</v>
      </c>
      <c r="HP14" s="541">
        <f t="shared" si="183"/>
        <v>0</v>
      </c>
      <c r="HQ14" s="539"/>
      <c r="HR14" s="540">
        <f t="shared" si="73"/>
        <v>0</v>
      </c>
      <c r="HS14" s="541">
        <f t="shared" si="184"/>
        <v>0</v>
      </c>
      <c r="HT14" s="539"/>
      <c r="HU14" s="540">
        <f t="shared" si="74"/>
        <v>0</v>
      </c>
      <c r="HV14" s="541">
        <f t="shared" si="185"/>
        <v>0</v>
      </c>
      <c r="HW14" s="539"/>
      <c r="HX14" s="540">
        <f t="shared" si="75"/>
        <v>0</v>
      </c>
      <c r="HY14" s="541">
        <f t="shared" si="186"/>
        <v>0</v>
      </c>
      <c r="HZ14" s="539"/>
      <c r="IA14" s="540">
        <f t="shared" si="76"/>
        <v>0</v>
      </c>
      <c r="IB14" s="541">
        <f t="shared" si="187"/>
        <v>0</v>
      </c>
      <c r="IC14" s="539"/>
      <c r="ID14" s="540">
        <f t="shared" si="77"/>
        <v>0</v>
      </c>
      <c r="IE14" s="541">
        <f t="shared" si="188"/>
        <v>0</v>
      </c>
      <c r="IF14" s="539"/>
      <c r="IG14" s="540">
        <f t="shared" si="78"/>
        <v>0</v>
      </c>
      <c r="IH14" s="541">
        <f t="shared" si="189"/>
        <v>0</v>
      </c>
      <c r="II14" s="539"/>
      <c r="IJ14" s="540">
        <f t="shared" si="79"/>
        <v>0</v>
      </c>
      <c r="IK14" s="541">
        <f t="shared" si="190"/>
        <v>0</v>
      </c>
      <c r="IL14" s="539"/>
      <c r="IM14" s="540">
        <f t="shared" si="80"/>
        <v>0</v>
      </c>
      <c r="IN14" s="541">
        <f t="shared" si="191"/>
        <v>0</v>
      </c>
      <c r="IO14" s="539"/>
      <c r="IP14" s="540">
        <f t="shared" si="81"/>
        <v>0</v>
      </c>
      <c r="IQ14" s="541">
        <f t="shared" si="192"/>
        <v>0</v>
      </c>
      <c r="IR14" s="539"/>
      <c r="IS14" s="540">
        <f t="shared" si="82"/>
        <v>0</v>
      </c>
      <c r="IT14" s="541">
        <f t="shared" si="193"/>
        <v>0</v>
      </c>
      <c r="IU14" s="539"/>
      <c r="IV14" s="540">
        <f t="shared" si="83"/>
        <v>0</v>
      </c>
      <c r="IW14" s="541">
        <f t="shared" si="194"/>
        <v>0</v>
      </c>
      <c r="IX14" s="539"/>
      <c r="IY14" s="540">
        <f t="shared" si="84"/>
        <v>0</v>
      </c>
      <c r="IZ14" s="541">
        <f t="shared" si="195"/>
        <v>0</v>
      </c>
      <c r="JA14" s="539"/>
      <c r="JB14" s="540">
        <f t="shared" si="85"/>
        <v>0</v>
      </c>
      <c r="JC14" s="541">
        <f t="shared" si="196"/>
        <v>0</v>
      </c>
      <c r="JD14" s="539"/>
      <c r="JE14" s="540">
        <f t="shared" si="86"/>
        <v>0</v>
      </c>
      <c r="JF14" s="541">
        <f t="shared" si="197"/>
        <v>0</v>
      </c>
      <c r="JG14" s="539"/>
      <c r="JH14" s="540">
        <f t="shared" si="87"/>
        <v>0</v>
      </c>
      <c r="JI14" s="541">
        <f t="shared" si="198"/>
        <v>0</v>
      </c>
      <c r="JJ14" s="539"/>
      <c r="JK14" s="541" t="str">
        <f t="shared" si="88"/>
        <v>0</v>
      </c>
      <c r="JL14" s="541" t="str">
        <f t="shared" si="89"/>
        <v>0</v>
      </c>
      <c r="JM14" s="539"/>
      <c r="JN14" s="541" t="str">
        <f t="shared" si="90"/>
        <v>0</v>
      </c>
      <c r="JO14" s="541" t="str">
        <f t="shared" si="91"/>
        <v>0</v>
      </c>
      <c r="JP14" s="539"/>
      <c r="JQ14" s="541" t="str">
        <f t="shared" si="92"/>
        <v>0</v>
      </c>
      <c r="JR14" s="541" t="str">
        <f t="shared" si="93"/>
        <v>0</v>
      </c>
      <c r="JS14" s="539"/>
      <c r="JT14" s="541" t="str">
        <f t="shared" si="94"/>
        <v>0</v>
      </c>
      <c r="JU14" s="541" t="str">
        <f t="shared" si="95"/>
        <v>0</v>
      </c>
      <c r="JV14" s="539"/>
      <c r="JW14" s="541" t="str">
        <f t="shared" si="96"/>
        <v>0</v>
      </c>
      <c r="JX14" s="541" t="str">
        <f t="shared" si="97"/>
        <v>0</v>
      </c>
      <c r="JY14" s="539"/>
      <c r="JZ14" s="541" t="str">
        <f t="shared" si="98"/>
        <v>0</v>
      </c>
      <c r="KA14" s="541" t="str">
        <f t="shared" si="99"/>
        <v>0</v>
      </c>
      <c r="KB14" s="539"/>
      <c r="KC14" s="541" t="str">
        <f t="shared" si="100"/>
        <v>0</v>
      </c>
      <c r="KD14" s="541" t="str">
        <f t="shared" si="101"/>
        <v>0</v>
      </c>
      <c r="KE14" s="539"/>
      <c r="KF14" s="541" t="str">
        <f t="shared" si="102"/>
        <v>0</v>
      </c>
      <c r="KG14" s="541" t="str">
        <f t="shared" si="103"/>
        <v>0</v>
      </c>
      <c r="KH14" s="539"/>
      <c r="KI14" s="541" t="str">
        <f t="shared" si="104"/>
        <v>0</v>
      </c>
      <c r="KJ14" s="541" t="str">
        <f t="shared" si="105"/>
        <v>0</v>
      </c>
      <c r="KK14" s="539"/>
      <c r="KL14" s="541" t="str">
        <f t="shared" si="106"/>
        <v>0</v>
      </c>
      <c r="KM14" s="541" t="str">
        <f t="shared" si="107"/>
        <v>0</v>
      </c>
      <c r="KN14" s="539"/>
      <c r="KO14" s="541" t="str">
        <f t="shared" si="108"/>
        <v>0</v>
      </c>
      <c r="KP14" s="541" t="str">
        <f t="shared" si="109"/>
        <v>0</v>
      </c>
      <c r="KQ14" s="539"/>
      <c r="KR14" s="541" t="str">
        <f t="shared" si="110"/>
        <v>0</v>
      </c>
      <c r="KS14" s="541" t="str">
        <f t="shared" si="111"/>
        <v>0</v>
      </c>
      <c r="KT14" s="541">
        <f t="shared" si="200"/>
        <v>0</v>
      </c>
      <c r="KU14" s="541">
        <f t="shared" si="201"/>
        <v>0</v>
      </c>
      <c r="KV14" s="275">
        <f t="shared" si="202"/>
        <v>1152.0559022394486</v>
      </c>
    </row>
    <row r="15" spans="1:308" ht="15" customHeight="1">
      <c r="A15" s="277">
        <f t="shared" si="199"/>
        <v>45937</v>
      </c>
      <c r="B15" s="278" t="str">
        <f>+Report1!B15</f>
        <v>MG/Facial</v>
      </c>
      <c r="C15" s="420" t="str">
        <f>+Report1!C15</f>
        <v>14/17/10,3/12</v>
      </c>
      <c r="D15" s="279">
        <f>+Report1!P15</f>
        <v>62.308</v>
      </c>
      <c r="E15" s="280">
        <f>+Report1!R15</f>
        <v>57.293999999999997</v>
      </c>
      <c r="F15" s="539">
        <v>93.023255813953483</v>
      </c>
      <c r="G15" s="540">
        <f t="shared" si="0"/>
        <v>1.6236125216244892</v>
      </c>
      <c r="H15" s="541">
        <f t="shared" si="112"/>
        <v>0</v>
      </c>
      <c r="I15" s="539">
        <v>430.23255813953494</v>
      </c>
      <c r="J15" s="540">
        <f t="shared" si="1"/>
        <v>7.509207912513264</v>
      </c>
      <c r="K15" s="541">
        <f t="shared" si="113"/>
        <v>0</v>
      </c>
      <c r="L15" s="539"/>
      <c r="M15" s="540">
        <f t="shared" si="2"/>
        <v>0</v>
      </c>
      <c r="N15" s="541">
        <f t="shared" si="114"/>
        <v>0</v>
      </c>
      <c r="O15" s="539">
        <v>6</v>
      </c>
      <c r="P15" s="540">
        <f t="shared" si="3"/>
        <v>0.10472300764477957</v>
      </c>
      <c r="Q15" s="541">
        <f t="shared" si="115"/>
        <v>0</v>
      </c>
      <c r="R15" s="539"/>
      <c r="S15" s="540">
        <f t="shared" si="4"/>
        <v>0</v>
      </c>
      <c r="T15" s="541">
        <f t="shared" si="116"/>
        <v>0</v>
      </c>
      <c r="U15" s="539">
        <v>2.5625000000000142</v>
      </c>
      <c r="V15" s="540">
        <f t="shared" si="5"/>
        <v>4.4725451181624853E-2</v>
      </c>
      <c r="W15" s="541">
        <f t="shared" si="117"/>
        <v>0</v>
      </c>
      <c r="X15" s="539"/>
      <c r="Y15" s="540">
        <f t="shared" si="6"/>
        <v>0</v>
      </c>
      <c r="Z15" s="541">
        <f t="shared" si="118"/>
        <v>0</v>
      </c>
      <c r="AA15" s="539"/>
      <c r="AB15" s="540">
        <f t="shared" si="7"/>
        <v>0</v>
      </c>
      <c r="AC15" s="541">
        <f t="shared" si="119"/>
        <v>0</v>
      </c>
      <c r="AD15" s="539"/>
      <c r="AE15" s="540">
        <f t="shared" si="8"/>
        <v>0</v>
      </c>
      <c r="AF15" s="541">
        <f t="shared" si="120"/>
        <v>0</v>
      </c>
      <c r="AG15" s="539"/>
      <c r="AH15" s="540">
        <f t="shared" si="9"/>
        <v>0</v>
      </c>
      <c r="AI15" s="541">
        <f t="shared" si="121"/>
        <v>0</v>
      </c>
      <c r="AJ15" s="539">
        <v>14.687499999999986</v>
      </c>
      <c r="AK15" s="540">
        <f t="shared" si="10"/>
        <v>0.25635319579711641</v>
      </c>
      <c r="AL15" s="541">
        <f t="shared" si="122"/>
        <v>0</v>
      </c>
      <c r="AM15" s="539">
        <v>0</v>
      </c>
      <c r="AN15" s="540">
        <f t="shared" si="11"/>
        <v>0</v>
      </c>
      <c r="AO15" s="541">
        <f t="shared" si="123"/>
        <v>0</v>
      </c>
      <c r="AP15" s="539">
        <v>19.936708860759552</v>
      </c>
      <c r="AQ15" s="540">
        <f t="shared" si="12"/>
        <v>0.34797201907284453</v>
      </c>
      <c r="AR15" s="541">
        <f t="shared" si="124"/>
        <v>0</v>
      </c>
      <c r="AS15" s="539"/>
      <c r="AT15" s="540">
        <f t="shared" si="13"/>
        <v>0</v>
      </c>
      <c r="AU15" s="541">
        <f t="shared" si="125"/>
        <v>0</v>
      </c>
      <c r="AV15" s="539">
        <v>13.875</v>
      </c>
      <c r="AW15" s="540">
        <f t="shared" si="14"/>
        <v>0.24217195517855275</v>
      </c>
      <c r="AX15" s="541">
        <f t="shared" si="126"/>
        <v>0</v>
      </c>
      <c r="AY15" s="539">
        <v>16.333333333333343</v>
      </c>
      <c r="AZ15" s="540">
        <f t="shared" si="15"/>
        <v>0.28507929858856673</v>
      </c>
      <c r="BA15" s="541">
        <f t="shared" si="127"/>
        <v>0</v>
      </c>
      <c r="BB15" s="539">
        <v>58.333333333333343</v>
      </c>
      <c r="BC15" s="540">
        <f t="shared" si="16"/>
        <v>1.0181403521020238</v>
      </c>
      <c r="BD15" s="541">
        <f t="shared" si="128"/>
        <v>0</v>
      </c>
      <c r="BE15" s="539"/>
      <c r="BF15" s="540">
        <f t="shared" si="17"/>
        <v>0</v>
      </c>
      <c r="BG15" s="541">
        <f t="shared" si="129"/>
        <v>0</v>
      </c>
      <c r="BH15" s="539"/>
      <c r="BI15" s="540">
        <f t="shared" si="18"/>
        <v>0</v>
      </c>
      <c r="BJ15" s="541">
        <f t="shared" si="130"/>
        <v>0</v>
      </c>
      <c r="BK15" s="539"/>
      <c r="BL15" s="540">
        <f t="shared" si="19"/>
        <v>0</v>
      </c>
      <c r="BM15" s="541">
        <f t="shared" si="131"/>
        <v>0</v>
      </c>
      <c r="BN15" s="539">
        <v>12.654320987654323</v>
      </c>
      <c r="BO15" s="540">
        <f t="shared" si="20"/>
        <v>0.22086642558826969</v>
      </c>
      <c r="BP15" s="541">
        <f t="shared" si="132"/>
        <v>0</v>
      </c>
      <c r="BQ15" s="539">
        <v>0</v>
      </c>
      <c r="BR15" s="540">
        <f t="shared" si="21"/>
        <v>0</v>
      </c>
      <c r="BS15" s="541">
        <f t="shared" si="133"/>
        <v>0</v>
      </c>
      <c r="BT15" s="539"/>
      <c r="BU15" s="540">
        <f t="shared" si="22"/>
        <v>0</v>
      </c>
      <c r="BV15" s="541">
        <f t="shared" si="134"/>
        <v>0</v>
      </c>
      <c r="BW15" s="539">
        <v>0.67999999999999972</v>
      </c>
      <c r="BX15" s="540">
        <f t="shared" si="23"/>
        <v>1.1868607533075013E-2</v>
      </c>
      <c r="BY15" s="541">
        <f t="shared" si="135"/>
        <v>0</v>
      </c>
      <c r="BZ15" s="539"/>
      <c r="CA15" s="540">
        <f t="shared" si="24"/>
        <v>0</v>
      </c>
      <c r="CB15" s="541">
        <f t="shared" si="136"/>
        <v>0</v>
      </c>
      <c r="CC15" s="539">
        <v>6.25</v>
      </c>
      <c r="CD15" s="540">
        <f t="shared" si="25"/>
        <v>0.10908646629664538</v>
      </c>
      <c r="CE15" s="541">
        <f t="shared" si="137"/>
        <v>0</v>
      </c>
      <c r="CF15" s="539">
        <v>9.9999999999999978E-2</v>
      </c>
      <c r="CG15" s="540">
        <f t="shared" si="26"/>
        <v>1.7453834607463257E-3</v>
      </c>
      <c r="CH15" s="541">
        <f t="shared" si="138"/>
        <v>0</v>
      </c>
      <c r="CI15" s="539"/>
      <c r="CJ15" s="540">
        <f t="shared" si="27"/>
        <v>0</v>
      </c>
      <c r="CK15" s="541">
        <f t="shared" si="139"/>
        <v>0</v>
      </c>
      <c r="CL15" s="539"/>
      <c r="CM15" s="540">
        <f t="shared" si="28"/>
        <v>0</v>
      </c>
      <c r="CN15" s="541">
        <f t="shared" si="140"/>
        <v>0</v>
      </c>
      <c r="CO15" s="539"/>
      <c r="CP15" s="540">
        <f t="shared" si="29"/>
        <v>0</v>
      </c>
      <c r="CQ15" s="541">
        <f t="shared" si="141"/>
        <v>0</v>
      </c>
      <c r="CR15" s="539"/>
      <c r="CS15" s="540">
        <f t="shared" si="30"/>
        <v>0</v>
      </c>
      <c r="CT15" s="541">
        <f t="shared" si="142"/>
        <v>0</v>
      </c>
      <c r="CU15" s="539"/>
      <c r="CV15" s="540">
        <f t="shared" si="31"/>
        <v>0</v>
      </c>
      <c r="CW15" s="541">
        <f t="shared" si="143"/>
        <v>0</v>
      </c>
      <c r="CX15" s="539"/>
      <c r="CY15" s="540">
        <f t="shared" si="32"/>
        <v>0</v>
      </c>
      <c r="CZ15" s="541">
        <f t="shared" si="144"/>
        <v>0</v>
      </c>
      <c r="DA15" s="539"/>
      <c r="DB15" s="540">
        <f t="shared" si="33"/>
        <v>0</v>
      </c>
      <c r="DC15" s="541">
        <f t="shared" si="145"/>
        <v>0</v>
      </c>
      <c r="DD15" s="539"/>
      <c r="DE15" s="540">
        <f t="shared" si="34"/>
        <v>0</v>
      </c>
      <c r="DF15" s="541">
        <f t="shared" si="146"/>
        <v>0</v>
      </c>
      <c r="DG15" s="539">
        <v>4.7250000000000005</v>
      </c>
      <c r="DH15" s="540">
        <f t="shared" si="35"/>
        <v>8.2469368520263917E-2</v>
      </c>
      <c r="DI15" s="541">
        <f t="shared" si="203"/>
        <v>0</v>
      </c>
      <c r="DJ15" s="539"/>
      <c r="DK15" s="540">
        <f t="shared" si="36"/>
        <v>0</v>
      </c>
      <c r="DL15" s="541">
        <f t="shared" si="147"/>
        <v>0</v>
      </c>
      <c r="DM15" s="539"/>
      <c r="DN15" s="540">
        <f t="shared" si="37"/>
        <v>0</v>
      </c>
      <c r="DO15" s="541">
        <f t="shared" si="148"/>
        <v>0</v>
      </c>
      <c r="DP15" s="539"/>
      <c r="DQ15" s="540">
        <f t="shared" si="38"/>
        <v>0</v>
      </c>
      <c r="DR15" s="541">
        <f t="shared" si="149"/>
        <v>0</v>
      </c>
      <c r="DS15" s="539"/>
      <c r="DT15" s="540">
        <f t="shared" si="39"/>
        <v>0</v>
      </c>
      <c r="DU15" s="541">
        <f t="shared" si="150"/>
        <v>0</v>
      </c>
      <c r="DV15" s="539"/>
      <c r="DW15" s="540">
        <f t="shared" si="40"/>
        <v>0</v>
      </c>
      <c r="DX15" s="541">
        <f t="shared" si="151"/>
        <v>0</v>
      </c>
      <c r="DY15" s="539"/>
      <c r="DZ15" s="540">
        <f t="shared" si="41"/>
        <v>0</v>
      </c>
      <c r="EA15" s="541">
        <f t="shared" si="152"/>
        <v>0</v>
      </c>
      <c r="EB15" s="539">
        <v>14.534883720930225</v>
      </c>
      <c r="EC15" s="540">
        <f t="shared" si="42"/>
        <v>0.25368945650382635</v>
      </c>
      <c r="ED15" s="541">
        <f t="shared" si="153"/>
        <v>0</v>
      </c>
      <c r="EE15" s="539">
        <v>2</v>
      </c>
      <c r="EF15" s="540">
        <f t="shared" si="43"/>
        <v>3.4907669214926523E-2</v>
      </c>
      <c r="EG15" s="541">
        <f t="shared" si="154"/>
        <v>0</v>
      </c>
      <c r="EH15" s="539"/>
      <c r="EI15" s="540">
        <f t="shared" si="44"/>
        <v>0</v>
      </c>
      <c r="EJ15" s="541">
        <f t="shared" si="155"/>
        <v>0</v>
      </c>
      <c r="EK15" s="539"/>
      <c r="EL15" s="540">
        <f t="shared" si="45"/>
        <v>0</v>
      </c>
      <c r="EM15" s="541">
        <f t="shared" si="156"/>
        <v>0</v>
      </c>
      <c r="EN15" s="539"/>
      <c r="EO15" s="540">
        <f t="shared" si="46"/>
        <v>0</v>
      </c>
      <c r="EP15" s="541">
        <f t="shared" si="157"/>
        <v>0</v>
      </c>
      <c r="EQ15" s="539"/>
      <c r="ER15" s="540">
        <f t="shared" si="47"/>
        <v>0</v>
      </c>
      <c r="ES15" s="541">
        <f t="shared" si="158"/>
        <v>0</v>
      </c>
      <c r="ET15" s="539"/>
      <c r="EU15" s="540">
        <f t="shared" si="48"/>
        <v>0</v>
      </c>
      <c r="EV15" s="541">
        <f t="shared" si="159"/>
        <v>0</v>
      </c>
      <c r="EW15" s="539"/>
      <c r="EX15" s="540">
        <f t="shared" si="49"/>
        <v>0</v>
      </c>
      <c r="EY15" s="541">
        <f t="shared" si="160"/>
        <v>0</v>
      </c>
      <c r="EZ15" s="539"/>
      <c r="FA15" s="540">
        <f t="shared" si="50"/>
        <v>0</v>
      </c>
      <c r="FB15" s="541">
        <f t="shared" si="161"/>
        <v>0</v>
      </c>
      <c r="FC15" s="539"/>
      <c r="FD15" s="540">
        <f t="shared" si="51"/>
        <v>0</v>
      </c>
      <c r="FE15" s="541">
        <f t="shared" si="162"/>
        <v>0</v>
      </c>
      <c r="FF15" s="539"/>
      <c r="FG15" s="540">
        <f t="shared" si="52"/>
        <v>0</v>
      </c>
      <c r="FH15" s="541">
        <f t="shared" si="163"/>
        <v>0</v>
      </c>
      <c r="FI15" s="539"/>
      <c r="FJ15" s="540">
        <f t="shared" si="53"/>
        <v>0</v>
      </c>
      <c r="FK15" s="541">
        <f t="shared" si="164"/>
        <v>0</v>
      </c>
      <c r="FL15" s="539"/>
      <c r="FM15" s="540">
        <f t="shared" si="54"/>
        <v>0</v>
      </c>
      <c r="FN15" s="541">
        <f t="shared" si="165"/>
        <v>0</v>
      </c>
      <c r="FO15" s="539"/>
      <c r="FP15" s="540">
        <f t="shared" si="55"/>
        <v>0</v>
      </c>
      <c r="FQ15" s="541">
        <f t="shared" si="166"/>
        <v>0</v>
      </c>
      <c r="FR15" s="539"/>
      <c r="FS15" s="540">
        <f t="shared" si="56"/>
        <v>0</v>
      </c>
      <c r="FT15" s="541">
        <f t="shared" si="167"/>
        <v>0</v>
      </c>
      <c r="FU15" s="539"/>
      <c r="FV15" s="540">
        <f t="shared" si="57"/>
        <v>0</v>
      </c>
      <c r="FW15" s="541">
        <f t="shared" si="168"/>
        <v>0</v>
      </c>
      <c r="FX15" s="539"/>
      <c r="FY15" s="540">
        <f t="shared" si="58"/>
        <v>0</v>
      </c>
      <c r="FZ15" s="541">
        <f t="shared" si="169"/>
        <v>0</v>
      </c>
      <c r="GA15" s="539"/>
      <c r="GB15" s="540">
        <f t="shared" si="59"/>
        <v>0</v>
      </c>
      <c r="GC15" s="541">
        <f t="shared" si="170"/>
        <v>0</v>
      </c>
      <c r="GD15" s="539"/>
      <c r="GE15" s="540">
        <f t="shared" si="60"/>
        <v>0</v>
      </c>
      <c r="GF15" s="541">
        <f t="shared" si="171"/>
        <v>0</v>
      </c>
      <c r="GG15" s="539"/>
      <c r="GH15" s="540">
        <f t="shared" si="61"/>
        <v>0</v>
      </c>
      <c r="GI15" s="541">
        <f t="shared" si="172"/>
        <v>0</v>
      </c>
      <c r="GJ15" s="539"/>
      <c r="GK15" s="540">
        <f t="shared" si="62"/>
        <v>0</v>
      </c>
      <c r="GL15" s="541">
        <f t="shared" si="173"/>
        <v>0</v>
      </c>
      <c r="GM15" s="539"/>
      <c r="GN15" s="540">
        <f t="shared" si="63"/>
        <v>0</v>
      </c>
      <c r="GO15" s="541">
        <f t="shared" si="174"/>
        <v>0</v>
      </c>
      <c r="GP15" s="539"/>
      <c r="GQ15" s="540">
        <f t="shared" si="64"/>
        <v>0</v>
      </c>
      <c r="GR15" s="541">
        <f t="shared" si="175"/>
        <v>0</v>
      </c>
      <c r="GS15" s="539"/>
      <c r="GT15" s="540">
        <f t="shared" si="65"/>
        <v>0</v>
      </c>
      <c r="GU15" s="541">
        <f t="shared" si="176"/>
        <v>0</v>
      </c>
      <c r="GV15" s="539"/>
      <c r="GW15" s="540">
        <f t="shared" si="66"/>
        <v>0</v>
      </c>
      <c r="GX15" s="541">
        <f t="shared" si="177"/>
        <v>0</v>
      </c>
      <c r="GY15" s="539"/>
      <c r="GZ15" s="540">
        <f t="shared" si="67"/>
        <v>0</v>
      </c>
      <c r="HA15" s="541">
        <f t="shared" si="178"/>
        <v>0</v>
      </c>
      <c r="HB15" s="539"/>
      <c r="HC15" s="540">
        <f t="shared" si="68"/>
        <v>0</v>
      </c>
      <c r="HD15" s="541">
        <f t="shared" si="179"/>
        <v>0</v>
      </c>
      <c r="HE15" s="539"/>
      <c r="HF15" s="540">
        <f t="shared" si="69"/>
        <v>0</v>
      </c>
      <c r="HG15" s="541">
        <f t="shared" si="180"/>
        <v>0</v>
      </c>
      <c r="HH15" s="539"/>
      <c r="HI15" s="540">
        <f t="shared" si="70"/>
        <v>0</v>
      </c>
      <c r="HJ15" s="541">
        <f t="shared" si="181"/>
        <v>0</v>
      </c>
      <c r="HK15" s="539"/>
      <c r="HL15" s="540">
        <f t="shared" si="71"/>
        <v>0</v>
      </c>
      <c r="HM15" s="541">
        <f t="shared" si="182"/>
        <v>0</v>
      </c>
      <c r="HN15" s="539"/>
      <c r="HO15" s="540">
        <f t="shared" si="72"/>
        <v>0</v>
      </c>
      <c r="HP15" s="541">
        <f t="shared" si="183"/>
        <v>0</v>
      </c>
      <c r="HQ15" s="539"/>
      <c r="HR15" s="540">
        <f t="shared" si="73"/>
        <v>0</v>
      </c>
      <c r="HS15" s="541">
        <f t="shared" si="184"/>
        <v>0</v>
      </c>
      <c r="HT15" s="539"/>
      <c r="HU15" s="540">
        <f t="shared" si="74"/>
        <v>0</v>
      </c>
      <c r="HV15" s="541">
        <f t="shared" si="185"/>
        <v>0</v>
      </c>
      <c r="HW15" s="539"/>
      <c r="HX15" s="540">
        <f t="shared" si="75"/>
        <v>0</v>
      </c>
      <c r="HY15" s="541">
        <f t="shared" si="186"/>
        <v>0</v>
      </c>
      <c r="HZ15" s="539"/>
      <c r="IA15" s="540">
        <f t="shared" si="76"/>
        <v>0</v>
      </c>
      <c r="IB15" s="541">
        <f t="shared" si="187"/>
        <v>0</v>
      </c>
      <c r="IC15" s="539"/>
      <c r="ID15" s="540">
        <f t="shared" si="77"/>
        <v>0</v>
      </c>
      <c r="IE15" s="541">
        <f t="shared" si="188"/>
        <v>0</v>
      </c>
      <c r="IF15" s="539"/>
      <c r="IG15" s="540">
        <f t="shared" si="78"/>
        <v>0</v>
      </c>
      <c r="IH15" s="541">
        <f t="shared" si="189"/>
        <v>0</v>
      </c>
      <c r="II15" s="539"/>
      <c r="IJ15" s="540">
        <f t="shared" si="79"/>
        <v>0</v>
      </c>
      <c r="IK15" s="541">
        <f t="shared" si="190"/>
        <v>0</v>
      </c>
      <c r="IL15" s="539"/>
      <c r="IM15" s="540">
        <f t="shared" si="80"/>
        <v>0</v>
      </c>
      <c r="IN15" s="541">
        <f t="shared" si="191"/>
        <v>0</v>
      </c>
      <c r="IO15" s="539"/>
      <c r="IP15" s="540">
        <f t="shared" si="81"/>
        <v>0</v>
      </c>
      <c r="IQ15" s="541">
        <f t="shared" si="192"/>
        <v>0</v>
      </c>
      <c r="IR15" s="539"/>
      <c r="IS15" s="540">
        <f t="shared" si="82"/>
        <v>0</v>
      </c>
      <c r="IT15" s="541">
        <f t="shared" si="193"/>
        <v>0</v>
      </c>
      <c r="IU15" s="539"/>
      <c r="IV15" s="540">
        <f t="shared" si="83"/>
        <v>0</v>
      </c>
      <c r="IW15" s="541">
        <f t="shared" si="194"/>
        <v>0</v>
      </c>
      <c r="IX15" s="539"/>
      <c r="IY15" s="540">
        <f t="shared" si="84"/>
        <v>0</v>
      </c>
      <c r="IZ15" s="541">
        <f t="shared" si="195"/>
        <v>0</v>
      </c>
      <c r="JA15" s="539"/>
      <c r="JB15" s="540">
        <f t="shared" si="85"/>
        <v>0</v>
      </c>
      <c r="JC15" s="541">
        <f t="shared" si="196"/>
        <v>0</v>
      </c>
      <c r="JD15" s="539"/>
      <c r="JE15" s="540">
        <f t="shared" si="86"/>
        <v>0</v>
      </c>
      <c r="JF15" s="541">
        <f t="shared" si="197"/>
        <v>0</v>
      </c>
      <c r="JG15" s="539"/>
      <c r="JH15" s="540">
        <f t="shared" si="87"/>
        <v>0</v>
      </c>
      <c r="JI15" s="541">
        <f t="shared" si="198"/>
        <v>0</v>
      </c>
      <c r="JJ15" s="539"/>
      <c r="JK15" s="541" t="str">
        <f t="shared" si="88"/>
        <v>0</v>
      </c>
      <c r="JL15" s="541" t="str">
        <f t="shared" si="89"/>
        <v>0</v>
      </c>
      <c r="JM15" s="539"/>
      <c r="JN15" s="541" t="str">
        <f t="shared" si="90"/>
        <v>0</v>
      </c>
      <c r="JO15" s="541" t="str">
        <f t="shared" si="91"/>
        <v>0</v>
      </c>
      <c r="JP15" s="539"/>
      <c r="JQ15" s="541" t="str">
        <f t="shared" si="92"/>
        <v>0</v>
      </c>
      <c r="JR15" s="541" t="str">
        <f t="shared" si="93"/>
        <v>0</v>
      </c>
      <c r="JS15" s="539"/>
      <c r="JT15" s="541" t="str">
        <f t="shared" si="94"/>
        <v>0</v>
      </c>
      <c r="JU15" s="541" t="str">
        <f t="shared" si="95"/>
        <v>0</v>
      </c>
      <c r="JV15" s="539"/>
      <c r="JW15" s="541" t="str">
        <f t="shared" si="96"/>
        <v>0</v>
      </c>
      <c r="JX15" s="541" t="str">
        <f t="shared" si="97"/>
        <v>0</v>
      </c>
      <c r="JY15" s="539"/>
      <c r="JZ15" s="541" t="str">
        <f t="shared" si="98"/>
        <v>0</v>
      </c>
      <c r="KA15" s="541" t="str">
        <f t="shared" si="99"/>
        <v>0</v>
      </c>
      <c r="KB15" s="539"/>
      <c r="KC15" s="541" t="str">
        <f t="shared" si="100"/>
        <v>0</v>
      </c>
      <c r="KD15" s="541" t="str">
        <f t="shared" si="101"/>
        <v>0</v>
      </c>
      <c r="KE15" s="539"/>
      <c r="KF15" s="541" t="str">
        <f t="shared" si="102"/>
        <v>0</v>
      </c>
      <c r="KG15" s="541" t="str">
        <f t="shared" si="103"/>
        <v>0</v>
      </c>
      <c r="KH15" s="539"/>
      <c r="KI15" s="541" t="str">
        <f t="shared" si="104"/>
        <v>0</v>
      </c>
      <c r="KJ15" s="541" t="str">
        <f t="shared" si="105"/>
        <v>0</v>
      </c>
      <c r="KK15" s="539"/>
      <c r="KL15" s="541" t="str">
        <f t="shared" si="106"/>
        <v>0</v>
      </c>
      <c r="KM15" s="541" t="str">
        <f t="shared" si="107"/>
        <v>0</v>
      </c>
      <c r="KN15" s="539"/>
      <c r="KO15" s="541" t="str">
        <f t="shared" si="108"/>
        <v>0</v>
      </c>
      <c r="KP15" s="541" t="str">
        <f t="shared" si="109"/>
        <v>0</v>
      </c>
      <c r="KQ15" s="539"/>
      <c r="KR15" s="541" t="str">
        <f t="shared" si="110"/>
        <v>0</v>
      </c>
      <c r="KS15" s="541" t="str">
        <f t="shared" si="111"/>
        <v>0</v>
      </c>
      <c r="KT15" s="541">
        <f t="shared" si="200"/>
        <v>0</v>
      </c>
      <c r="KU15" s="541">
        <f t="shared" si="201"/>
        <v>0</v>
      </c>
      <c r="KV15" s="275">
        <f t="shared" si="202"/>
        <v>695.92839418949916</v>
      </c>
    </row>
    <row r="16" spans="1:308" ht="15" customHeight="1">
      <c r="A16" s="277">
        <f t="shared" si="199"/>
        <v>45938</v>
      </c>
      <c r="B16" s="278" t="str">
        <f>+Report1!B16</f>
        <v>Facial</v>
      </c>
      <c r="C16" s="420" t="str">
        <f>+Report1!C16</f>
        <v>12</v>
      </c>
      <c r="D16" s="279">
        <f>+Report1!P16</f>
        <v>58.954999999999998</v>
      </c>
      <c r="E16" s="280">
        <f>+Report1!R16</f>
        <v>61.23</v>
      </c>
      <c r="F16" s="539">
        <v>0</v>
      </c>
      <c r="G16" s="540">
        <f t="shared" si="0"/>
        <v>0</v>
      </c>
      <c r="H16" s="541">
        <f t="shared" si="112"/>
        <v>0</v>
      </c>
      <c r="I16" s="539">
        <v>325.58139534883685</v>
      </c>
      <c r="J16" s="540">
        <f t="shared" si="1"/>
        <v>5.317350895783715</v>
      </c>
      <c r="K16" s="541">
        <f t="shared" si="113"/>
        <v>0</v>
      </c>
      <c r="L16" s="539"/>
      <c r="M16" s="540">
        <f t="shared" si="2"/>
        <v>0</v>
      </c>
      <c r="N16" s="541">
        <f t="shared" si="114"/>
        <v>0</v>
      </c>
      <c r="O16" s="539">
        <v>6</v>
      </c>
      <c r="P16" s="540">
        <f t="shared" si="3"/>
        <v>9.7991180793728566E-2</v>
      </c>
      <c r="Q16" s="541">
        <f t="shared" si="115"/>
        <v>0</v>
      </c>
      <c r="R16" s="539"/>
      <c r="S16" s="540">
        <f t="shared" si="4"/>
        <v>0</v>
      </c>
      <c r="T16" s="541">
        <f t="shared" si="116"/>
        <v>0</v>
      </c>
      <c r="U16" s="539">
        <v>2.5625</v>
      </c>
      <c r="V16" s="540">
        <f t="shared" si="5"/>
        <v>4.1850400130654906E-2</v>
      </c>
      <c r="W16" s="541">
        <f t="shared" si="117"/>
        <v>0</v>
      </c>
      <c r="X16" s="539"/>
      <c r="Y16" s="540">
        <f t="shared" si="6"/>
        <v>0</v>
      </c>
      <c r="Z16" s="541">
        <f t="shared" si="118"/>
        <v>0</v>
      </c>
      <c r="AA16" s="539"/>
      <c r="AB16" s="540">
        <f t="shared" si="7"/>
        <v>0</v>
      </c>
      <c r="AC16" s="541">
        <f t="shared" si="119"/>
        <v>0</v>
      </c>
      <c r="AD16" s="539"/>
      <c r="AE16" s="540">
        <f t="shared" si="8"/>
        <v>0</v>
      </c>
      <c r="AF16" s="541">
        <f t="shared" si="120"/>
        <v>0</v>
      </c>
      <c r="AG16" s="539"/>
      <c r="AH16" s="540">
        <f t="shared" si="9"/>
        <v>0</v>
      </c>
      <c r="AI16" s="541">
        <f t="shared" si="121"/>
        <v>0</v>
      </c>
      <c r="AJ16" s="539">
        <v>0</v>
      </c>
      <c r="AK16" s="540">
        <f t="shared" si="10"/>
        <v>0</v>
      </c>
      <c r="AL16" s="541">
        <f t="shared" si="122"/>
        <v>0</v>
      </c>
      <c r="AM16" s="539">
        <v>0</v>
      </c>
      <c r="AN16" s="540">
        <f t="shared" si="11"/>
        <v>0</v>
      </c>
      <c r="AO16" s="541">
        <f t="shared" si="123"/>
        <v>0</v>
      </c>
      <c r="AP16" s="539">
        <v>65.506329113924039</v>
      </c>
      <c r="AQ16" s="540">
        <f t="shared" si="12"/>
        <v>1.0698404232226693</v>
      </c>
      <c r="AR16" s="541">
        <f t="shared" si="124"/>
        <v>0</v>
      </c>
      <c r="AS16" s="539"/>
      <c r="AT16" s="540">
        <f t="shared" si="13"/>
        <v>0</v>
      </c>
      <c r="AU16" s="541">
        <f t="shared" si="125"/>
        <v>0</v>
      </c>
      <c r="AV16" s="539">
        <v>2.7750000000000057</v>
      </c>
      <c r="AW16" s="540">
        <f t="shared" si="14"/>
        <v>4.5320921117099559E-2</v>
      </c>
      <c r="AX16" s="541">
        <f t="shared" si="126"/>
        <v>0</v>
      </c>
      <c r="AY16" s="539">
        <v>62.999999999999972</v>
      </c>
      <c r="AZ16" s="540">
        <f t="shared" si="15"/>
        <v>1.0289073983341495</v>
      </c>
      <c r="BA16" s="541">
        <f t="shared" si="127"/>
        <v>0</v>
      </c>
      <c r="BB16" s="539">
        <v>0</v>
      </c>
      <c r="BC16" s="540">
        <f t="shared" si="16"/>
        <v>0</v>
      </c>
      <c r="BD16" s="541">
        <f t="shared" si="128"/>
        <v>0</v>
      </c>
      <c r="BE16" s="539"/>
      <c r="BF16" s="540">
        <f t="shared" si="17"/>
        <v>0</v>
      </c>
      <c r="BG16" s="541">
        <f t="shared" si="129"/>
        <v>0</v>
      </c>
      <c r="BH16" s="539"/>
      <c r="BI16" s="540">
        <f t="shared" si="18"/>
        <v>0</v>
      </c>
      <c r="BJ16" s="541">
        <f t="shared" si="130"/>
        <v>0</v>
      </c>
      <c r="BK16" s="539"/>
      <c r="BL16" s="540">
        <f t="shared" si="19"/>
        <v>0</v>
      </c>
      <c r="BM16" s="541">
        <f t="shared" si="131"/>
        <v>0</v>
      </c>
      <c r="BN16" s="539">
        <v>5.0617283950617278</v>
      </c>
      <c r="BO16" s="540">
        <f t="shared" si="20"/>
        <v>8.2667457048207216E-2</v>
      </c>
      <c r="BP16" s="541">
        <f t="shared" si="132"/>
        <v>0</v>
      </c>
      <c r="BQ16" s="539">
        <v>0</v>
      </c>
      <c r="BR16" s="540">
        <f t="shared" si="21"/>
        <v>0</v>
      </c>
      <c r="BS16" s="541">
        <f t="shared" si="133"/>
        <v>0</v>
      </c>
      <c r="BT16" s="539"/>
      <c r="BU16" s="540">
        <f t="shared" si="22"/>
        <v>0</v>
      </c>
      <c r="BV16" s="541">
        <f t="shared" si="134"/>
        <v>0</v>
      </c>
      <c r="BW16" s="539">
        <v>0</v>
      </c>
      <c r="BX16" s="540">
        <f t="shared" si="23"/>
        <v>0</v>
      </c>
      <c r="BY16" s="541">
        <f t="shared" si="135"/>
        <v>0</v>
      </c>
      <c r="BZ16" s="539"/>
      <c r="CA16" s="540">
        <f t="shared" si="24"/>
        <v>0</v>
      </c>
      <c r="CB16" s="541">
        <f t="shared" si="136"/>
        <v>0</v>
      </c>
      <c r="CC16" s="539">
        <v>0</v>
      </c>
      <c r="CD16" s="540">
        <f t="shared" si="25"/>
        <v>0</v>
      </c>
      <c r="CE16" s="541">
        <f t="shared" si="137"/>
        <v>0</v>
      </c>
      <c r="CF16" s="539">
        <v>0.1</v>
      </c>
      <c r="CG16" s="540">
        <f t="shared" si="26"/>
        <v>1.6331863465621429E-3</v>
      </c>
      <c r="CH16" s="541">
        <f t="shared" si="138"/>
        <v>0</v>
      </c>
      <c r="CI16" s="539"/>
      <c r="CJ16" s="540">
        <f t="shared" si="27"/>
        <v>0</v>
      </c>
      <c r="CK16" s="541">
        <f t="shared" si="139"/>
        <v>0</v>
      </c>
      <c r="CL16" s="539"/>
      <c r="CM16" s="540">
        <f t="shared" si="28"/>
        <v>0</v>
      </c>
      <c r="CN16" s="541">
        <f t="shared" si="140"/>
        <v>0</v>
      </c>
      <c r="CO16" s="539"/>
      <c r="CP16" s="540">
        <f t="shared" si="29"/>
        <v>0</v>
      </c>
      <c r="CQ16" s="541">
        <f t="shared" si="141"/>
        <v>0</v>
      </c>
      <c r="CR16" s="539"/>
      <c r="CS16" s="540">
        <f t="shared" si="30"/>
        <v>0</v>
      </c>
      <c r="CT16" s="541">
        <f t="shared" si="142"/>
        <v>0</v>
      </c>
      <c r="CU16" s="539"/>
      <c r="CV16" s="540">
        <f t="shared" si="31"/>
        <v>0</v>
      </c>
      <c r="CW16" s="541">
        <f t="shared" si="143"/>
        <v>0</v>
      </c>
      <c r="CX16" s="539"/>
      <c r="CY16" s="540">
        <f t="shared" si="32"/>
        <v>0</v>
      </c>
      <c r="CZ16" s="541">
        <f t="shared" si="144"/>
        <v>0</v>
      </c>
      <c r="DA16" s="539"/>
      <c r="DB16" s="540">
        <f t="shared" si="33"/>
        <v>0</v>
      </c>
      <c r="DC16" s="541">
        <f t="shared" si="145"/>
        <v>0</v>
      </c>
      <c r="DD16" s="539"/>
      <c r="DE16" s="540">
        <f t="shared" si="34"/>
        <v>0</v>
      </c>
      <c r="DF16" s="541">
        <f t="shared" si="146"/>
        <v>0</v>
      </c>
      <c r="DG16" s="539">
        <v>0</v>
      </c>
      <c r="DH16" s="540">
        <f t="shared" si="35"/>
        <v>0</v>
      </c>
      <c r="DI16" s="541">
        <f t="shared" si="203"/>
        <v>0</v>
      </c>
      <c r="DJ16" s="539"/>
      <c r="DK16" s="540">
        <f t="shared" si="36"/>
        <v>0</v>
      </c>
      <c r="DL16" s="541">
        <f t="shared" si="147"/>
        <v>0</v>
      </c>
      <c r="DM16" s="539"/>
      <c r="DN16" s="540">
        <f t="shared" si="37"/>
        <v>0</v>
      </c>
      <c r="DO16" s="541">
        <f t="shared" si="148"/>
        <v>0</v>
      </c>
      <c r="DP16" s="539"/>
      <c r="DQ16" s="540">
        <f t="shared" si="38"/>
        <v>0</v>
      </c>
      <c r="DR16" s="541">
        <f t="shared" si="149"/>
        <v>0</v>
      </c>
      <c r="DS16" s="539"/>
      <c r="DT16" s="540">
        <f t="shared" si="39"/>
        <v>0</v>
      </c>
      <c r="DU16" s="541">
        <f t="shared" si="150"/>
        <v>0</v>
      </c>
      <c r="DV16" s="539"/>
      <c r="DW16" s="540">
        <f t="shared" si="40"/>
        <v>0</v>
      </c>
      <c r="DX16" s="541">
        <f t="shared" si="151"/>
        <v>0</v>
      </c>
      <c r="DY16" s="539"/>
      <c r="DZ16" s="540">
        <f t="shared" si="41"/>
        <v>0</v>
      </c>
      <c r="EA16" s="541">
        <f t="shared" si="152"/>
        <v>0</v>
      </c>
      <c r="EB16" s="539">
        <v>14.534883720930225</v>
      </c>
      <c r="EC16" s="540">
        <f t="shared" si="42"/>
        <v>0.23738173641891597</v>
      </c>
      <c r="ED16" s="541">
        <f t="shared" si="153"/>
        <v>0</v>
      </c>
      <c r="EE16" s="539">
        <v>1</v>
      </c>
      <c r="EF16" s="540">
        <f t="shared" si="43"/>
        <v>1.6331863465621429E-2</v>
      </c>
      <c r="EG16" s="541">
        <f t="shared" si="154"/>
        <v>0</v>
      </c>
      <c r="EH16" s="539"/>
      <c r="EI16" s="540">
        <f t="shared" si="44"/>
        <v>0</v>
      </c>
      <c r="EJ16" s="541">
        <f t="shared" si="155"/>
        <v>0</v>
      </c>
      <c r="EK16" s="539"/>
      <c r="EL16" s="540">
        <f t="shared" si="45"/>
        <v>0</v>
      </c>
      <c r="EM16" s="541">
        <f t="shared" si="156"/>
        <v>0</v>
      </c>
      <c r="EN16" s="539"/>
      <c r="EO16" s="540">
        <f t="shared" si="46"/>
        <v>0</v>
      </c>
      <c r="EP16" s="541">
        <f t="shared" si="157"/>
        <v>0</v>
      </c>
      <c r="EQ16" s="539"/>
      <c r="ER16" s="540">
        <f t="shared" si="47"/>
        <v>0</v>
      </c>
      <c r="ES16" s="541">
        <f t="shared" si="158"/>
        <v>0</v>
      </c>
      <c r="ET16" s="539"/>
      <c r="EU16" s="540">
        <f t="shared" si="48"/>
        <v>0</v>
      </c>
      <c r="EV16" s="541">
        <f t="shared" si="159"/>
        <v>0</v>
      </c>
      <c r="EW16" s="539"/>
      <c r="EX16" s="540">
        <f t="shared" si="49"/>
        <v>0</v>
      </c>
      <c r="EY16" s="541">
        <f t="shared" si="160"/>
        <v>0</v>
      </c>
      <c r="EZ16" s="539"/>
      <c r="FA16" s="540">
        <f t="shared" si="50"/>
        <v>0</v>
      </c>
      <c r="FB16" s="541">
        <f t="shared" si="161"/>
        <v>0</v>
      </c>
      <c r="FC16" s="539"/>
      <c r="FD16" s="540">
        <f t="shared" si="51"/>
        <v>0</v>
      </c>
      <c r="FE16" s="541">
        <f t="shared" si="162"/>
        <v>0</v>
      </c>
      <c r="FF16" s="539"/>
      <c r="FG16" s="540">
        <f t="shared" si="52"/>
        <v>0</v>
      </c>
      <c r="FH16" s="541">
        <f t="shared" si="163"/>
        <v>0</v>
      </c>
      <c r="FI16" s="539"/>
      <c r="FJ16" s="540">
        <f t="shared" si="53"/>
        <v>0</v>
      </c>
      <c r="FK16" s="541">
        <f t="shared" si="164"/>
        <v>0</v>
      </c>
      <c r="FL16" s="539"/>
      <c r="FM16" s="540">
        <f t="shared" si="54"/>
        <v>0</v>
      </c>
      <c r="FN16" s="541">
        <f t="shared" si="165"/>
        <v>0</v>
      </c>
      <c r="FO16" s="539"/>
      <c r="FP16" s="540">
        <f t="shared" si="55"/>
        <v>0</v>
      </c>
      <c r="FQ16" s="541">
        <f t="shared" si="166"/>
        <v>0</v>
      </c>
      <c r="FR16" s="539"/>
      <c r="FS16" s="540">
        <f t="shared" si="56"/>
        <v>0</v>
      </c>
      <c r="FT16" s="541">
        <f t="shared" si="167"/>
        <v>0</v>
      </c>
      <c r="FU16" s="539"/>
      <c r="FV16" s="540">
        <f t="shared" si="57"/>
        <v>0</v>
      </c>
      <c r="FW16" s="541">
        <f t="shared" si="168"/>
        <v>0</v>
      </c>
      <c r="FX16" s="539"/>
      <c r="FY16" s="540">
        <f t="shared" si="58"/>
        <v>0</v>
      </c>
      <c r="FZ16" s="541">
        <f t="shared" si="169"/>
        <v>0</v>
      </c>
      <c r="GA16" s="539"/>
      <c r="GB16" s="540">
        <f t="shared" si="59"/>
        <v>0</v>
      </c>
      <c r="GC16" s="541">
        <f t="shared" si="170"/>
        <v>0</v>
      </c>
      <c r="GD16" s="539"/>
      <c r="GE16" s="540">
        <f t="shared" si="60"/>
        <v>0</v>
      </c>
      <c r="GF16" s="541">
        <f t="shared" si="171"/>
        <v>0</v>
      </c>
      <c r="GG16" s="539"/>
      <c r="GH16" s="540">
        <f t="shared" si="61"/>
        <v>0</v>
      </c>
      <c r="GI16" s="541">
        <f t="shared" si="172"/>
        <v>0</v>
      </c>
      <c r="GJ16" s="539"/>
      <c r="GK16" s="540">
        <f t="shared" si="62"/>
        <v>0</v>
      </c>
      <c r="GL16" s="541">
        <f t="shared" si="173"/>
        <v>0</v>
      </c>
      <c r="GM16" s="539"/>
      <c r="GN16" s="540">
        <f t="shared" si="63"/>
        <v>0</v>
      </c>
      <c r="GO16" s="541">
        <f t="shared" si="174"/>
        <v>0</v>
      </c>
      <c r="GP16" s="539"/>
      <c r="GQ16" s="540">
        <f t="shared" si="64"/>
        <v>0</v>
      </c>
      <c r="GR16" s="541">
        <f t="shared" si="175"/>
        <v>0</v>
      </c>
      <c r="GS16" s="539"/>
      <c r="GT16" s="540">
        <f t="shared" si="65"/>
        <v>0</v>
      </c>
      <c r="GU16" s="541">
        <f t="shared" si="176"/>
        <v>0</v>
      </c>
      <c r="GV16" s="539"/>
      <c r="GW16" s="540">
        <f t="shared" si="66"/>
        <v>0</v>
      </c>
      <c r="GX16" s="541">
        <f t="shared" si="177"/>
        <v>0</v>
      </c>
      <c r="GY16" s="539"/>
      <c r="GZ16" s="540">
        <f t="shared" si="67"/>
        <v>0</v>
      </c>
      <c r="HA16" s="541">
        <f t="shared" si="178"/>
        <v>0</v>
      </c>
      <c r="HB16" s="539"/>
      <c r="HC16" s="540">
        <f t="shared" si="68"/>
        <v>0</v>
      </c>
      <c r="HD16" s="541">
        <f t="shared" si="179"/>
        <v>0</v>
      </c>
      <c r="HE16" s="539"/>
      <c r="HF16" s="540">
        <f t="shared" si="69"/>
        <v>0</v>
      </c>
      <c r="HG16" s="541">
        <f t="shared" si="180"/>
        <v>0</v>
      </c>
      <c r="HH16" s="539"/>
      <c r="HI16" s="540">
        <f t="shared" si="70"/>
        <v>0</v>
      </c>
      <c r="HJ16" s="541">
        <f t="shared" si="181"/>
        <v>0</v>
      </c>
      <c r="HK16" s="539"/>
      <c r="HL16" s="540">
        <f t="shared" si="71"/>
        <v>0</v>
      </c>
      <c r="HM16" s="541">
        <f t="shared" si="182"/>
        <v>0</v>
      </c>
      <c r="HN16" s="539"/>
      <c r="HO16" s="540">
        <f t="shared" si="72"/>
        <v>0</v>
      </c>
      <c r="HP16" s="541">
        <f t="shared" si="183"/>
        <v>0</v>
      </c>
      <c r="HQ16" s="539"/>
      <c r="HR16" s="540">
        <f t="shared" si="73"/>
        <v>0</v>
      </c>
      <c r="HS16" s="541">
        <f t="shared" si="184"/>
        <v>0</v>
      </c>
      <c r="HT16" s="539"/>
      <c r="HU16" s="540">
        <f t="shared" si="74"/>
        <v>0</v>
      </c>
      <c r="HV16" s="541">
        <f t="shared" si="185"/>
        <v>0</v>
      </c>
      <c r="HW16" s="539"/>
      <c r="HX16" s="540">
        <f t="shared" si="75"/>
        <v>0</v>
      </c>
      <c r="HY16" s="541">
        <f t="shared" si="186"/>
        <v>0</v>
      </c>
      <c r="HZ16" s="539"/>
      <c r="IA16" s="540">
        <f t="shared" si="76"/>
        <v>0</v>
      </c>
      <c r="IB16" s="541">
        <f t="shared" si="187"/>
        <v>0</v>
      </c>
      <c r="IC16" s="539"/>
      <c r="ID16" s="540">
        <f t="shared" si="77"/>
        <v>0</v>
      </c>
      <c r="IE16" s="541">
        <f t="shared" si="188"/>
        <v>0</v>
      </c>
      <c r="IF16" s="539"/>
      <c r="IG16" s="540">
        <f t="shared" si="78"/>
        <v>0</v>
      </c>
      <c r="IH16" s="541">
        <f t="shared" si="189"/>
        <v>0</v>
      </c>
      <c r="II16" s="539"/>
      <c r="IJ16" s="540">
        <f t="shared" si="79"/>
        <v>0</v>
      </c>
      <c r="IK16" s="541">
        <f t="shared" si="190"/>
        <v>0</v>
      </c>
      <c r="IL16" s="539"/>
      <c r="IM16" s="540">
        <f t="shared" si="80"/>
        <v>0</v>
      </c>
      <c r="IN16" s="541">
        <f t="shared" si="191"/>
        <v>0</v>
      </c>
      <c r="IO16" s="539"/>
      <c r="IP16" s="540">
        <f t="shared" si="81"/>
        <v>0</v>
      </c>
      <c r="IQ16" s="541">
        <f t="shared" si="192"/>
        <v>0</v>
      </c>
      <c r="IR16" s="539"/>
      <c r="IS16" s="540">
        <f t="shared" si="82"/>
        <v>0</v>
      </c>
      <c r="IT16" s="541">
        <f t="shared" si="193"/>
        <v>0</v>
      </c>
      <c r="IU16" s="539"/>
      <c r="IV16" s="540">
        <f t="shared" si="83"/>
        <v>0</v>
      </c>
      <c r="IW16" s="541">
        <f t="shared" si="194"/>
        <v>0</v>
      </c>
      <c r="IX16" s="539"/>
      <c r="IY16" s="540">
        <f t="shared" si="84"/>
        <v>0</v>
      </c>
      <c r="IZ16" s="541">
        <f t="shared" si="195"/>
        <v>0</v>
      </c>
      <c r="JA16" s="539"/>
      <c r="JB16" s="540">
        <f t="shared" si="85"/>
        <v>0</v>
      </c>
      <c r="JC16" s="541">
        <f t="shared" si="196"/>
        <v>0</v>
      </c>
      <c r="JD16" s="539"/>
      <c r="JE16" s="540">
        <f t="shared" si="86"/>
        <v>0</v>
      </c>
      <c r="JF16" s="541">
        <f t="shared" si="197"/>
        <v>0</v>
      </c>
      <c r="JG16" s="539"/>
      <c r="JH16" s="540">
        <f t="shared" si="87"/>
        <v>0</v>
      </c>
      <c r="JI16" s="541">
        <f t="shared" si="198"/>
        <v>0</v>
      </c>
      <c r="JJ16" s="539"/>
      <c r="JK16" s="541" t="str">
        <f t="shared" si="88"/>
        <v>0</v>
      </c>
      <c r="JL16" s="541" t="str">
        <f t="shared" si="89"/>
        <v>0</v>
      </c>
      <c r="JM16" s="539"/>
      <c r="JN16" s="541" t="str">
        <f t="shared" si="90"/>
        <v>0</v>
      </c>
      <c r="JO16" s="541" t="str">
        <f t="shared" si="91"/>
        <v>0</v>
      </c>
      <c r="JP16" s="539"/>
      <c r="JQ16" s="541" t="str">
        <f t="shared" si="92"/>
        <v>0</v>
      </c>
      <c r="JR16" s="541" t="str">
        <f t="shared" si="93"/>
        <v>0</v>
      </c>
      <c r="JS16" s="539"/>
      <c r="JT16" s="541" t="str">
        <f t="shared" si="94"/>
        <v>0</v>
      </c>
      <c r="JU16" s="541" t="str">
        <f t="shared" si="95"/>
        <v>0</v>
      </c>
      <c r="JV16" s="539"/>
      <c r="JW16" s="541" t="str">
        <f t="shared" si="96"/>
        <v>0</v>
      </c>
      <c r="JX16" s="541" t="str">
        <f t="shared" si="97"/>
        <v>0</v>
      </c>
      <c r="JY16" s="539"/>
      <c r="JZ16" s="541" t="str">
        <f t="shared" si="98"/>
        <v>0</v>
      </c>
      <c r="KA16" s="541" t="str">
        <f t="shared" si="99"/>
        <v>0</v>
      </c>
      <c r="KB16" s="539"/>
      <c r="KC16" s="541" t="str">
        <f t="shared" si="100"/>
        <v>0</v>
      </c>
      <c r="KD16" s="541" t="str">
        <f t="shared" si="101"/>
        <v>0</v>
      </c>
      <c r="KE16" s="539"/>
      <c r="KF16" s="541" t="str">
        <f t="shared" si="102"/>
        <v>0</v>
      </c>
      <c r="KG16" s="541" t="str">
        <f t="shared" si="103"/>
        <v>0</v>
      </c>
      <c r="KH16" s="539"/>
      <c r="KI16" s="541" t="str">
        <f t="shared" si="104"/>
        <v>0</v>
      </c>
      <c r="KJ16" s="541" t="str">
        <f t="shared" si="105"/>
        <v>0</v>
      </c>
      <c r="KK16" s="539"/>
      <c r="KL16" s="541" t="str">
        <f t="shared" si="106"/>
        <v>0</v>
      </c>
      <c r="KM16" s="541" t="str">
        <f t="shared" si="107"/>
        <v>0</v>
      </c>
      <c r="KN16" s="539"/>
      <c r="KO16" s="541" t="str">
        <f t="shared" si="108"/>
        <v>0</v>
      </c>
      <c r="KP16" s="541" t="str">
        <f t="shared" si="109"/>
        <v>0</v>
      </c>
      <c r="KQ16" s="539"/>
      <c r="KR16" s="541" t="str">
        <f t="shared" si="110"/>
        <v>0</v>
      </c>
      <c r="KS16" s="541" t="str">
        <f t="shared" si="111"/>
        <v>0</v>
      </c>
      <c r="KT16" s="541">
        <f t="shared" si="200"/>
        <v>0</v>
      </c>
      <c r="KU16" s="541">
        <f t="shared" si="201"/>
        <v>0</v>
      </c>
      <c r="KV16" s="275">
        <f t="shared" si="202"/>
        <v>486.12183657875283</v>
      </c>
    </row>
    <row r="17" spans="1:309" ht="15" customHeight="1">
      <c r="A17" s="277">
        <f t="shared" si="199"/>
        <v>45939</v>
      </c>
      <c r="B17" s="278" t="str">
        <f>+Report1!B17</f>
        <v>Facial</v>
      </c>
      <c r="C17" s="420" t="str">
        <f>+Report1!C17</f>
        <v>12/10,3</v>
      </c>
      <c r="D17" s="279">
        <f>+Report1!P17</f>
        <v>58.405999999999992</v>
      </c>
      <c r="E17" s="280">
        <f>+Report1!R17</f>
        <v>56.420999999999999</v>
      </c>
      <c r="F17" s="539">
        <v>0</v>
      </c>
      <c r="G17" s="540">
        <f t="shared" si="0"/>
        <v>0</v>
      </c>
      <c r="H17" s="541">
        <f t="shared" si="112"/>
        <v>0</v>
      </c>
      <c r="I17" s="539">
        <v>244.18604651162809</v>
      </c>
      <c r="J17" s="540">
        <f t="shared" si="1"/>
        <v>4.3279283690758419</v>
      </c>
      <c r="K17" s="541">
        <f t="shared" si="113"/>
        <v>0</v>
      </c>
      <c r="L17" s="539"/>
      <c r="M17" s="540">
        <f t="shared" si="2"/>
        <v>0</v>
      </c>
      <c r="N17" s="541">
        <f t="shared" si="114"/>
        <v>0</v>
      </c>
      <c r="O17" s="539">
        <v>6</v>
      </c>
      <c r="P17" s="540">
        <f t="shared" si="3"/>
        <v>0.10634338278300633</v>
      </c>
      <c r="Q17" s="541">
        <f t="shared" si="115"/>
        <v>0</v>
      </c>
      <c r="R17" s="539"/>
      <c r="S17" s="540">
        <f t="shared" si="4"/>
        <v>0</v>
      </c>
      <c r="T17" s="541">
        <f t="shared" si="116"/>
        <v>0</v>
      </c>
      <c r="U17" s="539">
        <v>2.5624999999999858</v>
      </c>
      <c r="V17" s="540">
        <f t="shared" si="5"/>
        <v>4.54174863969087E-2</v>
      </c>
      <c r="W17" s="541">
        <f t="shared" si="117"/>
        <v>0</v>
      </c>
      <c r="X17" s="539"/>
      <c r="Y17" s="540">
        <f t="shared" si="6"/>
        <v>0</v>
      </c>
      <c r="Z17" s="541">
        <f t="shared" si="118"/>
        <v>0</v>
      </c>
      <c r="AA17" s="539"/>
      <c r="AB17" s="540">
        <f t="shared" si="7"/>
        <v>0</v>
      </c>
      <c r="AC17" s="541">
        <f t="shared" si="119"/>
        <v>0</v>
      </c>
      <c r="AD17" s="539"/>
      <c r="AE17" s="540">
        <f t="shared" si="8"/>
        <v>0</v>
      </c>
      <c r="AF17" s="541">
        <f t="shared" si="120"/>
        <v>0</v>
      </c>
      <c r="AG17" s="539"/>
      <c r="AH17" s="540">
        <f t="shared" si="9"/>
        <v>0</v>
      </c>
      <c r="AI17" s="541">
        <f t="shared" si="121"/>
        <v>0</v>
      </c>
      <c r="AJ17" s="539">
        <v>0</v>
      </c>
      <c r="AK17" s="540">
        <f t="shared" si="10"/>
        <v>0</v>
      </c>
      <c r="AL17" s="541">
        <f t="shared" si="122"/>
        <v>0</v>
      </c>
      <c r="AM17" s="539">
        <v>0</v>
      </c>
      <c r="AN17" s="540">
        <f t="shared" si="11"/>
        <v>0</v>
      </c>
      <c r="AO17" s="541">
        <f t="shared" si="123"/>
        <v>0</v>
      </c>
      <c r="AP17" s="539">
        <v>62.658227848101262</v>
      </c>
      <c r="AQ17" s="540">
        <f t="shared" si="12"/>
        <v>1.1105479847592432</v>
      </c>
      <c r="AR17" s="541">
        <f t="shared" si="124"/>
        <v>0</v>
      </c>
      <c r="AS17" s="539"/>
      <c r="AT17" s="540">
        <f t="shared" si="13"/>
        <v>0</v>
      </c>
      <c r="AU17" s="541">
        <f t="shared" si="125"/>
        <v>0</v>
      </c>
      <c r="AV17" s="539">
        <v>5.5499999999999829</v>
      </c>
      <c r="AW17" s="540">
        <f t="shared" si="14"/>
        <v>9.8367629074280552E-2</v>
      </c>
      <c r="AX17" s="541">
        <f t="shared" si="126"/>
        <v>0</v>
      </c>
      <c r="AY17" s="539">
        <v>56</v>
      </c>
      <c r="AZ17" s="540">
        <f t="shared" si="15"/>
        <v>0.99253823930805907</v>
      </c>
      <c r="BA17" s="541">
        <f t="shared" si="127"/>
        <v>0</v>
      </c>
      <c r="BB17" s="539">
        <v>0</v>
      </c>
      <c r="BC17" s="540">
        <f t="shared" si="16"/>
        <v>0</v>
      </c>
      <c r="BD17" s="541">
        <f t="shared" si="128"/>
        <v>0</v>
      </c>
      <c r="BE17" s="539"/>
      <c r="BF17" s="540">
        <f t="shared" si="17"/>
        <v>0</v>
      </c>
      <c r="BG17" s="541">
        <f t="shared" si="129"/>
        <v>0</v>
      </c>
      <c r="BH17" s="539"/>
      <c r="BI17" s="540">
        <f t="shared" si="18"/>
        <v>0</v>
      </c>
      <c r="BJ17" s="541">
        <f t="shared" si="130"/>
        <v>0</v>
      </c>
      <c r="BK17" s="539"/>
      <c r="BL17" s="540">
        <f t="shared" si="19"/>
        <v>0</v>
      </c>
      <c r="BM17" s="541">
        <f t="shared" si="131"/>
        <v>0</v>
      </c>
      <c r="BN17" s="539">
        <v>10.123456790123456</v>
      </c>
      <c r="BO17" s="540">
        <f t="shared" si="20"/>
        <v>0.17942710675322054</v>
      </c>
      <c r="BP17" s="541">
        <f t="shared" si="132"/>
        <v>0</v>
      </c>
      <c r="BQ17" s="539">
        <v>0</v>
      </c>
      <c r="BR17" s="540">
        <f t="shared" si="21"/>
        <v>0</v>
      </c>
      <c r="BS17" s="541">
        <f t="shared" si="133"/>
        <v>0</v>
      </c>
      <c r="BT17" s="539"/>
      <c r="BU17" s="540">
        <f t="shared" si="22"/>
        <v>0</v>
      </c>
      <c r="BV17" s="541">
        <f t="shared" si="134"/>
        <v>0</v>
      </c>
      <c r="BW17" s="539">
        <v>0</v>
      </c>
      <c r="BX17" s="540">
        <f t="shared" si="23"/>
        <v>0</v>
      </c>
      <c r="BY17" s="541">
        <f t="shared" si="135"/>
        <v>0</v>
      </c>
      <c r="BZ17" s="539"/>
      <c r="CA17" s="540">
        <f t="shared" si="24"/>
        <v>0</v>
      </c>
      <c r="CB17" s="541">
        <f t="shared" si="136"/>
        <v>0</v>
      </c>
      <c r="CC17" s="539">
        <v>0</v>
      </c>
      <c r="CD17" s="540">
        <f t="shared" si="25"/>
        <v>0</v>
      </c>
      <c r="CE17" s="541">
        <f t="shared" si="137"/>
        <v>0</v>
      </c>
      <c r="CF17" s="539">
        <v>9.9999999999999978E-2</v>
      </c>
      <c r="CG17" s="540">
        <f t="shared" si="26"/>
        <v>1.7723897130501052E-3</v>
      </c>
      <c r="CH17" s="541">
        <f t="shared" si="138"/>
        <v>0</v>
      </c>
      <c r="CI17" s="539"/>
      <c r="CJ17" s="540">
        <f t="shared" si="27"/>
        <v>0</v>
      </c>
      <c r="CK17" s="541">
        <f t="shared" si="139"/>
        <v>0</v>
      </c>
      <c r="CL17" s="539"/>
      <c r="CM17" s="540">
        <f t="shared" si="28"/>
        <v>0</v>
      </c>
      <c r="CN17" s="541">
        <f t="shared" si="140"/>
        <v>0</v>
      </c>
      <c r="CO17" s="539"/>
      <c r="CP17" s="540">
        <f t="shared" si="29"/>
        <v>0</v>
      </c>
      <c r="CQ17" s="541">
        <f t="shared" si="141"/>
        <v>0</v>
      </c>
      <c r="CR17" s="539"/>
      <c r="CS17" s="540">
        <f t="shared" si="30"/>
        <v>0</v>
      </c>
      <c r="CT17" s="541">
        <f t="shared" si="142"/>
        <v>0</v>
      </c>
      <c r="CU17" s="539"/>
      <c r="CV17" s="540">
        <f t="shared" si="31"/>
        <v>0</v>
      </c>
      <c r="CW17" s="541">
        <f t="shared" si="143"/>
        <v>0</v>
      </c>
      <c r="CX17" s="539"/>
      <c r="CY17" s="540">
        <f t="shared" si="32"/>
        <v>0</v>
      </c>
      <c r="CZ17" s="541">
        <f t="shared" si="144"/>
        <v>0</v>
      </c>
      <c r="DA17" s="539"/>
      <c r="DB17" s="540">
        <f t="shared" si="33"/>
        <v>0</v>
      </c>
      <c r="DC17" s="541">
        <f t="shared" si="145"/>
        <v>0</v>
      </c>
      <c r="DD17" s="539"/>
      <c r="DE17" s="540">
        <f t="shared" si="34"/>
        <v>0</v>
      </c>
      <c r="DF17" s="541">
        <f t="shared" si="146"/>
        <v>0</v>
      </c>
      <c r="DG17" s="539">
        <v>0</v>
      </c>
      <c r="DH17" s="540">
        <f t="shared" si="35"/>
        <v>0</v>
      </c>
      <c r="DI17" s="541">
        <f t="shared" si="203"/>
        <v>0</v>
      </c>
      <c r="DJ17" s="539"/>
      <c r="DK17" s="540">
        <f t="shared" si="36"/>
        <v>0</v>
      </c>
      <c r="DL17" s="541">
        <f t="shared" si="147"/>
        <v>0</v>
      </c>
      <c r="DM17" s="539"/>
      <c r="DN17" s="540">
        <f t="shared" si="37"/>
        <v>0</v>
      </c>
      <c r="DO17" s="541">
        <f t="shared" si="148"/>
        <v>0</v>
      </c>
      <c r="DP17" s="539"/>
      <c r="DQ17" s="540">
        <f t="shared" si="38"/>
        <v>0</v>
      </c>
      <c r="DR17" s="541">
        <f t="shared" si="149"/>
        <v>0</v>
      </c>
      <c r="DS17" s="539"/>
      <c r="DT17" s="540">
        <f t="shared" si="39"/>
        <v>0</v>
      </c>
      <c r="DU17" s="541">
        <f t="shared" si="150"/>
        <v>0</v>
      </c>
      <c r="DV17" s="539"/>
      <c r="DW17" s="540">
        <f t="shared" si="40"/>
        <v>0</v>
      </c>
      <c r="DX17" s="541">
        <f t="shared" si="151"/>
        <v>0</v>
      </c>
      <c r="DY17" s="539"/>
      <c r="DZ17" s="540">
        <f t="shared" si="41"/>
        <v>0</v>
      </c>
      <c r="EA17" s="541">
        <f t="shared" si="152"/>
        <v>0</v>
      </c>
      <c r="EB17" s="539">
        <v>14.534883720930225</v>
      </c>
      <c r="EC17" s="540">
        <f t="shared" si="42"/>
        <v>0.25761478387356168</v>
      </c>
      <c r="ED17" s="541">
        <f t="shared" si="153"/>
        <v>0</v>
      </c>
      <c r="EE17" s="539">
        <v>1</v>
      </c>
      <c r="EF17" s="540">
        <f t="shared" si="43"/>
        <v>1.7723897130501053E-2</v>
      </c>
      <c r="EG17" s="541">
        <f t="shared" si="154"/>
        <v>0</v>
      </c>
      <c r="EH17" s="539"/>
      <c r="EI17" s="540">
        <f t="shared" si="44"/>
        <v>0</v>
      </c>
      <c r="EJ17" s="541">
        <f t="shared" si="155"/>
        <v>0</v>
      </c>
      <c r="EK17" s="539"/>
      <c r="EL17" s="540">
        <f t="shared" si="45"/>
        <v>0</v>
      </c>
      <c r="EM17" s="541">
        <f t="shared" si="156"/>
        <v>0</v>
      </c>
      <c r="EN17" s="539"/>
      <c r="EO17" s="540">
        <f t="shared" si="46"/>
        <v>0</v>
      </c>
      <c r="EP17" s="541">
        <f t="shared" si="157"/>
        <v>0</v>
      </c>
      <c r="EQ17" s="539"/>
      <c r="ER17" s="540">
        <f t="shared" si="47"/>
        <v>0</v>
      </c>
      <c r="ES17" s="541">
        <f t="shared" si="158"/>
        <v>0</v>
      </c>
      <c r="ET17" s="539"/>
      <c r="EU17" s="540">
        <f t="shared" si="48"/>
        <v>0</v>
      </c>
      <c r="EV17" s="541">
        <f t="shared" si="159"/>
        <v>0</v>
      </c>
      <c r="EW17" s="539"/>
      <c r="EX17" s="540">
        <f t="shared" si="49"/>
        <v>0</v>
      </c>
      <c r="EY17" s="541">
        <f t="shared" si="160"/>
        <v>0</v>
      </c>
      <c r="EZ17" s="539"/>
      <c r="FA17" s="540">
        <f t="shared" si="50"/>
        <v>0</v>
      </c>
      <c r="FB17" s="541">
        <f t="shared" si="161"/>
        <v>0</v>
      </c>
      <c r="FC17" s="539"/>
      <c r="FD17" s="540">
        <f t="shared" si="51"/>
        <v>0</v>
      </c>
      <c r="FE17" s="541">
        <f t="shared" si="162"/>
        <v>0</v>
      </c>
      <c r="FF17" s="539"/>
      <c r="FG17" s="540">
        <f t="shared" si="52"/>
        <v>0</v>
      </c>
      <c r="FH17" s="541">
        <f t="shared" si="163"/>
        <v>0</v>
      </c>
      <c r="FI17" s="539"/>
      <c r="FJ17" s="540">
        <f t="shared" si="53"/>
        <v>0</v>
      </c>
      <c r="FK17" s="541">
        <f t="shared" si="164"/>
        <v>0</v>
      </c>
      <c r="FL17" s="539"/>
      <c r="FM17" s="540">
        <f t="shared" si="54"/>
        <v>0</v>
      </c>
      <c r="FN17" s="541">
        <f t="shared" si="165"/>
        <v>0</v>
      </c>
      <c r="FO17" s="539"/>
      <c r="FP17" s="540">
        <f t="shared" si="55"/>
        <v>0</v>
      </c>
      <c r="FQ17" s="541">
        <f t="shared" si="166"/>
        <v>0</v>
      </c>
      <c r="FR17" s="539"/>
      <c r="FS17" s="540">
        <f t="shared" si="56"/>
        <v>0</v>
      </c>
      <c r="FT17" s="541">
        <f t="shared" si="167"/>
        <v>0</v>
      </c>
      <c r="FU17" s="539"/>
      <c r="FV17" s="540">
        <f t="shared" si="57"/>
        <v>0</v>
      </c>
      <c r="FW17" s="541">
        <f t="shared" si="168"/>
        <v>0</v>
      </c>
      <c r="FX17" s="539"/>
      <c r="FY17" s="540">
        <f t="shared" si="58"/>
        <v>0</v>
      </c>
      <c r="FZ17" s="541">
        <f t="shared" si="169"/>
        <v>0</v>
      </c>
      <c r="GA17" s="539"/>
      <c r="GB17" s="540">
        <f t="shared" si="59"/>
        <v>0</v>
      </c>
      <c r="GC17" s="541">
        <f t="shared" si="170"/>
        <v>0</v>
      </c>
      <c r="GD17" s="539"/>
      <c r="GE17" s="540">
        <f t="shared" si="60"/>
        <v>0</v>
      </c>
      <c r="GF17" s="541">
        <f t="shared" si="171"/>
        <v>0</v>
      </c>
      <c r="GG17" s="539"/>
      <c r="GH17" s="540">
        <f t="shared" si="61"/>
        <v>0</v>
      </c>
      <c r="GI17" s="541">
        <f t="shared" si="172"/>
        <v>0</v>
      </c>
      <c r="GJ17" s="539"/>
      <c r="GK17" s="540">
        <f t="shared" si="62"/>
        <v>0</v>
      </c>
      <c r="GL17" s="541">
        <f t="shared" si="173"/>
        <v>0</v>
      </c>
      <c r="GM17" s="539"/>
      <c r="GN17" s="540">
        <f t="shared" si="63"/>
        <v>0</v>
      </c>
      <c r="GO17" s="541">
        <f t="shared" si="174"/>
        <v>0</v>
      </c>
      <c r="GP17" s="539"/>
      <c r="GQ17" s="540">
        <f t="shared" si="64"/>
        <v>0</v>
      </c>
      <c r="GR17" s="541">
        <f t="shared" si="175"/>
        <v>0</v>
      </c>
      <c r="GS17" s="539"/>
      <c r="GT17" s="540">
        <f t="shared" si="65"/>
        <v>0</v>
      </c>
      <c r="GU17" s="541">
        <f t="shared" si="176"/>
        <v>0</v>
      </c>
      <c r="GV17" s="539"/>
      <c r="GW17" s="540">
        <f t="shared" si="66"/>
        <v>0</v>
      </c>
      <c r="GX17" s="541">
        <f t="shared" si="177"/>
        <v>0</v>
      </c>
      <c r="GY17" s="539"/>
      <c r="GZ17" s="540">
        <f t="shared" si="67"/>
        <v>0</v>
      </c>
      <c r="HA17" s="541">
        <f t="shared" si="178"/>
        <v>0</v>
      </c>
      <c r="HB17" s="539"/>
      <c r="HC17" s="540">
        <f t="shared" si="68"/>
        <v>0</v>
      </c>
      <c r="HD17" s="541">
        <f t="shared" si="179"/>
        <v>0</v>
      </c>
      <c r="HE17" s="539"/>
      <c r="HF17" s="540">
        <f t="shared" si="69"/>
        <v>0</v>
      </c>
      <c r="HG17" s="541">
        <f t="shared" si="180"/>
        <v>0</v>
      </c>
      <c r="HH17" s="539"/>
      <c r="HI17" s="540">
        <f t="shared" si="70"/>
        <v>0</v>
      </c>
      <c r="HJ17" s="541">
        <f t="shared" si="181"/>
        <v>0</v>
      </c>
      <c r="HK17" s="539"/>
      <c r="HL17" s="540">
        <f t="shared" si="71"/>
        <v>0</v>
      </c>
      <c r="HM17" s="541">
        <f t="shared" si="182"/>
        <v>0</v>
      </c>
      <c r="HN17" s="539"/>
      <c r="HO17" s="540">
        <f t="shared" si="72"/>
        <v>0</v>
      </c>
      <c r="HP17" s="541">
        <f t="shared" si="183"/>
        <v>0</v>
      </c>
      <c r="HQ17" s="539"/>
      <c r="HR17" s="540">
        <f t="shared" si="73"/>
        <v>0</v>
      </c>
      <c r="HS17" s="541">
        <f t="shared" si="184"/>
        <v>0</v>
      </c>
      <c r="HT17" s="539"/>
      <c r="HU17" s="540">
        <f t="shared" si="74"/>
        <v>0</v>
      </c>
      <c r="HV17" s="541">
        <f t="shared" si="185"/>
        <v>0</v>
      </c>
      <c r="HW17" s="539"/>
      <c r="HX17" s="540">
        <f t="shared" si="75"/>
        <v>0</v>
      </c>
      <c r="HY17" s="541">
        <f t="shared" si="186"/>
        <v>0</v>
      </c>
      <c r="HZ17" s="539"/>
      <c r="IA17" s="540">
        <f t="shared" si="76"/>
        <v>0</v>
      </c>
      <c r="IB17" s="541">
        <f t="shared" si="187"/>
        <v>0</v>
      </c>
      <c r="IC17" s="539"/>
      <c r="ID17" s="540">
        <f t="shared" si="77"/>
        <v>0</v>
      </c>
      <c r="IE17" s="541">
        <f t="shared" si="188"/>
        <v>0</v>
      </c>
      <c r="IF17" s="539"/>
      <c r="IG17" s="540">
        <f t="shared" si="78"/>
        <v>0</v>
      </c>
      <c r="IH17" s="541">
        <f t="shared" si="189"/>
        <v>0</v>
      </c>
      <c r="II17" s="539"/>
      <c r="IJ17" s="540">
        <f t="shared" si="79"/>
        <v>0</v>
      </c>
      <c r="IK17" s="541">
        <f t="shared" si="190"/>
        <v>0</v>
      </c>
      <c r="IL17" s="539"/>
      <c r="IM17" s="540">
        <f t="shared" si="80"/>
        <v>0</v>
      </c>
      <c r="IN17" s="541">
        <f t="shared" si="191"/>
        <v>0</v>
      </c>
      <c r="IO17" s="539"/>
      <c r="IP17" s="540">
        <f t="shared" si="81"/>
        <v>0</v>
      </c>
      <c r="IQ17" s="541">
        <f t="shared" si="192"/>
        <v>0</v>
      </c>
      <c r="IR17" s="539"/>
      <c r="IS17" s="540">
        <f t="shared" si="82"/>
        <v>0</v>
      </c>
      <c r="IT17" s="541">
        <f t="shared" si="193"/>
        <v>0</v>
      </c>
      <c r="IU17" s="539"/>
      <c r="IV17" s="540">
        <f t="shared" si="83"/>
        <v>0</v>
      </c>
      <c r="IW17" s="541">
        <f t="shared" si="194"/>
        <v>0</v>
      </c>
      <c r="IX17" s="539"/>
      <c r="IY17" s="540">
        <f t="shared" si="84"/>
        <v>0</v>
      </c>
      <c r="IZ17" s="541">
        <f t="shared" si="195"/>
        <v>0</v>
      </c>
      <c r="JA17" s="539"/>
      <c r="JB17" s="540">
        <f t="shared" si="85"/>
        <v>0</v>
      </c>
      <c r="JC17" s="541">
        <f t="shared" si="196"/>
        <v>0</v>
      </c>
      <c r="JD17" s="539"/>
      <c r="JE17" s="540">
        <f t="shared" si="86"/>
        <v>0</v>
      </c>
      <c r="JF17" s="541">
        <f t="shared" si="197"/>
        <v>0</v>
      </c>
      <c r="JG17" s="539"/>
      <c r="JH17" s="540">
        <f t="shared" si="87"/>
        <v>0</v>
      </c>
      <c r="JI17" s="541">
        <f t="shared" si="198"/>
        <v>0</v>
      </c>
      <c r="JJ17" s="539"/>
      <c r="JK17" s="541" t="str">
        <f t="shared" si="88"/>
        <v>0</v>
      </c>
      <c r="JL17" s="541" t="str">
        <f t="shared" si="89"/>
        <v>0</v>
      </c>
      <c r="JM17" s="539"/>
      <c r="JN17" s="541" t="str">
        <f t="shared" si="90"/>
        <v>0</v>
      </c>
      <c r="JO17" s="541" t="str">
        <f t="shared" si="91"/>
        <v>0</v>
      </c>
      <c r="JP17" s="539"/>
      <c r="JQ17" s="541" t="str">
        <f t="shared" si="92"/>
        <v>0</v>
      </c>
      <c r="JR17" s="541" t="str">
        <f t="shared" si="93"/>
        <v>0</v>
      </c>
      <c r="JS17" s="539"/>
      <c r="JT17" s="541" t="str">
        <f t="shared" si="94"/>
        <v>0</v>
      </c>
      <c r="JU17" s="541" t="str">
        <f t="shared" si="95"/>
        <v>0</v>
      </c>
      <c r="JV17" s="539"/>
      <c r="JW17" s="541" t="str">
        <f t="shared" si="96"/>
        <v>0</v>
      </c>
      <c r="JX17" s="541" t="str">
        <f t="shared" si="97"/>
        <v>0</v>
      </c>
      <c r="JY17" s="539"/>
      <c r="JZ17" s="541" t="str">
        <f t="shared" si="98"/>
        <v>0</v>
      </c>
      <c r="KA17" s="541" t="str">
        <f t="shared" si="99"/>
        <v>0</v>
      </c>
      <c r="KB17" s="539"/>
      <c r="KC17" s="541" t="str">
        <f t="shared" si="100"/>
        <v>0</v>
      </c>
      <c r="KD17" s="541" t="str">
        <f t="shared" si="101"/>
        <v>0</v>
      </c>
      <c r="KE17" s="539"/>
      <c r="KF17" s="541" t="str">
        <f t="shared" si="102"/>
        <v>0</v>
      </c>
      <c r="KG17" s="541" t="str">
        <f t="shared" si="103"/>
        <v>0</v>
      </c>
      <c r="KH17" s="539"/>
      <c r="KI17" s="541" t="str">
        <f t="shared" si="104"/>
        <v>0</v>
      </c>
      <c r="KJ17" s="541" t="str">
        <f t="shared" si="105"/>
        <v>0</v>
      </c>
      <c r="KK17" s="539"/>
      <c r="KL17" s="541" t="str">
        <f t="shared" si="106"/>
        <v>0</v>
      </c>
      <c r="KM17" s="541" t="str">
        <f t="shared" si="107"/>
        <v>0</v>
      </c>
      <c r="KN17" s="539"/>
      <c r="KO17" s="541" t="str">
        <f t="shared" si="108"/>
        <v>0</v>
      </c>
      <c r="KP17" s="541" t="str">
        <f t="shared" si="109"/>
        <v>0</v>
      </c>
      <c r="KQ17" s="539"/>
      <c r="KR17" s="541" t="str">
        <f t="shared" si="110"/>
        <v>0</v>
      </c>
      <c r="KS17" s="541" t="str">
        <f t="shared" si="111"/>
        <v>0</v>
      </c>
      <c r="KT17" s="541">
        <f t="shared" si="200"/>
        <v>0</v>
      </c>
      <c r="KU17" s="541">
        <f t="shared" si="201"/>
        <v>0</v>
      </c>
      <c r="KV17" s="275">
        <f t="shared" si="202"/>
        <v>402.71511487078305</v>
      </c>
    </row>
    <row r="18" spans="1:309" ht="15" customHeight="1">
      <c r="A18" s="277">
        <f t="shared" si="199"/>
        <v>45940</v>
      </c>
      <c r="B18" s="278" t="str">
        <f>+Report1!B18</f>
        <v>Facial</v>
      </c>
      <c r="C18" s="420" t="str">
        <f>+Report1!C18</f>
        <v>12/10,5</v>
      </c>
      <c r="D18" s="279">
        <f>+Report1!P18</f>
        <v>50.674999999999997</v>
      </c>
      <c r="E18" s="280">
        <f>+Report1!R18</f>
        <v>48.959000000000003</v>
      </c>
      <c r="F18" s="539">
        <v>0</v>
      </c>
      <c r="G18" s="540">
        <f t="shared" si="0"/>
        <v>0</v>
      </c>
      <c r="H18" s="541">
        <f t="shared" si="112"/>
        <v>0</v>
      </c>
      <c r="I18" s="539">
        <v>313.95348837209281</v>
      </c>
      <c r="J18" s="540">
        <f t="shared" si="1"/>
        <v>6.4125796763024736</v>
      </c>
      <c r="K18" s="541">
        <f t="shared" si="113"/>
        <v>0</v>
      </c>
      <c r="L18" s="539"/>
      <c r="M18" s="540">
        <f t="shared" si="2"/>
        <v>0</v>
      </c>
      <c r="N18" s="541">
        <f t="shared" si="114"/>
        <v>0</v>
      </c>
      <c r="O18" s="539">
        <v>6.0000000000000284</v>
      </c>
      <c r="P18" s="540">
        <f t="shared" si="3"/>
        <v>0.12255152270267015</v>
      </c>
      <c r="Q18" s="541">
        <f t="shared" si="115"/>
        <v>0</v>
      </c>
      <c r="R18" s="539"/>
      <c r="S18" s="540">
        <f t="shared" si="4"/>
        <v>0</v>
      </c>
      <c r="T18" s="541">
        <f t="shared" si="116"/>
        <v>0</v>
      </c>
      <c r="U18" s="539">
        <v>2.5625000000000142</v>
      </c>
      <c r="V18" s="540">
        <f t="shared" si="5"/>
        <v>5.233971282093209E-2</v>
      </c>
      <c r="W18" s="541">
        <f t="shared" si="117"/>
        <v>0</v>
      </c>
      <c r="X18" s="539"/>
      <c r="Y18" s="540">
        <f t="shared" si="6"/>
        <v>0</v>
      </c>
      <c r="Z18" s="541">
        <f t="shared" si="118"/>
        <v>0</v>
      </c>
      <c r="AA18" s="539"/>
      <c r="AB18" s="540">
        <f t="shared" si="7"/>
        <v>0</v>
      </c>
      <c r="AC18" s="541">
        <f t="shared" si="119"/>
        <v>0</v>
      </c>
      <c r="AD18" s="539"/>
      <c r="AE18" s="540">
        <f t="shared" si="8"/>
        <v>0</v>
      </c>
      <c r="AF18" s="541">
        <f t="shared" si="120"/>
        <v>0</v>
      </c>
      <c r="AG18" s="539"/>
      <c r="AH18" s="540">
        <f t="shared" si="9"/>
        <v>0</v>
      </c>
      <c r="AI18" s="541">
        <f t="shared" si="121"/>
        <v>0</v>
      </c>
      <c r="AJ18" s="539">
        <v>0</v>
      </c>
      <c r="AK18" s="540">
        <f t="shared" si="10"/>
        <v>0</v>
      </c>
      <c r="AL18" s="541">
        <f t="shared" si="122"/>
        <v>0</v>
      </c>
      <c r="AM18" s="539">
        <v>0</v>
      </c>
      <c r="AN18" s="540">
        <f t="shared" si="11"/>
        <v>0</v>
      </c>
      <c r="AO18" s="541">
        <f t="shared" si="123"/>
        <v>0</v>
      </c>
      <c r="AP18" s="539">
        <v>68.354430379746816</v>
      </c>
      <c r="AQ18" s="540">
        <f t="shared" si="12"/>
        <v>1.3961565877519315</v>
      </c>
      <c r="AR18" s="541">
        <f t="shared" si="124"/>
        <v>0</v>
      </c>
      <c r="AS18" s="539"/>
      <c r="AT18" s="540">
        <f t="shared" si="13"/>
        <v>0</v>
      </c>
      <c r="AU18" s="541">
        <f t="shared" si="125"/>
        <v>0</v>
      </c>
      <c r="AV18" s="539">
        <v>5.5500000000000114</v>
      </c>
      <c r="AW18" s="540">
        <f t="shared" si="14"/>
        <v>0.11336015849996958</v>
      </c>
      <c r="AX18" s="541">
        <f t="shared" si="126"/>
        <v>0</v>
      </c>
      <c r="AY18" s="539">
        <v>65.333333333333343</v>
      </c>
      <c r="AZ18" s="540">
        <f t="shared" si="15"/>
        <v>1.3344499138735133</v>
      </c>
      <c r="BA18" s="541">
        <f t="shared" si="127"/>
        <v>0</v>
      </c>
      <c r="BB18" s="539">
        <v>0</v>
      </c>
      <c r="BC18" s="540">
        <f t="shared" si="16"/>
        <v>0</v>
      </c>
      <c r="BD18" s="541">
        <f t="shared" si="128"/>
        <v>0</v>
      </c>
      <c r="BE18" s="539"/>
      <c r="BF18" s="540">
        <f t="shared" si="17"/>
        <v>0</v>
      </c>
      <c r="BG18" s="541">
        <f t="shared" si="129"/>
        <v>0</v>
      </c>
      <c r="BH18" s="539"/>
      <c r="BI18" s="540">
        <f t="shared" si="18"/>
        <v>0</v>
      </c>
      <c r="BJ18" s="541">
        <f t="shared" si="130"/>
        <v>0</v>
      </c>
      <c r="BK18" s="539"/>
      <c r="BL18" s="540">
        <f t="shared" si="19"/>
        <v>0</v>
      </c>
      <c r="BM18" s="541">
        <f t="shared" si="131"/>
        <v>0</v>
      </c>
      <c r="BN18" s="539">
        <v>7.5925925925925943</v>
      </c>
      <c r="BO18" s="540">
        <f t="shared" si="20"/>
        <v>0.1550806305805387</v>
      </c>
      <c r="BP18" s="541">
        <f t="shared" si="132"/>
        <v>0</v>
      </c>
      <c r="BQ18" s="539">
        <v>28.205128205128204</v>
      </c>
      <c r="BR18" s="540">
        <f t="shared" si="21"/>
        <v>0.57609690159374582</v>
      </c>
      <c r="BS18" s="541">
        <f t="shared" si="133"/>
        <v>0</v>
      </c>
      <c r="BT18" s="539"/>
      <c r="BU18" s="540">
        <f t="shared" si="22"/>
        <v>0</v>
      </c>
      <c r="BV18" s="541">
        <f t="shared" si="134"/>
        <v>0</v>
      </c>
      <c r="BW18" s="539">
        <v>0</v>
      </c>
      <c r="BX18" s="540">
        <f t="shared" si="23"/>
        <v>0</v>
      </c>
      <c r="BY18" s="541">
        <f t="shared" si="135"/>
        <v>0</v>
      </c>
      <c r="BZ18" s="539"/>
      <c r="CA18" s="540">
        <f t="shared" si="24"/>
        <v>0</v>
      </c>
      <c r="CB18" s="541">
        <f t="shared" si="136"/>
        <v>0</v>
      </c>
      <c r="CC18" s="539">
        <v>0</v>
      </c>
      <c r="CD18" s="540">
        <f t="shared" si="25"/>
        <v>0</v>
      </c>
      <c r="CE18" s="541">
        <f t="shared" si="137"/>
        <v>0</v>
      </c>
      <c r="CF18" s="539">
        <v>9.9999999999999978E-2</v>
      </c>
      <c r="CG18" s="540">
        <f t="shared" si="26"/>
        <v>2.0425253783778259E-3</v>
      </c>
      <c r="CH18" s="541">
        <f t="shared" si="138"/>
        <v>0</v>
      </c>
      <c r="CI18" s="539"/>
      <c r="CJ18" s="540">
        <f t="shared" si="27"/>
        <v>0</v>
      </c>
      <c r="CK18" s="541">
        <f t="shared" si="139"/>
        <v>0</v>
      </c>
      <c r="CL18" s="539"/>
      <c r="CM18" s="540">
        <f t="shared" si="28"/>
        <v>0</v>
      </c>
      <c r="CN18" s="541">
        <f t="shared" si="140"/>
        <v>0</v>
      </c>
      <c r="CO18" s="539"/>
      <c r="CP18" s="540">
        <f t="shared" si="29"/>
        <v>0</v>
      </c>
      <c r="CQ18" s="541">
        <f t="shared" si="141"/>
        <v>0</v>
      </c>
      <c r="CR18" s="539"/>
      <c r="CS18" s="540">
        <f t="shared" si="30"/>
        <v>0</v>
      </c>
      <c r="CT18" s="541">
        <f t="shared" si="142"/>
        <v>0</v>
      </c>
      <c r="CU18" s="539"/>
      <c r="CV18" s="540">
        <f t="shared" si="31"/>
        <v>0</v>
      </c>
      <c r="CW18" s="541">
        <f t="shared" si="143"/>
        <v>0</v>
      </c>
      <c r="CX18" s="539"/>
      <c r="CY18" s="540">
        <f t="shared" si="32"/>
        <v>0</v>
      </c>
      <c r="CZ18" s="541">
        <f t="shared" si="144"/>
        <v>0</v>
      </c>
      <c r="DA18" s="539"/>
      <c r="DB18" s="540">
        <f t="shared" si="33"/>
        <v>0</v>
      </c>
      <c r="DC18" s="541">
        <f t="shared" si="145"/>
        <v>0</v>
      </c>
      <c r="DD18" s="539"/>
      <c r="DE18" s="540">
        <f t="shared" si="34"/>
        <v>0</v>
      </c>
      <c r="DF18" s="541">
        <f t="shared" si="146"/>
        <v>0</v>
      </c>
      <c r="DG18" s="539">
        <v>0</v>
      </c>
      <c r="DH18" s="540">
        <f t="shared" si="35"/>
        <v>0</v>
      </c>
      <c r="DI18" s="541">
        <f t="shared" si="203"/>
        <v>0</v>
      </c>
      <c r="DJ18" s="539"/>
      <c r="DK18" s="540">
        <f t="shared" si="36"/>
        <v>0</v>
      </c>
      <c r="DL18" s="541">
        <f t="shared" si="147"/>
        <v>0</v>
      </c>
      <c r="DM18" s="539"/>
      <c r="DN18" s="540">
        <f t="shared" si="37"/>
        <v>0</v>
      </c>
      <c r="DO18" s="541">
        <f t="shared" si="148"/>
        <v>0</v>
      </c>
      <c r="DP18" s="539"/>
      <c r="DQ18" s="540">
        <f t="shared" si="38"/>
        <v>0</v>
      </c>
      <c r="DR18" s="541">
        <f t="shared" si="149"/>
        <v>0</v>
      </c>
      <c r="DS18" s="539"/>
      <c r="DT18" s="540">
        <f t="shared" si="39"/>
        <v>0</v>
      </c>
      <c r="DU18" s="541">
        <f t="shared" si="150"/>
        <v>0</v>
      </c>
      <c r="DV18" s="539"/>
      <c r="DW18" s="540">
        <f t="shared" si="40"/>
        <v>0</v>
      </c>
      <c r="DX18" s="541">
        <f t="shared" si="151"/>
        <v>0</v>
      </c>
      <c r="DY18" s="539"/>
      <c r="DZ18" s="540">
        <f t="shared" si="41"/>
        <v>0</v>
      </c>
      <c r="EA18" s="541">
        <f t="shared" si="152"/>
        <v>0</v>
      </c>
      <c r="EB18" s="539">
        <v>14.534883720930225</v>
      </c>
      <c r="EC18" s="540">
        <f t="shared" si="42"/>
        <v>0.29687868871770712</v>
      </c>
      <c r="ED18" s="541">
        <f t="shared" si="153"/>
        <v>0</v>
      </c>
      <c r="EE18" s="539">
        <v>2</v>
      </c>
      <c r="EF18" s="540">
        <f t="shared" si="43"/>
        <v>4.0850507567556524E-2</v>
      </c>
      <c r="EG18" s="541">
        <f t="shared" si="154"/>
        <v>0</v>
      </c>
      <c r="EH18" s="539"/>
      <c r="EI18" s="540">
        <f t="shared" si="44"/>
        <v>0</v>
      </c>
      <c r="EJ18" s="541">
        <f t="shared" si="155"/>
        <v>0</v>
      </c>
      <c r="EK18" s="539"/>
      <c r="EL18" s="540">
        <f t="shared" si="45"/>
        <v>0</v>
      </c>
      <c r="EM18" s="541">
        <f t="shared" si="156"/>
        <v>0</v>
      </c>
      <c r="EN18" s="539"/>
      <c r="EO18" s="540">
        <f t="shared" si="46"/>
        <v>0</v>
      </c>
      <c r="EP18" s="541">
        <f t="shared" si="157"/>
        <v>0</v>
      </c>
      <c r="EQ18" s="539"/>
      <c r="ER18" s="540">
        <f t="shared" si="47"/>
        <v>0</v>
      </c>
      <c r="ES18" s="541">
        <f t="shared" si="158"/>
        <v>0</v>
      </c>
      <c r="ET18" s="539"/>
      <c r="EU18" s="540">
        <f t="shared" si="48"/>
        <v>0</v>
      </c>
      <c r="EV18" s="541">
        <f t="shared" si="159"/>
        <v>0</v>
      </c>
      <c r="EW18" s="539"/>
      <c r="EX18" s="540">
        <f t="shared" si="49"/>
        <v>0</v>
      </c>
      <c r="EY18" s="541">
        <f t="shared" si="160"/>
        <v>0</v>
      </c>
      <c r="EZ18" s="539"/>
      <c r="FA18" s="540">
        <f t="shared" si="50"/>
        <v>0</v>
      </c>
      <c r="FB18" s="541">
        <f t="shared" si="161"/>
        <v>0</v>
      </c>
      <c r="FC18" s="539"/>
      <c r="FD18" s="540">
        <f t="shared" si="51"/>
        <v>0</v>
      </c>
      <c r="FE18" s="541">
        <f t="shared" si="162"/>
        <v>0</v>
      </c>
      <c r="FF18" s="539"/>
      <c r="FG18" s="540">
        <f t="shared" si="52"/>
        <v>0</v>
      </c>
      <c r="FH18" s="541">
        <f t="shared" si="163"/>
        <v>0</v>
      </c>
      <c r="FI18" s="539"/>
      <c r="FJ18" s="540">
        <f t="shared" si="53"/>
        <v>0</v>
      </c>
      <c r="FK18" s="541">
        <f t="shared" si="164"/>
        <v>0</v>
      </c>
      <c r="FL18" s="539"/>
      <c r="FM18" s="540">
        <f t="shared" si="54"/>
        <v>0</v>
      </c>
      <c r="FN18" s="541">
        <f t="shared" si="165"/>
        <v>0</v>
      </c>
      <c r="FO18" s="539"/>
      <c r="FP18" s="540">
        <f t="shared" si="55"/>
        <v>0</v>
      </c>
      <c r="FQ18" s="541">
        <f t="shared" si="166"/>
        <v>0</v>
      </c>
      <c r="FR18" s="539"/>
      <c r="FS18" s="540">
        <f t="shared" si="56"/>
        <v>0</v>
      </c>
      <c r="FT18" s="541">
        <f t="shared" si="167"/>
        <v>0</v>
      </c>
      <c r="FU18" s="539"/>
      <c r="FV18" s="540">
        <f t="shared" si="57"/>
        <v>0</v>
      </c>
      <c r="FW18" s="541">
        <f t="shared" si="168"/>
        <v>0</v>
      </c>
      <c r="FX18" s="539"/>
      <c r="FY18" s="540">
        <f t="shared" si="58"/>
        <v>0</v>
      </c>
      <c r="FZ18" s="541">
        <f t="shared" si="169"/>
        <v>0</v>
      </c>
      <c r="GA18" s="539"/>
      <c r="GB18" s="540">
        <f t="shared" si="59"/>
        <v>0</v>
      </c>
      <c r="GC18" s="541">
        <f t="shared" si="170"/>
        <v>0</v>
      </c>
      <c r="GD18" s="539"/>
      <c r="GE18" s="540">
        <f t="shared" si="60"/>
        <v>0</v>
      </c>
      <c r="GF18" s="541">
        <f t="shared" si="171"/>
        <v>0</v>
      </c>
      <c r="GG18" s="539"/>
      <c r="GH18" s="540">
        <f t="shared" si="61"/>
        <v>0</v>
      </c>
      <c r="GI18" s="541">
        <f t="shared" si="172"/>
        <v>0</v>
      </c>
      <c r="GJ18" s="539"/>
      <c r="GK18" s="540">
        <f t="shared" si="62"/>
        <v>0</v>
      </c>
      <c r="GL18" s="541">
        <f t="shared" si="173"/>
        <v>0</v>
      </c>
      <c r="GM18" s="539"/>
      <c r="GN18" s="540">
        <f t="shared" si="63"/>
        <v>0</v>
      </c>
      <c r="GO18" s="541">
        <f t="shared" si="174"/>
        <v>0</v>
      </c>
      <c r="GP18" s="539"/>
      <c r="GQ18" s="540">
        <f t="shared" si="64"/>
        <v>0</v>
      </c>
      <c r="GR18" s="541">
        <f t="shared" si="175"/>
        <v>0</v>
      </c>
      <c r="GS18" s="539"/>
      <c r="GT18" s="540">
        <f t="shared" si="65"/>
        <v>0</v>
      </c>
      <c r="GU18" s="541">
        <f t="shared" si="176"/>
        <v>0</v>
      </c>
      <c r="GV18" s="539"/>
      <c r="GW18" s="540">
        <f t="shared" si="66"/>
        <v>0</v>
      </c>
      <c r="GX18" s="541">
        <f t="shared" si="177"/>
        <v>0</v>
      </c>
      <c r="GY18" s="539"/>
      <c r="GZ18" s="540">
        <f t="shared" si="67"/>
        <v>0</v>
      </c>
      <c r="HA18" s="541">
        <f t="shared" si="178"/>
        <v>0</v>
      </c>
      <c r="HB18" s="539"/>
      <c r="HC18" s="540">
        <f t="shared" si="68"/>
        <v>0</v>
      </c>
      <c r="HD18" s="541">
        <f t="shared" si="179"/>
        <v>0</v>
      </c>
      <c r="HE18" s="539"/>
      <c r="HF18" s="540">
        <f t="shared" si="69"/>
        <v>0</v>
      </c>
      <c r="HG18" s="541">
        <f t="shared" si="180"/>
        <v>0</v>
      </c>
      <c r="HH18" s="539"/>
      <c r="HI18" s="540">
        <f t="shared" si="70"/>
        <v>0</v>
      </c>
      <c r="HJ18" s="541">
        <f t="shared" si="181"/>
        <v>0</v>
      </c>
      <c r="HK18" s="539"/>
      <c r="HL18" s="540">
        <f t="shared" si="71"/>
        <v>0</v>
      </c>
      <c r="HM18" s="541">
        <f t="shared" si="182"/>
        <v>0</v>
      </c>
      <c r="HN18" s="539"/>
      <c r="HO18" s="540">
        <f t="shared" si="72"/>
        <v>0</v>
      </c>
      <c r="HP18" s="541">
        <f t="shared" si="183"/>
        <v>0</v>
      </c>
      <c r="HQ18" s="539"/>
      <c r="HR18" s="540">
        <f t="shared" si="73"/>
        <v>0</v>
      </c>
      <c r="HS18" s="541">
        <f t="shared" si="184"/>
        <v>0</v>
      </c>
      <c r="HT18" s="539"/>
      <c r="HU18" s="540">
        <f t="shared" si="74"/>
        <v>0</v>
      </c>
      <c r="HV18" s="541">
        <f t="shared" si="185"/>
        <v>0</v>
      </c>
      <c r="HW18" s="539"/>
      <c r="HX18" s="540">
        <f t="shared" si="75"/>
        <v>0</v>
      </c>
      <c r="HY18" s="541">
        <f t="shared" si="186"/>
        <v>0</v>
      </c>
      <c r="HZ18" s="539"/>
      <c r="IA18" s="540">
        <f t="shared" si="76"/>
        <v>0</v>
      </c>
      <c r="IB18" s="541">
        <f t="shared" si="187"/>
        <v>0</v>
      </c>
      <c r="IC18" s="539"/>
      <c r="ID18" s="540">
        <f t="shared" si="77"/>
        <v>0</v>
      </c>
      <c r="IE18" s="541">
        <f t="shared" si="188"/>
        <v>0</v>
      </c>
      <c r="IF18" s="539"/>
      <c r="IG18" s="540">
        <f t="shared" si="78"/>
        <v>0</v>
      </c>
      <c r="IH18" s="541">
        <f t="shared" si="189"/>
        <v>0</v>
      </c>
      <c r="II18" s="539"/>
      <c r="IJ18" s="540">
        <f t="shared" si="79"/>
        <v>0</v>
      </c>
      <c r="IK18" s="541">
        <f t="shared" si="190"/>
        <v>0</v>
      </c>
      <c r="IL18" s="539"/>
      <c r="IM18" s="540">
        <f t="shared" si="80"/>
        <v>0</v>
      </c>
      <c r="IN18" s="541">
        <f t="shared" si="191"/>
        <v>0</v>
      </c>
      <c r="IO18" s="539"/>
      <c r="IP18" s="540">
        <f t="shared" si="81"/>
        <v>0</v>
      </c>
      <c r="IQ18" s="541">
        <f t="shared" si="192"/>
        <v>0</v>
      </c>
      <c r="IR18" s="539"/>
      <c r="IS18" s="540">
        <f t="shared" si="82"/>
        <v>0</v>
      </c>
      <c r="IT18" s="541">
        <f t="shared" si="193"/>
        <v>0</v>
      </c>
      <c r="IU18" s="539"/>
      <c r="IV18" s="540">
        <f t="shared" si="83"/>
        <v>0</v>
      </c>
      <c r="IW18" s="541">
        <f t="shared" si="194"/>
        <v>0</v>
      </c>
      <c r="IX18" s="539"/>
      <c r="IY18" s="540">
        <f t="shared" si="84"/>
        <v>0</v>
      </c>
      <c r="IZ18" s="541">
        <f t="shared" si="195"/>
        <v>0</v>
      </c>
      <c r="JA18" s="539"/>
      <c r="JB18" s="540">
        <f t="shared" si="85"/>
        <v>0</v>
      </c>
      <c r="JC18" s="541">
        <f t="shared" si="196"/>
        <v>0</v>
      </c>
      <c r="JD18" s="539"/>
      <c r="JE18" s="540">
        <f t="shared" si="86"/>
        <v>0</v>
      </c>
      <c r="JF18" s="541">
        <f t="shared" si="197"/>
        <v>0</v>
      </c>
      <c r="JG18" s="539"/>
      <c r="JH18" s="540">
        <f t="shared" si="87"/>
        <v>0</v>
      </c>
      <c r="JI18" s="541">
        <f t="shared" si="198"/>
        <v>0</v>
      </c>
      <c r="JJ18" s="539"/>
      <c r="JK18" s="541" t="str">
        <f t="shared" si="88"/>
        <v>0</v>
      </c>
      <c r="JL18" s="541" t="str">
        <f t="shared" si="89"/>
        <v>0</v>
      </c>
      <c r="JM18" s="539"/>
      <c r="JN18" s="541" t="str">
        <f t="shared" si="90"/>
        <v>0</v>
      </c>
      <c r="JO18" s="541" t="str">
        <f t="shared" si="91"/>
        <v>0</v>
      </c>
      <c r="JP18" s="539"/>
      <c r="JQ18" s="541" t="str">
        <f t="shared" si="92"/>
        <v>0</v>
      </c>
      <c r="JR18" s="541" t="str">
        <f t="shared" si="93"/>
        <v>0</v>
      </c>
      <c r="JS18" s="539"/>
      <c r="JT18" s="541" t="str">
        <f t="shared" si="94"/>
        <v>0</v>
      </c>
      <c r="JU18" s="541" t="str">
        <f t="shared" si="95"/>
        <v>0</v>
      </c>
      <c r="JV18" s="539"/>
      <c r="JW18" s="541" t="str">
        <f t="shared" si="96"/>
        <v>0</v>
      </c>
      <c r="JX18" s="541" t="str">
        <f t="shared" si="97"/>
        <v>0</v>
      </c>
      <c r="JY18" s="539"/>
      <c r="JZ18" s="541" t="str">
        <f t="shared" si="98"/>
        <v>0</v>
      </c>
      <c r="KA18" s="541" t="str">
        <f t="shared" si="99"/>
        <v>0</v>
      </c>
      <c r="KB18" s="539"/>
      <c r="KC18" s="541" t="str">
        <f t="shared" si="100"/>
        <v>0</v>
      </c>
      <c r="KD18" s="541" t="str">
        <f t="shared" si="101"/>
        <v>0</v>
      </c>
      <c r="KE18" s="539"/>
      <c r="KF18" s="541" t="str">
        <f t="shared" si="102"/>
        <v>0</v>
      </c>
      <c r="KG18" s="541" t="str">
        <f t="shared" si="103"/>
        <v>0</v>
      </c>
      <c r="KH18" s="539"/>
      <c r="KI18" s="541" t="str">
        <f t="shared" si="104"/>
        <v>0</v>
      </c>
      <c r="KJ18" s="541" t="str">
        <f t="shared" si="105"/>
        <v>0</v>
      </c>
      <c r="KK18" s="539"/>
      <c r="KL18" s="541" t="str">
        <f t="shared" si="106"/>
        <v>0</v>
      </c>
      <c r="KM18" s="541" t="str">
        <f t="shared" si="107"/>
        <v>0</v>
      </c>
      <c r="KN18" s="539"/>
      <c r="KO18" s="541" t="str">
        <f t="shared" si="108"/>
        <v>0</v>
      </c>
      <c r="KP18" s="541" t="str">
        <f t="shared" si="109"/>
        <v>0</v>
      </c>
      <c r="KQ18" s="539"/>
      <c r="KR18" s="541" t="str">
        <f t="shared" si="110"/>
        <v>0</v>
      </c>
      <c r="KS18" s="541" t="str">
        <f t="shared" si="111"/>
        <v>0</v>
      </c>
      <c r="KT18" s="541">
        <f t="shared" si="200"/>
        <v>0</v>
      </c>
      <c r="KU18" s="541">
        <f t="shared" si="201"/>
        <v>0</v>
      </c>
      <c r="KV18" s="275">
        <f t="shared" si="202"/>
        <v>514.18635660382404</v>
      </c>
    </row>
    <row r="19" spans="1:309" ht="15" customHeight="1">
      <c r="A19" s="277">
        <f t="shared" si="199"/>
        <v>45941</v>
      </c>
      <c r="B19" s="278" t="str">
        <f>+Report1!B19</f>
        <v>Facial</v>
      </c>
      <c r="C19" s="420" t="str">
        <f>+Report1!C19</f>
        <v>10,5/10,3/12</v>
      </c>
      <c r="D19" s="279">
        <f>+Report1!P19</f>
        <v>54.191000000000003</v>
      </c>
      <c r="E19" s="280">
        <f>+Report1!R19</f>
        <v>49.890999999999998</v>
      </c>
      <c r="F19" s="539">
        <v>0</v>
      </c>
      <c r="G19" s="540">
        <f t="shared" si="0"/>
        <v>0</v>
      </c>
      <c r="H19" s="541">
        <f t="shared" si="112"/>
        <v>0</v>
      </c>
      <c r="I19" s="539">
        <v>267.44186046511641</v>
      </c>
      <c r="J19" s="540">
        <f t="shared" si="1"/>
        <v>5.3605231497688246</v>
      </c>
      <c r="K19" s="541">
        <f t="shared" si="113"/>
        <v>0</v>
      </c>
      <c r="L19" s="539"/>
      <c r="M19" s="540">
        <f t="shared" si="2"/>
        <v>0</v>
      </c>
      <c r="N19" s="541">
        <f t="shared" si="114"/>
        <v>0</v>
      </c>
      <c r="O19" s="539">
        <v>5.9999999999999858</v>
      </c>
      <c r="P19" s="540">
        <f t="shared" si="3"/>
        <v>0.12026217153394372</v>
      </c>
      <c r="Q19" s="541">
        <f t="shared" si="115"/>
        <v>0</v>
      </c>
      <c r="R19" s="539"/>
      <c r="S19" s="540">
        <f t="shared" si="4"/>
        <v>0</v>
      </c>
      <c r="T19" s="541">
        <f t="shared" si="116"/>
        <v>0</v>
      </c>
      <c r="U19" s="539">
        <v>2.5625</v>
      </c>
      <c r="V19" s="540">
        <f t="shared" si="5"/>
        <v>5.1361969092621917E-2</v>
      </c>
      <c r="W19" s="541">
        <f t="shared" si="117"/>
        <v>0</v>
      </c>
      <c r="X19" s="539"/>
      <c r="Y19" s="540">
        <f t="shared" si="6"/>
        <v>0</v>
      </c>
      <c r="Z19" s="541">
        <f t="shared" si="118"/>
        <v>0</v>
      </c>
      <c r="AA19" s="539"/>
      <c r="AB19" s="540">
        <f t="shared" si="7"/>
        <v>0</v>
      </c>
      <c r="AC19" s="541">
        <f t="shared" si="119"/>
        <v>0</v>
      </c>
      <c r="AD19" s="539"/>
      <c r="AE19" s="540">
        <f t="shared" si="8"/>
        <v>0</v>
      </c>
      <c r="AF19" s="541">
        <f t="shared" si="120"/>
        <v>0</v>
      </c>
      <c r="AG19" s="539"/>
      <c r="AH19" s="540">
        <f t="shared" si="9"/>
        <v>0</v>
      </c>
      <c r="AI19" s="541">
        <f t="shared" si="121"/>
        <v>0</v>
      </c>
      <c r="AJ19" s="539">
        <v>0</v>
      </c>
      <c r="AK19" s="540">
        <f t="shared" si="10"/>
        <v>0</v>
      </c>
      <c r="AL19" s="541">
        <f t="shared" si="122"/>
        <v>0</v>
      </c>
      <c r="AM19" s="539">
        <v>0</v>
      </c>
      <c r="AN19" s="540">
        <f t="shared" si="11"/>
        <v>0</v>
      </c>
      <c r="AO19" s="541">
        <f t="shared" si="123"/>
        <v>0</v>
      </c>
      <c r="AP19" s="539">
        <v>55.53797468354432</v>
      </c>
      <c r="AQ19" s="540">
        <f t="shared" si="12"/>
        <v>1.1131862396733745</v>
      </c>
      <c r="AR19" s="541">
        <f t="shared" si="124"/>
        <v>0</v>
      </c>
      <c r="AS19" s="539"/>
      <c r="AT19" s="540">
        <f t="shared" si="13"/>
        <v>0</v>
      </c>
      <c r="AU19" s="541">
        <f t="shared" si="125"/>
        <v>0</v>
      </c>
      <c r="AV19" s="539">
        <v>5.5499999999999972</v>
      </c>
      <c r="AW19" s="540">
        <f t="shared" si="14"/>
        <v>0.11124250866889815</v>
      </c>
      <c r="AX19" s="541">
        <f t="shared" si="126"/>
        <v>0</v>
      </c>
      <c r="AY19" s="539">
        <v>59.5</v>
      </c>
      <c r="AZ19" s="540">
        <f t="shared" si="15"/>
        <v>1.1925998677116114</v>
      </c>
      <c r="BA19" s="541">
        <f t="shared" si="127"/>
        <v>0</v>
      </c>
      <c r="BB19" s="539">
        <v>0</v>
      </c>
      <c r="BC19" s="540">
        <f t="shared" si="16"/>
        <v>0</v>
      </c>
      <c r="BD19" s="541">
        <f t="shared" si="128"/>
        <v>0</v>
      </c>
      <c r="BE19" s="539"/>
      <c r="BF19" s="540">
        <f t="shared" si="17"/>
        <v>0</v>
      </c>
      <c r="BG19" s="541">
        <f t="shared" si="129"/>
        <v>0</v>
      </c>
      <c r="BH19" s="539"/>
      <c r="BI19" s="540">
        <f t="shared" si="18"/>
        <v>0</v>
      </c>
      <c r="BJ19" s="541">
        <f t="shared" si="130"/>
        <v>0</v>
      </c>
      <c r="BK19" s="539"/>
      <c r="BL19" s="540">
        <f t="shared" si="19"/>
        <v>0</v>
      </c>
      <c r="BM19" s="541">
        <f t="shared" si="131"/>
        <v>0</v>
      </c>
      <c r="BN19" s="539">
        <v>2.5308641975308603</v>
      </c>
      <c r="BO19" s="540">
        <f t="shared" si="20"/>
        <v>5.0727870708762307E-2</v>
      </c>
      <c r="BP19" s="541">
        <f t="shared" si="132"/>
        <v>0</v>
      </c>
      <c r="BQ19" s="539">
        <v>12.820512820512818</v>
      </c>
      <c r="BR19" s="540">
        <f t="shared" si="21"/>
        <v>0.25697045199560681</v>
      </c>
      <c r="BS19" s="541">
        <f t="shared" si="133"/>
        <v>0</v>
      </c>
      <c r="BT19" s="539"/>
      <c r="BU19" s="540">
        <f t="shared" si="22"/>
        <v>0</v>
      </c>
      <c r="BV19" s="541">
        <f t="shared" si="134"/>
        <v>0</v>
      </c>
      <c r="BW19" s="539">
        <v>0</v>
      </c>
      <c r="BX19" s="540">
        <f t="shared" si="23"/>
        <v>0</v>
      </c>
      <c r="BY19" s="541">
        <f t="shared" si="135"/>
        <v>0</v>
      </c>
      <c r="BZ19" s="539"/>
      <c r="CA19" s="540">
        <f t="shared" si="24"/>
        <v>0</v>
      </c>
      <c r="CB19" s="541">
        <f t="shared" si="136"/>
        <v>0</v>
      </c>
      <c r="CC19" s="539">
        <v>0</v>
      </c>
      <c r="CD19" s="540">
        <f t="shared" si="25"/>
        <v>0</v>
      </c>
      <c r="CE19" s="541">
        <f t="shared" si="137"/>
        <v>0</v>
      </c>
      <c r="CF19" s="539">
        <v>0.1</v>
      </c>
      <c r="CG19" s="540">
        <f t="shared" si="26"/>
        <v>2.0043695255657335E-3</v>
      </c>
      <c r="CH19" s="541">
        <f t="shared" si="138"/>
        <v>0</v>
      </c>
      <c r="CI19" s="539"/>
      <c r="CJ19" s="540">
        <f t="shared" si="27"/>
        <v>0</v>
      </c>
      <c r="CK19" s="541">
        <f t="shared" si="139"/>
        <v>0</v>
      </c>
      <c r="CL19" s="539"/>
      <c r="CM19" s="540">
        <f t="shared" si="28"/>
        <v>0</v>
      </c>
      <c r="CN19" s="541">
        <f t="shared" si="140"/>
        <v>0</v>
      </c>
      <c r="CO19" s="539"/>
      <c r="CP19" s="540">
        <f t="shared" si="29"/>
        <v>0</v>
      </c>
      <c r="CQ19" s="541">
        <f t="shared" si="141"/>
        <v>0</v>
      </c>
      <c r="CR19" s="539"/>
      <c r="CS19" s="540">
        <f t="shared" si="30"/>
        <v>0</v>
      </c>
      <c r="CT19" s="541">
        <f t="shared" si="142"/>
        <v>0</v>
      </c>
      <c r="CU19" s="539"/>
      <c r="CV19" s="540">
        <f t="shared" si="31"/>
        <v>0</v>
      </c>
      <c r="CW19" s="541">
        <f t="shared" si="143"/>
        <v>0</v>
      </c>
      <c r="CX19" s="539"/>
      <c r="CY19" s="540">
        <f t="shared" si="32"/>
        <v>0</v>
      </c>
      <c r="CZ19" s="541">
        <f t="shared" si="144"/>
        <v>0</v>
      </c>
      <c r="DA19" s="539"/>
      <c r="DB19" s="540">
        <f t="shared" si="33"/>
        <v>0</v>
      </c>
      <c r="DC19" s="541">
        <f t="shared" si="145"/>
        <v>0</v>
      </c>
      <c r="DD19" s="539"/>
      <c r="DE19" s="540">
        <f t="shared" si="34"/>
        <v>0</v>
      </c>
      <c r="DF19" s="541">
        <f t="shared" si="146"/>
        <v>0</v>
      </c>
      <c r="DG19" s="539">
        <v>0</v>
      </c>
      <c r="DH19" s="540">
        <f t="shared" si="35"/>
        <v>0</v>
      </c>
      <c r="DI19" s="541">
        <f t="shared" si="203"/>
        <v>0</v>
      </c>
      <c r="DJ19" s="539"/>
      <c r="DK19" s="540">
        <f t="shared" si="36"/>
        <v>0</v>
      </c>
      <c r="DL19" s="541">
        <f t="shared" si="147"/>
        <v>0</v>
      </c>
      <c r="DM19" s="539"/>
      <c r="DN19" s="540">
        <f t="shared" si="37"/>
        <v>0</v>
      </c>
      <c r="DO19" s="541">
        <f t="shared" si="148"/>
        <v>0</v>
      </c>
      <c r="DP19" s="539"/>
      <c r="DQ19" s="540">
        <f t="shared" si="38"/>
        <v>0</v>
      </c>
      <c r="DR19" s="541">
        <f t="shared" si="149"/>
        <v>0</v>
      </c>
      <c r="DS19" s="539"/>
      <c r="DT19" s="540">
        <f t="shared" si="39"/>
        <v>0</v>
      </c>
      <c r="DU19" s="541">
        <f t="shared" si="150"/>
        <v>0</v>
      </c>
      <c r="DV19" s="539"/>
      <c r="DW19" s="540">
        <f t="shared" si="40"/>
        <v>0</v>
      </c>
      <c r="DX19" s="541">
        <f t="shared" si="151"/>
        <v>0</v>
      </c>
      <c r="DY19" s="539"/>
      <c r="DZ19" s="540">
        <f t="shared" si="41"/>
        <v>0</v>
      </c>
      <c r="EA19" s="541">
        <f t="shared" si="152"/>
        <v>0</v>
      </c>
      <c r="EB19" s="539">
        <v>14.534883720930281</v>
      </c>
      <c r="EC19" s="540">
        <f t="shared" si="42"/>
        <v>0.29133277987874129</v>
      </c>
      <c r="ED19" s="541">
        <f t="shared" si="153"/>
        <v>0</v>
      </c>
      <c r="EE19" s="539">
        <v>1.5</v>
      </c>
      <c r="EF19" s="540">
        <f t="shared" si="43"/>
        <v>3.0065542883486E-2</v>
      </c>
      <c r="EG19" s="541">
        <f t="shared" si="154"/>
        <v>0</v>
      </c>
      <c r="EH19" s="539"/>
      <c r="EI19" s="540">
        <f t="shared" si="44"/>
        <v>0</v>
      </c>
      <c r="EJ19" s="541">
        <f t="shared" si="155"/>
        <v>0</v>
      </c>
      <c r="EK19" s="539"/>
      <c r="EL19" s="540">
        <f t="shared" si="45"/>
        <v>0</v>
      </c>
      <c r="EM19" s="541">
        <f t="shared" si="156"/>
        <v>0</v>
      </c>
      <c r="EN19" s="539"/>
      <c r="EO19" s="540">
        <f t="shared" si="46"/>
        <v>0</v>
      </c>
      <c r="EP19" s="541">
        <f t="shared" si="157"/>
        <v>0</v>
      </c>
      <c r="EQ19" s="539"/>
      <c r="ER19" s="540">
        <f t="shared" si="47"/>
        <v>0</v>
      </c>
      <c r="ES19" s="541">
        <f t="shared" si="158"/>
        <v>0</v>
      </c>
      <c r="ET19" s="539"/>
      <c r="EU19" s="540">
        <f t="shared" si="48"/>
        <v>0</v>
      </c>
      <c r="EV19" s="541">
        <f t="shared" si="159"/>
        <v>0</v>
      </c>
      <c r="EW19" s="539"/>
      <c r="EX19" s="540">
        <f t="shared" si="49"/>
        <v>0</v>
      </c>
      <c r="EY19" s="541">
        <f t="shared" si="160"/>
        <v>0</v>
      </c>
      <c r="EZ19" s="539"/>
      <c r="FA19" s="540">
        <f t="shared" si="50"/>
        <v>0</v>
      </c>
      <c r="FB19" s="541">
        <f t="shared" si="161"/>
        <v>0</v>
      </c>
      <c r="FC19" s="539"/>
      <c r="FD19" s="540">
        <f t="shared" si="51"/>
        <v>0</v>
      </c>
      <c r="FE19" s="541">
        <f t="shared" si="162"/>
        <v>0</v>
      </c>
      <c r="FF19" s="539"/>
      <c r="FG19" s="540">
        <f t="shared" si="52"/>
        <v>0</v>
      </c>
      <c r="FH19" s="541">
        <f t="shared" si="163"/>
        <v>0</v>
      </c>
      <c r="FI19" s="539"/>
      <c r="FJ19" s="540">
        <f t="shared" si="53"/>
        <v>0</v>
      </c>
      <c r="FK19" s="541">
        <f t="shared" si="164"/>
        <v>0</v>
      </c>
      <c r="FL19" s="539"/>
      <c r="FM19" s="540">
        <f t="shared" si="54"/>
        <v>0</v>
      </c>
      <c r="FN19" s="541">
        <f t="shared" si="165"/>
        <v>0</v>
      </c>
      <c r="FO19" s="539"/>
      <c r="FP19" s="540">
        <f t="shared" si="55"/>
        <v>0</v>
      </c>
      <c r="FQ19" s="541">
        <f t="shared" si="166"/>
        <v>0</v>
      </c>
      <c r="FR19" s="539"/>
      <c r="FS19" s="540">
        <f t="shared" si="56"/>
        <v>0</v>
      </c>
      <c r="FT19" s="541">
        <f t="shared" si="167"/>
        <v>0</v>
      </c>
      <c r="FU19" s="539"/>
      <c r="FV19" s="540">
        <f t="shared" si="57"/>
        <v>0</v>
      </c>
      <c r="FW19" s="541">
        <f t="shared" si="168"/>
        <v>0</v>
      </c>
      <c r="FX19" s="539"/>
      <c r="FY19" s="540">
        <f t="shared" si="58"/>
        <v>0</v>
      </c>
      <c r="FZ19" s="541">
        <f t="shared" si="169"/>
        <v>0</v>
      </c>
      <c r="GA19" s="539"/>
      <c r="GB19" s="540">
        <f t="shared" si="59"/>
        <v>0</v>
      </c>
      <c r="GC19" s="541">
        <f t="shared" si="170"/>
        <v>0</v>
      </c>
      <c r="GD19" s="539"/>
      <c r="GE19" s="540">
        <f t="shared" si="60"/>
        <v>0</v>
      </c>
      <c r="GF19" s="541">
        <f t="shared" si="171"/>
        <v>0</v>
      </c>
      <c r="GG19" s="539"/>
      <c r="GH19" s="540">
        <f t="shared" si="61"/>
        <v>0</v>
      </c>
      <c r="GI19" s="541">
        <f t="shared" si="172"/>
        <v>0</v>
      </c>
      <c r="GJ19" s="539"/>
      <c r="GK19" s="540">
        <f t="shared" si="62"/>
        <v>0</v>
      </c>
      <c r="GL19" s="541">
        <f t="shared" si="173"/>
        <v>0</v>
      </c>
      <c r="GM19" s="539"/>
      <c r="GN19" s="540">
        <f t="shared" si="63"/>
        <v>0</v>
      </c>
      <c r="GO19" s="541">
        <f t="shared" si="174"/>
        <v>0</v>
      </c>
      <c r="GP19" s="539"/>
      <c r="GQ19" s="540">
        <f t="shared" si="64"/>
        <v>0</v>
      </c>
      <c r="GR19" s="541">
        <f t="shared" si="175"/>
        <v>0</v>
      </c>
      <c r="GS19" s="539"/>
      <c r="GT19" s="540">
        <f t="shared" si="65"/>
        <v>0</v>
      </c>
      <c r="GU19" s="541">
        <f t="shared" si="176"/>
        <v>0</v>
      </c>
      <c r="GV19" s="539"/>
      <c r="GW19" s="540">
        <f t="shared" si="66"/>
        <v>0</v>
      </c>
      <c r="GX19" s="541">
        <f t="shared" si="177"/>
        <v>0</v>
      </c>
      <c r="GY19" s="539"/>
      <c r="GZ19" s="540">
        <f t="shared" si="67"/>
        <v>0</v>
      </c>
      <c r="HA19" s="541">
        <f t="shared" si="178"/>
        <v>0</v>
      </c>
      <c r="HB19" s="539"/>
      <c r="HC19" s="540">
        <f t="shared" si="68"/>
        <v>0</v>
      </c>
      <c r="HD19" s="541">
        <f t="shared" si="179"/>
        <v>0</v>
      </c>
      <c r="HE19" s="539"/>
      <c r="HF19" s="540">
        <f t="shared" si="69"/>
        <v>0</v>
      </c>
      <c r="HG19" s="541">
        <f t="shared" si="180"/>
        <v>0</v>
      </c>
      <c r="HH19" s="539"/>
      <c r="HI19" s="540">
        <f t="shared" si="70"/>
        <v>0</v>
      </c>
      <c r="HJ19" s="541">
        <f t="shared" si="181"/>
        <v>0</v>
      </c>
      <c r="HK19" s="539"/>
      <c r="HL19" s="540">
        <f t="shared" si="71"/>
        <v>0</v>
      </c>
      <c r="HM19" s="541">
        <f t="shared" si="182"/>
        <v>0</v>
      </c>
      <c r="HN19" s="539"/>
      <c r="HO19" s="540">
        <f t="shared" si="72"/>
        <v>0</v>
      </c>
      <c r="HP19" s="541">
        <f t="shared" si="183"/>
        <v>0</v>
      </c>
      <c r="HQ19" s="539"/>
      <c r="HR19" s="540">
        <f t="shared" si="73"/>
        <v>0</v>
      </c>
      <c r="HS19" s="541">
        <f t="shared" si="184"/>
        <v>0</v>
      </c>
      <c r="HT19" s="539"/>
      <c r="HU19" s="540">
        <f t="shared" si="74"/>
        <v>0</v>
      </c>
      <c r="HV19" s="541">
        <f t="shared" si="185"/>
        <v>0</v>
      </c>
      <c r="HW19" s="539"/>
      <c r="HX19" s="540">
        <f t="shared" si="75"/>
        <v>0</v>
      </c>
      <c r="HY19" s="541">
        <f t="shared" si="186"/>
        <v>0</v>
      </c>
      <c r="HZ19" s="539"/>
      <c r="IA19" s="540">
        <f t="shared" si="76"/>
        <v>0</v>
      </c>
      <c r="IB19" s="541">
        <f t="shared" si="187"/>
        <v>0</v>
      </c>
      <c r="IC19" s="539"/>
      <c r="ID19" s="540">
        <f t="shared" si="77"/>
        <v>0</v>
      </c>
      <c r="IE19" s="541">
        <f t="shared" si="188"/>
        <v>0</v>
      </c>
      <c r="IF19" s="539"/>
      <c r="IG19" s="540">
        <f t="shared" si="78"/>
        <v>0</v>
      </c>
      <c r="IH19" s="541">
        <f t="shared" si="189"/>
        <v>0</v>
      </c>
      <c r="II19" s="539"/>
      <c r="IJ19" s="540">
        <f t="shared" si="79"/>
        <v>0</v>
      </c>
      <c r="IK19" s="541">
        <f t="shared" si="190"/>
        <v>0</v>
      </c>
      <c r="IL19" s="539"/>
      <c r="IM19" s="540">
        <f t="shared" si="80"/>
        <v>0</v>
      </c>
      <c r="IN19" s="541">
        <f t="shared" si="191"/>
        <v>0</v>
      </c>
      <c r="IO19" s="539"/>
      <c r="IP19" s="540">
        <f t="shared" si="81"/>
        <v>0</v>
      </c>
      <c r="IQ19" s="541">
        <f t="shared" si="192"/>
        <v>0</v>
      </c>
      <c r="IR19" s="539"/>
      <c r="IS19" s="540">
        <f t="shared" si="82"/>
        <v>0</v>
      </c>
      <c r="IT19" s="541">
        <f t="shared" si="193"/>
        <v>0</v>
      </c>
      <c r="IU19" s="539"/>
      <c r="IV19" s="540">
        <f t="shared" si="83"/>
        <v>0</v>
      </c>
      <c r="IW19" s="541">
        <f t="shared" si="194"/>
        <v>0</v>
      </c>
      <c r="IX19" s="539"/>
      <c r="IY19" s="540">
        <f t="shared" si="84"/>
        <v>0</v>
      </c>
      <c r="IZ19" s="541">
        <f t="shared" si="195"/>
        <v>0</v>
      </c>
      <c r="JA19" s="539"/>
      <c r="JB19" s="540">
        <f t="shared" si="85"/>
        <v>0</v>
      </c>
      <c r="JC19" s="541">
        <f t="shared" si="196"/>
        <v>0</v>
      </c>
      <c r="JD19" s="539"/>
      <c r="JE19" s="540">
        <f t="shared" si="86"/>
        <v>0</v>
      </c>
      <c r="JF19" s="541">
        <f t="shared" si="197"/>
        <v>0</v>
      </c>
      <c r="JG19" s="539"/>
      <c r="JH19" s="540">
        <f t="shared" si="87"/>
        <v>0</v>
      </c>
      <c r="JI19" s="541">
        <f t="shared" si="198"/>
        <v>0</v>
      </c>
      <c r="JJ19" s="539"/>
      <c r="JK19" s="541" t="str">
        <f t="shared" si="88"/>
        <v>0</v>
      </c>
      <c r="JL19" s="541" t="str">
        <f t="shared" si="89"/>
        <v>0</v>
      </c>
      <c r="JM19" s="539"/>
      <c r="JN19" s="541" t="str">
        <f t="shared" si="90"/>
        <v>0</v>
      </c>
      <c r="JO19" s="541" t="str">
        <f t="shared" si="91"/>
        <v>0</v>
      </c>
      <c r="JP19" s="539"/>
      <c r="JQ19" s="541" t="str">
        <f t="shared" si="92"/>
        <v>0</v>
      </c>
      <c r="JR19" s="541" t="str">
        <f t="shared" si="93"/>
        <v>0</v>
      </c>
      <c r="JS19" s="539"/>
      <c r="JT19" s="541" t="str">
        <f t="shared" si="94"/>
        <v>0</v>
      </c>
      <c r="JU19" s="541" t="str">
        <f t="shared" si="95"/>
        <v>0</v>
      </c>
      <c r="JV19" s="539"/>
      <c r="JW19" s="541" t="str">
        <f t="shared" si="96"/>
        <v>0</v>
      </c>
      <c r="JX19" s="541" t="str">
        <f t="shared" si="97"/>
        <v>0</v>
      </c>
      <c r="JY19" s="539"/>
      <c r="JZ19" s="541" t="str">
        <f t="shared" si="98"/>
        <v>0</v>
      </c>
      <c r="KA19" s="541" t="str">
        <f t="shared" si="99"/>
        <v>0</v>
      </c>
      <c r="KB19" s="539"/>
      <c r="KC19" s="541" t="str">
        <f t="shared" si="100"/>
        <v>0</v>
      </c>
      <c r="KD19" s="541" t="str">
        <f t="shared" si="101"/>
        <v>0</v>
      </c>
      <c r="KE19" s="539"/>
      <c r="KF19" s="541" t="str">
        <f t="shared" si="102"/>
        <v>0</v>
      </c>
      <c r="KG19" s="541" t="str">
        <f t="shared" si="103"/>
        <v>0</v>
      </c>
      <c r="KH19" s="539"/>
      <c r="KI19" s="541" t="str">
        <f t="shared" si="104"/>
        <v>0</v>
      </c>
      <c r="KJ19" s="541" t="str">
        <f t="shared" si="105"/>
        <v>0</v>
      </c>
      <c r="KK19" s="539"/>
      <c r="KL19" s="541" t="str">
        <f t="shared" si="106"/>
        <v>0</v>
      </c>
      <c r="KM19" s="541" t="str">
        <f t="shared" si="107"/>
        <v>0</v>
      </c>
      <c r="KN19" s="539"/>
      <c r="KO19" s="541" t="str">
        <f t="shared" si="108"/>
        <v>0</v>
      </c>
      <c r="KP19" s="541" t="str">
        <f t="shared" si="109"/>
        <v>0</v>
      </c>
      <c r="KQ19" s="539"/>
      <c r="KR19" s="541" t="str">
        <f t="shared" si="110"/>
        <v>0</v>
      </c>
      <c r="KS19" s="541" t="str">
        <f t="shared" si="111"/>
        <v>0</v>
      </c>
      <c r="KT19" s="541">
        <f t="shared" si="200"/>
        <v>0</v>
      </c>
      <c r="KU19" s="541">
        <f t="shared" si="201"/>
        <v>0</v>
      </c>
      <c r="KV19" s="275">
        <f t="shared" si="202"/>
        <v>428.07859588763478</v>
      </c>
    </row>
    <row r="20" spans="1:309" ht="15" customHeight="1">
      <c r="A20" s="277">
        <f t="shared" si="199"/>
        <v>45942</v>
      </c>
      <c r="B20" s="278" t="str">
        <f>+Report1!B20</f>
        <v>Facial</v>
      </c>
      <c r="C20" s="420" t="str">
        <f>+Report1!C20</f>
        <v>12</v>
      </c>
      <c r="D20" s="279">
        <f>+Report1!P20</f>
        <v>52.38000000000001</v>
      </c>
      <c r="E20" s="280">
        <f>+Report1!R20</f>
        <v>48.902999999999999</v>
      </c>
      <c r="F20" s="539">
        <v>0</v>
      </c>
      <c r="G20" s="540">
        <f t="shared" si="0"/>
        <v>0</v>
      </c>
      <c r="H20" s="541">
        <f t="shared" si="112"/>
        <v>0</v>
      </c>
      <c r="I20" s="539">
        <v>267.44186046511641</v>
      </c>
      <c r="J20" s="540">
        <f t="shared" si="1"/>
        <v>5.4688231900929676</v>
      </c>
      <c r="K20" s="541">
        <f t="shared" si="113"/>
        <v>0</v>
      </c>
      <c r="L20" s="539"/>
      <c r="M20" s="540">
        <f t="shared" si="2"/>
        <v>0</v>
      </c>
      <c r="N20" s="541">
        <f t="shared" si="114"/>
        <v>0</v>
      </c>
      <c r="O20" s="539">
        <v>5.9999999999999858</v>
      </c>
      <c r="P20" s="540">
        <f t="shared" si="3"/>
        <v>0.12269185939512885</v>
      </c>
      <c r="Q20" s="541">
        <f t="shared" si="115"/>
        <v>0</v>
      </c>
      <c r="R20" s="539"/>
      <c r="S20" s="540">
        <f t="shared" si="4"/>
        <v>0</v>
      </c>
      <c r="T20" s="541">
        <f t="shared" si="116"/>
        <v>0</v>
      </c>
      <c r="U20" s="539">
        <v>2.5625</v>
      </c>
      <c r="V20" s="540">
        <f t="shared" si="5"/>
        <v>5.2399648283336403E-2</v>
      </c>
      <c r="W20" s="541">
        <f t="shared" si="117"/>
        <v>0</v>
      </c>
      <c r="X20" s="539"/>
      <c r="Y20" s="540">
        <f t="shared" si="6"/>
        <v>0</v>
      </c>
      <c r="Z20" s="541">
        <f t="shared" si="118"/>
        <v>0</v>
      </c>
      <c r="AA20" s="539"/>
      <c r="AB20" s="540">
        <f t="shared" si="7"/>
        <v>0</v>
      </c>
      <c r="AC20" s="541">
        <f t="shared" si="119"/>
        <v>0</v>
      </c>
      <c r="AD20" s="539"/>
      <c r="AE20" s="540">
        <f t="shared" si="8"/>
        <v>0</v>
      </c>
      <c r="AF20" s="541">
        <f t="shared" si="120"/>
        <v>0</v>
      </c>
      <c r="AG20" s="539"/>
      <c r="AH20" s="540">
        <f t="shared" si="9"/>
        <v>0</v>
      </c>
      <c r="AI20" s="541">
        <f t="shared" si="121"/>
        <v>0</v>
      </c>
      <c r="AJ20" s="539">
        <v>0</v>
      </c>
      <c r="AK20" s="540">
        <f t="shared" si="10"/>
        <v>0</v>
      </c>
      <c r="AL20" s="541">
        <f t="shared" si="122"/>
        <v>0</v>
      </c>
      <c r="AM20" s="539">
        <v>0</v>
      </c>
      <c r="AN20" s="540">
        <f t="shared" si="11"/>
        <v>0</v>
      </c>
      <c r="AO20" s="541">
        <f t="shared" si="123"/>
        <v>0</v>
      </c>
      <c r="AP20" s="539">
        <v>55.53797468354432</v>
      </c>
      <c r="AQ20" s="540">
        <f t="shared" si="12"/>
        <v>1.1356762301606103</v>
      </c>
      <c r="AR20" s="541">
        <f t="shared" si="124"/>
        <v>0</v>
      </c>
      <c r="AS20" s="539"/>
      <c r="AT20" s="540">
        <f t="shared" si="13"/>
        <v>0</v>
      </c>
      <c r="AU20" s="541">
        <f t="shared" si="125"/>
        <v>0</v>
      </c>
      <c r="AV20" s="539">
        <v>5.5499999999999972</v>
      </c>
      <c r="AW20" s="540">
        <f t="shared" si="14"/>
        <v>0.11348996994049439</v>
      </c>
      <c r="AX20" s="541">
        <f t="shared" si="126"/>
        <v>0</v>
      </c>
      <c r="AY20" s="539">
        <v>59.5</v>
      </c>
      <c r="AZ20" s="540">
        <f t="shared" si="15"/>
        <v>1.2166942723350307</v>
      </c>
      <c r="BA20" s="541">
        <f t="shared" si="127"/>
        <v>0</v>
      </c>
      <c r="BB20" s="539">
        <v>0</v>
      </c>
      <c r="BC20" s="540">
        <f t="shared" si="16"/>
        <v>0</v>
      </c>
      <c r="BD20" s="541">
        <f t="shared" si="128"/>
        <v>0</v>
      </c>
      <c r="BE20" s="539"/>
      <c r="BF20" s="540">
        <f t="shared" si="17"/>
        <v>0</v>
      </c>
      <c r="BG20" s="541">
        <f t="shared" si="129"/>
        <v>0</v>
      </c>
      <c r="BH20" s="539"/>
      <c r="BI20" s="540">
        <f t="shared" si="18"/>
        <v>0</v>
      </c>
      <c r="BJ20" s="541">
        <f t="shared" si="130"/>
        <v>0</v>
      </c>
      <c r="BK20" s="539"/>
      <c r="BL20" s="540">
        <f t="shared" si="19"/>
        <v>0</v>
      </c>
      <c r="BM20" s="541">
        <f t="shared" si="131"/>
        <v>0</v>
      </c>
      <c r="BN20" s="539">
        <v>2.5308641975308603</v>
      </c>
      <c r="BO20" s="540">
        <f t="shared" si="20"/>
        <v>5.1752739045270439E-2</v>
      </c>
      <c r="BP20" s="541">
        <f t="shared" si="132"/>
        <v>0</v>
      </c>
      <c r="BQ20" s="539">
        <v>12.820512820512818</v>
      </c>
      <c r="BR20" s="540">
        <f t="shared" si="21"/>
        <v>0.26216209272463487</v>
      </c>
      <c r="BS20" s="541">
        <f t="shared" si="133"/>
        <v>0</v>
      </c>
      <c r="BT20" s="539"/>
      <c r="BU20" s="540">
        <f t="shared" si="22"/>
        <v>0</v>
      </c>
      <c r="BV20" s="541">
        <f t="shared" si="134"/>
        <v>0</v>
      </c>
      <c r="BW20" s="539">
        <v>0</v>
      </c>
      <c r="BX20" s="540">
        <f t="shared" si="23"/>
        <v>0</v>
      </c>
      <c r="BY20" s="541">
        <f t="shared" si="135"/>
        <v>0</v>
      </c>
      <c r="BZ20" s="539"/>
      <c r="CA20" s="540">
        <f t="shared" si="24"/>
        <v>0</v>
      </c>
      <c r="CB20" s="541">
        <f t="shared" si="136"/>
        <v>0</v>
      </c>
      <c r="CC20" s="539">
        <v>0</v>
      </c>
      <c r="CD20" s="540">
        <f t="shared" si="25"/>
        <v>0</v>
      </c>
      <c r="CE20" s="541">
        <f t="shared" si="137"/>
        <v>0</v>
      </c>
      <c r="CF20" s="539">
        <v>0.1</v>
      </c>
      <c r="CG20" s="540">
        <f t="shared" si="26"/>
        <v>2.0448643232521524E-3</v>
      </c>
      <c r="CH20" s="541">
        <f t="shared" si="138"/>
        <v>0</v>
      </c>
      <c r="CI20" s="539"/>
      <c r="CJ20" s="540">
        <f t="shared" si="27"/>
        <v>0</v>
      </c>
      <c r="CK20" s="541">
        <f t="shared" si="139"/>
        <v>0</v>
      </c>
      <c r="CL20" s="539"/>
      <c r="CM20" s="540">
        <f t="shared" si="28"/>
        <v>0</v>
      </c>
      <c r="CN20" s="541">
        <f t="shared" si="140"/>
        <v>0</v>
      </c>
      <c r="CO20" s="539"/>
      <c r="CP20" s="540">
        <f t="shared" si="29"/>
        <v>0</v>
      </c>
      <c r="CQ20" s="541">
        <f t="shared" si="141"/>
        <v>0</v>
      </c>
      <c r="CR20" s="539"/>
      <c r="CS20" s="540">
        <f t="shared" si="30"/>
        <v>0</v>
      </c>
      <c r="CT20" s="541">
        <f t="shared" si="142"/>
        <v>0</v>
      </c>
      <c r="CU20" s="539"/>
      <c r="CV20" s="540">
        <f t="shared" si="31"/>
        <v>0</v>
      </c>
      <c r="CW20" s="541">
        <f t="shared" si="143"/>
        <v>0</v>
      </c>
      <c r="CX20" s="539"/>
      <c r="CY20" s="540">
        <f t="shared" si="32"/>
        <v>0</v>
      </c>
      <c r="CZ20" s="541">
        <f t="shared" si="144"/>
        <v>0</v>
      </c>
      <c r="DA20" s="539"/>
      <c r="DB20" s="540">
        <f t="shared" si="33"/>
        <v>0</v>
      </c>
      <c r="DC20" s="541">
        <f t="shared" si="145"/>
        <v>0</v>
      </c>
      <c r="DD20" s="539"/>
      <c r="DE20" s="540">
        <f t="shared" si="34"/>
        <v>0</v>
      </c>
      <c r="DF20" s="541">
        <f t="shared" si="146"/>
        <v>0</v>
      </c>
      <c r="DG20" s="539">
        <v>0</v>
      </c>
      <c r="DH20" s="540">
        <f t="shared" si="35"/>
        <v>0</v>
      </c>
      <c r="DI20" s="541">
        <f t="shared" si="203"/>
        <v>0</v>
      </c>
      <c r="DJ20" s="539"/>
      <c r="DK20" s="540">
        <f t="shared" si="36"/>
        <v>0</v>
      </c>
      <c r="DL20" s="541">
        <f t="shared" si="147"/>
        <v>0</v>
      </c>
      <c r="DM20" s="539"/>
      <c r="DN20" s="540">
        <f t="shared" si="37"/>
        <v>0</v>
      </c>
      <c r="DO20" s="541">
        <f t="shared" si="148"/>
        <v>0</v>
      </c>
      <c r="DP20" s="539"/>
      <c r="DQ20" s="540">
        <f t="shared" si="38"/>
        <v>0</v>
      </c>
      <c r="DR20" s="541">
        <f t="shared" si="149"/>
        <v>0</v>
      </c>
      <c r="DS20" s="539"/>
      <c r="DT20" s="540">
        <f t="shared" si="39"/>
        <v>0</v>
      </c>
      <c r="DU20" s="541">
        <f t="shared" si="150"/>
        <v>0</v>
      </c>
      <c r="DV20" s="539"/>
      <c r="DW20" s="540">
        <f t="shared" si="40"/>
        <v>0</v>
      </c>
      <c r="DX20" s="541">
        <f t="shared" si="151"/>
        <v>0</v>
      </c>
      <c r="DY20" s="539"/>
      <c r="DZ20" s="540">
        <f t="shared" si="41"/>
        <v>0</v>
      </c>
      <c r="EA20" s="541">
        <f t="shared" si="152"/>
        <v>0</v>
      </c>
      <c r="EB20" s="539">
        <v>14.534883720930281</v>
      </c>
      <c r="EC20" s="540">
        <f t="shared" si="42"/>
        <v>0.29721865163548827</v>
      </c>
      <c r="ED20" s="541">
        <f t="shared" si="153"/>
        <v>0</v>
      </c>
      <c r="EE20" s="539">
        <v>1.5</v>
      </c>
      <c r="EF20" s="540">
        <f t="shared" si="43"/>
        <v>3.0672964848782285E-2</v>
      </c>
      <c r="EG20" s="541">
        <f t="shared" si="154"/>
        <v>0</v>
      </c>
      <c r="EH20" s="539"/>
      <c r="EI20" s="540">
        <f t="shared" si="44"/>
        <v>0</v>
      </c>
      <c r="EJ20" s="541">
        <f t="shared" si="155"/>
        <v>0</v>
      </c>
      <c r="EK20" s="539"/>
      <c r="EL20" s="540">
        <f t="shared" si="45"/>
        <v>0</v>
      </c>
      <c r="EM20" s="541">
        <f t="shared" si="156"/>
        <v>0</v>
      </c>
      <c r="EN20" s="539"/>
      <c r="EO20" s="540">
        <f t="shared" si="46"/>
        <v>0</v>
      </c>
      <c r="EP20" s="541">
        <f t="shared" si="157"/>
        <v>0</v>
      </c>
      <c r="EQ20" s="539"/>
      <c r="ER20" s="540">
        <f t="shared" si="47"/>
        <v>0</v>
      </c>
      <c r="ES20" s="541">
        <f t="shared" si="158"/>
        <v>0</v>
      </c>
      <c r="ET20" s="539"/>
      <c r="EU20" s="540">
        <f t="shared" si="48"/>
        <v>0</v>
      </c>
      <c r="EV20" s="541">
        <f t="shared" si="159"/>
        <v>0</v>
      </c>
      <c r="EW20" s="539"/>
      <c r="EX20" s="540">
        <f t="shared" si="49"/>
        <v>0</v>
      </c>
      <c r="EY20" s="541">
        <f t="shared" si="160"/>
        <v>0</v>
      </c>
      <c r="EZ20" s="539"/>
      <c r="FA20" s="540">
        <f t="shared" si="50"/>
        <v>0</v>
      </c>
      <c r="FB20" s="541">
        <f t="shared" si="161"/>
        <v>0</v>
      </c>
      <c r="FC20" s="539"/>
      <c r="FD20" s="540">
        <f t="shared" si="51"/>
        <v>0</v>
      </c>
      <c r="FE20" s="541">
        <f t="shared" si="162"/>
        <v>0</v>
      </c>
      <c r="FF20" s="539"/>
      <c r="FG20" s="540">
        <f t="shared" si="52"/>
        <v>0</v>
      </c>
      <c r="FH20" s="541">
        <f t="shared" si="163"/>
        <v>0</v>
      </c>
      <c r="FI20" s="539"/>
      <c r="FJ20" s="540">
        <f t="shared" si="53"/>
        <v>0</v>
      </c>
      <c r="FK20" s="541">
        <f t="shared" si="164"/>
        <v>0</v>
      </c>
      <c r="FL20" s="539"/>
      <c r="FM20" s="540">
        <f t="shared" si="54"/>
        <v>0</v>
      </c>
      <c r="FN20" s="541">
        <f t="shared" si="165"/>
        <v>0</v>
      </c>
      <c r="FO20" s="539"/>
      <c r="FP20" s="540">
        <f t="shared" si="55"/>
        <v>0</v>
      </c>
      <c r="FQ20" s="541">
        <f t="shared" si="166"/>
        <v>0</v>
      </c>
      <c r="FR20" s="539"/>
      <c r="FS20" s="540">
        <f t="shared" si="56"/>
        <v>0</v>
      </c>
      <c r="FT20" s="541">
        <f t="shared" si="167"/>
        <v>0</v>
      </c>
      <c r="FU20" s="539"/>
      <c r="FV20" s="540">
        <f t="shared" si="57"/>
        <v>0</v>
      </c>
      <c r="FW20" s="541">
        <f t="shared" si="168"/>
        <v>0</v>
      </c>
      <c r="FX20" s="539"/>
      <c r="FY20" s="540">
        <f t="shared" si="58"/>
        <v>0</v>
      </c>
      <c r="FZ20" s="541">
        <f t="shared" si="169"/>
        <v>0</v>
      </c>
      <c r="GA20" s="539"/>
      <c r="GB20" s="540">
        <f t="shared" si="59"/>
        <v>0</v>
      </c>
      <c r="GC20" s="541">
        <f t="shared" si="170"/>
        <v>0</v>
      </c>
      <c r="GD20" s="539"/>
      <c r="GE20" s="540">
        <f t="shared" si="60"/>
        <v>0</v>
      </c>
      <c r="GF20" s="541">
        <f t="shared" si="171"/>
        <v>0</v>
      </c>
      <c r="GG20" s="539"/>
      <c r="GH20" s="540">
        <f t="shared" si="61"/>
        <v>0</v>
      </c>
      <c r="GI20" s="541">
        <f t="shared" si="172"/>
        <v>0</v>
      </c>
      <c r="GJ20" s="539"/>
      <c r="GK20" s="540">
        <f t="shared" si="62"/>
        <v>0</v>
      </c>
      <c r="GL20" s="541">
        <f t="shared" si="173"/>
        <v>0</v>
      </c>
      <c r="GM20" s="539"/>
      <c r="GN20" s="540">
        <f t="shared" si="63"/>
        <v>0</v>
      </c>
      <c r="GO20" s="541">
        <f t="shared" si="174"/>
        <v>0</v>
      </c>
      <c r="GP20" s="539"/>
      <c r="GQ20" s="540">
        <f t="shared" si="64"/>
        <v>0</v>
      </c>
      <c r="GR20" s="541">
        <f t="shared" si="175"/>
        <v>0</v>
      </c>
      <c r="GS20" s="539"/>
      <c r="GT20" s="540">
        <f t="shared" si="65"/>
        <v>0</v>
      </c>
      <c r="GU20" s="541">
        <f t="shared" si="176"/>
        <v>0</v>
      </c>
      <c r="GV20" s="539"/>
      <c r="GW20" s="540">
        <f t="shared" si="66"/>
        <v>0</v>
      </c>
      <c r="GX20" s="541">
        <f t="shared" si="177"/>
        <v>0</v>
      </c>
      <c r="GY20" s="539"/>
      <c r="GZ20" s="540">
        <f t="shared" si="67"/>
        <v>0</v>
      </c>
      <c r="HA20" s="541">
        <f t="shared" si="178"/>
        <v>0</v>
      </c>
      <c r="HB20" s="539"/>
      <c r="HC20" s="540">
        <f t="shared" si="68"/>
        <v>0</v>
      </c>
      <c r="HD20" s="541">
        <f t="shared" si="179"/>
        <v>0</v>
      </c>
      <c r="HE20" s="539"/>
      <c r="HF20" s="540">
        <f t="shared" si="69"/>
        <v>0</v>
      </c>
      <c r="HG20" s="541">
        <f t="shared" si="180"/>
        <v>0</v>
      </c>
      <c r="HH20" s="539"/>
      <c r="HI20" s="540">
        <f t="shared" si="70"/>
        <v>0</v>
      </c>
      <c r="HJ20" s="541">
        <f t="shared" si="181"/>
        <v>0</v>
      </c>
      <c r="HK20" s="539"/>
      <c r="HL20" s="540">
        <f t="shared" si="71"/>
        <v>0</v>
      </c>
      <c r="HM20" s="541">
        <f t="shared" si="182"/>
        <v>0</v>
      </c>
      <c r="HN20" s="539"/>
      <c r="HO20" s="540">
        <f t="shared" si="72"/>
        <v>0</v>
      </c>
      <c r="HP20" s="541">
        <f t="shared" si="183"/>
        <v>0</v>
      </c>
      <c r="HQ20" s="539"/>
      <c r="HR20" s="540">
        <f t="shared" si="73"/>
        <v>0</v>
      </c>
      <c r="HS20" s="541">
        <f t="shared" si="184"/>
        <v>0</v>
      </c>
      <c r="HT20" s="539"/>
      <c r="HU20" s="540">
        <f t="shared" si="74"/>
        <v>0</v>
      </c>
      <c r="HV20" s="541">
        <f t="shared" si="185"/>
        <v>0</v>
      </c>
      <c r="HW20" s="539"/>
      <c r="HX20" s="540">
        <f t="shared" si="75"/>
        <v>0</v>
      </c>
      <c r="HY20" s="541">
        <f t="shared" si="186"/>
        <v>0</v>
      </c>
      <c r="HZ20" s="539"/>
      <c r="IA20" s="540">
        <f t="shared" si="76"/>
        <v>0</v>
      </c>
      <c r="IB20" s="541">
        <f t="shared" si="187"/>
        <v>0</v>
      </c>
      <c r="IC20" s="539"/>
      <c r="ID20" s="540">
        <f t="shared" si="77"/>
        <v>0</v>
      </c>
      <c r="IE20" s="541">
        <f t="shared" si="188"/>
        <v>0</v>
      </c>
      <c r="IF20" s="539"/>
      <c r="IG20" s="540">
        <f t="shared" si="78"/>
        <v>0</v>
      </c>
      <c r="IH20" s="541">
        <f t="shared" si="189"/>
        <v>0</v>
      </c>
      <c r="II20" s="539"/>
      <c r="IJ20" s="540">
        <f t="shared" si="79"/>
        <v>0</v>
      </c>
      <c r="IK20" s="541">
        <f t="shared" si="190"/>
        <v>0</v>
      </c>
      <c r="IL20" s="539"/>
      <c r="IM20" s="540">
        <f t="shared" si="80"/>
        <v>0</v>
      </c>
      <c r="IN20" s="541">
        <f t="shared" si="191"/>
        <v>0</v>
      </c>
      <c r="IO20" s="539"/>
      <c r="IP20" s="540">
        <f t="shared" si="81"/>
        <v>0</v>
      </c>
      <c r="IQ20" s="541">
        <f t="shared" si="192"/>
        <v>0</v>
      </c>
      <c r="IR20" s="539"/>
      <c r="IS20" s="540">
        <f t="shared" si="82"/>
        <v>0</v>
      </c>
      <c r="IT20" s="541">
        <f t="shared" si="193"/>
        <v>0</v>
      </c>
      <c r="IU20" s="539"/>
      <c r="IV20" s="540">
        <f t="shared" si="83"/>
        <v>0</v>
      </c>
      <c r="IW20" s="541">
        <f t="shared" si="194"/>
        <v>0</v>
      </c>
      <c r="IX20" s="539"/>
      <c r="IY20" s="540">
        <f t="shared" si="84"/>
        <v>0</v>
      </c>
      <c r="IZ20" s="541">
        <f t="shared" si="195"/>
        <v>0</v>
      </c>
      <c r="JA20" s="539"/>
      <c r="JB20" s="540">
        <f t="shared" si="85"/>
        <v>0</v>
      </c>
      <c r="JC20" s="541">
        <f t="shared" si="196"/>
        <v>0</v>
      </c>
      <c r="JD20" s="539"/>
      <c r="JE20" s="540">
        <f t="shared" si="86"/>
        <v>0</v>
      </c>
      <c r="JF20" s="541">
        <f t="shared" si="197"/>
        <v>0</v>
      </c>
      <c r="JG20" s="539"/>
      <c r="JH20" s="540">
        <f t="shared" si="87"/>
        <v>0</v>
      </c>
      <c r="JI20" s="541">
        <f t="shared" si="198"/>
        <v>0</v>
      </c>
      <c r="JJ20" s="539"/>
      <c r="JK20" s="541" t="str">
        <f t="shared" si="88"/>
        <v>0</v>
      </c>
      <c r="JL20" s="541" t="str">
        <f t="shared" si="89"/>
        <v>0</v>
      </c>
      <c r="JM20" s="539"/>
      <c r="JN20" s="541" t="str">
        <f t="shared" si="90"/>
        <v>0</v>
      </c>
      <c r="JO20" s="541" t="str">
        <f t="shared" si="91"/>
        <v>0</v>
      </c>
      <c r="JP20" s="539"/>
      <c r="JQ20" s="541" t="str">
        <f t="shared" si="92"/>
        <v>0</v>
      </c>
      <c r="JR20" s="541" t="str">
        <f t="shared" si="93"/>
        <v>0</v>
      </c>
      <c r="JS20" s="539"/>
      <c r="JT20" s="541" t="str">
        <f t="shared" si="94"/>
        <v>0</v>
      </c>
      <c r="JU20" s="541" t="str">
        <f t="shared" si="95"/>
        <v>0</v>
      </c>
      <c r="JV20" s="539"/>
      <c r="JW20" s="541" t="str">
        <f t="shared" si="96"/>
        <v>0</v>
      </c>
      <c r="JX20" s="541" t="str">
        <f t="shared" si="97"/>
        <v>0</v>
      </c>
      <c r="JY20" s="539"/>
      <c r="JZ20" s="541" t="str">
        <f t="shared" si="98"/>
        <v>0</v>
      </c>
      <c r="KA20" s="541" t="str">
        <f t="shared" si="99"/>
        <v>0</v>
      </c>
      <c r="KB20" s="539"/>
      <c r="KC20" s="541" t="str">
        <f t="shared" si="100"/>
        <v>0</v>
      </c>
      <c r="KD20" s="541" t="str">
        <f t="shared" si="101"/>
        <v>0</v>
      </c>
      <c r="KE20" s="539"/>
      <c r="KF20" s="541" t="str">
        <f t="shared" si="102"/>
        <v>0</v>
      </c>
      <c r="KG20" s="541" t="str">
        <f t="shared" si="103"/>
        <v>0</v>
      </c>
      <c r="KH20" s="539"/>
      <c r="KI20" s="541" t="str">
        <f t="shared" si="104"/>
        <v>0</v>
      </c>
      <c r="KJ20" s="541" t="str">
        <f t="shared" si="105"/>
        <v>0</v>
      </c>
      <c r="KK20" s="539"/>
      <c r="KL20" s="541" t="str">
        <f t="shared" si="106"/>
        <v>0</v>
      </c>
      <c r="KM20" s="541" t="str">
        <f t="shared" si="107"/>
        <v>0</v>
      </c>
      <c r="KN20" s="539"/>
      <c r="KO20" s="541" t="str">
        <f t="shared" si="108"/>
        <v>0</v>
      </c>
      <c r="KP20" s="541" t="str">
        <f t="shared" si="109"/>
        <v>0</v>
      </c>
      <c r="KQ20" s="539"/>
      <c r="KR20" s="541" t="str">
        <f t="shared" si="110"/>
        <v>0</v>
      </c>
      <c r="KS20" s="541" t="str">
        <f t="shared" si="111"/>
        <v>0</v>
      </c>
      <c r="KT20" s="541">
        <f t="shared" si="200"/>
        <v>0</v>
      </c>
      <c r="KU20" s="541">
        <f t="shared" si="201"/>
        <v>0</v>
      </c>
      <c r="KV20" s="275">
        <f t="shared" si="202"/>
        <v>428.07859588763478</v>
      </c>
    </row>
    <row r="21" spans="1:309" ht="15" customHeight="1">
      <c r="A21" s="277">
        <f t="shared" si="199"/>
        <v>45943</v>
      </c>
      <c r="B21" s="278" t="str">
        <f>+Report1!B21</f>
        <v>Facial</v>
      </c>
      <c r="C21" s="420" t="str">
        <f>+Report1!C21</f>
        <v>12</v>
      </c>
      <c r="D21" s="279">
        <f>+Report1!P21</f>
        <v>55.008000000000003</v>
      </c>
      <c r="E21" s="280">
        <f>+Report1!R21</f>
        <v>55.070999999999998</v>
      </c>
      <c r="F21" s="539">
        <v>0</v>
      </c>
      <c r="G21" s="540">
        <f t="shared" si="0"/>
        <v>0</v>
      </c>
      <c r="H21" s="541">
        <f t="shared" si="112"/>
        <v>0</v>
      </c>
      <c r="I21" s="539">
        <v>267.44186046511641</v>
      </c>
      <c r="J21" s="540">
        <f t="shared" si="1"/>
        <v>4.8563102261647044</v>
      </c>
      <c r="K21" s="541">
        <f t="shared" si="113"/>
        <v>0</v>
      </c>
      <c r="L21" s="539"/>
      <c r="M21" s="540">
        <f t="shared" si="2"/>
        <v>0</v>
      </c>
      <c r="N21" s="541">
        <f t="shared" si="114"/>
        <v>0</v>
      </c>
      <c r="O21" s="539">
        <v>6.0000000000000284</v>
      </c>
      <c r="P21" s="540">
        <f t="shared" si="3"/>
        <v>0.10895026420439122</v>
      </c>
      <c r="Q21" s="541">
        <f t="shared" si="115"/>
        <v>0</v>
      </c>
      <c r="R21" s="539"/>
      <c r="S21" s="540">
        <f t="shared" si="4"/>
        <v>0</v>
      </c>
      <c r="T21" s="541">
        <f t="shared" si="116"/>
        <v>0</v>
      </c>
      <c r="U21" s="539">
        <v>2.5625</v>
      </c>
      <c r="V21" s="540">
        <f t="shared" si="5"/>
        <v>4.6530842003958531E-2</v>
      </c>
      <c r="W21" s="541">
        <f t="shared" si="117"/>
        <v>0</v>
      </c>
      <c r="X21" s="539"/>
      <c r="Y21" s="540">
        <f t="shared" si="6"/>
        <v>0</v>
      </c>
      <c r="Z21" s="541">
        <f t="shared" si="118"/>
        <v>0</v>
      </c>
      <c r="AA21" s="539"/>
      <c r="AB21" s="540">
        <f t="shared" si="7"/>
        <v>0</v>
      </c>
      <c r="AC21" s="541">
        <f t="shared" si="119"/>
        <v>0</v>
      </c>
      <c r="AD21" s="539"/>
      <c r="AE21" s="540">
        <f t="shared" si="8"/>
        <v>0</v>
      </c>
      <c r="AF21" s="541">
        <f t="shared" si="120"/>
        <v>0</v>
      </c>
      <c r="AG21" s="539"/>
      <c r="AH21" s="540">
        <f t="shared" si="9"/>
        <v>0</v>
      </c>
      <c r="AI21" s="541">
        <f t="shared" si="121"/>
        <v>0</v>
      </c>
      <c r="AJ21" s="539">
        <v>0</v>
      </c>
      <c r="AK21" s="540">
        <f t="shared" si="10"/>
        <v>0</v>
      </c>
      <c r="AL21" s="541">
        <f t="shared" si="122"/>
        <v>0</v>
      </c>
      <c r="AM21" s="539">
        <v>0</v>
      </c>
      <c r="AN21" s="540">
        <f t="shared" si="11"/>
        <v>0</v>
      </c>
      <c r="AO21" s="541">
        <f t="shared" si="123"/>
        <v>0</v>
      </c>
      <c r="AP21" s="539">
        <v>45.569620253164544</v>
      </c>
      <c r="AQ21" s="540">
        <f t="shared" si="12"/>
        <v>0.82747036104600513</v>
      </c>
      <c r="AR21" s="541">
        <f t="shared" si="124"/>
        <v>0</v>
      </c>
      <c r="AS21" s="539"/>
      <c r="AT21" s="540">
        <f t="shared" si="13"/>
        <v>0</v>
      </c>
      <c r="AU21" s="541">
        <f t="shared" si="125"/>
        <v>0</v>
      </c>
      <c r="AV21" s="539">
        <v>5.5500000000000114</v>
      </c>
      <c r="AW21" s="540">
        <f t="shared" si="14"/>
        <v>0.1007789943890616</v>
      </c>
      <c r="AX21" s="541">
        <f t="shared" si="126"/>
        <v>0</v>
      </c>
      <c r="AY21" s="539">
        <v>72.333333333333314</v>
      </c>
      <c r="AZ21" s="540">
        <f t="shared" si="15"/>
        <v>1.3134559629084874</v>
      </c>
      <c r="BA21" s="541">
        <f t="shared" si="127"/>
        <v>0</v>
      </c>
      <c r="BB21" s="539">
        <v>0</v>
      </c>
      <c r="BC21" s="540">
        <f t="shared" si="16"/>
        <v>0</v>
      </c>
      <c r="BD21" s="541">
        <f t="shared" si="128"/>
        <v>0</v>
      </c>
      <c r="BE21" s="539"/>
      <c r="BF21" s="540">
        <f t="shared" si="17"/>
        <v>0</v>
      </c>
      <c r="BG21" s="541">
        <f t="shared" si="129"/>
        <v>0</v>
      </c>
      <c r="BH21" s="539"/>
      <c r="BI21" s="540">
        <f t="shared" si="18"/>
        <v>0</v>
      </c>
      <c r="BJ21" s="541">
        <f t="shared" si="130"/>
        <v>0</v>
      </c>
      <c r="BK21" s="539"/>
      <c r="BL21" s="540">
        <f t="shared" si="19"/>
        <v>0</v>
      </c>
      <c r="BM21" s="541">
        <f t="shared" si="131"/>
        <v>0</v>
      </c>
      <c r="BN21" s="539">
        <v>15.185185185185162</v>
      </c>
      <c r="BO21" s="540">
        <f t="shared" si="20"/>
        <v>0.27573832298642048</v>
      </c>
      <c r="BP21" s="541">
        <f t="shared" si="132"/>
        <v>0</v>
      </c>
      <c r="BQ21" s="539">
        <v>35.897435897435912</v>
      </c>
      <c r="BR21" s="540">
        <f t="shared" si="21"/>
        <v>0.65183918754763692</v>
      </c>
      <c r="BS21" s="541">
        <f t="shared" si="133"/>
        <v>0</v>
      </c>
      <c r="BT21" s="539"/>
      <c r="BU21" s="540">
        <f t="shared" si="22"/>
        <v>0</v>
      </c>
      <c r="BV21" s="541">
        <f t="shared" si="134"/>
        <v>0</v>
      </c>
      <c r="BW21" s="539">
        <v>0</v>
      </c>
      <c r="BX21" s="540">
        <f t="shared" si="23"/>
        <v>0</v>
      </c>
      <c r="BY21" s="541">
        <f t="shared" si="135"/>
        <v>0</v>
      </c>
      <c r="BZ21" s="539"/>
      <c r="CA21" s="540">
        <f t="shared" si="24"/>
        <v>0</v>
      </c>
      <c r="CB21" s="541">
        <f t="shared" si="136"/>
        <v>0</v>
      </c>
      <c r="CC21" s="539">
        <v>0</v>
      </c>
      <c r="CD21" s="540">
        <f t="shared" si="25"/>
        <v>0</v>
      </c>
      <c r="CE21" s="541">
        <f t="shared" si="137"/>
        <v>0</v>
      </c>
      <c r="CF21" s="539">
        <v>9.9999999999999978E-2</v>
      </c>
      <c r="CG21" s="540">
        <f t="shared" si="26"/>
        <v>1.8158377367398445E-3</v>
      </c>
      <c r="CH21" s="541">
        <f t="shared" si="138"/>
        <v>0</v>
      </c>
      <c r="CI21" s="539"/>
      <c r="CJ21" s="540">
        <f t="shared" si="27"/>
        <v>0</v>
      </c>
      <c r="CK21" s="541">
        <f t="shared" si="139"/>
        <v>0</v>
      </c>
      <c r="CL21" s="539"/>
      <c r="CM21" s="540">
        <f t="shared" si="28"/>
        <v>0</v>
      </c>
      <c r="CN21" s="541">
        <f t="shared" si="140"/>
        <v>0</v>
      </c>
      <c r="CO21" s="539"/>
      <c r="CP21" s="540">
        <f t="shared" si="29"/>
        <v>0</v>
      </c>
      <c r="CQ21" s="541">
        <f t="shared" si="141"/>
        <v>0</v>
      </c>
      <c r="CR21" s="539"/>
      <c r="CS21" s="540">
        <f t="shared" si="30"/>
        <v>0</v>
      </c>
      <c r="CT21" s="541">
        <f t="shared" si="142"/>
        <v>0</v>
      </c>
      <c r="CU21" s="539"/>
      <c r="CV21" s="540">
        <f t="shared" si="31"/>
        <v>0</v>
      </c>
      <c r="CW21" s="541">
        <f t="shared" si="143"/>
        <v>0</v>
      </c>
      <c r="CX21" s="539"/>
      <c r="CY21" s="540">
        <f t="shared" si="32"/>
        <v>0</v>
      </c>
      <c r="CZ21" s="541">
        <f t="shared" si="144"/>
        <v>0</v>
      </c>
      <c r="DA21" s="539"/>
      <c r="DB21" s="540">
        <f t="shared" si="33"/>
        <v>0</v>
      </c>
      <c r="DC21" s="541">
        <f t="shared" si="145"/>
        <v>0</v>
      </c>
      <c r="DD21" s="539"/>
      <c r="DE21" s="540">
        <f t="shared" si="34"/>
        <v>0</v>
      </c>
      <c r="DF21" s="541">
        <f t="shared" si="146"/>
        <v>0</v>
      </c>
      <c r="DG21" s="539">
        <v>0</v>
      </c>
      <c r="DH21" s="540">
        <f t="shared" si="35"/>
        <v>0</v>
      </c>
      <c r="DI21" s="541">
        <f t="shared" si="203"/>
        <v>0</v>
      </c>
      <c r="DJ21" s="539"/>
      <c r="DK21" s="540">
        <f t="shared" si="36"/>
        <v>0</v>
      </c>
      <c r="DL21" s="541">
        <f t="shared" si="147"/>
        <v>0</v>
      </c>
      <c r="DM21" s="539"/>
      <c r="DN21" s="540">
        <f t="shared" si="37"/>
        <v>0</v>
      </c>
      <c r="DO21" s="541">
        <f t="shared" si="148"/>
        <v>0</v>
      </c>
      <c r="DP21" s="539"/>
      <c r="DQ21" s="540">
        <f t="shared" si="38"/>
        <v>0</v>
      </c>
      <c r="DR21" s="541">
        <f t="shared" si="149"/>
        <v>0</v>
      </c>
      <c r="DS21" s="539"/>
      <c r="DT21" s="540">
        <f t="shared" si="39"/>
        <v>0</v>
      </c>
      <c r="DU21" s="541">
        <f t="shared" si="150"/>
        <v>0</v>
      </c>
      <c r="DV21" s="539"/>
      <c r="DW21" s="540">
        <f t="shared" si="40"/>
        <v>0</v>
      </c>
      <c r="DX21" s="541">
        <f t="shared" si="151"/>
        <v>0</v>
      </c>
      <c r="DY21" s="539"/>
      <c r="DZ21" s="540">
        <f t="shared" si="41"/>
        <v>0</v>
      </c>
      <c r="EA21" s="541">
        <f t="shared" si="152"/>
        <v>0</v>
      </c>
      <c r="EB21" s="539">
        <v>14.534883720930225</v>
      </c>
      <c r="EC21" s="540">
        <f t="shared" si="42"/>
        <v>0.26392990359590757</v>
      </c>
      <c r="ED21" s="541">
        <f t="shared" si="153"/>
        <v>0</v>
      </c>
      <c r="EE21" s="539">
        <v>2</v>
      </c>
      <c r="EF21" s="540">
        <f t="shared" si="43"/>
        <v>3.6316754734796897E-2</v>
      </c>
      <c r="EG21" s="541">
        <f t="shared" si="154"/>
        <v>0</v>
      </c>
      <c r="EH21" s="539"/>
      <c r="EI21" s="540">
        <f t="shared" si="44"/>
        <v>0</v>
      </c>
      <c r="EJ21" s="541">
        <f t="shared" si="155"/>
        <v>0</v>
      </c>
      <c r="EK21" s="539"/>
      <c r="EL21" s="540">
        <f t="shared" si="45"/>
        <v>0</v>
      </c>
      <c r="EM21" s="541">
        <f t="shared" si="156"/>
        <v>0</v>
      </c>
      <c r="EN21" s="539"/>
      <c r="EO21" s="540">
        <f t="shared" si="46"/>
        <v>0</v>
      </c>
      <c r="EP21" s="541">
        <f t="shared" si="157"/>
        <v>0</v>
      </c>
      <c r="EQ21" s="539"/>
      <c r="ER21" s="540">
        <f t="shared" si="47"/>
        <v>0</v>
      </c>
      <c r="ES21" s="541">
        <f t="shared" si="158"/>
        <v>0</v>
      </c>
      <c r="ET21" s="539"/>
      <c r="EU21" s="540">
        <f t="shared" si="48"/>
        <v>0</v>
      </c>
      <c r="EV21" s="541">
        <f t="shared" si="159"/>
        <v>0</v>
      </c>
      <c r="EW21" s="539"/>
      <c r="EX21" s="540">
        <f t="shared" si="49"/>
        <v>0</v>
      </c>
      <c r="EY21" s="541">
        <f t="shared" si="160"/>
        <v>0</v>
      </c>
      <c r="EZ21" s="539"/>
      <c r="FA21" s="540">
        <f t="shared" si="50"/>
        <v>0</v>
      </c>
      <c r="FB21" s="541">
        <f t="shared" si="161"/>
        <v>0</v>
      </c>
      <c r="FC21" s="539"/>
      <c r="FD21" s="540">
        <f t="shared" si="51"/>
        <v>0</v>
      </c>
      <c r="FE21" s="541">
        <f t="shared" si="162"/>
        <v>0</v>
      </c>
      <c r="FF21" s="539"/>
      <c r="FG21" s="540">
        <f t="shared" si="52"/>
        <v>0</v>
      </c>
      <c r="FH21" s="541">
        <f t="shared" si="163"/>
        <v>0</v>
      </c>
      <c r="FI21" s="539"/>
      <c r="FJ21" s="540">
        <f t="shared" si="53"/>
        <v>0</v>
      </c>
      <c r="FK21" s="541">
        <f t="shared" si="164"/>
        <v>0</v>
      </c>
      <c r="FL21" s="539"/>
      <c r="FM21" s="540">
        <f t="shared" si="54"/>
        <v>0</v>
      </c>
      <c r="FN21" s="541">
        <f t="shared" si="165"/>
        <v>0</v>
      </c>
      <c r="FO21" s="539"/>
      <c r="FP21" s="540">
        <f t="shared" si="55"/>
        <v>0</v>
      </c>
      <c r="FQ21" s="541">
        <f t="shared" si="166"/>
        <v>0</v>
      </c>
      <c r="FR21" s="539"/>
      <c r="FS21" s="540">
        <f t="shared" si="56"/>
        <v>0</v>
      </c>
      <c r="FT21" s="541">
        <f t="shared" si="167"/>
        <v>0</v>
      </c>
      <c r="FU21" s="539"/>
      <c r="FV21" s="540">
        <f t="shared" si="57"/>
        <v>0</v>
      </c>
      <c r="FW21" s="541">
        <f t="shared" si="168"/>
        <v>0</v>
      </c>
      <c r="FX21" s="539"/>
      <c r="FY21" s="540">
        <f t="shared" si="58"/>
        <v>0</v>
      </c>
      <c r="FZ21" s="541">
        <f t="shared" si="169"/>
        <v>0</v>
      </c>
      <c r="GA21" s="539"/>
      <c r="GB21" s="540">
        <f t="shared" si="59"/>
        <v>0</v>
      </c>
      <c r="GC21" s="541">
        <f t="shared" si="170"/>
        <v>0</v>
      </c>
      <c r="GD21" s="539"/>
      <c r="GE21" s="540">
        <f t="shared" si="60"/>
        <v>0</v>
      </c>
      <c r="GF21" s="541">
        <f t="shared" si="171"/>
        <v>0</v>
      </c>
      <c r="GG21" s="539"/>
      <c r="GH21" s="540">
        <f t="shared" si="61"/>
        <v>0</v>
      </c>
      <c r="GI21" s="541">
        <f t="shared" si="172"/>
        <v>0</v>
      </c>
      <c r="GJ21" s="539"/>
      <c r="GK21" s="540">
        <f t="shared" si="62"/>
        <v>0</v>
      </c>
      <c r="GL21" s="541">
        <f t="shared" si="173"/>
        <v>0</v>
      </c>
      <c r="GM21" s="539"/>
      <c r="GN21" s="540">
        <f t="shared" si="63"/>
        <v>0</v>
      </c>
      <c r="GO21" s="541">
        <f t="shared" si="174"/>
        <v>0</v>
      </c>
      <c r="GP21" s="539"/>
      <c r="GQ21" s="540">
        <f t="shared" si="64"/>
        <v>0</v>
      </c>
      <c r="GR21" s="541">
        <f t="shared" si="175"/>
        <v>0</v>
      </c>
      <c r="GS21" s="539"/>
      <c r="GT21" s="540">
        <f t="shared" si="65"/>
        <v>0</v>
      </c>
      <c r="GU21" s="541">
        <f t="shared" si="176"/>
        <v>0</v>
      </c>
      <c r="GV21" s="539"/>
      <c r="GW21" s="540">
        <f t="shared" si="66"/>
        <v>0</v>
      </c>
      <c r="GX21" s="541">
        <f t="shared" si="177"/>
        <v>0</v>
      </c>
      <c r="GY21" s="539"/>
      <c r="GZ21" s="540">
        <f t="shared" si="67"/>
        <v>0</v>
      </c>
      <c r="HA21" s="541">
        <f t="shared" si="178"/>
        <v>0</v>
      </c>
      <c r="HB21" s="539"/>
      <c r="HC21" s="540">
        <f t="shared" si="68"/>
        <v>0</v>
      </c>
      <c r="HD21" s="541">
        <f t="shared" si="179"/>
        <v>0</v>
      </c>
      <c r="HE21" s="539"/>
      <c r="HF21" s="540">
        <f t="shared" si="69"/>
        <v>0</v>
      </c>
      <c r="HG21" s="541">
        <f t="shared" si="180"/>
        <v>0</v>
      </c>
      <c r="HH21" s="539"/>
      <c r="HI21" s="540">
        <f t="shared" si="70"/>
        <v>0</v>
      </c>
      <c r="HJ21" s="541">
        <f t="shared" si="181"/>
        <v>0</v>
      </c>
      <c r="HK21" s="539"/>
      <c r="HL21" s="540">
        <f t="shared" si="71"/>
        <v>0</v>
      </c>
      <c r="HM21" s="541">
        <f t="shared" si="182"/>
        <v>0</v>
      </c>
      <c r="HN21" s="539"/>
      <c r="HO21" s="540">
        <f t="shared" si="72"/>
        <v>0</v>
      </c>
      <c r="HP21" s="541">
        <f t="shared" si="183"/>
        <v>0</v>
      </c>
      <c r="HQ21" s="539"/>
      <c r="HR21" s="540">
        <f t="shared" si="73"/>
        <v>0</v>
      </c>
      <c r="HS21" s="541">
        <f t="shared" si="184"/>
        <v>0</v>
      </c>
      <c r="HT21" s="539"/>
      <c r="HU21" s="540">
        <f t="shared" si="74"/>
        <v>0</v>
      </c>
      <c r="HV21" s="541">
        <f t="shared" si="185"/>
        <v>0</v>
      </c>
      <c r="HW21" s="539"/>
      <c r="HX21" s="540">
        <f t="shared" si="75"/>
        <v>0</v>
      </c>
      <c r="HY21" s="541">
        <f t="shared" si="186"/>
        <v>0</v>
      </c>
      <c r="HZ21" s="539"/>
      <c r="IA21" s="540">
        <f t="shared" si="76"/>
        <v>0</v>
      </c>
      <c r="IB21" s="541">
        <f t="shared" si="187"/>
        <v>0</v>
      </c>
      <c r="IC21" s="539"/>
      <c r="ID21" s="540">
        <f t="shared" si="77"/>
        <v>0</v>
      </c>
      <c r="IE21" s="541">
        <f t="shared" si="188"/>
        <v>0</v>
      </c>
      <c r="IF21" s="539"/>
      <c r="IG21" s="540">
        <f t="shared" si="78"/>
        <v>0</v>
      </c>
      <c r="IH21" s="541">
        <f t="shared" si="189"/>
        <v>0</v>
      </c>
      <c r="II21" s="539"/>
      <c r="IJ21" s="540">
        <f t="shared" si="79"/>
        <v>0</v>
      </c>
      <c r="IK21" s="541">
        <f t="shared" si="190"/>
        <v>0</v>
      </c>
      <c r="IL21" s="539"/>
      <c r="IM21" s="540">
        <f t="shared" si="80"/>
        <v>0</v>
      </c>
      <c r="IN21" s="541">
        <f t="shared" si="191"/>
        <v>0</v>
      </c>
      <c r="IO21" s="539"/>
      <c r="IP21" s="540">
        <f t="shared" si="81"/>
        <v>0</v>
      </c>
      <c r="IQ21" s="541">
        <f t="shared" si="192"/>
        <v>0</v>
      </c>
      <c r="IR21" s="539"/>
      <c r="IS21" s="540">
        <f t="shared" si="82"/>
        <v>0</v>
      </c>
      <c r="IT21" s="541">
        <f t="shared" si="193"/>
        <v>0</v>
      </c>
      <c r="IU21" s="539"/>
      <c r="IV21" s="540">
        <f t="shared" si="83"/>
        <v>0</v>
      </c>
      <c r="IW21" s="541">
        <f t="shared" si="194"/>
        <v>0</v>
      </c>
      <c r="IX21" s="539"/>
      <c r="IY21" s="540">
        <f t="shared" si="84"/>
        <v>0</v>
      </c>
      <c r="IZ21" s="541">
        <f t="shared" si="195"/>
        <v>0</v>
      </c>
      <c r="JA21" s="539"/>
      <c r="JB21" s="540">
        <f t="shared" si="85"/>
        <v>0</v>
      </c>
      <c r="JC21" s="541">
        <f t="shared" si="196"/>
        <v>0</v>
      </c>
      <c r="JD21" s="539"/>
      <c r="JE21" s="540">
        <f t="shared" si="86"/>
        <v>0</v>
      </c>
      <c r="JF21" s="541">
        <f t="shared" si="197"/>
        <v>0</v>
      </c>
      <c r="JG21" s="539"/>
      <c r="JH21" s="540">
        <f t="shared" si="87"/>
        <v>0</v>
      </c>
      <c r="JI21" s="541">
        <f t="shared" si="198"/>
        <v>0</v>
      </c>
      <c r="JJ21" s="539"/>
      <c r="JK21" s="541" t="str">
        <f t="shared" si="88"/>
        <v>0</v>
      </c>
      <c r="JL21" s="541" t="str">
        <f t="shared" si="89"/>
        <v>0</v>
      </c>
      <c r="JM21" s="539"/>
      <c r="JN21" s="541" t="str">
        <f t="shared" si="90"/>
        <v>0</v>
      </c>
      <c r="JO21" s="541" t="str">
        <f t="shared" si="91"/>
        <v>0</v>
      </c>
      <c r="JP21" s="539"/>
      <c r="JQ21" s="541" t="str">
        <f t="shared" si="92"/>
        <v>0</v>
      </c>
      <c r="JR21" s="541" t="str">
        <f t="shared" si="93"/>
        <v>0</v>
      </c>
      <c r="JS21" s="539"/>
      <c r="JT21" s="541" t="str">
        <f t="shared" si="94"/>
        <v>0</v>
      </c>
      <c r="JU21" s="541" t="str">
        <f t="shared" si="95"/>
        <v>0</v>
      </c>
      <c r="JV21" s="539"/>
      <c r="JW21" s="541" t="str">
        <f t="shared" si="96"/>
        <v>0</v>
      </c>
      <c r="JX21" s="541" t="str">
        <f t="shared" si="97"/>
        <v>0</v>
      </c>
      <c r="JY21" s="539"/>
      <c r="JZ21" s="541" t="str">
        <f t="shared" si="98"/>
        <v>0</v>
      </c>
      <c r="KA21" s="541" t="str">
        <f t="shared" si="99"/>
        <v>0</v>
      </c>
      <c r="KB21" s="539"/>
      <c r="KC21" s="541" t="str">
        <f t="shared" si="100"/>
        <v>0</v>
      </c>
      <c r="KD21" s="541" t="str">
        <f t="shared" si="101"/>
        <v>0</v>
      </c>
      <c r="KE21" s="539"/>
      <c r="KF21" s="541" t="str">
        <f t="shared" si="102"/>
        <v>0</v>
      </c>
      <c r="KG21" s="541" t="str">
        <f t="shared" si="103"/>
        <v>0</v>
      </c>
      <c r="KH21" s="539"/>
      <c r="KI21" s="541" t="str">
        <f t="shared" si="104"/>
        <v>0</v>
      </c>
      <c r="KJ21" s="541" t="str">
        <f t="shared" si="105"/>
        <v>0</v>
      </c>
      <c r="KK21" s="539"/>
      <c r="KL21" s="541" t="str">
        <f t="shared" si="106"/>
        <v>0</v>
      </c>
      <c r="KM21" s="541" t="str">
        <f t="shared" si="107"/>
        <v>0</v>
      </c>
      <c r="KN21" s="539"/>
      <c r="KO21" s="541" t="str">
        <f t="shared" si="108"/>
        <v>0</v>
      </c>
      <c r="KP21" s="541" t="str">
        <f t="shared" si="109"/>
        <v>0</v>
      </c>
      <c r="KQ21" s="539"/>
      <c r="KR21" s="541" t="str">
        <f t="shared" si="110"/>
        <v>0</v>
      </c>
      <c r="KS21" s="541" t="str">
        <f t="shared" si="111"/>
        <v>0</v>
      </c>
      <c r="KT21" s="541">
        <f t="shared" si="200"/>
        <v>0</v>
      </c>
      <c r="KU21" s="541">
        <f t="shared" si="201"/>
        <v>0</v>
      </c>
      <c r="KV21" s="275">
        <f t="shared" si="202"/>
        <v>467.1748188551656</v>
      </c>
    </row>
    <row r="22" spans="1:309" ht="15" customHeight="1">
      <c r="A22" s="277">
        <f t="shared" si="199"/>
        <v>45944</v>
      </c>
      <c r="B22" s="278" t="str">
        <f>+Report1!B22</f>
        <v>Facial</v>
      </c>
      <c r="C22" s="420" t="str">
        <f>+Report1!C22</f>
        <v>12</v>
      </c>
      <c r="D22" s="279">
        <f>+Report1!P22</f>
        <v>59.032000000000004</v>
      </c>
      <c r="E22" s="280">
        <f>+Report1!R22</f>
        <v>60.683</v>
      </c>
      <c r="F22" s="539">
        <v>0</v>
      </c>
      <c r="G22" s="540">
        <f t="shared" si="0"/>
        <v>0</v>
      </c>
      <c r="H22" s="541">
        <f t="shared" si="112"/>
        <v>0</v>
      </c>
      <c r="I22" s="539">
        <v>302.32558139534876</v>
      </c>
      <c r="J22" s="540">
        <f t="shared" si="1"/>
        <v>4.9820473838694328</v>
      </c>
      <c r="K22" s="541">
        <f t="shared" si="113"/>
        <v>0</v>
      </c>
      <c r="L22" s="539"/>
      <c r="M22" s="540">
        <f t="shared" si="2"/>
        <v>0</v>
      </c>
      <c r="N22" s="541">
        <f t="shared" si="114"/>
        <v>0</v>
      </c>
      <c r="O22" s="539">
        <v>9</v>
      </c>
      <c r="P22" s="540">
        <f t="shared" si="3"/>
        <v>0.14831171827365161</v>
      </c>
      <c r="Q22" s="541">
        <f t="shared" si="115"/>
        <v>0</v>
      </c>
      <c r="R22" s="539"/>
      <c r="S22" s="540">
        <f t="shared" si="4"/>
        <v>0</v>
      </c>
      <c r="T22" s="541">
        <f t="shared" si="116"/>
        <v>0</v>
      </c>
      <c r="U22" s="539">
        <v>5.125</v>
      </c>
      <c r="V22" s="540">
        <f t="shared" si="5"/>
        <v>8.4455284016940496E-2</v>
      </c>
      <c r="W22" s="541">
        <f t="shared" si="117"/>
        <v>0</v>
      </c>
      <c r="X22" s="539"/>
      <c r="Y22" s="540">
        <f t="shared" si="6"/>
        <v>0</v>
      </c>
      <c r="Z22" s="541">
        <f t="shared" si="118"/>
        <v>0</v>
      </c>
      <c r="AA22" s="539"/>
      <c r="AB22" s="540">
        <f t="shared" si="7"/>
        <v>0</v>
      </c>
      <c r="AC22" s="541">
        <f t="shared" si="119"/>
        <v>0</v>
      </c>
      <c r="AD22" s="539"/>
      <c r="AE22" s="540">
        <f t="shared" si="8"/>
        <v>0</v>
      </c>
      <c r="AF22" s="541">
        <f t="shared" si="120"/>
        <v>0</v>
      </c>
      <c r="AG22" s="539"/>
      <c r="AH22" s="540">
        <f t="shared" si="9"/>
        <v>0</v>
      </c>
      <c r="AI22" s="541">
        <f t="shared" si="121"/>
        <v>0</v>
      </c>
      <c r="AJ22" s="539">
        <v>29.375000000000007</v>
      </c>
      <c r="AK22" s="540">
        <f t="shared" si="10"/>
        <v>0.48407296936539074</v>
      </c>
      <c r="AL22" s="541">
        <f t="shared" si="122"/>
        <v>0</v>
      </c>
      <c r="AM22" s="539">
        <v>0</v>
      </c>
      <c r="AN22" s="540">
        <f t="shared" si="11"/>
        <v>0</v>
      </c>
      <c r="AO22" s="541">
        <f t="shared" si="123"/>
        <v>0</v>
      </c>
      <c r="AP22" s="539">
        <v>56.96202531645568</v>
      </c>
      <c r="AQ22" s="540">
        <f t="shared" si="12"/>
        <v>0.93868176122564273</v>
      </c>
      <c r="AR22" s="541">
        <f t="shared" si="124"/>
        <v>0</v>
      </c>
      <c r="AS22" s="539"/>
      <c r="AT22" s="540">
        <f t="shared" si="13"/>
        <v>0</v>
      </c>
      <c r="AU22" s="541">
        <f t="shared" si="125"/>
        <v>0</v>
      </c>
      <c r="AV22" s="539">
        <v>5.5500000000000114</v>
      </c>
      <c r="AW22" s="540">
        <f t="shared" si="14"/>
        <v>9.1458892935418673E-2</v>
      </c>
      <c r="AX22" s="541">
        <f t="shared" si="126"/>
        <v>0</v>
      </c>
      <c r="AY22" s="539">
        <v>72.333333333333329</v>
      </c>
      <c r="AZ22" s="540">
        <f t="shared" si="15"/>
        <v>1.1919867727919407</v>
      </c>
      <c r="BA22" s="541">
        <f t="shared" si="127"/>
        <v>0</v>
      </c>
      <c r="BB22" s="539">
        <v>0</v>
      </c>
      <c r="BC22" s="540">
        <f t="shared" si="16"/>
        <v>0</v>
      </c>
      <c r="BD22" s="541">
        <f t="shared" si="128"/>
        <v>0</v>
      </c>
      <c r="BE22" s="539"/>
      <c r="BF22" s="540">
        <f t="shared" si="17"/>
        <v>0</v>
      </c>
      <c r="BG22" s="541">
        <f t="shared" si="129"/>
        <v>0</v>
      </c>
      <c r="BH22" s="539"/>
      <c r="BI22" s="540">
        <f t="shared" si="18"/>
        <v>0</v>
      </c>
      <c r="BJ22" s="541">
        <f t="shared" si="130"/>
        <v>0</v>
      </c>
      <c r="BK22" s="539"/>
      <c r="BL22" s="540">
        <f t="shared" si="19"/>
        <v>0</v>
      </c>
      <c r="BM22" s="541">
        <f t="shared" si="131"/>
        <v>0</v>
      </c>
      <c r="BN22" s="539">
        <v>12.65432098765433</v>
      </c>
      <c r="BO22" s="540">
        <f t="shared" si="20"/>
        <v>0.20853156547392729</v>
      </c>
      <c r="BP22" s="541">
        <f t="shared" si="132"/>
        <v>0</v>
      </c>
      <c r="BQ22" s="539">
        <v>0</v>
      </c>
      <c r="BR22" s="540">
        <f t="shared" si="21"/>
        <v>0</v>
      </c>
      <c r="BS22" s="541">
        <f t="shared" si="133"/>
        <v>0</v>
      </c>
      <c r="BT22" s="539"/>
      <c r="BU22" s="540">
        <f t="shared" si="22"/>
        <v>0</v>
      </c>
      <c r="BV22" s="541">
        <f t="shared" si="134"/>
        <v>0</v>
      </c>
      <c r="BW22" s="539">
        <v>0</v>
      </c>
      <c r="BX22" s="540">
        <f t="shared" si="23"/>
        <v>0</v>
      </c>
      <c r="BY22" s="541">
        <f t="shared" si="135"/>
        <v>0</v>
      </c>
      <c r="BZ22" s="539"/>
      <c r="CA22" s="540">
        <f t="shared" si="24"/>
        <v>0</v>
      </c>
      <c r="CB22" s="541">
        <f t="shared" si="136"/>
        <v>0</v>
      </c>
      <c r="CC22" s="539">
        <v>0</v>
      </c>
      <c r="CD22" s="540">
        <f t="shared" si="25"/>
        <v>0</v>
      </c>
      <c r="CE22" s="541">
        <f t="shared" si="137"/>
        <v>0</v>
      </c>
      <c r="CF22" s="539">
        <v>0.1</v>
      </c>
      <c r="CG22" s="540">
        <f t="shared" si="26"/>
        <v>1.6479079808183511E-3</v>
      </c>
      <c r="CH22" s="541">
        <f t="shared" si="138"/>
        <v>0</v>
      </c>
      <c r="CI22" s="539"/>
      <c r="CJ22" s="540">
        <f t="shared" si="27"/>
        <v>0</v>
      </c>
      <c r="CK22" s="541">
        <f t="shared" si="139"/>
        <v>0</v>
      </c>
      <c r="CL22" s="539"/>
      <c r="CM22" s="540">
        <f t="shared" si="28"/>
        <v>0</v>
      </c>
      <c r="CN22" s="541">
        <f t="shared" si="140"/>
        <v>0</v>
      </c>
      <c r="CO22" s="539"/>
      <c r="CP22" s="540">
        <f t="shared" si="29"/>
        <v>0</v>
      </c>
      <c r="CQ22" s="541">
        <f t="shared" si="141"/>
        <v>0</v>
      </c>
      <c r="CR22" s="539"/>
      <c r="CS22" s="540">
        <f t="shared" si="30"/>
        <v>0</v>
      </c>
      <c r="CT22" s="541">
        <f t="shared" si="142"/>
        <v>0</v>
      </c>
      <c r="CU22" s="539"/>
      <c r="CV22" s="540">
        <f t="shared" si="31"/>
        <v>0</v>
      </c>
      <c r="CW22" s="541">
        <f t="shared" si="143"/>
        <v>0</v>
      </c>
      <c r="CX22" s="539"/>
      <c r="CY22" s="540">
        <f t="shared" si="32"/>
        <v>0</v>
      </c>
      <c r="CZ22" s="541">
        <f t="shared" si="144"/>
        <v>0</v>
      </c>
      <c r="DA22" s="539"/>
      <c r="DB22" s="540">
        <f t="shared" si="33"/>
        <v>0</v>
      </c>
      <c r="DC22" s="541">
        <f t="shared" si="145"/>
        <v>0</v>
      </c>
      <c r="DD22" s="539"/>
      <c r="DE22" s="540">
        <f t="shared" si="34"/>
        <v>0</v>
      </c>
      <c r="DF22" s="541">
        <f t="shared" si="146"/>
        <v>0</v>
      </c>
      <c r="DG22" s="539">
        <v>0</v>
      </c>
      <c r="DH22" s="540">
        <f t="shared" si="35"/>
        <v>0</v>
      </c>
      <c r="DI22" s="541">
        <f t="shared" si="203"/>
        <v>0</v>
      </c>
      <c r="DJ22" s="539"/>
      <c r="DK22" s="540">
        <f t="shared" si="36"/>
        <v>0</v>
      </c>
      <c r="DL22" s="541">
        <f t="shared" si="147"/>
        <v>0</v>
      </c>
      <c r="DM22" s="539"/>
      <c r="DN22" s="540">
        <f t="shared" si="37"/>
        <v>0</v>
      </c>
      <c r="DO22" s="541">
        <f t="shared" si="148"/>
        <v>0</v>
      </c>
      <c r="DP22" s="539"/>
      <c r="DQ22" s="540">
        <f t="shared" si="38"/>
        <v>0</v>
      </c>
      <c r="DR22" s="541">
        <f t="shared" si="149"/>
        <v>0</v>
      </c>
      <c r="DS22" s="539"/>
      <c r="DT22" s="540">
        <f t="shared" si="39"/>
        <v>0</v>
      </c>
      <c r="DU22" s="541">
        <f t="shared" si="150"/>
        <v>0</v>
      </c>
      <c r="DV22" s="539"/>
      <c r="DW22" s="540">
        <f t="shared" si="40"/>
        <v>0</v>
      </c>
      <c r="DX22" s="541">
        <f t="shared" si="151"/>
        <v>0</v>
      </c>
      <c r="DY22" s="539"/>
      <c r="DZ22" s="540">
        <f t="shared" si="41"/>
        <v>0</v>
      </c>
      <c r="EA22" s="541">
        <f t="shared" si="152"/>
        <v>0</v>
      </c>
      <c r="EB22" s="539">
        <v>14.534883720930225</v>
      </c>
      <c r="EC22" s="540">
        <f t="shared" si="42"/>
        <v>0.2395215088398765</v>
      </c>
      <c r="ED22" s="541">
        <f t="shared" si="153"/>
        <v>0</v>
      </c>
      <c r="EE22" s="539">
        <v>2</v>
      </c>
      <c r="EF22" s="540">
        <f t="shared" si="43"/>
        <v>3.2958159616367021E-2</v>
      </c>
      <c r="EG22" s="541">
        <f t="shared" si="154"/>
        <v>0</v>
      </c>
      <c r="EH22" s="539"/>
      <c r="EI22" s="540">
        <f t="shared" si="44"/>
        <v>0</v>
      </c>
      <c r="EJ22" s="541">
        <f t="shared" si="155"/>
        <v>0</v>
      </c>
      <c r="EK22" s="539"/>
      <c r="EL22" s="540">
        <f t="shared" si="45"/>
        <v>0</v>
      </c>
      <c r="EM22" s="541">
        <f t="shared" si="156"/>
        <v>0</v>
      </c>
      <c r="EN22" s="539"/>
      <c r="EO22" s="540">
        <f t="shared" si="46"/>
        <v>0</v>
      </c>
      <c r="EP22" s="541">
        <f t="shared" si="157"/>
        <v>0</v>
      </c>
      <c r="EQ22" s="539"/>
      <c r="ER22" s="540">
        <f t="shared" si="47"/>
        <v>0</v>
      </c>
      <c r="ES22" s="541">
        <f t="shared" si="158"/>
        <v>0</v>
      </c>
      <c r="ET22" s="539"/>
      <c r="EU22" s="540">
        <f t="shared" si="48"/>
        <v>0</v>
      </c>
      <c r="EV22" s="541">
        <f t="shared" si="159"/>
        <v>0</v>
      </c>
      <c r="EW22" s="539"/>
      <c r="EX22" s="540">
        <f t="shared" si="49"/>
        <v>0</v>
      </c>
      <c r="EY22" s="541">
        <f t="shared" si="160"/>
        <v>0</v>
      </c>
      <c r="EZ22" s="539"/>
      <c r="FA22" s="540">
        <f t="shared" si="50"/>
        <v>0</v>
      </c>
      <c r="FB22" s="541">
        <f t="shared" si="161"/>
        <v>0</v>
      </c>
      <c r="FC22" s="539"/>
      <c r="FD22" s="540">
        <f t="shared" si="51"/>
        <v>0</v>
      </c>
      <c r="FE22" s="541">
        <f t="shared" si="162"/>
        <v>0</v>
      </c>
      <c r="FF22" s="539"/>
      <c r="FG22" s="540">
        <f t="shared" si="52"/>
        <v>0</v>
      </c>
      <c r="FH22" s="541">
        <f t="shared" si="163"/>
        <v>0</v>
      </c>
      <c r="FI22" s="539"/>
      <c r="FJ22" s="540">
        <f t="shared" si="53"/>
        <v>0</v>
      </c>
      <c r="FK22" s="541">
        <f t="shared" si="164"/>
        <v>0</v>
      </c>
      <c r="FL22" s="539"/>
      <c r="FM22" s="540">
        <f t="shared" si="54"/>
        <v>0</v>
      </c>
      <c r="FN22" s="541">
        <f t="shared" si="165"/>
        <v>0</v>
      </c>
      <c r="FO22" s="539"/>
      <c r="FP22" s="540">
        <f t="shared" si="55"/>
        <v>0</v>
      </c>
      <c r="FQ22" s="541">
        <f t="shared" si="166"/>
        <v>0</v>
      </c>
      <c r="FR22" s="539"/>
      <c r="FS22" s="540">
        <f t="shared" si="56"/>
        <v>0</v>
      </c>
      <c r="FT22" s="541">
        <f t="shared" si="167"/>
        <v>0</v>
      </c>
      <c r="FU22" s="539"/>
      <c r="FV22" s="540">
        <f t="shared" si="57"/>
        <v>0</v>
      </c>
      <c r="FW22" s="541">
        <f t="shared" si="168"/>
        <v>0</v>
      </c>
      <c r="FX22" s="539"/>
      <c r="FY22" s="540">
        <f t="shared" si="58"/>
        <v>0</v>
      </c>
      <c r="FZ22" s="541">
        <f t="shared" si="169"/>
        <v>0</v>
      </c>
      <c r="GA22" s="539"/>
      <c r="GB22" s="540">
        <f t="shared" si="59"/>
        <v>0</v>
      </c>
      <c r="GC22" s="541">
        <f t="shared" si="170"/>
        <v>0</v>
      </c>
      <c r="GD22" s="539"/>
      <c r="GE22" s="540">
        <f t="shared" si="60"/>
        <v>0</v>
      </c>
      <c r="GF22" s="541">
        <f t="shared" si="171"/>
        <v>0</v>
      </c>
      <c r="GG22" s="539"/>
      <c r="GH22" s="540">
        <f t="shared" si="61"/>
        <v>0</v>
      </c>
      <c r="GI22" s="541">
        <f t="shared" si="172"/>
        <v>0</v>
      </c>
      <c r="GJ22" s="539"/>
      <c r="GK22" s="540">
        <f t="shared" si="62"/>
        <v>0</v>
      </c>
      <c r="GL22" s="541">
        <f t="shared" si="173"/>
        <v>0</v>
      </c>
      <c r="GM22" s="539"/>
      <c r="GN22" s="540">
        <f t="shared" si="63"/>
        <v>0</v>
      </c>
      <c r="GO22" s="541">
        <f t="shared" si="174"/>
        <v>0</v>
      </c>
      <c r="GP22" s="539"/>
      <c r="GQ22" s="540">
        <f t="shared" si="64"/>
        <v>0</v>
      </c>
      <c r="GR22" s="541">
        <f t="shared" si="175"/>
        <v>0</v>
      </c>
      <c r="GS22" s="539"/>
      <c r="GT22" s="540">
        <f t="shared" si="65"/>
        <v>0</v>
      </c>
      <c r="GU22" s="541">
        <f t="shared" si="176"/>
        <v>0</v>
      </c>
      <c r="GV22" s="539"/>
      <c r="GW22" s="540">
        <f t="shared" si="66"/>
        <v>0</v>
      </c>
      <c r="GX22" s="541">
        <f t="shared" si="177"/>
        <v>0</v>
      </c>
      <c r="GY22" s="539"/>
      <c r="GZ22" s="540">
        <f t="shared" si="67"/>
        <v>0</v>
      </c>
      <c r="HA22" s="541">
        <f t="shared" si="178"/>
        <v>0</v>
      </c>
      <c r="HB22" s="539"/>
      <c r="HC22" s="540">
        <f t="shared" si="68"/>
        <v>0</v>
      </c>
      <c r="HD22" s="541">
        <f t="shared" si="179"/>
        <v>0</v>
      </c>
      <c r="HE22" s="539"/>
      <c r="HF22" s="540">
        <f t="shared" si="69"/>
        <v>0</v>
      </c>
      <c r="HG22" s="541">
        <f t="shared" si="180"/>
        <v>0</v>
      </c>
      <c r="HH22" s="539"/>
      <c r="HI22" s="540">
        <f t="shared" si="70"/>
        <v>0</v>
      </c>
      <c r="HJ22" s="541">
        <f t="shared" si="181"/>
        <v>0</v>
      </c>
      <c r="HK22" s="539"/>
      <c r="HL22" s="540">
        <f t="shared" si="71"/>
        <v>0</v>
      </c>
      <c r="HM22" s="541">
        <f t="shared" si="182"/>
        <v>0</v>
      </c>
      <c r="HN22" s="539"/>
      <c r="HO22" s="540">
        <f t="shared" si="72"/>
        <v>0</v>
      </c>
      <c r="HP22" s="541">
        <f t="shared" si="183"/>
        <v>0</v>
      </c>
      <c r="HQ22" s="539"/>
      <c r="HR22" s="540">
        <f t="shared" si="73"/>
        <v>0</v>
      </c>
      <c r="HS22" s="541">
        <f t="shared" si="184"/>
        <v>0</v>
      </c>
      <c r="HT22" s="539"/>
      <c r="HU22" s="540">
        <f t="shared" si="74"/>
        <v>0</v>
      </c>
      <c r="HV22" s="541">
        <f t="shared" si="185"/>
        <v>0</v>
      </c>
      <c r="HW22" s="539"/>
      <c r="HX22" s="540">
        <f t="shared" si="75"/>
        <v>0</v>
      </c>
      <c r="HY22" s="541">
        <f t="shared" si="186"/>
        <v>0</v>
      </c>
      <c r="HZ22" s="539"/>
      <c r="IA22" s="540">
        <f t="shared" si="76"/>
        <v>0</v>
      </c>
      <c r="IB22" s="541">
        <f t="shared" si="187"/>
        <v>0</v>
      </c>
      <c r="IC22" s="539"/>
      <c r="ID22" s="540">
        <f t="shared" si="77"/>
        <v>0</v>
      </c>
      <c r="IE22" s="541">
        <f t="shared" si="188"/>
        <v>0</v>
      </c>
      <c r="IF22" s="539"/>
      <c r="IG22" s="540">
        <f t="shared" si="78"/>
        <v>0</v>
      </c>
      <c r="IH22" s="541">
        <f t="shared" si="189"/>
        <v>0</v>
      </c>
      <c r="II22" s="539"/>
      <c r="IJ22" s="540">
        <f t="shared" si="79"/>
        <v>0</v>
      </c>
      <c r="IK22" s="541">
        <f t="shared" si="190"/>
        <v>0</v>
      </c>
      <c r="IL22" s="539"/>
      <c r="IM22" s="540">
        <f t="shared" si="80"/>
        <v>0</v>
      </c>
      <c r="IN22" s="541">
        <f t="shared" si="191"/>
        <v>0</v>
      </c>
      <c r="IO22" s="539"/>
      <c r="IP22" s="540">
        <f t="shared" si="81"/>
        <v>0</v>
      </c>
      <c r="IQ22" s="541">
        <f t="shared" si="192"/>
        <v>0</v>
      </c>
      <c r="IR22" s="539"/>
      <c r="IS22" s="540">
        <f t="shared" si="82"/>
        <v>0</v>
      </c>
      <c r="IT22" s="541">
        <f t="shared" si="193"/>
        <v>0</v>
      </c>
      <c r="IU22" s="539"/>
      <c r="IV22" s="540">
        <f t="shared" si="83"/>
        <v>0</v>
      </c>
      <c r="IW22" s="541">
        <f t="shared" si="194"/>
        <v>0</v>
      </c>
      <c r="IX22" s="539"/>
      <c r="IY22" s="540">
        <f t="shared" si="84"/>
        <v>0</v>
      </c>
      <c r="IZ22" s="541">
        <f t="shared" si="195"/>
        <v>0</v>
      </c>
      <c r="JA22" s="539"/>
      <c r="JB22" s="540">
        <f t="shared" si="85"/>
        <v>0</v>
      </c>
      <c r="JC22" s="541">
        <f t="shared" si="196"/>
        <v>0</v>
      </c>
      <c r="JD22" s="539"/>
      <c r="JE22" s="540">
        <f t="shared" si="86"/>
        <v>0</v>
      </c>
      <c r="JF22" s="541">
        <f t="shared" si="197"/>
        <v>0</v>
      </c>
      <c r="JG22" s="539"/>
      <c r="JH22" s="540">
        <f t="shared" si="87"/>
        <v>0</v>
      </c>
      <c r="JI22" s="541">
        <f t="shared" si="198"/>
        <v>0</v>
      </c>
      <c r="JJ22" s="539"/>
      <c r="JK22" s="541" t="str">
        <f t="shared" si="88"/>
        <v>0</v>
      </c>
      <c r="JL22" s="541" t="str">
        <f t="shared" si="89"/>
        <v>0</v>
      </c>
      <c r="JM22" s="539"/>
      <c r="JN22" s="541" t="str">
        <f t="shared" si="90"/>
        <v>0</v>
      </c>
      <c r="JO22" s="541" t="str">
        <f t="shared" si="91"/>
        <v>0</v>
      </c>
      <c r="JP22" s="539"/>
      <c r="JQ22" s="541" t="str">
        <f t="shared" si="92"/>
        <v>0</v>
      </c>
      <c r="JR22" s="541" t="str">
        <f t="shared" si="93"/>
        <v>0</v>
      </c>
      <c r="JS22" s="539"/>
      <c r="JT22" s="541" t="str">
        <f t="shared" si="94"/>
        <v>0</v>
      </c>
      <c r="JU22" s="541" t="str">
        <f t="shared" si="95"/>
        <v>0</v>
      </c>
      <c r="JV22" s="539"/>
      <c r="JW22" s="541" t="str">
        <f t="shared" si="96"/>
        <v>0</v>
      </c>
      <c r="JX22" s="541" t="str">
        <f t="shared" si="97"/>
        <v>0</v>
      </c>
      <c r="JY22" s="539"/>
      <c r="JZ22" s="541" t="str">
        <f t="shared" si="98"/>
        <v>0</v>
      </c>
      <c r="KA22" s="541" t="str">
        <f t="shared" si="99"/>
        <v>0</v>
      </c>
      <c r="KB22" s="539"/>
      <c r="KC22" s="541" t="str">
        <f t="shared" si="100"/>
        <v>0</v>
      </c>
      <c r="KD22" s="541" t="str">
        <f t="shared" si="101"/>
        <v>0</v>
      </c>
      <c r="KE22" s="539"/>
      <c r="KF22" s="541" t="str">
        <f t="shared" si="102"/>
        <v>0</v>
      </c>
      <c r="KG22" s="541" t="str">
        <f t="shared" si="103"/>
        <v>0</v>
      </c>
      <c r="KH22" s="539"/>
      <c r="KI22" s="541" t="str">
        <f t="shared" si="104"/>
        <v>0</v>
      </c>
      <c r="KJ22" s="541" t="str">
        <f t="shared" si="105"/>
        <v>0</v>
      </c>
      <c r="KK22" s="539"/>
      <c r="KL22" s="541" t="str">
        <f t="shared" si="106"/>
        <v>0</v>
      </c>
      <c r="KM22" s="541" t="str">
        <f t="shared" si="107"/>
        <v>0</v>
      </c>
      <c r="KN22" s="539"/>
      <c r="KO22" s="541" t="str">
        <f t="shared" si="108"/>
        <v>0</v>
      </c>
      <c r="KP22" s="541" t="str">
        <f t="shared" si="109"/>
        <v>0</v>
      </c>
      <c r="KQ22" s="539"/>
      <c r="KR22" s="541" t="str">
        <f t="shared" si="110"/>
        <v>0</v>
      </c>
      <c r="KS22" s="541" t="str">
        <f t="shared" si="111"/>
        <v>0</v>
      </c>
      <c r="KT22" s="541">
        <f t="shared" si="200"/>
        <v>0</v>
      </c>
      <c r="KU22" s="541">
        <f t="shared" si="201"/>
        <v>0</v>
      </c>
      <c r="KV22" s="275">
        <f t="shared" si="202"/>
        <v>509.96014475372232</v>
      </c>
    </row>
    <row r="23" spans="1:309" ht="15" customHeight="1">
      <c r="A23" s="277">
        <f t="shared" si="199"/>
        <v>45945</v>
      </c>
      <c r="B23" s="278" t="str">
        <f>+Report1!B23</f>
        <v>Facial</v>
      </c>
      <c r="C23" s="420" t="str">
        <f>+Report1!C23</f>
        <v>12</v>
      </c>
      <c r="D23" s="279">
        <f>+Report1!P23</f>
        <v>57.671999999999997</v>
      </c>
      <c r="E23" s="280">
        <f>+Report1!R23</f>
        <v>55.631</v>
      </c>
      <c r="F23" s="539">
        <v>0</v>
      </c>
      <c r="G23" s="540">
        <f t="shared" si="0"/>
        <v>0</v>
      </c>
      <c r="H23" s="541">
        <f t="shared" si="112"/>
        <v>0</v>
      </c>
      <c r="I23" s="539">
        <v>302.32558139534876</v>
      </c>
      <c r="J23" s="540">
        <f t="shared" si="1"/>
        <v>5.4344804406778371</v>
      </c>
      <c r="K23" s="541">
        <f t="shared" si="113"/>
        <v>0</v>
      </c>
      <c r="L23" s="539"/>
      <c r="M23" s="540">
        <f t="shared" si="2"/>
        <v>0</v>
      </c>
      <c r="N23" s="541">
        <f t="shared" si="114"/>
        <v>0</v>
      </c>
      <c r="O23" s="539">
        <v>9</v>
      </c>
      <c r="P23" s="540">
        <f t="shared" si="3"/>
        <v>0.16178030234940949</v>
      </c>
      <c r="Q23" s="541">
        <f t="shared" si="115"/>
        <v>0</v>
      </c>
      <c r="R23" s="539"/>
      <c r="S23" s="540">
        <f t="shared" si="4"/>
        <v>0</v>
      </c>
      <c r="T23" s="541">
        <f t="shared" si="116"/>
        <v>0</v>
      </c>
      <c r="U23" s="539">
        <v>5.1249999999999929</v>
      </c>
      <c r="V23" s="540">
        <f t="shared" si="5"/>
        <v>9.212489439341362E-2</v>
      </c>
      <c r="W23" s="541">
        <f t="shared" si="117"/>
        <v>0</v>
      </c>
      <c r="X23" s="539"/>
      <c r="Y23" s="540">
        <f t="shared" si="6"/>
        <v>0</v>
      </c>
      <c r="Z23" s="541">
        <f t="shared" si="118"/>
        <v>0</v>
      </c>
      <c r="AA23" s="539"/>
      <c r="AB23" s="540">
        <f t="shared" si="7"/>
        <v>0</v>
      </c>
      <c r="AC23" s="541">
        <f t="shared" si="119"/>
        <v>0</v>
      </c>
      <c r="AD23" s="539"/>
      <c r="AE23" s="540">
        <f t="shared" si="8"/>
        <v>0</v>
      </c>
      <c r="AF23" s="541">
        <f t="shared" si="120"/>
        <v>0</v>
      </c>
      <c r="AG23" s="539"/>
      <c r="AH23" s="540">
        <f t="shared" si="9"/>
        <v>0</v>
      </c>
      <c r="AI23" s="541">
        <f t="shared" si="121"/>
        <v>0</v>
      </c>
      <c r="AJ23" s="539">
        <v>0</v>
      </c>
      <c r="AK23" s="540">
        <f t="shared" si="10"/>
        <v>0</v>
      </c>
      <c r="AL23" s="541">
        <f t="shared" si="122"/>
        <v>0</v>
      </c>
      <c r="AM23" s="539">
        <v>0</v>
      </c>
      <c r="AN23" s="540">
        <f t="shared" si="11"/>
        <v>0</v>
      </c>
      <c r="AO23" s="541">
        <f t="shared" si="123"/>
        <v>0</v>
      </c>
      <c r="AP23" s="539">
        <v>48.417721518987378</v>
      </c>
      <c r="AQ23" s="540">
        <f t="shared" si="12"/>
        <v>0.87033706960125434</v>
      </c>
      <c r="AR23" s="541">
        <f t="shared" si="124"/>
        <v>0</v>
      </c>
      <c r="AS23" s="539"/>
      <c r="AT23" s="540">
        <f t="shared" si="13"/>
        <v>0</v>
      </c>
      <c r="AU23" s="541">
        <f t="shared" si="125"/>
        <v>0</v>
      </c>
      <c r="AV23" s="539">
        <v>5.5499999999999829</v>
      </c>
      <c r="AW23" s="540">
        <f t="shared" si="14"/>
        <v>9.9764519782135547E-2</v>
      </c>
      <c r="AX23" s="541">
        <f t="shared" si="126"/>
        <v>0</v>
      </c>
      <c r="AY23" s="539">
        <v>65.333333333333343</v>
      </c>
      <c r="AZ23" s="540">
        <f t="shared" si="15"/>
        <v>1.1744051577957135</v>
      </c>
      <c r="BA23" s="541">
        <f t="shared" si="127"/>
        <v>0</v>
      </c>
      <c r="BB23" s="539">
        <v>0</v>
      </c>
      <c r="BC23" s="540">
        <f t="shared" si="16"/>
        <v>0</v>
      </c>
      <c r="BD23" s="541">
        <f t="shared" si="128"/>
        <v>0</v>
      </c>
      <c r="BE23" s="539"/>
      <c r="BF23" s="540">
        <f t="shared" si="17"/>
        <v>0</v>
      </c>
      <c r="BG23" s="541">
        <f t="shared" si="129"/>
        <v>0</v>
      </c>
      <c r="BH23" s="539"/>
      <c r="BI23" s="540">
        <f t="shared" si="18"/>
        <v>0</v>
      </c>
      <c r="BJ23" s="541">
        <f t="shared" si="130"/>
        <v>0</v>
      </c>
      <c r="BK23" s="539"/>
      <c r="BL23" s="540">
        <f t="shared" si="19"/>
        <v>0</v>
      </c>
      <c r="BM23" s="541">
        <f t="shared" si="131"/>
        <v>0</v>
      </c>
      <c r="BN23" s="539">
        <v>12.654320987654302</v>
      </c>
      <c r="BO23" s="540">
        <f t="shared" si="20"/>
        <v>0.22746887504546567</v>
      </c>
      <c r="BP23" s="541">
        <f t="shared" si="132"/>
        <v>0</v>
      </c>
      <c r="BQ23" s="539">
        <v>0</v>
      </c>
      <c r="BR23" s="540">
        <f t="shared" si="21"/>
        <v>0</v>
      </c>
      <c r="BS23" s="541">
        <f t="shared" si="133"/>
        <v>0</v>
      </c>
      <c r="BT23" s="539"/>
      <c r="BU23" s="540">
        <f t="shared" si="22"/>
        <v>0</v>
      </c>
      <c r="BV23" s="541">
        <f t="shared" si="134"/>
        <v>0</v>
      </c>
      <c r="BW23" s="539">
        <v>0</v>
      </c>
      <c r="BX23" s="540">
        <f t="shared" si="23"/>
        <v>0</v>
      </c>
      <c r="BY23" s="541">
        <f t="shared" si="135"/>
        <v>0</v>
      </c>
      <c r="BZ23" s="539"/>
      <c r="CA23" s="540">
        <f t="shared" si="24"/>
        <v>0</v>
      </c>
      <c r="CB23" s="541">
        <f t="shared" si="136"/>
        <v>0</v>
      </c>
      <c r="CC23" s="539">
        <v>0</v>
      </c>
      <c r="CD23" s="540">
        <f t="shared" si="25"/>
        <v>0</v>
      </c>
      <c r="CE23" s="541">
        <f t="shared" si="137"/>
        <v>0</v>
      </c>
      <c r="CF23" s="539">
        <v>0.10000000000000009</v>
      </c>
      <c r="CG23" s="540">
        <f t="shared" si="26"/>
        <v>1.7975589149934405E-3</v>
      </c>
      <c r="CH23" s="541">
        <f t="shared" si="138"/>
        <v>0</v>
      </c>
      <c r="CI23" s="539"/>
      <c r="CJ23" s="540">
        <f t="shared" si="27"/>
        <v>0</v>
      </c>
      <c r="CK23" s="541">
        <f t="shared" si="139"/>
        <v>0</v>
      </c>
      <c r="CL23" s="539"/>
      <c r="CM23" s="540">
        <f t="shared" si="28"/>
        <v>0</v>
      </c>
      <c r="CN23" s="541">
        <f t="shared" si="140"/>
        <v>0</v>
      </c>
      <c r="CO23" s="539"/>
      <c r="CP23" s="540">
        <f t="shared" si="29"/>
        <v>0</v>
      </c>
      <c r="CQ23" s="541">
        <f t="shared" si="141"/>
        <v>0</v>
      </c>
      <c r="CR23" s="539"/>
      <c r="CS23" s="540">
        <f t="shared" si="30"/>
        <v>0</v>
      </c>
      <c r="CT23" s="541">
        <f t="shared" si="142"/>
        <v>0</v>
      </c>
      <c r="CU23" s="539"/>
      <c r="CV23" s="540">
        <f t="shared" si="31"/>
        <v>0</v>
      </c>
      <c r="CW23" s="541">
        <f t="shared" si="143"/>
        <v>0</v>
      </c>
      <c r="CX23" s="539"/>
      <c r="CY23" s="540">
        <f t="shared" si="32"/>
        <v>0</v>
      </c>
      <c r="CZ23" s="541">
        <f t="shared" si="144"/>
        <v>0</v>
      </c>
      <c r="DA23" s="539"/>
      <c r="DB23" s="540">
        <f t="shared" si="33"/>
        <v>0</v>
      </c>
      <c r="DC23" s="541">
        <f t="shared" si="145"/>
        <v>0</v>
      </c>
      <c r="DD23" s="539"/>
      <c r="DE23" s="540">
        <f t="shared" si="34"/>
        <v>0</v>
      </c>
      <c r="DF23" s="541">
        <f t="shared" si="146"/>
        <v>0</v>
      </c>
      <c r="DG23" s="539">
        <v>0</v>
      </c>
      <c r="DH23" s="540">
        <f t="shared" si="35"/>
        <v>0</v>
      </c>
      <c r="DI23" s="541">
        <f t="shared" si="203"/>
        <v>0</v>
      </c>
      <c r="DJ23" s="539"/>
      <c r="DK23" s="540">
        <f t="shared" si="36"/>
        <v>0</v>
      </c>
      <c r="DL23" s="541">
        <f t="shared" si="147"/>
        <v>0</v>
      </c>
      <c r="DM23" s="539"/>
      <c r="DN23" s="540">
        <f t="shared" si="37"/>
        <v>0</v>
      </c>
      <c r="DO23" s="541">
        <f t="shared" si="148"/>
        <v>0</v>
      </c>
      <c r="DP23" s="539"/>
      <c r="DQ23" s="540">
        <f t="shared" si="38"/>
        <v>0</v>
      </c>
      <c r="DR23" s="541">
        <f t="shared" si="149"/>
        <v>0</v>
      </c>
      <c r="DS23" s="539"/>
      <c r="DT23" s="540">
        <f t="shared" si="39"/>
        <v>0</v>
      </c>
      <c r="DU23" s="541">
        <f t="shared" si="150"/>
        <v>0</v>
      </c>
      <c r="DV23" s="539"/>
      <c r="DW23" s="540">
        <f t="shared" si="40"/>
        <v>0</v>
      </c>
      <c r="DX23" s="541">
        <f t="shared" si="151"/>
        <v>0</v>
      </c>
      <c r="DY23" s="539"/>
      <c r="DZ23" s="540">
        <f t="shared" si="41"/>
        <v>0</v>
      </c>
      <c r="EA23" s="541">
        <f t="shared" si="152"/>
        <v>0</v>
      </c>
      <c r="EB23" s="539">
        <v>14.534883720930225</v>
      </c>
      <c r="EC23" s="540">
        <f t="shared" si="42"/>
        <v>0.26127309810951133</v>
      </c>
      <c r="ED23" s="541">
        <f t="shared" si="153"/>
        <v>0</v>
      </c>
      <c r="EE23" s="539">
        <v>2</v>
      </c>
      <c r="EF23" s="540">
        <f t="shared" si="43"/>
        <v>3.5951178299868776E-2</v>
      </c>
      <c r="EG23" s="541">
        <f t="shared" si="154"/>
        <v>0</v>
      </c>
      <c r="EH23" s="539"/>
      <c r="EI23" s="540">
        <f t="shared" si="44"/>
        <v>0</v>
      </c>
      <c r="EJ23" s="541">
        <f t="shared" si="155"/>
        <v>0</v>
      </c>
      <c r="EK23" s="539"/>
      <c r="EL23" s="540">
        <f t="shared" si="45"/>
        <v>0</v>
      </c>
      <c r="EM23" s="541">
        <f t="shared" si="156"/>
        <v>0</v>
      </c>
      <c r="EN23" s="539"/>
      <c r="EO23" s="540">
        <f t="shared" si="46"/>
        <v>0</v>
      </c>
      <c r="EP23" s="541">
        <f t="shared" si="157"/>
        <v>0</v>
      </c>
      <c r="EQ23" s="539"/>
      <c r="ER23" s="540">
        <f t="shared" si="47"/>
        <v>0</v>
      </c>
      <c r="ES23" s="541">
        <f t="shared" si="158"/>
        <v>0</v>
      </c>
      <c r="ET23" s="539"/>
      <c r="EU23" s="540">
        <f t="shared" si="48"/>
        <v>0</v>
      </c>
      <c r="EV23" s="541">
        <f t="shared" si="159"/>
        <v>0</v>
      </c>
      <c r="EW23" s="539"/>
      <c r="EX23" s="540">
        <f t="shared" si="49"/>
        <v>0</v>
      </c>
      <c r="EY23" s="541">
        <f t="shared" si="160"/>
        <v>0</v>
      </c>
      <c r="EZ23" s="539"/>
      <c r="FA23" s="540">
        <f t="shared" si="50"/>
        <v>0</v>
      </c>
      <c r="FB23" s="541">
        <f t="shared" si="161"/>
        <v>0</v>
      </c>
      <c r="FC23" s="539"/>
      <c r="FD23" s="540">
        <f t="shared" si="51"/>
        <v>0</v>
      </c>
      <c r="FE23" s="541">
        <f t="shared" si="162"/>
        <v>0</v>
      </c>
      <c r="FF23" s="539"/>
      <c r="FG23" s="540">
        <f t="shared" si="52"/>
        <v>0</v>
      </c>
      <c r="FH23" s="541">
        <f t="shared" si="163"/>
        <v>0</v>
      </c>
      <c r="FI23" s="539"/>
      <c r="FJ23" s="540">
        <f t="shared" si="53"/>
        <v>0</v>
      </c>
      <c r="FK23" s="541">
        <f t="shared" si="164"/>
        <v>0</v>
      </c>
      <c r="FL23" s="539"/>
      <c r="FM23" s="540">
        <f t="shared" si="54"/>
        <v>0</v>
      </c>
      <c r="FN23" s="541">
        <f t="shared" si="165"/>
        <v>0</v>
      </c>
      <c r="FO23" s="539"/>
      <c r="FP23" s="540">
        <f t="shared" si="55"/>
        <v>0</v>
      </c>
      <c r="FQ23" s="541">
        <f t="shared" si="166"/>
        <v>0</v>
      </c>
      <c r="FR23" s="539"/>
      <c r="FS23" s="540">
        <f t="shared" si="56"/>
        <v>0</v>
      </c>
      <c r="FT23" s="541">
        <f t="shared" si="167"/>
        <v>0</v>
      </c>
      <c r="FU23" s="539"/>
      <c r="FV23" s="540">
        <f t="shared" si="57"/>
        <v>0</v>
      </c>
      <c r="FW23" s="541">
        <f t="shared" si="168"/>
        <v>0</v>
      </c>
      <c r="FX23" s="539"/>
      <c r="FY23" s="540">
        <f t="shared" si="58"/>
        <v>0</v>
      </c>
      <c r="FZ23" s="541">
        <f t="shared" si="169"/>
        <v>0</v>
      </c>
      <c r="GA23" s="539"/>
      <c r="GB23" s="540">
        <f t="shared" si="59"/>
        <v>0</v>
      </c>
      <c r="GC23" s="541">
        <f t="shared" si="170"/>
        <v>0</v>
      </c>
      <c r="GD23" s="539"/>
      <c r="GE23" s="540">
        <f t="shared" si="60"/>
        <v>0</v>
      </c>
      <c r="GF23" s="541">
        <f t="shared" si="171"/>
        <v>0</v>
      </c>
      <c r="GG23" s="539"/>
      <c r="GH23" s="540">
        <f t="shared" si="61"/>
        <v>0</v>
      </c>
      <c r="GI23" s="541">
        <f t="shared" si="172"/>
        <v>0</v>
      </c>
      <c r="GJ23" s="539"/>
      <c r="GK23" s="540">
        <f t="shared" si="62"/>
        <v>0</v>
      </c>
      <c r="GL23" s="541">
        <f t="shared" si="173"/>
        <v>0</v>
      </c>
      <c r="GM23" s="539"/>
      <c r="GN23" s="540">
        <f t="shared" si="63"/>
        <v>0</v>
      </c>
      <c r="GO23" s="541">
        <f t="shared" si="174"/>
        <v>0</v>
      </c>
      <c r="GP23" s="539"/>
      <c r="GQ23" s="540">
        <f t="shared" si="64"/>
        <v>0</v>
      </c>
      <c r="GR23" s="541">
        <f t="shared" si="175"/>
        <v>0</v>
      </c>
      <c r="GS23" s="539"/>
      <c r="GT23" s="540">
        <f t="shared" si="65"/>
        <v>0</v>
      </c>
      <c r="GU23" s="541">
        <f t="shared" si="176"/>
        <v>0</v>
      </c>
      <c r="GV23" s="539"/>
      <c r="GW23" s="540">
        <f t="shared" si="66"/>
        <v>0</v>
      </c>
      <c r="GX23" s="541">
        <f t="shared" si="177"/>
        <v>0</v>
      </c>
      <c r="GY23" s="539"/>
      <c r="GZ23" s="540">
        <f t="shared" si="67"/>
        <v>0</v>
      </c>
      <c r="HA23" s="541">
        <f t="shared" si="178"/>
        <v>0</v>
      </c>
      <c r="HB23" s="539"/>
      <c r="HC23" s="540">
        <f t="shared" si="68"/>
        <v>0</v>
      </c>
      <c r="HD23" s="541">
        <f t="shared" si="179"/>
        <v>0</v>
      </c>
      <c r="HE23" s="539"/>
      <c r="HF23" s="540">
        <f t="shared" si="69"/>
        <v>0</v>
      </c>
      <c r="HG23" s="541">
        <f t="shared" si="180"/>
        <v>0</v>
      </c>
      <c r="HH23" s="539"/>
      <c r="HI23" s="540">
        <f t="shared" si="70"/>
        <v>0</v>
      </c>
      <c r="HJ23" s="541">
        <f t="shared" si="181"/>
        <v>0</v>
      </c>
      <c r="HK23" s="539"/>
      <c r="HL23" s="540">
        <f t="shared" si="71"/>
        <v>0</v>
      </c>
      <c r="HM23" s="541">
        <f t="shared" si="182"/>
        <v>0</v>
      </c>
      <c r="HN23" s="539"/>
      <c r="HO23" s="540">
        <f t="shared" si="72"/>
        <v>0</v>
      </c>
      <c r="HP23" s="541">
        <f t="shared" si="183"/>
        <v>0</v>
      </c>
      <c r="HQ23" s="539"/>
      <c r="HR23" s="540">
        <f t="shared" si="73"/>
        <v>0</v>
      </c>
      <c r="HS23" s="541">
        <f t="shared" si="184"/>
        <v>0</v>
      </c>
      <c r="HT23" s="539"/>
      <c r="HU23" s="540">
        <f t="shared" si="74"/>
        <v>0</v>
      </c>
      <c r="HV23" s="541">
        <f t="shared" si="185"/>
        <v>0</v>
      </c>
      <c r="HW23" s="539"/>
      <c r="HX23" s="540">
        <f t="shared" si="75"/>
        <v>0</v>
      </c>
      <c r="HY23" s="541">
        <f t="shared" si="186"/>
        <v>0</v>
      </c>
      <c r="HZ23" s="539"/>
      <c r="IA23" s="540">
        <f t="shared" si="76"/>
        <v>0</v>
      </c>
      <c r="IB23" s="541">
        <f t="shared" si="187"/>
        <v>0</v>
      </c>
      <c r="IC23" s="539"/>
      <c r="ID23" s="540">
        <f t="shared" si="77"/>
        <v>0</v>
      </c>
      <c r="IE23" s="541">
        <f t="shared" si="188"/>
        <v>0</v>
      </c>
      <c r="IF23" s="539"/>
      <c r="IG23" s="540">
        <f t="shared" si="78"/>
        <v>0</v>
      </c>
      <c r="IH23" s="541">
        <f t="shared" si="189"/>
        <v>0</v>
      </c>
      <c r="II23" s="539"/>
      <c r="IJ23" s="540">
        <f t="shared" si="79"/>
        <v>0</v>
      </c>
      <c r="IK23" s="541">
        <f t="shared" si="190"/>
        <v>0</v>
      </c>
      <c r="IL23" s="539"/>
      <c r="IM23" s="540">
        <f t="shared" si="80"/>
        <v>0</v>
      </c>
      <c r="IN23" s="541">
        <f t="shared" si="191"/>
        <v>0</v>
      </c>
      <c r="IO23" s="539"/>
      <c r="IP23" s="540">
        <f t="shared" si="81"/>
        <v>0</v>
      </c>
      <c r="IQ23" s="541">
        <f t="shared" si="192"/>
        <v>0</v>
      </c>
      <c r="IR23" s="539"/>
      <c r="IS23" s="540">
        <f t="shared" si="82"/>
        <v>0</v>
      </c>
      <c r="IT23" s="541">
        <f t="shared" si="193"/>
        <v>0</v>
      </c>
      <c r="IU23" s="539"/>
      <c r="IV23" s="540">
        <f t="shared" si="83"/>
        <v>0</v>
      </c>
      <c r="IW23" s="541">
        <f t="shared" si="194"/>
        <v>0</v>
      </c>
      <c r="IX23" s="539"/>
      <c r="IY23" s="540">
        <f t="shared" si="84"/>
        <v>0</v>
      </c>
      <c r="IZ23" s="541">
        <f t="shared" si="195"/>
        <v>0</v>
      </c>
      <c r="JA23" s="539"/>
      <c r="JB23" s="540">
        <f t="shared" si="85"/>
        <v>0</v>
      </c>
      <c r="JC23" s="541">
        <f t="shared" si="196"/>
        <v>0</v>
      </c>
      <c r="JD23" s="539"/>
      <c r="JE23" s="540">
        <f t="shared" si="86"/>
        <v>0</v>
      </c>
      <c r="JF23" s="541">
        <f t="shared" si="197"/>
        <v>0</v>
      </c>
      <c r="JG23" s="539"/>
      <c r="JH23" s="540">
        <f t="shared" si="87"/>
        <v>0</v>
      </c>
      <c r="JI23" s="541">
        <f t="shared" si="198"/>
        <v>0</v>
      </c>
      <c r="JJ23" s="539"/>
      <c r="JK23" s="541" t="str">
        <f t="shared" si="88"/>
        <v>0</v>
      </c>
      <c r="JL23" s="541" t="str">
        <f t="shared" si="89"/>
        <v>0</v>
      </c>
      <c r="JM23" s="539"/>
      <c r="JN23" s="541" t="str">
        <f t="shared" si="90"/>
        <v>0</v>
      </c>
      <c r="JO23" s="541" t="str">
        <f t="shared" si="91"/>
        <v>0</v>
      </c>
      <c r="JP23" s="539"/>
      <c r="JQ23" s="541" t="str">
        <f t="shared" si="92"/>
        <v>0</v>
      </c>
      <c r="JR23" s="541" t="str">
        <f t="shared" si="93"/>
        <v>0</v>
      </c>
      <c r="JS23" s="539"/>
      <c r="JT23" s="541" t="str">
        <f t="shared" si="94"/>
        <v>0</v>
      </c>
      <c r="JU23" s="541" t="str">
        <f t="shared" si="95"/>
        <v>0</v>
      </c>
      <c r="JV23" s="539"/>
      <c r="JW23" s="541" t="str">
        <f t="shared" si="96"/>
        <v>0</v>
      </c>
      <c r="JX23" s="541" t="str">
        <f t="shared" si="97"/>
        <v>0</v>
      </c>
      <c r="JY23" s="539"/>
      <c r="JZ23" s="541" t="str">
        <f t="shared" si="98"/>
        <v>0</v>
      </c>
      <c r="KA23" s="541" t="str">
        <f t="shared" si="99"/>
        <v>0</v>
      </c>
      <c r="KB23" s="539"/>
      <c r="KC23" s="541" t="str">
        <f t="shared" si="100"/>
        <v>0</v>
      </c>
      <c r="KD23" s="541" t="str">
        <f t="shared" si="101"/>
        <v>0</v>
      </c>
      <c r="KE23" s="539"/>
      <c r="KF23" s="541" t="str">
        <f t="shared" si="102"/>
        <v>0</v>
      </c>
      <c r="KG23" s="541" t="str">
        <f t="shared" si="103"/>
        <v>0</v>
      </c>
      <c r="KH23" s="539"/>
      <c r="KI23" s="541" t="str">
        <f t="shared" si="104"/>
        <v>0</v>
      </c>
      <c r="KJ23" s="541" t="str">
        <f t="shared" si="105"/>
        <v>0</v>
      </c>
      <c r="KK23" s="539"/>
      <c r="KL23" s="541" t="str">
        <f t="shared" si="106"/>
        <v>0</v>
      </c>
      <c r="KM23" s="541" t="str">
        <f t="shared" si="107"/>
        <v>0</v>
      </c>
      <c r="KN23" s="539"/>
      <c r="KO23" s="541" t="str">
        <f t="shared" si="108"/>
        <v>0</v>
      </c>
      <c r="KP23" s="541" t="str">
        <f t="shared" si="109"/>
        <v>0</v>
      </c>
      <c r="KQ23" s="539"/>
      <c r="KR23" s="541" t="str">
        <f t="shared" si="110"/>
        <v>0</v>
      </c>
      <c r="KS23" s="541" t="str">
        <f t="shared" si="111"/>
        <v>0</v>
      </c>
      <c r="KT23" s="541">
        <f t="shared" si="200"/>
        <v>0</v>
      </c>
      <c r="KU23" s="541">
        <f t="shared" si="201"/>
        <v>0</v>
      </c>
      <c r="KV23" s="275">
        <f t="shared" si="202"/>
        <v>465.04084095625399</v>
      </c>
      <c r="KW23" s="275"/>
    </row>
    <row r="24" spans="1:309" ht="15" customHeight="1">
      <c r="A24" s="277">
        <f t="shared" si="199"/>
        <v>45946</v>
      </c>
      <c r="B24" s="278" t="str">
        <f>+Report1!B24</f>
        <v>Facial</v>
      </c>
      <c r="C24" s="420" t="str">
        <f>+Report1!C24</f>
        <v>12/12,5</v>
      </c>
      <c r="D24" s="279">
        <f>+Report1!P24</f>
        <v>50.114999999999995</v>
      </c>
      <c r="E24" s="280">
        <f>+Report1!R24</f>
        <v>45.04</v>
      </c>
      <c r="F24" s="539">
        <v>0</v>
      </c>
      <c r="G24" s="540">
        <f t="shared" si="0"/>
        <v>0</v>
      </c>
      <c r="H24" s="541">
        <f t="shared" si="112"/>
        <v>0</v>
      </c>
      <c r="I24" s="539">
        <v>290.69767441860461</v>
      </c>
      <c r="J24" s="540">
        <f t="shared" si="1"/>
        <v>6.4542112437523222</v>
      </c>
      <c r="K24" s="541">
        <f t="shared" si="113"/>
        <v>0</v>
      </c>
      <c r="L24" s="539"/>
      <c r="M24" s="540">
        <f t="shared" si="2"/>
        <v>0</v>
      </c>
      <c r="N24" s="541">
        <f t="shared" si="114"/>
        <v>0</v>
      </c>
      <c r="O24" s="539">
        <v>5.9999999999999716</v>
      </c>
      <c r="P24" s="540">
        <f t="shared" si="3"/>
        <v>0.13321492007104732</v>
      </c>
      <c r="Q24" s="541">
        <f t="shared" si="115"/>
        <v>0</v>
      </c>
      <c r="R24" s="539"/>
      <c r="S24" s="540">
        <f t="shared" si="4"/>
        <v>0</v>
      </c>
      <c r="T24" s="541">
        <f t="shared" si="116"/>
        <v>0</v>
      </c>
      <c r="U24" s="539">
        <v>7.6875</v>
      </c>
      <c r="V24" s="540">
        <f t="shared" si="5"/>
        <v>0.17068161634103021</v>
      </c>
      <c r="W24" s="541">
        <f t="shared" si="117"/>
        <v>0</v>
      </c>
      <c r="X24" s="539"/>
      <c r="Y24" s="540">
        <f t="shared" si="6"/>
        <v>0</v>
      </c>
      <c r="Z24" s="541">
        <f t="shared" si="118"/>
        <v>0</v>
      </c>
      <c r="AA24" s="539"/>
      <c r="AB24" s="540">
        <f t="shared" si="7"/>
        <v>0</v>
      </c>
      <c r="AC24" s="541">
        <f t="shared" si="119"/>
        <v>0</v>
      </c>
      <c r="AD24" s="539"/>
      <c r="AE24" s="540">
        <f t="shared" si="8"/>
        <v>0</v>
      </c>
      <c r="AF24" s="541">
        <f t="shared" si="120"/>
        <v>0</v>
      </c>
      <c r="AG24" s="539"/>
      <c r="AH24" s="540">
        <f t="shared" si="9"/>
        <v>0</v>
      </c>
      <c r="AI24" s="541">
        <f t="shared" si="121"/>
        <v>0</v>
      </c>
      <c r="AJ24" s="539">
        <v>0</v>
      </c>
      <c r="AK24" s="540">
        <f t="shared" si="10"/>
        <v>0</v>
      </c>
      <c r="AL24" s="541">
        <f t="shared" si="122"/>
        <v>0</v>
      </c>
      <c r="AM24" s="539">
        <v>0</v>
      </c>
      <c r="AN24" s="540">
        <f t="shared" si="11"/>
        <v>0</v>
      </c>
      <c r="AO24" s="541">
        <f t="shared" si="123"/>
        <v>0</v>
      </c>
      <c r="AP24" s="539">
        <v>45.569620253164544</v>
      </c>
      <c r="AQ24" s="540">
        <f t="shared" si="12"/>
        <v>1.0117588866155538</v>
      </c>
      <c r="AR24" s="541">
        <f t="shared" si="124"/>
        <v>0</v>
      </c>
      <c r="AS24" s="539"/>
      <c r="AT24" s="540">
        <f t="shared" si="13"/>
        <v>0</v>
      </c>
      <c r="AU24" s="541">
        <f t="shared" si="125"/>
        <v>0</v>
      </c>
      <c r="AV24" s="539">
        <v>5.5500000000000114</v>
      </c>
      <c r="AW24" s="540">
        <f t="shared" si="14"/>
        <v>0.12322380106571962</v>
      </c>
      <c r="AX24" s="541">
        <f t="shared" si="126"/>
        <v>0</v>
      </c>
      <c r="AY24" s="539">
        <v>77</v>
      </c>
      <c r="AZ24" s="540">
        <f t="shared" si="15"/>
        <v>1.7095914742451155</v>
      </c>
      <c r="BA24" s="541">
        <f t="shared" si="127"/>
        <v>0</v>
      </c>
      <c r="BB24" s="539">
        <v>0</v>
      </c>
      <c r="BC24" s="540">
        <f t="shared" si="16"/>
        <v>0</v>
      </c>
      <c r="BD24" s="541">
        <f t="shared" si="128"/>
        <v>0</v>
      </c>
      <c r="BE24" s="539"/>
      <c r="BF24" s="540">
        <f t="shared" si="17"/>
        <v>0</v>
      </c>
      <c r="BG24" s="541">
        <f t="shared" si="129"/>
        <v>0</v>
      </c>
      <c r="BH24" s="539"/>
      <c r="BI24" s="540">
        <f t="shared" si="18"/>
        <v>0</v>
      </c>
      <c r="BJ24" s="541">
        <f t="shared" si="130"/>
        <v>0</v>
      </c>
      <c r="BK24" s="539"/>
      <c r="BL24" s="540">
        <f t="shared" si="19"/>
        <v>0</v>
      </c>
      <c r="BM24" s="541">
        <f t="shared" si="131"/>
        <v>0</v>
      </c>
      <c r="BN24" s="539">
        <v>25.30864197530866</v>
      </c>
      <c r="BO24" s="540">
        <f t="shared" si="20"/>
        <v>0.5619147863079188</v>
      </c>
      <c r="BP24" s="541">
        <f t="shared" si="132"/>
        <v>0</v>
      </c>
      <c r="BQ24" s="539">
        <v>41.025641025640994</v>
      </c>
      <c r="BR24" s="540">
        <f t="shared" si="21"/>
        <v>0.9108712483490452</v>
      </c>
      <c r="BS24" s="541">
        <f t="shared" si="133"/>
        <v>0</v>
      </c>
      <c r="BT24" s="539"/>
      <c r="BU24" s="540">
        <f t="shared" si="22"/>
        <v>0</v>
      </c>
      <c r="BV24" s="541">
        <f t="shared" si="134"/>
        <v>0</v>
      </c>
      <c r="BW24" s="539">
        <v>0</v>
      </c>
      <c r="BX24" s="540">
        <f t="shared" si="23"/>
        <v>0</v>
      </c>
      <c r="BY24" s="541">
        <f t="shared" si="135"/>
        <v>0</v>
      </c>
      <c r="BZ24" s="539"/>
      <c r="CA24" s="540">
        <f t="shared" si="24"/>
        <v>0</v>
      </c>
      <c r="CB24" s="541">
        <f t="shared" si="136"/>
        <v>0</v>
      </c>
      <c r="CC24" s="539">
        <v>0</v>
      </c>
      <c r="CD24" s="540">
        <f t="shared" si="25"/>
        <v>0</v>
      </c>
      <c r="CE24" s="541">
        <f t="shared" si="137"/>
        <v>0</v>
      </c>
      <c r="CF24" s="539">
        <v>0.10000000000000009</v>
      </c>
      <c r="CG24" s="540">
        <f t="shared" si="26"/>
        <v>2.2202486678508013E-3</v>
      </c>
      <c r="CH24" s="541">
        <f t="shared" si="138"/>
        <v>0</v>
      </c>
      <c r="CI24" s="539"/>
      <c r="CJ24" s="540">
        <f t="shared" si="27"/>
        <v>0</v>
      </c>
      <c r="CK24" s="541">
        <f t="shared" si="139"/>
        <v>0</v>
      </c>
      <c r="CL24" s="539"/>
      <c r="CM24" s="540">
        <f t="shared" si="28"/>
        <v>0</v>
      </c>
      <c r="CN24" s="541">
        <f t="shared" si="140"/>
        <v>0</v>
      </c>
      <c r="CO24" s="539"/>
      <c r="CP24" s="540">
        <f t="shared" si="29"/>
        <v>0</v>
      </c>
      <c r="CQ24" s="541">
        <f t="shared" si="141"/>
        <v>0</v>
      </c>
      <c r="CR24" s="539"/>
      <c r="CS24" s="540">
        <f t="shared" si="30"/>
        <v>0</v>
      </c>
      <c r="CT24" s="541">
        <f t="shared" si="142"/>
        <v>0</v>
      </c>
      <c r="CU24" s="539"/>
      <c r="CV24" s="540">
        <f t="shared" si="31"/>
        <v>0</v>
      </c>
      <c r="CW24" s="541">
        <f t="shared" si="143"/>
        <v>0</v>
      </c>
      <c r="CX24" s="539"/>
      <c r="CY24" s="540">
        <f t="shared" si="32"/>
        <v>0</v>
      </c>
      <c r="CZ24" s="541">
        <f t="shared" si="144"/>
        <v>0</v>
      </c>
      <c r="DA24" s="539"/>
      <c r="DB24" s="540">
        <f t="shared" si="33"/>
        <v>0</v>
      </c>
      <c r="DC24" s="541">
        <f t="shared" si="145"/>
        <v>0</v>
      </c>
      <c r="DD24" s="539"/>
      <c r="DE24" s="540">
        <f t="shared" si="34"/>
        <v>0</v>
      </c>
      <c r="DF24" s="541">
        <f t="shared" si="146"/>
        <v>0</v>
      </c>
      <c r="DG24" s="539">
        <v>0</v>
      </c>
      <c r="DH24" s="540">
        <f t="shared" si="35"/>
        <v>0</v>
      </c>
      <c r="DI24" s="541">
        <f t="shared" si="203"/>
        <v>0</v>
      </c>
      <c r="DJ24" s="539"/>
      <c r="DK24" s="540">
        <f t="shared" si="36"/>
        <v>0</v>
      </c>
      <c r="DL24" s="541">
        <f t="shared" si="147"/>
        <v>0</v>
      </c>
      <c r="DM24" s="539"/>
      <c r="DN24" s="540">
        <f t="shared" si="37"/>
        <v>0</v>
      </c>
      <c r="DO24" s="541">
        <f t="shared" si="148"/>
        <v>0</v>
      </c>
      <c r="DP24" s="539"/>
      <c r="DQ24" s="540">
        <f t="shared" si="38"/>
        <v>0</v>
      </c>
      <c r="DR24" s="541">
        <f t="shared" si="149"/>
        <v>0</v>
      </c>
      <c r="DS24" s="539"/>
      <c r="DT24" s="540">
        <f t="shared" si="39"/>
        <v>0</v>
      </c>
      <c r="DU24" s="541">
        <f t="shared" si="150"/>
        <v>0</v>
      </c>
      <c r="DV24" s="539"/>
      <c r="DW24" s="540">
        <f t="shared" si="40"/>
        <v>0</v>
      </c>
      <c r="DX24" s="541">
        <f t="shared" si="151"/>
        <v>0</v>
      </c>
      <c r="DY24" s="539"/>
      <c r="DZ24" s="540">
        <f t="shared" si="41"/>
        <v>0</v>
      </c>
      <c r="EA24" s="541">
        <f t="shared" si="152"/>
        <v>0</v>
      </c>
      <c r="EB24" s="539">
        <v>14.534883720930225</v>
      </c>
      <c r="EC24" s="540">
        <f t="shared" si="42"/>
        <v>0.32271056218761601</v>
      </c>
      <c r="ED24" s="541">
        <f t="shared" si="153"/>
        <v>0</v>
      </c>
      <c r="EE24" s="539">
        <v>2</v>
      </c>
      <c r="EF24" s="540">
        <f t="shared" si="43"/>
        <v>4.4404973357015987E-2</v>
      </c>
      <c r="EG24" s="541">
        <f t="shared" si="154"/>
        <v>0</v>
      </c>
      <c r="EH24" s="539"/>
      <c r="EI24" s="540">
        <f t="shared" si="44"/>
        <v>0</v>
      </c>
      <c r="EJ24" s="541">
        <f t="shared" si="155"/>
        <v>0</v>
      </c>
      <c r="EK24" s="539"/>
      <c r="EL24" s="540">
        <f t="shared" si="45"/>
        <v>0</v>
      </c>
      <c r="EM24" s="541">
        <f t="shared" si="156"/>
        <v>0</v>
      </c>
      <c r="EN24" s="539"/>
      <c r="EO24" s="540">
        <f t="shared" si="46"/>
        <v>0</v>
      </c>
      <c r="EP24" s="541">
        <f t="shared" si="157"/>
        <v>0</v>
      </c>
      <c r="EQ24" s="539"/>
      <c r="ER24" s="540">
        <f t="shared" si="47"/>
        <v>0</v>
      </c>
      <c r="ES24" s="541">
        <f t="shared" si="158"/>
        <v>0</v>
      </c>
      <c r="ET24" s="539"/>
      <c r="EU24" s="540">
        <f t="shared" si="48"/>
        <v>0</v>
      </c>
      <c r="EV24" s="541">
        <f t="shared" si="159"/>
        <v>0</v>
      </c>
      <c r="EW24" s="539"/>
      <c r="EX24" s="540">
        <f t="shared" si="49"/>
        <v>0</v>
      </c>
      <c r="EY24" s="541">
        <f t="shared" si="160"/>
        <v>0</v>
      </c>
      <c r="EZ24" s="539"/>
      <c r="FA24" s="540">
        <f t="shared" si="50"/>
        <v>0</v>
      </c>
      <c r="FB24" s="541">
        <f t="shared" si="161"/>
        <v>0</v>
      </c>
      <c r="FC24" s="539"/>
      <c r="FD24" s="540">
        <f t="shared" si="51"/>
        <v>0</v>
      </c>
      <c r="FE24" s="541">
        <f t="shared" si="162"/>
        <v>0</v>
      </c>
      <c r="FF24" s="539"/>
      <c r="FG24" s="540">
        <f t="shared" si="52"/>
        <v>0</v>
      </c>
      <c r="FH24" s="541">
        <f t="shared" si="163"/>
        <v>0</v>
      </c>
      <c r="FI24" s="539"/>
      <c r="FJ24" s="540">
        <f t="shared" si="53"/>
        <v>0</v>
      </c>
      <c r="FK24" s="541">
        <f t="shared" si="164"/>
        <v>0</v>
      </c>
      <c r="FL24" s="539"/>
      <c r="FM24" s="540">
        <f t="shared" si="54"/>
        <v>0</v>
      </c>
      <c r="FN24" s="541">
        <f t="shared" si="165"/>
        <v>0</v>
      </c>
      <c r="FO24" s="539"/>
      <c r="FP24" s="540">
        <f t="shared" si="55"/>
        <v>0</v>
      </c>
      <c r="FQ24" s="541">
        <f t="shared" si="166"/>
        <v>0</v>
      </c>
      <c r="FR24" s="539"/>
      <c r="FS24" s="540">
        <f t="shared" si="56"/>
        <v>0</v>
      </c>
      <c r="FT24" s="541">
        <f t="shared" si="167"/>
        <v>0</v>
      </c>
      <c r="FU24" s="539"/>
      <c r="FV24" s="540">
        <f t="shared" si="57"/>
        <v>0</v>
      </c>
      <c r="FW24" s="541">
        <f t="shared" si="168"/>
        <v>0</v>
      </c>
      <c r="FX24" s="539"/>
      <c r="FY24" s="540">
        <f t="shared" si="58"/>
        <v>0</v>
      </c>
      <c r="FZ24" s="541">
        <f t="shared" si="169"/>
        <v>0</v>
      </c>
      <c r="GA24" s="539"/>
      <c r="GB24" s="540">
        <f t="shared" si="59"/>
        <v>0</v>
      </c>
      <c r="GC24" s="541">
        <f t="shared" si="170"/>
        <v>0</v>
      </c>
      <c r="GD24" s="539"/>
      <c r="GE24" s="540">
        <f t="shared" si="60"/>
        <v>0</v>
      </c>
      <c r="GF24" s="541">
        <f t="shared" si="171"/>
        <v>0</v>
      </c>
      <c r="GG24" s="539"/>
      <c r="GH24" s="540">
        <f t="shared" si="61"/>
        <v>0</v>
      </c>
      <c r="GI24" s="541">
        <f t="shared" si="172"/>
        <v>0</v>
      </c>
      <c r="GJ24" s="539"/>
      <c r="GK24" s="540">
        <f t="shared" si="62"/>
        <v>0</v>
      </c>
      <c r="GL24" s="541">
        <f t="shared" si="173"/>
        <v>0</v>
      </c>
      <c r="GM24" s="539"/>
      <c r="GN24" s="540">
        <f t="shared" si="63"/>
        <v>0</v>
      </c>
      <c r="GO24" s="541">
        <f t="shared" si="174"/>
        <v>0</v>
      </c>
      <c r="GP24" s="539"/>
      <c r="GQ24" s="540">
        <f t="shared" si="64"/>
        <v>0</v>
      </c>
      <c r="GR24" s="541">
        <f t="shared" si="175"/>
        <v>0</v>
      </c>
      <c r="GS24" s="539"/>
      <c r="GT24" s="540">
        <f t="shared" si="65"/>
        <v>0</v>
      </c>
      <c r="GU24" s="541">
        <f t="shared" si="176"/>
        <v>0</v>
      </c>
      <c r="GV24" s="539"/>
      <c r="GW24" s="540">
        <f t="shared" si="66"/>
        <v>0</v>
      </c>
      <c r="GX24" s="541">
        <f t="shared" si="177"/>
        <v>0</v>
      </c>
      <c r="GY24" s="539"/>
      <c r="GZ24" s="540">
        <f t="shared" si="67"/>
        <v>0</v>
      </c>
      <c r="HA24" s="541">
        <f t="shared" si="178"/>
        <v>0</v>
      </c>
      <c r="HB24" s="539"/>
      <c r="HC24" s="540">
        <f t="shared" si="68"/>
        <v>0</v>
      </c>
      <c r="HD24" s="541">
        <f t="shared" si="179"/>
        <v>0</v>
      </c>
      <c r="HE24" s="539"/>
      <c r="HF24" s="540">
        <f t="shared" si="69"/>
        <v>0</v>
      </c>
      <c r="HG24" s="541">
        <f t="shared" si="180"/>
        <v>0</v>
      </c>
      <c r="HH24" s="539"/>
      <c r="HI24" s="540">
        <f t="shared" si="70"/>
        <v>0</v>
      </c>
      <c r="HJ24" s="541">
        <f t="shared" si="181"/>
        <v>0</v>
      </c>
      <c r="HK24" s="539"/>
      <c r="HL24" s="540">
        <f t="shared" si="71"/>
        <v>0</v>
      </c>
      <c r="HM24" s="541">
        <f t="shared" si="182"/>
        <v>0</v>
      </c>
      <c r="HN24" s="539"/>
      <c r="HO24" s="540">
        <f t="shared" si="72"/>
        <v>0</v>
      </c>
      <c r="HP24" s="541">
        <f t="shared" si="183"/>
        <v>0</v>
      </c>
      <c r="HQ24" s="539"/>
      <c r="HR24" s="540">
        <f t="shared" si="73"/>
        <v>0</v>
      </c>
      <c r="HS24" s="541">
        <f t="shared" si="184"/>
        <v>0</v>
      </c>
      <c r="HT24" s="539"/>
      <c r="HU24" s="540">
        <f t="shared" si="74"/>
        <v>0</v>
      </c>
      <c r="HV24" s="541">
        <f t="shared" si="185"/>
        <v>0</v>
      </c>
      <c r="HW24" s="539"/>
      <c r="HX24" s="540">
        <f t="shared" si="75"/>
        <v>0</v>
      </c>
      <c r="HY24" s="541">
        <f t="shared" si="186"/>
        <v>0</v>
      </c>
      <c r="HZ24" s="539"/>
      <c r="IA24" s="540">
        <f t="shared" si="76"/>
        <v>0</v>
      </c>
      <c r="IB24" s="541">
        <f t="shared" si="187"/>
        <v>0</v>
      </c>
      <c r="IC24" s="539"/>
      <c r="ID24" s="540">
        <f t="shared" si="77"/>
        <v>0</v>
      </c>
      <c r="IE24" s="541">
        <f t="shared" si="188"/>
        <v>0</v>
      </c>
      <c r="IF24" s="539"/>
      <c r="IG24" s="540">
        <f t="shared" si="78"/>
        <v>0</v>
      </c>
      <c r="IH24" s="541">
        <f t="shared" si="189"/>
        <v>0</v>
      </c>
      <c r="II24" s="539"/>
      <c r="IJ24" s="540">
        <f t="shared" si="79"/>
        <v>0</v>
      </c>
      <c r="IK24" s="541">
        <f t="shared" si="190"/>
        <v>0</v>
      </c>
      <c r="IL24" s="539"/>
      <c r="IM24" s="540">
        <f t="shared" si="80"/>
        <v>0</v>
      </c>
      <c r="IN24" s="541">
        <f t="shared" si="191"/>
        <v>0</v>
      </c>
      <c r="IO24" s="539"/>
      <c r="IP24" s="540">
        <f t="shared" si="81"/>
        <v>0</v>
      </c>
      <c r="IQ24" s="541">
        <f t="shared" si="192"/>
        <v>0</v>
      </c>
      <c r="IR24" s="539"/>
      <c r="IS24" s="540">
        <f t="shared" si="82"/>
        <v>0</v>
      </c>
      <c r="IT24" s="541">
        <f t="shared" si="193"/>
        <v>0</v>
      </c>
      <c r="IU24" s="539"/>
      <c r="IV24" s="540">
        <f t="shared" si="83"/>
        <v>0</v>
      </c>
      <c r="IW24" s="541">
        <f t="shared" si="194"/>
        <v>0</v>
      </c>
      <c r="IX24" s="539"/>
      <c r="IY24" s="540">
        <f t="shared" si="84"/>
        <v>0</v>
      </c>
      <c r="IZ24" s="541">
        <f t="shared" si="195"/>
        <v>0</v>
      </c>
      <c r="JA24" s="539"/>
      <c r="JB24" s="540">
        <f t="shared" si="85"/>
        <v>0</v>
      </c>
      <c r="JC24" s="541">
        <f t="shared" si="196"/>
        <v>0</v>
      </c>
      <c r="JD24" s="539"/>
      <c r="JE24" s="540">
        <f t="shared" si="86"/>
        <v>0</v>
      </c>
      <c r="JF24" s="541">
        <f t="shared" si="197"/>
        <v>0</v>
      </c>
      <c r="JG24" s="539"/>
      <c r="JH24" s="540">
        <f t="shared" si="87"/>
        <v>0</v>
      </c>
      <c r="JI24" s="541">
        <f t="shared" si="198"/>
        <v>0</v>
      </c>
      <c r="JJ24" s="539"/>
      <c r="JK24" s="541" t="str">
        <f t="shared" si="88"/>
        <v>0</v>
      </c>
      <c r="JL24" s="541" t="str">
        <f t="shared" si="89"/>
        <v>0</v>
      </c>
      <c r="JM24" s="539"/>
      <c r="JN24" s="541" t="str">
        <f t="shared" si="90"/>
        <v>0</v>
      </c>
      <c r="JO24" s="541" t="str">
        <f t="shared" si="91"/>
        <v>0</v>
      </c>
      <c r="JP24" s="539"/>
      <c r="JQ24" s="541" t="str">
        <f t="shared" si="92"/>
        <v>0</v>
      </c>
      <c r="JR24" s="541" t="str">
        <f t="shared" si="93"/>
        <v>0</v>
      </c>
      <c r="JS24" s="539"/>
      <c r="JT24" s="541" t="str">
        <f t="shared" si="94"/>
        <v>0</v>
      </c>
      <c r="JU24" s="541" t="str">
        <f t="shared" si="95"/>
        <v>0</v>
      </c>
      <c r="JV24" s="539"/>
      <c r="JW24" s="541" t="str">
        <f t="shared" si="96"/>
        <v>0</v>
      </c>
      <c r="JX24" s="541" t="str">
        <f t="shared" si="97"/>
        <v>0</v>
      </c>
      <c r="JY24" s="539"/>
      <c r="JZ24" s="541" t="str">
        <f t="shared" si="98"/>
        <v>0</v>
      </c>
      <c r="KA24" s="541" t="str">
        <f t="shared" si="99"/>
        <v>0</v>
      </c>
      <c r="KB24" s="539"/>
      <c r="KC24" s="541" t="str">
        <f t="shared" si="100"/>
        <v>0</v>
      </c>
      <c r="KD24" s="541" t="str">
        <f t="shared" si="101"/>
        <v>0</v>
      </c>
      <c r="KE24" s="539"/>
      <c r="KF24" s="541" t="str">
        <f t="shared" si="102"/>
        <v>0</v>
      </c>
      <c r="KG24" s="541" t="str">
        <f t="shared" si="103"/>
        <v>0</v>
      </c>
      <c r="KH24" s="539"/>
      <c r="KI24" s="541" t="str">
        <f t="shared" si="104"/>
        <v>0</v>
      </c>
      <c r="KJ24" s="541" t="str">
        <f t="shared" si="105"/>
        <v>0</v>
      </c>
      <c r="KK24" s="539"/>
      <c r="KL24" s="541" t="str">
        <f t="shared" si="106"/>
        <v>0</v>
      </c>
      <c r="KM24" s="541" t="str">
        <f t="shared" si="107"/>
        <v>0</v>
      </c>
      <c r="KN24" s="539"/>
      <c r="KO24" s="541" t="str">
        <f t="shared" si="108"/>
        <v>0</v>
      </c>
      <c r="KP24" s="541" t="str">
        <f t="shared" si="109"/>
        <v>0</v>
      </c>
      <c r="KQ24" s="539"/>
      <c r="KR24" s="541" t="str">
        <f t="shared" si="110"/>
        <v>0</v>
      </c>
      <c r="KS24" s="541" t="str">
        <f t="shared" si="111"/>
        <v>0</v>
      </c>
      <c r="KT24" s="541">
        <f t="shared" si="200"/>
        <v>0</v>
      </c>
      <c r="KU24" s="541">
        <f t="shared" si="201"/>
        <v>0</v>
      </c>
      <c r="KV24" s="275">
        <f t="shared" si="202"/>
        <v>515.47396139364901</v>
      </c>
    </row>
    <row r="25" spans="1:309" ht="15" customHeight="1">
      <c r="A25" s="277">
        <f t="shared" si="199"/>
        <v>45947</v>
      </c>
      <c r="B25" s="278" t="str">
        <f>+Report1!B25</f>
        <v>Facial</v>
      </c>
      <c r="C25" s="420" t="str">
        <f>+Report1!C25</f>
        <v>12,5/13</v>
      </c>
      <c r="D25" s="279">
        <f>+Report1!P25</f>
        <v>61.978000000000002</v>
      </c>
      <c r="E25" s="280">
        <f>+Report1!R25</f>
        <v>59.747</v>
      </c>
      <c r="F25" s="539">
        <v>0</v>
      </c>
      <c r="G25" s="540">
        <f t="shared" si="0"/>
        <v>0</v>
      </c>
      <c r="H25" s="541">
        <f t="shared" si="112"/>
        <v>0</v>
      </c>
      <c r="I25" s="539">
        <v>267.44186046511641</v>
      </c>
      <c r="J25" s="540">
        <f t="shared" si="1"/>
        <v>4.4762391494989942</v>
      </c>
      <c r="K25" s="541">
        <f t="shared" si="113"/>
        <v>0</v>
      </c>
      <c r="L25" s="539"/>
      <c r="M25" s="540">
        <f t="shared" si="2"/>
        <v>0</v>
      </c>
      <c r="N25" s="541">
        <f t="shared" si="114"/>
        <v>0</v>
      </c>
      <c r="O25" s="539">
        <v>6.0000000000000284</v>
      </c>
      <c r="P25" s="540">
        <f t="shared" si="3"/>
        <v>0.10042345222354308</v>
      </c>
      <c r="Q25" s="541">
        <f t="shared" si="115"/>
        <v>0</v>
      </c>
      <c r="R25" s="539"/>
      <c r="S25" s="540">
        <f t="shared" si="4"/>
        <v>0</v>
      </c>
      <c r="T25" s="541">
        <f t="shared" si="116"/>
        <v>0</v>
      </c>
      <c r="U25" s="539">
        <v>7.6875</v>
      </c>
      <c r="V25" s="540">
        <f t="shared" si="5"/>
        <v>0.12866754816141396</v>
      </c>
      <c r="W25" s="541">
        <f t="shared" si="117"/>
        <v>0</v>
      </c>
      <c r="X25" s="539"/>
      <c r="Y25" s="540">
        <f t="shared" si="6"/>
        <v>0</v>
      </c>
      <c r="Z25" s="541">
        <f t="shared" si="118"/>
        <v>0</v>
      </c>
      <c r="AA25" s="539"/>
      <c r="AB25" s="540">
        <f t="shared" si="7"/>
        <v>0</v>
      </c>
      <c r="AC25" s="541">
        <f t="shared" si="119"/>
        <v>0</v>
      </c>
      <c r="AD25" s="539"/>
      <c r="AE25" s="540">
        <f t="shared" si="8"/>
        <v>0</v>
      </c>
      <c r="AF25" s="541">
        <f t="shared" si="120"/>
        <v>0</v>
      </c>
      <c r="AG25" s="539"/>
      <c r="AH25" s="540">
        <f t="shared" si="9"/>
        <v>0</v>
      </c>
      <c r="AI25" s="541">
        <f t="shared" si="121"/>
        <v>0</v>
      </c>
      <c r="AJ25" s="539">
        <v>0</v>
      </c>
      <c r="AK25" s="540">
        <f t="shared" si="10"/>
        <v>0</v>
      </c>
      <c r="AL25" s="541">
        <f t="shared" si="122"/>
        <v>0</v>
      </c>
      <c r="AM25" s="539">
        <v>0</v>
      </c>
      <c r="AN25" s="540">
        <f t="shared" si="11"/>
        <v>0</v>
      </c>
      <c r="AO25" s="541">
        <f t="shared" si="123"/>
        <v>0</v>
      </c>
      <c r="AP25" s="539">
        <v>45.569620253164572</v>
      </c>
      <c r="AQ25" s="540">
        <f t="shared" si="12"/>
        <v>0.76270976372310861</v>
      </c>
      <c r="AR25" s="541">
        <f t="shared" si="124"/>
        <v>0</v>
      </c>
      <c r="AS25" s="539"/>
      <c r="AT25" s="540">
        <f t="shared" si="13"/>
        <v>0</v>
      </c>
      <c r="AU25" s="541">
        <f t="shared" si="125"/>
        <v>0</v>
      </c>
      <c r="AV25" s="539">
        <v>5.5500000000000114</v>
      </c>
      <c r="AW25" s="540">
        <f t="shared" si="14"/>
        <v>9.2891693306777101E-2</v>
      </c>
      <c r="AX25" s="541">
        <f t="shared" si="126"/>
        <v>0</v>
      </c>
      <c r="AY25" s="539">
        <v>74.666666666666657</v>
      </c>
      <c r="AZ25" s="540">
        <f t="shared" si="15"/>
        <v>1.2497140721151967</v>
      </c>
      <c r="BA25" s="541">
        <f t="shared" si="127"/>
        <v>0</v>
      </c>
      <c r="BB25" s="539">
        <v>0</v>
      </c>
      <c r="BC25" s="540">
        <f t="shared" si="16"/>
        <v>0</v>
      </c>
      <c r="BD25" s="541">
        <f t="shared" si="128"/>
        <v>0</v>
      </c>
      <c r="BE25" s="539"/>
      <c r="BF25" s="540">
        <f t="shared" si="17"/>
        <v>0</v>
      </c>
      <c r="BG25" s="541">
        <f t="shared" si="129"/>
        <v>0</v>
      </c>
      <c r="BH25" s="539"/>
      <c r="BI25" s="540">
        <f t="shared" si="18"/>
        <v>0</v>
      </c>
      <c r="BJ25" s="541">
        <f t="shared" si="130"/>
        <v>0</v>
      </c>
      <c r="BK25" s="539"/>
      <c r="BL25" s="540">
        <f t="shared" si="19"/>
        <v>0</v>
      </c>
      <c r="BM25" s="541">
        <f t="shared" si="131"/>
        <v>0</v>
      </c>
      <c r="BN25" s="539">
        <v>12.65432098765433</v>
      </c>
      <c r="BO25" s="540">
        <f t="shared" si="20"/>
        <v>0.21179843318751285</v>
      </c>
      <c r="BP25" s="541">
        <f t="shared" si="132"/>
        <v>0</v>
      </c>
      <c r="BQ25" s="539">
        <v>25.641025641025635</v>
      </c>
      <c r="BR25" s="540">
        <f t="shared" si="21"/>
        <v>0.42916005223736148</v>
      </c>
      <c r="BS25" s="541">
        <f t="shared" si="133"/>
        <v>0</v>
      </c>
      <c r="BT25" s="539"/>
      <c r="BU25" s="540">
        <f t="shared" si="22"/>
        <v>0</v>
      </c>
      <c r="BV25" s="541">
        <f t="shared" si="134"/>
        <v>0</v>
      </c>
      <c r="BW25" s="539">
        <v>0</v>
      </c>
      <c r="BX25" s="540">
        <f t="shared" si="23"/>
        <v>0</v>
      </c>
      <c r="BY25" s="541">
        <f t="shared" si="135"/>
        <v>0</v>
      </c>
      <c r="BZ25" s="539"/>
      <c r="CA25" s="540">
        <f t="shared" si="24"/>
        <v>0</v>
      </c>
      <c r="CB25" s="541">
        <f t="shared" si="136"/>
        <v>0</v>
      </c>
      <c r="CC25" s="539">
        <v>0</v>
      </c>
      <c r="CD25" s="540">
        <f t="shared" si="25"/>
        <v>0</v>
      </c>
      <c r="CE25" s="541">
        <f t="shared" si="137"/>
        <v>0</v>
      </c>
      <c r="CF25" s="539">
        <v>9.9999999999999978E-2</v>
      </c>
      <c r="CG25" s="540">
        <f t="shared" si="26"/>
        <v>1.6737242037257096E-3</v>
      </c>
      <c r="CH25" s="541">
        <f t="shared" si="138"/>
        <v>0</v>
      </c>
      <c r="CI25" s="539"/>
      <c r="CJ25" s="540">
        <f t="shared" si="27"/>
        <v>0</v>
      </c>
      <c r="CK25" s="541">
        <f t="shared" si="139"/>
        <v>0</v>
      </c>
      <c r="CL25" s="539"/>
      <c r="CM25" s="540">
        <f t="shared" si="28"/>
        <v>0</v>
      </c>
      <c r="CN25" s="541">
        <f t="shared" si="140"/>
        <v>0</v>
      </c>
      <c r="CO25" s="539"/>
      <c r="CP25" s="540">
        <f t="shared" si="29"/>
        <v>0</v>
      </c>
      <c r="CQ25" s="541">
        <f t="shared" si="141"/>
        <v>0</v>
      </c>
      <c r="CR25" s="539"/>
      <c r="CS25" s="540">
        <f t="shared" si="30"/>
        <v>0</v>
      </c>
      <c r="CT25" s="541">
        <f t="shared" si="142"/>
        <v>0</v>
      </c>
      <c r="CU25" s="539"/>
      <c r="CV25" s="540">
        <f t="shared" si="31"/>
        <v>0</v>
      </c>
      <c r="CW25" s="541">
        <f t="shared" si="143"/>
        <v>0</v>
      </c>
      <c r="CX25" s="539"/>
      <c r="CY25" s="540">
        <f t="shared" si="32"/>
        <v>0</v>
      </c>
      <c r="CZ25" s="541">
        <f t="shared" si="144"/>
        <v>0</v>
      </c>
      <c r="DA25" s="539"/>
      <c r="DB25" s="540">
        <f t="shared" si="33"/>
        <v>0</v>
      </c>
      <c r="DC25" s="541">
        <f t="shared" si="145"/>
        <v>0</v>
      </c>
      <c r="DD25" s="539"/>
      <c r="DE25" s="540">
        <f t="shared" si="34"/>
        <v>0</v>
      </c>
      <c r="DF25" s="541">
        <f t="shared" si="146"/>
        <v>0</v>
      </c>
      <c r="DG25" s="539">
        <v>0</v>
      </c>
      <c r="DH25" s="540">
        <f t="shared" si="35"/>
        <v>0</v>
      </c>
      <c r="DI25" s="541">
        <f t="shared" si="203"/>
        <v>0</v>
      </c>
      <c r="DJ25" s="539"/>
      <c r="DK25" s="540">
        <f t="shared" si="36"/>
        <v>0</v>
      </c>
      <c r="DL25" s="541">
        <f t="shared" si="147"/>
        <v>0</v>
      </c>
      <c r="DM25" s="539"/>
      <c r="DN25" s="540">
        <f t="shared" si="37"/>
        <v>0</v>
      </c>
      <c r="DO25" s="541">
        <f t="shared" si="148"/>
        <v>0</v>
      </c>
      <c r="DP25" s="539"/>
      <c r="DQ25" s="540">
        <f t="shared" si="38"/>
        <v>0</v>
      </c>
      <c r="DR25" s="541">
        <f t="shared" si="149"/>
        <v>0</v>
      </c>
      <c r="DS25" s="539"/>
      <c r="DT25" s="540">
        <f t="shared" si="39"/>
        <v>0</v>
      </c>
      <c r="DU25" s="541">
        <f t="shared" si="150"/>
        <v>0</v>
      </c>
      <c r="DV25" s="539"/>
      <c r="DW25" s="540">
        <f t="shared" si="40"/>
        <v>0</v>
      </c>
      <c r="DX25" s="541">
        <f t="shared" si="151"/>
        <v>0</v>
      </c>
      <c r="DY25" s="539"/>
      <c r="DZ25" s="540">
        <f t="shared" si="41"/>
        <v>0</v>
      </c>
      <c r="EA25" s="541">
        <f t="shared" si="152"/>
        <v>0</v>
      </c>
      <c r="EB25" s="539">
        <v>14.534883720930225</v>
      </c>
      <c r="EC25" s="540">
        <f t="shared" si="42"/>
        <v>0.24327386682059726</v>
      </c>
      <c r="ED25" s="541">
        <f t="shared" si="153"/>
        <v>0</v>
      </c>
      <c r="EE25" s="539">
        <v>2</v>
      </c>
      <c r="EF25" s="540">
        <f t="shared" si="43"/>
        <v>3.3474484074514199E-2</v>
      </c>
      <c r="EG25" s="541">
        <f t="shared" si="154"/>
        <v>0</v>
      </c>
      <c r="EH25" s="539"/>
      <c r="EI25" s="540">
        <f t="shared" si="44"/>
        <v>0</v>
      </c>
      <c r="EJ25" s="541">
        <f t="shared" si="155"/>
        <v>0</v>
      </c>
      <c r="EK25" s="539"/>
      <c r="EL25" s="540">
        <f t="shared" si="45"/>
        <v>0</v>
      </c>
      <c r="EM25" s="541">
        <f t="shared" si="156"/>
        <v>0</v>
      </c>
      <c r="EN25" s="539"/>
      <c r="EO25" s="540">
        <f t="shared" si="46"/>
        <v>0</v>
      </c>
      <c r="EP25" s="541">
        <f t="shared" si="157"/>
        <v>0</v>
      </c>
      <c r="EQ25" s="539"/>
      <c r="ER25" s="540">
        <f t="shared" si="47"/>
        <v>0</v>
      </c>
      <c r="ES25" s="541">
        <f t="shared" si="158"/>
        <v>0</v>
      </c>
      <c r="ET25" s="539"/>
      <c r="EU25" s="540">
        <f t="shared" si="48"/>
        <v>0</v>
      </c>
      <c r="EV25" s="541">
        <f t="shared" si="159"/>
        <v>0</v>
      </c>
      <c r="EW25" s="539"/>
      <c r="EX25" s="540">
        <f t="shared" si="49"/>
        <v>0</v>
      </c>
      <c r="EY25" s="541">
        <f t="shared" si="160"/>
        <v>0</v>
      </c>
      <c r="EZ25" s="539"/>
      <c r="FA25" s="540">
        <f t="shared" si="50"/>
        <v>0</v>
      </c>
      <c r="FB25" s="541">
        <f t="shared" si="161"/>
        <v>0</v>
      </c>
      <c r="FC25" s="539"/>
      <c r="FD25" s="540">
        <f t="shared" si="51"/>
        <v>0</v>
      </c>
      <c r="FE25" s="541">
        <f t="shared" si="162"/>
        <v>0</v>
      </c>
      <c r="FF25" s="539"/>
      <c r="FG25" s="540">
        <f t="shared" si="52"/>
        <v>0</v>
      </c>
      <c r="FH25" s="541">
        <f t="shared" si="163"/>
        <v>0</v>
      </c>
      <c r="FI25" s="539"/>
      <c r="FJ25" s="540">
        <f t="shared" si="53"/>
        <v>0</v>
      </c>
      <c r="FK25" s="541">
        <f t="shared" si="164"/>
        <v>0</v>
      </c>
      <c r="FL25" s="539"/>
      <c r="FM25" s="540">
        <f t="shared" si="54"/>
        <v>0</v>
      </c>
      <c r="FN25" s="541">
        <f t="shared" si="165"/>
        <v>0</v>
      </c>
      <c r="FO25" s="539"/>
      <c r="FP25" s="540">
        <f t="shared" si="55"/>
        <v>0</v>
      </c>
      <c r="FQ25" s="541">
        <f t="shared" si="166"/>
        <v>0</v>
      </c>
      <c r="FR25" s="539"/>
      <c r="FS25" s="540">
        <f t="shared" si="56"/>
        <v>0</v>
      </c>
      <c r="FT25" s="541">
        <f t="shared" si="167"/>
        <v>0</v>
      </c>
      <c r="FU25" s="539"/>
      <c r="FV25" s="540">
        <f t="shared" si="57"/>
        <v>0</v>
      </c>
      <c r="FW25" s="541">
        <f t="shared" si="168"/>
        <v>0</v>
      </c>
      <c r="FX25" s="539"/>
      <c r="FY25" s="540">
        <f t="shared" si="58"/>
        <v>0</v>
      </c>
      <c r="FZ25" s="541">
        <f t="shared" si="169"/>
        <v>0</v>
      </c>
      <c r="GA25" s="539"/>
      <c r="GB25" s="540">
        <f t="shared" si="59"/>
        <v>0</v>
      </c>
      <c r="GC25" s="541">
        <f t="shared" si="170"/>
        <v>0</v>
      </c>
      <c r="GD25" s="539"/>
      <c r="GE25" s="540">
        <f t="shared" si="60"/>
        <v>0</v>
      </c>
      <c r="GF25" s="541">
        <f t="shared" si="171"/>
        <v>0</v>
      </c>
      <c r="GG25" s="539"/>
      <c r="GH25" s="540">
        <f t="shared" si="61"/>
        <v>0</v>
      </c>
      <c r="GI25" s="541">
        <f t="shared" si="172"/>
        <v>0</v>
      </c>
      <c r="GJ25" s="539"/>
      <c r="GK25" s="540">
        <f t="shared" si="62"/>
        <v>0</v>
      </c>
      <c r="GL25" s="541">
        <f t="shared" si="173"/>
        <v>0</v>
      </c>
      <c r="GM25" s="539"/>
      <c r="GN25" s="540">
        <f t="shared" si="63"/>
        <v>0</v>
      </c>
      <c r="GO25" s="541">
        <f t="shared" si="174"/>
        <v>0</v>
      </c>
      <c r="GP25" s="539"/>
      <c r="GQ25" s="540">
        <f t="shared" si="64"/>
        <v>0</v>
      </c>
      <c r="GR25" s="541">
        <f t="shared" si="175"/>
        <v>0</v>
      </c>
      <c r="GS25" s="539"/>
      <c r="GT25" s="540">
        <f t="shared" si="65"/>
        <v>0</v>
      </c>
      <c r="GU25" s="541">
        <f t="shared" si="176"/>
        <v>0</v>
      </c>
      <c r="GV25" s="539"/>
      <c r="GW25" s="540">
        <f t="shared" si="66"/>
        <v>0</v>
      </c>
      <c r="GX25" s="541">
        <f t="shared" si="177"/>
        <v>0</v>
      </c>
      <c r="GY25" s="539"/>
      <c r="GZ25" s="540">
        <f t="shared" si="67"/>
        <v>0</v>
      </c>
      <c r="HA25" s="541">
        <f t="shared" si="178"/>
        <v>0</v>
      </c>
      <c r="HB25" s="539"/>
      <c r="HC25" s="540">
        <f t="shared" si="68"/>
        <v>0</v>
      </c>
      <c r="HD25" s="541">
        <f t="shared" si="179"/>
        <v>0</v>
      </c>
      <c r="HE25" s="539"/>
      <c r="HF25" s="540">
        <f t="shared" si="69"/>
        <v>0</v>
      </c>
      <c r="HG25" s="541">
        <f t="shared" si="180"/>
        <v>0</v>
      </c>
      <c r="HH25" s="539"/>
      <c r="HI25" s="540">
        <f t="shared" si="70"/>
        <v>0</v>
      </c>
      <c r="HJ25" s="541">
        <f t="shared" si="181"/>
        <v>0</v>
      </c>
      <c r="HK25" s="539"/>
      <c r="HL25" s="540">
        <f t="shared" si="71"/>
        <v>0</v>
      </c>
      <c r="HM25" s="541">
        <f t="shared" si="182"/>
        <v>0</v>
      </c>
      <c r="HN25" s="539"/>
      <c r="HO25" s="540">
        <f t="shared" si="72"/>
        <v>0</v>
      </c>
      <c r="HP25" s="541">
        <f t="shared" si="183"/>
        <v>0</v>
      </c>
      <c r="HQ25" s="539"/>
      <c r="HR25" s="540">
        <f t="shared" si="73"/>
        <v>0</v>
      </c>
      <c r="HS25" s="541">
        <f t="shared" si="184"/>
        <v>0</v>
      </c>
      <c r="HT25" s="539"/>
      <c r="HU25" s="540">
        <f t="shared" si="74"/>
        <v>0</v>
      </c>
      <c r="HV25" s="541">
        <f t="shared" si="185"/>
        <v>0</v>
      </c>
      <c r="HW25" s="539"/>
      <c r="HX25" s="540">
        <f t="shared" si="75"/>
        <v>0</v>
      </c>
      <c r="HY25" s="541">
        <f t="shared" si="186"/>
        <v>0</v>
      </c>
      <c r="HZ25" s="539"/>
      <c r="IA25" s="540">
        <f t="shared" si="76"/>
        <v>0</v>
      </c>
      <c r="IB25" s="541">
        <f t="shared" si="187"/>
        <v>0</v>
      </c>
      <c r="IC25" s="539"/>
      <c r="ID25" s="540">
        <f t="shared" si="77"/>
        <v>0</v>
      </c>
      <c r="IE25" s="541">
        <f t="shared" si="188"/>
        <v>0</v>
      </c>
      <c r="IF25" s="539"/>
      <c r="IG25" s="540">
        <f t="shared" si="78"/>
        <v>0</v>
      </c>
      <c r="IH25" s="541">
        <f t="shared" si="189"/>
        <v>0</v>
      </c>
      <c r="II25" s="539"/>
      <c r="IJ25" s="540">
        <f t="shared" si="79"/>
        <v>0</v>
      </c>
      <c r="IK25" s="541">
        <f t="shared" si="190"/>
        <v>0</v>
      </c>
      <c r="IL25" s="539"/>
      <c r="IM25" s="540">
        <f t="shared" si="80"/>
        <v>0</v>
      </c>
      <c r="IN25" s="541">
        <f t="shared" si="191"/>
        <v>0</v>
      </c>
      <c r="IO25" s="539"/>
      <c r="IP25" s="540">
        <f t="shared" si="81"/>
        <v>0</v>
      </c>
      <c r="IQ25" s="541">
        <f t="shared" si="192"/>
        <v>0</v>
      </c>
      <c r="IR25" s="539"/>
      <c r="IS25" s="540">
        <f t="shared" si="82"/>
        <v>0</v>
      </c>
      <c r="IT25" s="541">
        <f t="shared" si="193"/>
        <v>0</v>
      </c>
      <c r="IU25" s="539"/>
      <c r="IV25" s="540">
        <f t="shared" si="83"/>
        <v>0</v>
      </c>
      <c r="IW25" s="541">
        <f t="shared" si="194"/>
        <v>0</v>
      </c>
      <c r="IX25" s="539"/>
      <c r="IY25" s="540">
        <f t="shared" si="84"/>
        <v>0</v>
      </c>
      <c r="IZ25" s="541">
        <f t="shared" si="195"/>
        <v>0</v>
      </c>
      <c r="JA25" s="539"/>
      <c r="JB25" s="540">
        <f t="shared" si="85"/>
        <v>0</v>
      </c>
      <c r="JC25" s="541">
        <f t="shared" si="196"/>
        <v>0</v>
      </c>
      <c r="JD25" s="539"/>
      <c r="JE25" s="540">
        <f t="shared" si="86"/>
        <v>0</v>
      </c>
      <c r="JF25" s="541">
        <f t="shared" si="197"/>
        <v>0</v>
      </c>
      <c r="JG25" s="539"/>
      <c r="JH25" s="540">
        <f t="shared" si="87"/>
        <v>0</v>
      </c>
      <c r="JI25" s="541">
        <f t="shared" si="198"/>
        <v>0</v>
      </c>
      <c r="JJ25" s="539"/>
      <c r="JK25" s="541" t="str">
        <f t="shared" si="88"/>
        <v>0</v>
      </c>
      <c r="JL25" s="541" t="str">
        <f t="shared" si="89"/>
        <v>0</v>
      </c>
      <c r="JM25" s="539"/>
      <c r="JN25" s="541" t="str">
        <f t="shared" si="90"/>
        <v>0</v>
      </c>
      <c r="JO25" s="541" t="str">
        <f t="shared" si="91"/>
        <v>0</v>
      </c>
      <c r="JP25" s="539"/>
      <c r="JQ25" s="541" t="str">
        <f t="shared" si="92"/>
        <v>0</v>
      </c>
      <c r="JR25" s="541" t="str">
        <f t="shared" si="93"/>
        <v>0</v>
      </c>
      <c r="JS25" s="539"/>
      <c r="JT25" s="541" t="str">
        <f t="shared" si="94"/>
        <v>0</v>
      </c>
      <c r="JU25" s="541" t="str">
        <f t="shared" si="95"/>
        <v>0</v>
      </c>
      <c r="JV25" s="539"/>
      <c r="JW25" s="541" t="str">
        <f t="shared" si="96"/>
        <v>0</v>
      </c>
      <c r="JX25" s="541" t="str">
        <f t="shared" si="97"/>
        <v>0</v>
      </c>
      <c r="JY25" s="539"/>
      <c r="JZ25" s="541" t="str">
        <f t="shared" si="98"/>
        <v>0</v>
      </c>
      <c r="KA25" s="541" t="str">
        <f t="shared" si="99"/>
        <v>0</v>
      </c>
      <c r="KB25" s="539"/>
      <c r="KC25" s="541" t="str">
        <f t="shared" si="100"/>
        <v>0</v>
      </c>
      <c r="KD25" s="541" t="str">
        <f t="shared" si="101"/>
        <v>0</v>
      </c>
      <c r="KE25" s="539"/>
      <c r="KF25" s="541" t="str">
        <f t="shared" si="102"/>
        <v>0</v>
      </c>
      <c r="KG25" s="541" t="str">
        <f t="shared" si="103"/>
        <v>0</v>
      </c>
      <c r="KH25" s="539"/>
      <c r="KI25" s="541" t="str">
        <f t="shared" si="104"/>
        <v>0</v>
      </c>
      <c r="KJ25" s="541" t="str">
        <f t="shared" si="105"/>
        <v>0</v>
      </c>
      <c r="KK25" s="539"/>
      <c r="KL25" s="541" t="str">
        <f t="shared" si="106"/>
        <v>0</v>
      </c>
      <c r="KM25" s="541" t="str">
        <f t="shared" si="107"/>
        <v>0</v>
      </c>
      <c r="KN25" s="539"/>
      <c r="KO25" s="541" t="str">
        <f t="shared" si="108"/>
        <v>0</v>
      </c>
      <c r="KP25" s="541" t="str">
        <f t="shared" si="109"/>
        <v>0</v>
      </c>
      <c r="KQ25" s="539"/>
      <c r="KR25" s="541" t="str">
        <f t="shared" si="110"/>
        <v>0</v>
      </c>
      <c r="KS25" s="541" t="str">
        <f t="shared" si="111"/>
        <v>0</v>
      </c>
      <c r="KT25" s="541">
        <f t="shared" si="200"/>
        <v>0</v>
      </c>
      <c r="KU25" s="541">
        <f t="shared" si="201"/>
        <v>0</v>
      </c>
      <c r="KV25" s="275">
        <f t="shared" si="202"/>
        <v>461.84587773455786</v>
      </c>
    </row>
    <row r="26" spans="1:309" ht="15" customHeight="1">
      <c r="A26" s="277">
        <f t="shared" si="199"/>
        <v>45948</v>
      </c>
      <c r="B26" s="278" t="str">
        <f>+Report1!B26</f>
        <v>Facial</v>
      </c>
      <c r="C26" s="420" t="str">
        <f>+Report1!C26</f>
        <v>13/12</v>
      </c>
      <c r="D26" s="279">
        <f>+Report1!P26</f>
        <v>56.56</v>
      </c>
      <c r="E26" s="280">
        <f>+Report1!R26</f>
        <v>54.112000000000002</v>
      </c>
      <c r="F26" s="539">
        <v>0</v>
      </c>
      <c r="G26" s="540">
        <f t="shared" si="0"/>
        <v>0</v>
      </c>
      <c r="H26" s="541">
        <f t="shared" si="112"/>
        <v>0</v>
      </c>
      <c r="I26" s="539">
        <v>273.25581395348843</v>
      </c>
      <c r="J26" s="540">
        <f t="shared" si="1"/>
        <v>5.0498191520085829</v>
      </c>
      <c r="K26" s="541">
        <f t="shared" si="113"/>
        <v>0</v>
      </c>
      <c r="L26" s="539"/>
      <c r="M26" s="540">
        <f t="shared" si="2"/>
        <v>0</v>
      </c>
      <c r="N26" s="541">
        <f t="shared" si="114"/>
        <v>0</v>
      </c>
      <c r="O26" s="539">
        <v>5.9999999999999858</v>
      </c>
      <c r="P26" s="540">
        <f t="shared" si="3"/>
        <v>0.11088113542282646</v>
      </c>
      <c r="Q26" s="541">
        <f t="shared" si="115"/>
        <v>0</v>
      </c>
      <c r="R26" s="539"/>
      <c r="S26" s="540">
        <f t="shared" si="4"/>
        <v>0</v>
      </c>
      <c r="T26" s="541">
        <f t="shared" si="116"/>
        <v>0</v>
      </c>
      <c r="U26" s="539">
        <v>7.6874999999999858</v>
      </c>
      <c r="V26" s="540">
        <f t="shared" si="5"/>
        <v>0.14206645476049648</v>
      </c>
      <c r="W26" s="541">
        <f t="shared" si="117"/>
        <v>0</v>
      </c>
      <c r="X26" s="539"/>
      <c r="Y26" s="540">
        <f t="shared" si="6"/>
        <v>0</v>
      </c>
      <c r="Z26" s="541">
        <f t="shared" si="118"/>
        <v>0</v>
      </c>
      <c r="AA26" s="539"/>
      <c r="AB26" s="540">
        <f t="shared" si="7"/>
        <v>0</v>
      </c>
      <c r="AC26" s="541">
        <f t="shared" si="119"/>
        <v>0</v>
      </c>
      <c r="AD26" s="539"/>
      <c r="AE26" s="540">
        <f t="shared" si="8"/>
        <v>0</v>
      </c>
      <c r="AF26" s="541">
        <f t="shared" si="120"/>
        <v>0</v>
      </c>
      <c r="AG26" s="539"/>
      <c r="AH26" s="540">
        <f t="shared" si="9"/>
        <v>0</v>
      </c>
      <c r="AI26" s="541">
        <f t="shared" si="121"/>
        <v>0</v>
      </c>
      <c r="AJ26" s="539">
        <v>0</v>
      </c>
      <c r="AK26" s="540">
        <f t="shared" si="10"/>
        <v>0</v>
      </c>
      <c r="AL26" s="541">
        <f t="shared" si="122"/>
        <v>0</v>
      </c>
      <c r="AM26" s="539">
        <v>0</v>
      </c>
      <c r="AN26" s="540">
        <f t="shared" si="11"/>
        <v>0</v>
      </c>
      <c r="AO26" s="541">
        <f t="shared" si="123"/>
        <v>0</v>
      </c>
      <c r="AP26" s="539">
        <v>55.537974683544306</v>
      </c>
      <c r="AQ26" s="540">
        <f t="shared" si="12"/>
        <v>1.0263522819992663</v>
      </c>
      <c r="AR26" s="541">
        <f t="shared" si="124"/>
        <v>0</v>
      </c>
      <c r="AS26" s="539"/>
      <c r="AT26" s="540">
        <f t="shared" si="13"/>
        <v>0</v>
      </c>
      <c r="AU26" s="541">
        <f t="shared" si="125"/>
        <v>0</v>
      </c>
      <c r="AV26" s="539">
        <v>5.5499999999999901</v>
      </c>
      <c r="AW26" s="540">
        <f t="shared" si="14"/>
        <v>0.10256505026611454</v>
      </c>
      <c r="AX26" s="541">
        <f t="shared" si="126"/>
        <v>0</v>
      </c>
      <c r="AY26" s="539">
        <v>77.000000000000028</v>
      </c>
      <c r="AZ26" s="540">
        <f t="shared" si="15"/>
        <v>1.4229745712596102</v>
      </c>
      <c r="BA26" s="541">
        <f t="shared" si="127"/>
        <v>0</v>
      </c>
      <c r="BB26" s="539">
        <v>0</v>
      </c>
      <c r="BC26" s="540">
        <f t="shared" si="16"/>
        <v>0</v>
      </c>
      <c r="BD26" s="541">
        <f t="shared" si="128"/>
        <v>0</v>
      </c>
      <c r="BE26" s="539"/>
      <c r="BF26" s="540">
        <f t="shared" si="17"/>
        <v>0</v>
      </c>
      <c r="BG26" s="541">
        <f t="shared" si="129"/>
        <v>0</v>
      </c>
      <c r="BH26" s="539"/>
      <c r="BI26" s="540">
        <f t="shared" si="18"/>
        <v>0</v>
      </c>
      <c r="BJ26" s="541">
        <f t="shared" si="130"/>
        <v>0</v>
      </c>
      <c r="BK26" s="539"/>
      <c r="BL26" s="540">
        <f t="shared" si="19"/>
        <v>0</v>
      </c>
      <c r="BM26" s="541">
        <f t="shared" si="131"/>
        <v>0</v>
      </c>
      <c r="BN26" s="539">
        <v>10.123456790123456</v>
      </c>
      <c r="BO26" s="540">
        <f t="shared" si="20"/>
        <v>0.18708339721546893</v>
      </c>
      <c r="BP26" s="541">
        <f t="shared" si="132"/>
        <v>0</v>
      </c>
      <c r="BQ26" s="539">
        <v>0</v>
      </c>
      <c r="BR26" s="540">
        <f t="shared" si="21"/>
        <v>0</v>
      </c>
      <c r="BS26" s="541">
        <f t="shared" si="133"/>
        <v>0</v>
      </c>
      <c r="BT26" s="539"/>
      <c r="BU26" s="540">
        <f t="shared" si="22"/>
        <v>0</v>
      </c>
      <c r="BV26" s="541">
        <f t="shared" si="134"/>
        <v>0</v>
      </c>
      <c r="BW26" s="539">
        <v>0</v>
      </c>
      <c r="BX26" s="540">
        <f t="shared" si="23"/>
        <v>0</v>
      </c>
      <c r="BY26" s="541">
        <f t="shared" si="135"/>
        <v>0</v>
      </c>
      <c r="BZ26" s="539"/>
      <c r="CA26" s="540">
        <f t="shared" si="24"/>
        <v>0</v>
      </c>
      <c r="CB26" s="541">
        <f t="shared" si="136"/>
        <v>0</v>
      </c>
      <c r="CC26" s="539">
        <v>0</v>
      </c>
      <c r="CD26" s="540">
        <f t="shared" si="25"/>
        <v>0</v>
      </c>
      <c r="CE26" s="541">
        <f t="shared" si="137"/>
        <v>0</v>
      </c>
      <c r="CF26" s="539">
        <v>0.10000000000000003</v>
      </c>
      <c r="CG26" s="540">
        <f t="shared" si="26"/>
        <v>1.8480189237137794E-3</v>
      </c>
      <c r="CH26" s="541">
        <f t="shared" si="138"/>
        <v>0</v>
      </c>
      <c r="CI26" s="539"/>
      <c r="CJ26" s="540">
        <f t="shared" si="27"/>
        <v>0</v>
      </c>
      <c r="CK26" s="541">
        <f t="shared" si="139"/>
        <v>0</v>
      </c>
      <c r="CL26" s="539"/>
      <c r="CM26" s="540">
        <f t="shared" si="28"/>
        <v>0</v>
      </c>
      <c r="CN26" s="541">
        <f t="shared" si="140"/>
        <v>0</v>
      </c>
      <c r="CO26" s="539"/>
      <c r="CP26" s="540">
        <f t="shared" si="29"/>
        <v>0</v>
      </c>
      <c r="CQ26" s="541">
        <f t="shared" si="141"/>
        <v>0</v>
      </c>
      <c r="CR26" s="539"/>
      <c r="CS26" s="540">
        <f t="shared" si="30"/>
        <v>0</v>
      </c>
      <c r="CT26" s="541">
        <f t="shared" si="142"/>
        <v>0</v>
      </c>
      <c r="CU26" s="539"/>
      <c r="CV26" s="540">
        <f t="shared" si="31"/>
        <v>0</v>
      </c>
      <c r="CW26" s="541">
        <f t="shared" si="143"/>
        <v>0</v>
      </c>
      <c r="CX26" s="539"/>
      <c r="CY26" s="540">
        <f t="shared" si="32"/>
        <v>0</v>
      </c>
      <c r="CZ26" s="541">
        <f t="shared" si="144"/>
        <v>0</v>
      </c>
      <c r="DA26" s="539"/>
      <c r="DB26" s="540">
        <f t="shared" si="33"/>
        <v>0</v>
      </c>
      <c r="DC26" s="541">
        <f t="shared" si="145"/>
        <v>0</v>
      </c>
      <c r="DD26" s="539"/>
      <c r="DE26" s="540">
        <f t="shared" si="34"/>
        <v>0</v>
      </c>
      <c r="DF26" s="541">
        <f t="shared" si="146"/>
        <v>0</v>
      </c>
      <c r="DG26" s="539">
        <v>0</v>
      </c>
      <c r="DH26" s="540">
        <f t="shared" si="35"/>
        <v>0</v>
      </c>
      <c r="DI26" s="541">
        <f t="shared" si="203"/>
        <v>0</v>
      </c>
      <c r="DJ26" s="539"/>
      <c r="DK26" s="540">
        <f t="shared" si="36"/>
        <v>0</v>
      </c>
      <c r="DL26" s="541">
        <f t="shared" si="147"/>
        <v>0</v>
      </c>
      <c r="DM26" s="539"/>
      <c r="DN26" s="540">
        <f t="shared" si="37"/>
        <v>0</v>
      </c>
      <c r="DO26" s="541">
        <f t="shared" si="148"/>
        <v>0</v>
      </c>
      <c r="DP26" s="539"/>
      <c r="DQ26" s="540">
        <f t="shared" si="38"/>
        <v>0</v>
      </c>
      <c r="DR26" s="541">
        <f t="shared" si="149"/>
        <v>0</v>
      </c>
      <c r="DS26" s="539"/>
      <c r="DT26" s="540">
        <f t="shared" si="39"/>
        <v>0</v>
      </c>
      <c r="DU26" s="541">
        <f t="shared" si="150"/>
        <v>0</v>
      </c>
      <c r="DV26" s="539"/>
      <c r="DW26" s="540">
        <f t="shared" si="40"/>
        <v>0</v>
      </c>
      <c r="DX26" s="541">
        <f t="shared" si="151"/>
        <v>0</v>
      </c>
      <c r="DY26" s="539"/>
      <c r="DZ26" s="540">
        <f t="shared" si="41"/>
        <v>0</v>
      </c>
      <c r="EA26" s="541">
        <f t="shared" si="152"/>
        <v>0</v>
      </c>
      <c r="EB26" s="539">
        <v>14.534883720930281</v>
      </c>
      <c r="EC26" s="540">
        <f t="shared" si="42"/>
        <v>0.26860740170258501</v>
      </c>
      <c r="ED26" s="541">
        <f t="shared" si="153"/>
        <v>0</v>
      </c>
      <c r="EE26" s="539">
        <v>2</v>
      </c>
      <c r="EF26" s="540">
        <f t="shared" si="43"/>
        <v>3.6960378474275572E-2</v>
      </c>
      <c r="EG26" s="541">
        <f t="shared" si="154"/>
        <v>0</v>
      </c>
      <c r="EH26" s="539"/>
      <c r="EI26" s="540">
        <f t="shared" si="44"/>
        <v>0</v>
      </c>
      <c r="EJ26" s="541">
        <f t="shared" si="155"/>
        <v>0</v>
      </c>
      <c r="EK26" s="539"/>
      <c r="EL26" s="540">
        <f t="shared" si="45"/>
        <v>0</v>
      </c>
      <c r="EM26" s="541">
        <f t="shared" si="156"/>
        <v>0</v>
      </c>
      <c r="EN26" s="539"/>
      <c r="EO26" s="540">
        <f t="shared" si="46"/>
        <v>0</v>
      </c>
      <c r="EP26" s="541">
        <f t="shared" si="157"/>
        <v>0</v>
      </c>
      <c r="EQ26" s="539"/>
      <c r="ER26" s="540">
        <f t="shared" si="47"/>
        <v>0</v>
      </c>
      <c r="ES26" s="541">
        <f t="shared" si="158"/>
        <v>0</v>
      </c>
      <c r="ET26" s="539"/>
      <c r="EU26" s="540">
        <f t="shared" si="48"/>
        <v>0</v>
      </c>
      <c r="EV26" s="541">
        <f t="shared" si="159"/>
        <v>0</v>
      </c>
      <c r="EW26" s="539"/>
      <c r="EX26" s="540">
        <f t="shared" si="49"/>
        <v>0</v>
      </c>
      <c r="EY26" s="541">
        <f t="shared" si="160"/>
        <v>0</v>
      </c>
      <c r="EZ26" s="539"/>
      <c r="FA26" s="540">
        <f t="shared" si="50"/>
        <v>0</v>
      </c>
      <c r="FB26" s="541">
        <f t="shared" si="161"/>
        <v>0</v>
      </c>
      <c r="FC26" s="539"/>
      <c r="FD26" s="540">
        <f t="shared" si="51"/>
        <v>0</v>
      </c>
      <c r="FE26" s="541">
        <f t="shared" si="162"/>
        <v>0</v>
      </c>
      <c r="FF26" s="539"/>
      <c r="FG26" s="540">
        <f t="shared" si="52"/>
        <v>0</v>
      </c>
      <c r="FH26" s="541">
        <f t="shared" si="163"/>
        <v>0</v>
      </c>
      <c r="FI26" s="539"/>
      <c r="FJ26" s="540">
        <f t="shared" si="53"/>
        <v>0</v>
      </c>
      <c r="FK26" s="541">
        <f t="shared" si="164"/>
        <v>0</v>
      </c>
      <c r="FL26" s="539"/>
      <c r="FM26" s="540">
        <f t="shared" si="54"/>
        <v>0</v>
      </c>
      <c r="FN26" s="541">
        <f t="shared" si="165"/>
        <v>0</v>
      </c>
      <c r="FO26" s="539"/>
      <c r="FP26" s="540">
        <f t="shared" si="55"/>
        <v>0</v>
      </c>
      <c r="FQ26" s="541">
        <f t="shared" si="166"/>
        <v>0</v>
      </c>
      <c r="FR26" s="539"/>
      <c r="FS26" s="540">
        <f t="shared" si="56"/>
        <v>0</v>
      </c>
      <c r="FT26" s="541">
        <f t="shared" si="167"/>
        <v>0</v>
      </c>
      <c r="FU26" s="539"/>
      <c r="FV26" s="540">
        <f t="shared" si="57"/>
        <v>0</v>
      </c>
      <c r="FW26" s="541">
        <f t="shared" si="168"/>
        <v>0</v>
      </c>
      <c r="FX26" s="539"/>
      <c r="FY26" s="540">
        <f t="shared" si="58"/>
        <v>0</v>
      </c>
      <c r="FZ26" s="541">
        <f t="shared" si="169"/>
        <v>0</v>
      </c>
      <c r="GA26" s="539"/>
      <c r="GB26" s="540">
        <f t="shared" si="59"/>
        <v>0</v>
      </c>
      <c r="GC26" s="541">
        <f t="shared" si="170"/>
        <v>0</v>
      </c>
      <c r="GD26" s="539"/>
      <c r="GE26" s="540">
        <f t="shared" si="60"/>
        <v>0</v>
      </c>
      <c r="GF26" s="541">
        <f t="shared" si="171"/>
        <v>0</v>
      </c>
      <c r="GG26" s="539"/>
      <c r="GH26" s="540">
        <f t="shared" si="61"/>
        <v>0</v>
      </c>
      <c r="GI26" s="541">
        <f t="shared" si="172"/>
        <v>0</v>
      </c>
      <c r="GJ26" s="539"/>
      <c r="GK26" s="540">
        <f t="shared" si="62"/>
        <v>0</v>
      </c>
      <c r="GL26" s="541">
        <f t="shared" si="173"/>
        <v>0</v>
      </c>
      <c r="GM26" s="539"/>
      <c r="GN26" s="540">
        <f t="shared" si="63"/>
        <v>0</v>
      </c>
      <c r="GO26" s="541">
        <f t="shared" si="174"/>
        <v>0</v>
      </c>
      <c r="GP26" s="539"/>
      <c r="GQ26" s="540">
        <f t="shared" si="64"/>
        <v>0</v>
      </c>
      <c r="GR26" s="541">
        <f t="shared" si="175"/>
        <v>0</v>
      </c>
      <c r="GS26" s="539"/>
      <c r="GT26" s="540">
        <f t="shared" si="65"/>
        <v>0</v>
      </c>
      <c r="GU26" s="541">
        <f t="shared" si="176"/>
        <v>0</v>
      </c>
      <c r="GV26" s="539"/>
      <c r="GW26" s="540">
        <f t="shared" si="66"/>
        <v>0</v>
      </c>
      <c r="GX26" s="541">
        <f t="shared" si="177"/>
        <v>0</v>
      </c>
      <c r="GY26" s="539"/>
      <c r="GZ26" s="540">
        <f t="shared" si="67"/>
        <v>0</v>
      </c>
      <c r="HA26" s="541">
        <f t="shared" si="178"/>
        <v>0</v>
      </c>
      <c r="HB26" s="539"/>
      <c r="HC26" s="540">
        <f t="shared" si="68"/>
        <v>0</v>
      </c>
      <c r="HD26" s="541">
        <f t="shared" si="179"/>
        <v>0</v>
      </c>
      <c r="HE26" s="539"/>
      <c r="HF26" s="540">
        <f t="shared" si="69"/>
        <v>0</v>
      </c>
      <c r="HG26" s="541">
        <f t="shared" si="180"/>
        <v>0</v>
      </c>
      <c r="HH26" s="539"/>
      <c r="HI26" s="540">
        <f t="shared" si="70"/>
        <v>0</v>
      </c>
      <c r="HJ26" s="541">
        <f t="shared" si="181"/>
        <v>0</v>
      </c>
      <c r="HK26" s="539"/>
      <c r="HL26" s="540">
        <f t="shared" si="71"/>
        <v>0</v>
      </c>
      <c r="HM26" s="541">
        <f t="shared" si="182"/>
        <v>0</v>
      </c>
      <c r="HN26" s="539"/>
      <c r="HO26" s="540">
        <f t="shared" si="72"/>
        <v>0</v>
      </c>
      <c r="HP26" s="541">
        <f t="shared" si="183"/>
        <v>0</v>
      </c>
      <c r="HQ26" s="539"/>
      <c r="HR26" s="540">
        <f t="shared" si="73"/>
        <v>0</v>
      </c>
      <c r="HS26" s="541">
        <f t="shared" si="184"/>
        <v>0</v>
      </c>
      <c r="HT26" s="539"/>
      <c r="HU26" s="540">
        <f t="shared" si="74"/>
        <v>0</v>
      </c>
      <c r="HV26" s="541">
        <f t="shared" si="185"/>
        <v>0</v>
      </c>
      <c r="HW26" s="539"/>
      <c r="HX26" s="540">
        <f t="shared" si="75"/>
        <v>0</v>
      </c>
      <c r="HY26" s="541">
        <f t="shared" si="186"/>
        <v>0</v>
      </c>
      <c r="HZ26" s="539"/>
      <c r="IA26" s="540">
        <f t="shared" si="76"/>
        <v>0</v>
      </c>
      <c r="IB26" s="541">
        <f t="shared" si="187"/>
        <v>0</v>
      </c>
      <c r="IC26" s="539"/>
      <c r="ID26" s="540">
        <f t="shared" si="77"/>
        <v>0</v>
      </c>
      <c r="IE26" s="541">
        <f t="shared" si="188"/>
        <v>0</v>
      </c>
      <c r="IF26" s="539"/>
      <c r="IG26" s="540">
        <f t="shared" si="78"/>
        <v>0</v>
      </c>
      <c r="IH26" s="541">
        <f t="shared" si="189"/>
        <v>0</v>
      </c>
      <c r="II26" s="539"/>
      <c r="IJ26" s="540">
        <f t="shared" si="79"/>
        <v>0</v>
      </c>
      <c r="IK26" s="541">
        <f t="shared" si="190"/>
        <v>0</v>
      </c>
      <c r="IL26" s="539"/>
      <c r="IM26" s="540">
        <f t="shared" si="80"/>
        <v>0</v>
      </c>
      <c r="IN26" s="541">
        <f t="shared" si="191"/>
        <v>0</v>
      </c>
      <c r="IO26" s="539"/>
      <c r="IP26" s="540">
        <f t="shared" si="81"/>
        <v>0</v>
      </c>
      <c r="IQ26" s="541">
        <f t="shared" si="192"/>
        <v>0</v>
      </c>
      <c r="IR26" s="539"/>
      <c r="IS26" s="540">
        <f t="shared" si="82"/>
        <v>0</v>
      </c>
      <c r="IT26" s="541">
        <f t="shared" si="193"/>
        <v>0</v>
      </c>
      <c r="IU26" s="539"/>
      <c r="IV26" s="540">
        <f t="shared" si="83"/>
        <v>0</v>
      </c>
      <c r="IW26" s="541">
        <f t="shared" si="194"/>
        <v>0</v>
      </c>
      <c r="IX26" s="539"/>
      <c r="IY26" s="540">
        <f t="shared" si="84"/>
        <v>0</v>
      </c>
      <c r="IZ26" s="541">
        <f t="shared" si="195"/>
        <v>0</v>
      </c>
      <c r="JA26" s="539"/>
      <c r="JB26" s="540">
        <f t="shared" si="85"/>
        <v>0</v>
      </c>
      <c r="JC26" s="541">
        <f t="shared" si="196"/>
        <v>0</v>
      </c>
      <c r="JD26" s="539"/>
      <c r="JE26" s="540">
        <f t="shared" si="86"/>
        <v>0</v>
      </c>
      <c r="JF26" s="541">
        <f t="shared" si="197"/>
        <v>0</v>
      </c>
      <c r="JG26" s="539"/>
      <c r="JH26" s="540">
        <f t="shared" si="87"/>
        <v>0</v>
      </c>
      <c r="JI26" s="541">
        <f t="shared" si="198"/>
        <v>0</v>
      </c>
      <c r="JJ26" s="539"/>
      <c r="JK26" s="541" t="str">
        <f t="shared" si="88"/>
        <v>0</v>
      </c>
      <c r="JL26" s="541" t="str">
        <f t="shared" si="89"/>
        <v>0</v>
      </c>
      <c r="JM26" s="539"/>
      <c r="JN26" s="541" t="str">
        <f t="shared" si="90"/>
        <v>0</v>
      </c>
      <c r="JO26" s="541" t="str">
        <f t="shared" si="91"/>
        <v>0</v>
      </c>
      <c r="JP26" s="539"/>
      <c r="JQ26" s="541" t="str">
        <f t="shared" si="92"/>
        <v>0</v>
      </c>
      <c r="JR26" s="541" t="str">
        <f t="shared" si="93"/>
        <v>0</v>
      </c>
      <c r="JS26" s="539"/>
      <c r="JT26" s="541" t="str">
        <f t="shared" si="94"/>
        <v>0</v>
      </c>
      <c r="JU26" s="541" t="str">
        <f t="shared" si="95"/>
        <v>0</v>
      </c>
      <c r="JV26" s="539"/>
      <c r="JW26" s="541" t="str">
        <f t="shared" si="96"/>
        <v>0</v>
      </c>
      <c r="JX26" s="541" t="str">
        <f t="shared" si="97"/>
        <v>0</v>
      </c>
      <c r="JY26" s="539"/>
      <c r="JZ26" s="541" t="str">
        <f t="shared" si="98"/>
        <v>0</v>
      </c>
      <c r="KA26" s="541" t="str">
        <f t="shared" si="99"/>
        <v>0</v>
      </c>
      <c r="KB26" s="539"/>
      <c r="KC26" s="541" t="str">
        <f t="shared" si="100"/>
        <v>0</v>
      </c>
      <c r="KD26" s="541" t="str">
        <f t="shared" si="101"/>
        <v>0</v>
      </c>
      <c r="KE26" s="539"/>
      <c r="KF26" s="541" t="str">
        <f t="shared" si="102"/>
        <v>0</v>
      </c>
      <c r="KG26" s="541" t="str">
        <f t="shared" si="103"/>
        <v>0</v>
      </c>
      <c r="KH26" s="539"/>
      <c r="KI26" s="541" t="str">
        <f t="shared" si="104"/>
        <v>0</v>
      </c>
      <c r="KJ26" s="541" t="str">
        <f t="shared" si="105"/>
        <v>0</v>
      </c>
      <c r="KK26" s="539"/>
      <c r="KL26" s="541" t="str">
        <f t="shared" si="106"/>
        <v>0</v>
      </c>
      <c r="KM26" s="541" t="str">
        <f t="shared" si="107"/>
        <v>0</v>
      </c>
      <c r="KN26" s="539"/>
      <c r="KO26" s="541" t="str">
        <f t="shared" si="108"/>
        <v>0</v>
      </c>
      <c r="KP26" s="541" t="str">
        <f t="shared" si="109"/>
        <v>0</v>
      </c>
      <c r="KQ26" s="539"/>
      <c r="KR26" s="541" t="str">
        <f t="shared" si="110"/>
        <v>0</v>
      </c>
      <c r="KS26" s="541" t="str">
        <f t="shared" si="111"/>
        <v>0</v>
      </c>
      <c r="KT26" s="541">
        <f t="shared" si="200"/>
        <v>0</v>
      </c>
      <c r="KU26" s="541">
        <f t="shared" si="201"/>
        <v>0</v>
      </c>
      <c r="KV26" s="275">
        <f t="shared" si="202"/>
        <v>451.78962914808648</v>
      </c>
    </row>
    <row r="27" spans="1:309" ht="15" customHeight="1">
      <c r="A27" s="277">
        <f t="shared" si="199"/>
        <v>45949</v>
      </c>
      <c r="B27" s="278" t="str">
        <f>+Report1!B27</f>
        <v>Facial</v>
      </c>
      <c r="C27" s="420" t="str">
        <f>+Report1!C27</f>
        <v>12</v>
      </c>
      <c r="D27" s="279">
        <f>+Report1!P27</f>
        <v>56.081000000000003</v>
      </c>
      <c r="E27" s="280">
        <f>+Report1!R27</f>
        <v>53.927</v>
      </c>
      <c r="F27" s="539">
        <v>0</v>
      </c>
      <c r="G27" s="540">
        <f t="shared" si="0"/>
        <v>0</v>
      </c>
      <c r="H27" s="541">
        <f t="shared" si="112"/>
        <v>0</v>
      </c>
      <c r="I27" s="539">
        <v>273.25581395348843</v>
      </c>
      <c r="J27" s="540">
        <f t="shared" si="1"/>
        <v>5.067142877473036</v>
      </c>
      <c r="K27" s="541">
        <f t="shared" si="113"/>
        <v>0</v>
      </c>
      <c r="L27" s="539"/>
      <c r="M27" s="540">
        <f t="shared" si="2"/>
        <v>0</v>
      </c>
      <c r="N27" s="541">
        <f t="shared" si="114"/>
        <v>0</v>
      </c>
      <c r="O27" s="539">
        <v>5.9999999999999858</v>
      </c>
      <c r="P27" s="540">
        <f t="shared" si="3"/>
        <v>0.11126152020323744</v>
      </c>
      <c r="Q27" s="541">
        <f t="shared" si="115"/>
        <v>0</v>
      </c>
      <c r="R27" s="539"/>
      <c r="S27" s="540">
        <f t="shared" si="4"/>
        <v>0</v>
      </c>
      <c r="T27" s="541">
        <f t="shared" si="116"/>
        <v>0</v>
      </c>
      <c r="U27" s="539">
        <v>7.6874999999999858</v>
      </c>
      <c r="V27" s="540">
        <f t="shared" si="5"/>
        <v>0.14255382276039805</v>
      </c>
      <c r="W27" s="541">
        <f t="shared" si="117"/>
        <v>0</v>
      </c>
      <c r="X27" s="539"/>
      <c r="Y27" s="540">
        <f t="shared" si="6"/>
        <v>0</v>
      </c>
      <c r="Z27" s="541">
        <f t="shared" si="118"/>
        <v>0</v>
      </c>
      <c r="AA27" s="539"/>
      <c r="AB27" s="540">
        <f t="shared" si="7"/>
        <v>0</v>
      </c>
      <c r="AC27" s="541">
        <f t="shared" si="119"/>
        <v>0</v>
      </c>
      <c r="AD27" s="539"/>
      <c r="AE27" s="540">
        <f t="shared" si="8"/>
        <v>0</v>
      </c>
      <c r="AF27" s="541">
        <f t="shared" si="120"/>
        <v>0</v>
      </c>
      <c r="AG27" s="539"/>
      <c r="AH27" s="540">
        <f t="shared" si="9"/>
        <v>0</v>
      </c>
      <c r="AI27" s="541">
        <f t="shared" si="121"/>
        <v>0</v>
      </c>
      <c r="AJ27" s="539">
        <v>0</v>
      </c>
      <c r="AK27" s="540">
        <f t="shared" si="10"/>
        <v>0</v>
      </c>
      <c r="AL27" s="541">
        <f t="shared" si="122"/>
        <v>0</v>
      </c>
      <c r="AM27" s="539">
        <v>0</v>
      </c>
      <c r="AN27" s="540">
        <f t="shared" si="11"/>
        <v>0</v>
      </c>
      <c r="AO27" s="541">
        <f t="shared" si="123"/>
        <v>0</v>
      </c>
      <c r="AP27" s="539">
        <v>55.537974683544306</v>
      </c>
      <c r="AQ27" s="540">
        <f t="shared" si="12"/>
        <v>1.0298732487166782</v>
      </c>
      <c r="AR27" s="541">
        <f t="shared" si="124"/>
        <v>0</v>
      </c>
      <c r="AS27" s="539"/>
      <c r="AT27" s="540">
        <f t="shared" si="13"/>
        <v>0</v>
      </c>
      <c r="AU27" s="541">
        <f t="shared" si="125"/>
        <v>0</v>
      </c>
      <c r="AV27" s="539">
        <v>5.5499999999999901</v>
      </c>
      <c r="AW27" s="540">
        <f t="shared" si="14"/>
        <v>0.10291690618799469</v>
      </c>
      <c r="AX27" s="541">
        <f t="shared" si="126"/>
        <v>0</v>
      </c>
      <c r="AY27" s="539">
        <v>77.000000000000028</v>
      </c>
      <c r="AZ27" s="540">
        <f t="shared" si="15"/>
        <v>1.4278561759415511</v>
      </c>
      <c r="BA27" s="541">
        <f t="shared" si="127"/>
        <v>0</v>
      </c>
      <c r="BB27" s="539">
        <v>0</v>
      </c>
      <c r="BC27" s="540">
        <f t="shared" si="16"/>
        <v>0</v>
      </c>
      <c r="BD27" s="541">
        <f t="shared" si="128"/>
        <v>0</v>
      </c>
      <c r="BE27" s="539"/>
      <c r="BF27" s="540">
        <f t="shared" si="17"/>
        <v>0</v>
      </c>
      <c r="BG27" s="541">
        <f t="shared" si="129"/>
        <v>0</v>
      </c>
      <c r="BH27" s="539"/>
      <c r="BI27" s="540">
        <f t="shared" si="18"/>
        <v>0</v>
      </c>
      <c r="BJ27" s="541">
        <f t="shared" si="130"/>
        <v>0</v>
      </c>
      <c r="BK27" s="539"/>
      <c r="BL27" s="540">
        <f t="shared" si="19"/>
        <v>0</v>
      </c>
      <c r="BM27" s="541">
        <f t="shared" si="131"/>
        <v>0</v>
      </c>
      <c r="BN27" s="539">
        <v>10.123456790123456</v>
      </c>
      <c r="BO27" s="540">
        <f t="shared" si="20"/>
        <v>0.18772519869682081</v>
      </c>
      <c r="BP27" s="541">
        <f t="shared" si="132"/>
        <v>0</v>
      </c>
      <c r="BQ27" s="539">
        <v>0</v>
      </c>
      <c r="BR27" s="540">
        <f t="shared" si="21"/>
        <v>0</v>
      </c>
      <c r="BS27" s="541">
        <f t="shared" si="133"/>
        <v>0</v>
      </c>
      <c r="BT27" s="539"/>
      <c r="BU27" s="540">
        <f t="shared" si="22"/>
        <v>0</v>
      </c>
      <c r="BV27" s="541">
        <f t="shared" si="134"/>
        <v>0</v>
      </c>
      <c r="BW27" s="539">
        <v>0</v>
      </c>
      <c r="BX27" s="540">
        <f t="shared" si="23"/>
        <v>0</v>
      </c>
      <c r="BY27" s="541">
        <f t="shared" si="135"/>
        <v>0</v>
      </c>
      <c r="BZ27" s="539"/>
      <c r="CA27" s="540">
        <f t="shared" si="24"/>
        <v>0</v>
      </c>
      <c r="CB27" s="541">
        <f t="shared" si="136"/>
        <v>0</v>
      </c>
      <c r="CC27" s="539">
        <v>0</v>
      </c>
      <c r="CD27" s="540">
        <f t="shared" si="25"/>
        <v>0</v>
      </c>
      <c r="CE27" s="541">
        <f t="shared" si="137"/>
        <v>0</v>
      </c>
      <c r="CF27" s="539">
        <v>0.10000000000000003</v>
      </c>
      <c r="CG27" s="540">
        <f t="shared" si="26"/>
        <v>1.8543586700539624E-3</v>
      </c>
      <c r="CH27" s="541">
        <f t="shared" si="138"/>
        <v>0</v>
      </c>
      <c r="CI27" s="539"/>
      <c r="CJ27" s="540">
        <f t="shared" si="27"/>
        <v>0</v>
      </c>
      <c r="CK27" s="541">
        <f t="shared" si="139"/>
        <v>0</v>
      </c>
      <c r="CL27" s="539"/>
      <c r="CM27" s="540">
        <f t="shared" si="28"/>
        <v>0</v>
      </c>
      <c r="CN27" s="541">
        <f t="shared" si="140"/>
        <v>0</v>
      </c>
      <c r="CO27" s="539"/>
      <c r="CP27" s="540">
        <f t="shared" si="29"/>
        <v>0</v>
      </c>
      <c r="CQ27" s="541">
        <f t="shared" si="141"/>
        <v>0</v>
      </c>
      <c r="CR27" s="539"/>
      <c r="CS27" s="540">
        <f t="shared" si="30"/>
        <v>0</v>
      </c>
      <c r="CT27" s="541">
        <f t="shared" si="142"/>
        <v>0</v>
      </c>
      <c r="CU27" s="539"/>
      <c r="CV27" s="540">
        <f t="shared" si="31"/>
        <v>0</v>
      </c>
      <c r="CW27" s="541">
        <f t="shared" si="143"/>
        <v>0</v>
      </c>
      <c r="CX27" s="539"/>
      <c r="CY27" s="540">
        <f t="shared" si="32"/>
        <v>0</v>
      </c>
      <c r="CZ27" s="541">
        <f t="shared" si="144"/>
        <v>0</v>
      </c>
      <c r="DA27" s="539"/>
      <c r="DB27" s="540">
        <f t="shared" si="33"/>
        <v>0</v>
      </c>
      <c r="DC27" s="541">
        <f t="shared" si="145"/>
        <v>0</v>
      </c>
      <c r="DD27" s="539"/>
      <c r="DE27" s="540">
        <f t="shared" si="34"/>
        <v>0</v>
      </c>
      <c r="DF27" s="541">
        <f t="shared" si="146"/>
        <v>0</v>
      </c>
      <c r="DG27" s="539">
        <v>0</v>
      </c>
      <c r="DH27" s="540">
        <f t="shared" si="35"/>
        <v>0</v>
      </c>
      <c r="DI27" s="541">
        <f t="shared" si="203"/>
        <v>0</v>
      </c>
      <c r="DJ27" s="539"/>
      <c r="DK27" s="540">
        <f t="shared" si="36"/>
        <v>0</v>
      </c>
      <c r="DL27" s="541">
        <f t="shared" si="147"/>
        <v>0</v>
      </c>
      <c r="DM27" s="539"/>
      <c r="DN27" s="540">
        <f t="shared" si="37"/>
        <v>0</v>
      </c>
      <c r="DO27" s="541">
        <f t="shared" si="148"/>
        <v>0</v>
      </c>
      <c r="DP27" s="539"/>
      <c r="DQ27" s="540">
        <f t="shared" si="38"/>
        <v>0</v>
      </c>
      <c r="DR27" s="541">
        <f t="shared" si="149"/>
        <v>0</v>
      </c>
      <c r="DS27" s="539"/>
      <c r="DT27" s="540">
        <f t="shared" si="39"/>
        <v>0</v>
      </c>
      <c r="DU27" s="541">
        <f t="shared" si="150"/>
        <v>0</v>
      </c>
      <c r="DV27" s="539"/>
      <c r="DW27" s="540">
        <f t="shared" si="40"/>
        <v>0</v>
      </c>
      <c r="DX27" s="541">
        <f t="shared" si="151"/>
        <v>0</v>
      </c>
      <c r="DY27" s="539"/>
      <c r="DZ27" s="540">
        <f t="shared" si="41"/>
        <v>0</v>
      </c>
      <c r="EA27" s="541">
        <f t="shared" si="152"/>
        <v>0</v>
      </c>
      <c r="EB27" s="539">
        <v>14.534883720930281</v>
      </c>
      <c r="EC27" s="540">
        <f t="shared" si="42"/>
        <v>0.26952887646133256</v>
      </c>
      <c r="ED27" s="541">
        <f t="shared" si="153"/>
        <v>0</v>
      </c>
      <c r="EE27" s="539">
        <v>2</v>
      </c>
      <c r="EF27" s="540">
        <f t="shared" si="43"/>
        <v>3.708717340107924E-2</v>
      </c>
      <c r="EG27" s="541">
        <f t="shared" si="154"/>
        <v>0</v>
      </c>
      <c r="EH27" s="539"/>
      <c r="EI27" s="540">
        <f t="shared" si="44"/>
        <v>0</v>
      </c>
      <c r="EJ27" s="541">
        <f t="shared" si="155"/>
        <v>0</v>
      </c>
      <c r="EK27" s="539"/>
      <c r="EL27" s="540">
        <f t="shared" si="45"/>
        <v>0</v>
      </c>
      <c r="EM27" s="541">
        <f t="shared" si="156"/>
        <v>0</v>
      </c>
      <c r="EN27" s="539"/>
      <c r="EO27" s="540">
        <f t="shared" si="46"/>
        <v>0</v>
      </c>
      <c r="EP27" s="541">
        <f t="shared" si="157"/>
        <v>0</v>
      </c>
      <c r="EQ27" s="539"/>
      <c r="ER27" s="540">
        <f t="shared" si="47"/>
        <v>0</v>
      </c>
      <c r="ES27" s="541">
        <f t="shared" si="158"/>
        <v>0</v>
      </c>
      <c r="ET27" s="539"/>
      <c r="EU27" s="540">
        <f t="shared" si="48"/>
        <v>0</v>
      </c>
      <c r="EV27" s="541">
        <f t="shared" si="159"/>
        <v>0</v>
      </c>
      <c r="EW27" s="539"/>
      <c r="EX27" s="540">
        <f t="shared" si="49"/>
        <v>0</v>
      </c>
      <c r="EY27" s="541">
        <f t="shared" si="160"/>
        <v>0</v>
      </c>
      <c r="EZ27" s="539"/>
      <c r="FA27" s="540">
        <f t="shared" si="50"/>
        <v>0</v>
      </c>
      <c r="FB27" s="541">
        <f t="shared" si="161"/>
        <v>0</v>
      </c>
      <c r="FC27" s="539"/>
      <c r="FD27" s="540">
        <f t="shared" si="51"/>
        <v>0</v>
      </c>
      <c r="FE27" s="541">
        <f t="shared" si="162"/>
        <v>0</v>
      </c>
      <c r="FF27" s="539"/>
      <c r="FG27" s="540">
        <f t="shared" si="52"/>
        <v>0</v>
      </c>
      <c r="FH27" s="541">
        <f t="shared" si="163"/>
        <v>0</v>
      </c>
      <c r="FI27" s="539"/>
      <c r="FJ27" s="540">
        <f t="shared" si="53"/>
        <v>0</v>
      </c>
      <c r="FK27" s="541">
        <f t="shared" si="164"/>
        <v>0</v>
      </c>
      <c r="FL27" s="539"/>
      <c r="FM27" s="540">
        <f t="shared" si="54"/>
        <v>0</v>
      </c>
      <c r="FN27" s="541">
        <f t="shared" si="165"/>
        <v>0</v>
      </c>
      <c r="FO27" s="539"/>
      <c r="FP27" s="540">
        <f t="shared" si="55"/>
        <v>0</v>
      </c>
      <c r="FQ27" s="541">
        <f t="shared" si="166"/>
        <v>0</v>
      </c>
      <c r="FR27" s="539"/>
      <c r="FS27" s="540">
        <f t="shared" si="56"/>
        <v>0</v>
      </c>
      <c r="FT27" s="541">
        <f t="shared" si="167"/>
        <v>0</v>
      </c>
      <c r="FU27" s="539"/>
      <c r="FV27" s="540">
        <f t="shared" si="57"/>
        <v>0</v>
      </c>
      <c r="FW27" s="541">
        <f t="shared" si="168"/>
        <v>0</v>
      </c>
      <c r="FX27" s="539"/>
      <c r="FY27" s="540">
        <f t="shared" si="58"/>
        <v>0</v>
      </c>
      <c r="FZ27" s="541">
        <f t="shared" si="169"/>
        <v>0</v>
      </c>
      <c r="GA27" s="539"/>
      <c r="GB27" s="540">
        <f t="shared" si="59"/>
        <v>0</v>
      </c>
      <c r="GC27" s="541">
        <f t="shared" si="170"/>
        <v>0</v>
      </c>
      <c r="GD27" s="539"/>
      <c r="GE27" s="540">
        <f t="shared" si="60"/>
        <v>0</v>
      </c>
      <c r="GF27" s="541">
        <f t="shared" si="171"/>
        <v>0</v>
      </c>
      <c r="GG27" s="539"/>
      <c r="GH27" s="540">
        <f t="shared" si="61"/>
        <v>0</v>
      </c>
      <c r="GI27" s="541">
        <f t="shared" si="172"/>
        <v>0</v>
      </c>
      <c r="GJ27" s="539"/>
      <c r="GK27" s="540">
        <f t="shared" si="62"/>
        <v>0</v>
      </c>
      <c r="GL27" s="541">
        <f t="shared" si="173"/>
        <v>0</v>
      </c>
      <c r="GM27" s="539"/>
      <c r="GN27" s="540">
        <f t="shared" si="63"/>
        <v>0</v>
      </c>
      <c r="GO27" s="541">
        <f t="shared" si="174"/>
        <v>0</v>
      </c>
      <c r="GP27" s="539"/>
      <c r="GQ27" s="540">
        <f t="shared" si="64"/>
        <v>0</v>
      </c>
      <c r="GR27" s="541">
        <f t="shared" si="175"/>
        <v>0</v>
      </c>
      <c r="GS27" s="539"/>
      <c r="GT27" s="540">
        <f t="shared" si="65"/>
        <v>0</v>
      </c>
      <c r="GU27" s="541">
        <f t="shared" si="176"/>
        <v>0</v>
      </c>
      <c r="GV27" s="539"/>
      <c r="GW27" s="540">
        <f t="shared" si="66"/>
        <v>0</v>
      </c>
      <c r="GX27" s="541">
        <f t="shared" si="177"/>
        <v>0</v>
      </c>
      <c r="GY27" s="539"/>
      <c r="GZ27" s="540">
        <f t="shared" si="67"/>
        <v>0</v>
      </c>
      <c r="HA27" s="541">
        <f t="shared" si="178"/>
        <v>0</v>
      </c>
      <c r="HB27" s="539"/>
      <c r="HC27" s="540">
        <f t="shared" si="68"/>
        <v>0</v>
      </c>
      <c r="HD27" s="541">
        <f t="shared" si="179"/>
        <v>0</v>
      </c>
      <c r="HE27" s="539"/>
      <c r="HF27" s="540">
        <f t="shared" si="69"/>
        <v>0</v>
      </c>
      <c r="HG27" s="541">
        <f t="shared" si="180"/>
        <v>0</v>
      </c>
      <c r="HH27" s="539"/>
      <c r="HI27" s="540">
        <f t="shared" si="70"/>
        <v>0</v>
      </c>
      <c r="HJ27" s="541">
        <f t="shared" si="181"/>
        <v>0</v>
      </c>
      <c r="HK27" s="539"/>
      <c r="HL27" s="540">
        <f t="shared" si="71"/>
        <v>0</v>
      </c>
      <c r="HM27" s="541">
        <f t="shared" si="182"/>
        <v>0</v>
      </c>
      <c r="HN27" s="539"/>
      <c r="HO27" s="540">
        <f t="shared" si="72"/>
        <v>0</v>
      </c>
      <c r="HP27" s="541">
        <f t="shared" si="183"/>
        <v>0</v>
      </c>
      <c r="HQ27" s="539"/>
      <c r="HR27" s="540">
        <f t="shared" si="73"/>
        <v>0</v>
      </c>
      <c r="HS27" s="541">
        <f t="shared" si="184"/>
        <v>0</v>
      </c>
      <c r="HT27" s="539"/>
      <c r="HU27" s="540">
        <f t="shared" si="74"/>
        <v>0</v>
      </c>
      <c r="HV27" s="541">
        <f t="shared" si="185"/>
        <v>0</v>
      </c>
      <c r="HW27" s="539"/>
      <c r="HX27" s="540">
        <f t="shared" si="75"/>
        <v>0</v>
      </c>
      <c r="HY27" s="541">
        <f t="shared" si="186"/>
        <v>0</v>
      </c>
      <c r="HZ27" s="539"/>
      <c r="IA27" s="540">
        <f t="shared" si="76"/>
        <v>0</v>
      </c>
      <c r="IB27" s="541">
        <f t="shared" si="187"/>
        <v>0</v>
      </c>
      <c r="IC27" s="539"/>
      <c r="ID27" s="540">
        <f t="shared" si="77"/>
        <v>0</v>
      </c>
      <c r="IE27" s="541">
        <f t="shared" si="188"/>
        <v>0</v>
      </c>
      <c r="IF27" s="539"/>
      <c r="IG27" s="540">
        <f t="shared" si="78"/>
        <v>0</v>
      </c>
      <c r="IH27" s="541">
        <f t="shared" si="189"/>
        <v>0</v>
      </c>
      <c r="II27" s="539"/>
      <c r="IJ27" s="540">
        <f t="shared" si="79"/>
        <v>0</v>
      </c>
      <c r="IK27" s="541">
        <f t="shared" si="190"/>
        <v>0</v>
      </c>
      <c r="IL27" s="539"/>
      <c r="IM27" s="540">
        <f t="shared" si="80"/>
        <v>0</v>
      </c>
      <c r="IN27" s="541">
        <f t="shared" si="191"/>
        <v>0</v>
      </c>
      <c r="IO27" s="539"/>
      <c r="IP27" s="540">
        <f t="shared" si="81"/>
        <v>0</v>
      </c>
      <c r="IQ27" s="541">
        <f t="shared" si="192"/>
        <v>0</v>
      </c>
      <c r="IR27" s="539"/>
      <c r="IS27" s="540">
        <f t="shared" si="82"/>
        <v>0</v>
      </c>
      <c r="IT27" s="541">
        <f t="shared" si="193"/>
        <v>0</v>
      </c>
      <c r="IU27" s="539"/>
      <c r="IV27" s="540">
        <f t="shared" si="83"/>
        <v>0</v>
      </c>
      <c r="IW27" s="541">
        <f t="shared" si="194"/>
        <v>0</v>
      </c>
      <c r="IX27" s="539"/>
      <c r="IY27" s="540">
        <f t="shared" si="84"/>
        <v>0</v>
      </c>
      <c r="IZ27" s="541">
        <f t="shared" si="195"/>
        <v>0</v>
      </c>
      <c r="JA27" s="539"/>
      <c r="JB27" s="540">
        <f t="shared" si="85"/>
        <v>0</v>
      </c>
      <c r="JC27" s="541">
        <f t="shared" si="196"/>
        <v>0</v>
      </c>
      <c r="JD27" s="539"/>
      <c r="JE27" s="540">
        <f t="shared" si="86"/>
        <v>0</v>
      </c>
      <c r="JF27" s="541">
        <f t="shared" si="197"/>
        <v>0</v>
      </c>
      <c r="JG27" s="539"/>
      <c r="JH27" s="540">
        <f t="shared" si="87"/>
        <v>0</v>
      </c>
      <c r="JI27" s="541">
        <f t="shared" si="198"/>
        <v>0</v>
      </c>
      <c r="JJ27" s="539"/>
      <c r="JK27" s="541" t="str">
        <f t="shared" si="88"/>
        <v>0</v>
      </c>
      <c r="JL27" s="541" t="str">
        <f t="shared" si="89"/>
        <v>0</v>
      </c>
      <c r="JM27" s="539"/>
      <c r="JN27" s="541" t="str">
        <f t="shared" si="90"/>
        <v>0</v>
      </c>
      <c r="JO27" s="541" t="str">
        <f t="shared" si="91"/>
        <v>0</v>
      </c>
      <c r="JP27" s="539"/>
      <c r="JQ27" s="541" t="str">
        <f t="shared" si="92"/>
        <v>0</v>
      </c>
      <c r="JR27" s="541" t="str">
        <f t="shared" si="93"/>
        <v>0</v>
      </c>
      <c r="JS27" s="539"/>
      <c r="JT27" s="541" t="str">
        <f t="shared" si="94"/>
        <v>0</v>
      </c>
      <c r="JU27" s="541" t="str">
        <f t="shared" si="95"/>
        <v>0</v>
      </c>
      <c r="JV27" s="539"/>
      <c r="JW27" s="541" t="str">
        <f t="shared" si="96"/>
        <v>0</v>
      </c>
      <c r="JX27" s="541" t="str">
        <f t="shared" si="97"/>
        <v>0</v>
      </c>
      <c r="JY27" s="539"/>
      <c r="JZ27" s="541" t="str">
        <f t="shared" si="98"/>
        <v>0</v>
      </c>
      <c r="KA27" s="541" t="str">
        <f t="shared" si="99"/>
        <v>0</v>
      </c>
      <c r="KB27" s="539"/>
      <c r="KC27" s="541" t="str">
        <f t="shared" si="100"/>
        <v>0</v>
      </c>
      <c r="KD27" s="541" t="str">
        <f t="shared" si="101"/>
        <v>0</v>
      </c>
      <c r="KE27" s="539"/>
      <c r="KF27" s="541" t="str">
        <f t="shared" si="102"/>
        <v>0</v>
      </c>
      <c r="KG27" s="541" t="str">
        <f t="shared" si="103"/>
        <v>0</v>
      </c>
      <c r="KH27" s="539"/>
      <c r="KI27" s="541" t="str">
        <f t="shared" si="104"/>
        <v>0</v>
      </c>
      <c r="KJ27" s="541" t="str">
        <f t="shared" si="105"/>
        <v>0</v>
      </c>
      <c r="KK27" s="539"/>
      <c r="KL27" s="541" t="str">
        <f t="shared" si="106"/>
        <v>0</v>
      </c>
      <c r="KM27" s="541" t="str">
        <f t="shared" si="107"/>
        <v>0</v>
      </c>
      <c r="KN27" s="539"/>
      <c r="KO27" s="541" t="str">
        <f t="shared" si="108"/>
        <v>0</v>
      </c>
      <c r="KP27" s="541" t="str">
        <f t="shared" si="109"/>
        <v>0</v>
      </c>
      <c r="KQ27" s="539"/>
      <c r="KR27" s="541" t="str">
        <f t="shared" si="110"/>
        <v>0</v>
      </c>
      <c r="KS27" s="541" t="str">
        <f t="shared" si="111"/>
        <v>0</v>
      </c>
      <c r="KT27" s="541">
        <f t="shared" si="200"/>
        <v>0</v>
      </c>
      <c r="KU27" s="541">
        <f t="shared" si="201"/>
        <v>0</v>
      </c>
      <c r="KV27" s="275">
        <f t="shared" si="202"/>
        <v>451.78962914808648</v>
      </c>
    </row>
    <row r="28" spans="1:309" ht="15" customHeight="1">
      <c r="A28" s="277">
        <f t="shared" si="199"/>
        <v>45950</v>
      </c>
      <c r="B28" s="278" t="str">
        <f>+Report1!B28</f>
        <v>Facial</v>
      </c>
      <c r="C28" s="420" t="str">
        <f>+Report1!C28</f>
        <v>12</v>
      </c>
      <c r="D28" s="279">
        <f>+Report1!P28</f>
        <v>57.329000000000008</v>
      </c>
      <c r="E28" s="280">
        <f>+Report1!R28</f>
        <v>55.262999999999998</v>
      </c>
      <c r="F28" s="539">
        <v>0</v>
      </c>
      <c r="G28" s="540">
        <f t="shared" si="0"/>
        <v>0</v>
      </c>
      <c r="H28" s="541">
        <f t="shared" si="112"/>
        <v>0</v>
      </c>
      <c r="I28" s="539">
        <v>267.44186046511618</v>
      </c>
      <c r="J28" s="540">
        <f t="shared" si="1"/>
        <v>4.8394379687153464</v>
      </c>
      <c r="K28" s="541">
        <f t="shared" si="113"/>
        <v>0</v>
      </c>
      <c r="L28" s="539"/>
      <c r="M28" s="540">
        <f t="shared" si="2"/>
        <v>0</v>
      </c>
      <c r="N28" s="541">
        <f t="shared" si="114"/>
        <v>0</v>
      </c>
      <c r="O28" s="539">
        <v>6.0000000000000284</v>
      </c>
      <c r="P28" s="540">
        <f t="shared" si="3"/>
        <v>0.10857173877639702</v>
      </c>
      <c r="Q28" s="541">
        <f t="shared" si="115"/>
        <v>0</v>
      </c>
      <c r="R28" s="539"/>
      <c r="S28" s="540">
        <f t="shared" si="4"/>
        <v>0</v>
      </c>
      <c r="T28" s="541">
        <f t="shared" si="116"/>
        <v>0</v>
      </c>
      <c r="U28" s="539">
        <v>7.6875</v>
      </c>
      <c r="V28" s="540">
        <f t="shared" si="5"/>
        <v>0.13910754030725803</v>
      </c>
      <c r="W28" s="541">
        <f t="shared" si="117"/>
        <v>0</v>
      </c>
      <c r="X28" s="539"/>
      <c r="Y28" s="540">
        <f t="shared" si="6"/>
        <v>0</v>
      </c>
      <c r="Z28" s="541">
        <f t="shared" si="118"/>
        <v>0</v>
      </c>
      <c r="AA28" s="539"/>
      <c r="AB28" s="540">
        <f t="shared" si="7"/>
        <v>0</v>
      </c>
      <c r="AC28" s="541">
        <f t="shared" si="119"/>
        <v>0</v>
      </c>
      <c r="AD28" s="539"/>
      <c r="AE28" s="540">
        <f t="shared" si="8"/>
        <v>0</v>
      </c>
      <c r="AF28" s="541">
        <f t="shared" si="120"/>
        <v>0</v>
      </c>
      <c r="AG28" s="539"/>
      <c r="AH28" s="540">
        <f t="shared" si="9"/>
        <v>0</v>
      </c>
      <c r="AI28" s="541">
        <f t="shared" si="121"/>
        <v>0</v>
      </c>
      <c r="AJ28" s="539">
        <v>0</v>
      </c>
      <c r="AK28" s="540">
        <f t="shared" si="10"/>
        <v>0</v>
      </c>
      <c r="AL28" s="541">
        <f t="shared" si="122"/>
        <v>0</v>
      </c>
      <c r="AM28" s="539">
        <v>0</v>
      </c>
      <c r="AN28" s="540">
        <f t="shared" si="11"/>
        <v>0</v>
      </c>
      <c r="AO28" s="541">
        <f t="shared" si="123"/>
        <v>0</v>
      </c>
      <c r="AP28" s="539">
        <v>48.417721518987321</v>
      </c>
      <c r="AQ28" s="540">
        <f t="shared" si="12"/>
        <v>0.87613270215130057</v>
      </c>
      <c r="AR28" s="541">
        <f t="shared" si="124"/>
        <v>0</v>
      </c>
      <c r="AS28" s="539"/>
      <c r="AT28" s="540">
        <f t="shared" si="13"/>
        <v>0</v>
      </c>
      <c r="AU28" s="541">
        <f t="shared" si="125"/>
        <v>0</v>
      </c>
      <c r="AV28" s="539">
        <v>5.5500000000000114</v>
      </c>
      <c r="AW28" s="540">
        <f t="shared" si="14"/>
        <v>0.10042885836816698</v>
      </c>
      <c r="AX28" s="541">
        <f t="shared" si="126"/>
        <v>0</v>
      </c>
      <c r="AY28" s="539">
        <v>60.666666666666629</v>
      </c>
      <c r="AZ28" s="540">
        <f t="shared" si="15"/>
        <v>1.0977809142946751</v>
      </c>
      <c r="BA28" s="541">
        <f t="shared" si="127"/>
        <v>0</v>
      </c>
      <c r="BB28" s="539">
        <v>0</v>
      </c>
      <c r="BC28" s="540">
        <f t="shared" si="16"/>
        <v>0</v>
      </c>
      <c r="BD28" s="541">
        <f t="shared" si="128"/>
        <v>0</v>
      </c>
      <c r="BE28" s="539"/>
      <c r="BF28" s="540">
        <f t="shared" si="17"/>
        <v>0</v>
      </c>
      <c r="BG28" s="541">
        <f t="shared" si="129"/>
        <v>0</v>
      </c>
      <c r="BH28" s="539"/>
      <c r="BI28" s="540">
        <f t="shared" si="18"/>
        <v>0</v>
      </c>
      <c r="BJ28" s="541">
        <f t="shared" si="130"/>
        <v>0</v>
      </c>
      <c r="BK28" s="539"/>
      <c r="BL28" s="540">
        <f t="shared" si="19"/>
        <v>0</v>
      </c>
      <c r="BM28" s="541">
        <f t="shared" si="131"/>
        <v>0</v>
      </c>
      <c r="BN28" s="539">
        <v>12.65432098765433</v>
      </c>
      <c r="BO28" s="540">
        <f t="shared" si="20"/>
        <v>0.22898360544404631</v>
      </c>
      <c r="BP28" s="541">
        <f t="shared" si="132"/>
        <v>0</v>
      </c>
      <c r="BQ28" s="539">
        <v>0</v>
      </c>
      <c r="BR28" s="540">
        <f t="shared" si="21"/>
        <v>0</v>
      </c>
      <c r="BS28" s="541">
        <f t="shared" si="133"/>
        <v>0</v>
      </c>
      <c r="BT28" s="539"/>
      <c r="BU28" s="540">
        <f t="shared" si="22"/>
        <v>0</v>
      </c>
      <c r="BV28" s="541">
        <f t="shared" si="134"/>
        <v>0</v>
      </c>
      <c r="BW28" s="539">
        <v>0</v>
      </c>
      <c r="BX28" s="540">
        <f t="shared" si="23"/>
        <v>0</v>
      </c>
      <c r="BY28" s="541">
        <f t="shared" si="135"/>
        <v>0</v>
      </c>
      <c r="BZ28" s="539"/>
      <c r="CA28" s="540">
        <f t="shared" si="24"/>
        <v>0</v>
      </c>
      <c r="CB28" s="541">
        <f t="shared" si="136"/>
        <v>0</v>
      </c>
      <c r="CC28" s="539">
        <v>0</v>
      </c>
      <c r="CD28" s="540">
        <f t="shared" si="25"/>
        <v>0</v>
      </c>
      <c r="CE28" s="541">
        <f t="shared" si="137"/>
        <v>0</v>
      </c>
      <c r="CF28" s="539">
        <v>9.9999999999999978E-2</v>
      </c>
      <c r="CG28" s="540">
        <f t="shared" si="26"/>
        <v>1.809528979606608E-3</v>
      </c>
      <c r="CH28" s="541">
        <f t="shared" si="138"/>
        <v>0</v>
      </c>
      <c r="CI28" s="539"/>
      <c r="CJ28" s="540">
        <f t="shared" si="27"/>
        <v>0</v>
      </c>
      <c r="CK28" s="541">
        <f t="shared" si="139"/>
        <v>0</v>
      </c>
      <c r="CL28" s="539"/>
      <c r="CM28" s="540">
        <f t="shared" si="28"/>
        <v>0</v>
      </c>
      <c r="CN28" s="541">
        <f t="shared" si="140"/>
        <v>0</v>
      </c>
      <c r="CO28" s="539"/>
      <c r="CP28" s="540">
        <f t="shared" si="29"/>
        <v>0</v>
      </c>
      <c r="CQ28" s="541">
        <f t="shared" si="141"/>
        <v>0</v>
      </c>
      <c r="CR28" s="539"/>
      <c r="CS28" s="540">
        <f t="shared" si="30"/>
        <v>0</v>
      </c>
      <c r="CT28" s="541">
        <f t="shared" si="142"/>
        <v>0</v>
      </c>
      <c r="CU28" s="539"/>
      <c r="CV28" s="540">
        <f t="shared" si="31"/>
        <v>0</v>
      </c>
      <c r="CW28" s="541">
        <f t="shared" si="143"/>
        <v>0</v>
      </c>
      <c r="CX28" s="539"/>
      <c r="CY28" s="540">
        <f t="shared" si="32"/>
        <v>0</v>
      </c>
      <c r="CZ28" s="541">
        <f t="shared" si="144"/>
        <v>0</v>
      </c>
      <c r="DA28" s="539"/>
      <c r="DB28" s="540">
        <f t="shared" si="33"/>
        <v>0</v>
      </c>
      <c r="DC28" s="541">
        <f t="shared" si="145"/>
        <v>0</v>
      </c>
      <c r="DD28" s="539"/>
      <c r="DE28" s="540">
        <f t="shared" si="34"/>
        <v>0</v>
      </c>
      <c r="DF28" s="541">
        <f t="shared" si="146"/>
        <v>0</v>
      </c>
      <c r="DG28" s="539">
        <v>0</v>
      </c>
      <c r="DH28" s="540">
        <f t="shared" si="35"/>
        <v>0</v>
      </c>
      <c r="DI28" s="541">
        <f t="shared" si="203"/>
        <v>0</v>
      </c>
      <c r="DJ28" s="539"/>
      <c r="DK28" s="540">
        <f t="shared" si="36"/>
        <v>0</v>
      </c>
      <c r="DL28" s="541">
        <f t="shared" si="147"/>
        <v>0</v>
      </c>
      <c r="DM28" s="539"/>
      <c r="DN28" s="540">
        <f t="shared" si="37"/>
        <v>0</v>
      </c>
      <c r="DO28" s="541">
        <f t="shared" si="148"/>
        <v>0</v>
      </c>
      <c r="DP28" s="539"/>
      <c r="DQ28" s="540">
        <f t="shared" si="38"/>
        <v>0</v>
      </c>
      <c r="DR28" s="541">
        <f t="shared" si="149"/>
        <v>0</v>
      </c>
      <c r="DS28" s="539"/>
      <c r="DT28" s="540">
        <f t="shared" si="39"/>
        <v>0</v>
      </c>
      <c r="DU28" s="541">
        <f t="shared" si="150"/>
        <v>0</v>
      </c>
      <c r="DV28" s="539"/>
      <c r="DW28" s="540">
        <f t="shared" si="40"/>
        <v>0</v>
      </c>
      <c r="DX28" s="541">
        <f t="shared" si="151"/>
        <v>0</v>
      </c>
      <c r="DY28" s="539"/>
      <c r="DZ28" s="540">
        <f t="shared" si="41"/>
        <v>0</v>
      </c>
      <c r="EA28" s="541">
        <f t="shared" si="152"/>
        <v>0</v>
      </c>
      <c r="EB28" s="539">
        <v>14.534883720930225</v>
      </c>
      <c r="EC28" s="540">
        <f t="shared" si="42"/>
        <v>0.26301293308235574</v>
      </c>
      <c r="ED28" s="541">
        <f t="shared" si="153"/>
        <v>0</v>
      </c>
      <c r="EE28" s="539">
        <v>2</v>
      </c>
      <c r="EF28" s="540">
        <f t="shared" si="43"/>
        <v>3.619057959213217E-2</v>
      </c>
      <c r="EG28" s="541">
        <f t="shared" si="154"/>
        <v>0</v>
      </c>
      <c r="EH28" s="539"/>
      <c r="EI28" s="540">
        <f t="shared" si="44"/>
        <v>0</v>
      </c>
      <c r="EJ28" s="541">
        <f t="shared" si="155"/>
        <v>0</v>
      </c>
      <c r="EK28" s="539"/>
      <c r="EL28" s="540">
        <f t="shared" si="45"/>
        <v>0</v>
      </c>
      <c r="EM28" s="541">
        <f t="shared" si="156"/>
        <v>0</v>
      </c>
      <c r="EN28" s="539"/>
      <c r="EO28" s="540">
        <f t="shared" si="46"/>
        <v>0</v>
      </c>
      <c r="EP28" s="541">
        <f t="shared" si="157"/>
        <v>0</v>
      </c>
      <c r="EQ28" s="539"/>
      <c r="ER28" s="540">
        <f t="shared" si="47"/>
        <v>0</v>
      </c>
      <c r="ES28" s="541">
        <f t="shared" si="158"/>
        <v>0</v>
      </c>
      <c r="ET28" s="539"/>
      <c r="EU28" s="540">
        <f t="shared" si="48"/>
        <v>0</v>
      </c>
      <c r="EV28" s="541">
        <f t="shared" si="159"/>
        <v>0</v>
      </c>
      <c r="EW28" s="539"/>
      <c r="EX28" s="540">
        <f t="shared" si="49"/>
        <v>0</v>
      </c>
      <c r="EY28" s="541">
        <f t="shared" si="160"/>
        <v>0</v>
      </c>
      <c r="EZ28" s="539"/>
      <c r="FA28" s="540">
        <f t="shared" si="50"/>
        <v>0</v>
      </c>
      <c r="FB28" s="541">
        <f t="shared" si="161"/>
        <v>0</v>
      </c>
      <c r="FC28" s="539"/>
      <c r="FD28" s="540">
        <f t="shared" si="51"/>
        <v>0</v>
      </c>
      <c r="FE28" s="541">
        <f t="shared" si="162"/>
        <v>0</v>
      </c>
      <c r="FF28" s="539"/>
      <c r="FG28" s="540">
        <f t="shared" si="52"/>
        <v>0</v>
      </c>
      <c r="FH28" s="541">
        <f t="shared" si="163"/>
        <v>0</v>
      </c>
      <c r="FI28" s="539"/>
      <c r="FJ28" s="540">
        <f t="shared" si="53"/>
        <v>0</v>
      </c>
      <c r="FK28" s="541">
        <f t="shared" si="164"/>
        <v>0</v>
      </c>
      <c r="FL28" s="539"/>
      <c r="FM28" s="540">
        <f t="shared" si="54"/>
        <v>0</v>
      </c>
      <c r="FN28" s="541">
        <f t="shared" si="165"/>
        <v>0</v>
      </c>
      <c r="FO28" s="539"/>
      <c r="FP28" s="540">
        <f t="shared" si="55"/>
        <v>0</v>
      </c>
      <c r="FQ28" s="541">
        <f t="shared" si="166"/>
        <v>0</v>
      </c>
      <c r="FR28" s="539"/>
      <c r="FS28" s="540">
        <f t="shared" si="56"/>
        <v>0</v>
      </c>
      <c r="FT28" s="541">
        <f t="shared" si="167"/>
        <v>0</v>
      </c>
      <c r="FU28" s="539"/>
      <c r="FV28" s="540">
        <f t="shared" si="57"/>
        <v>0</v>
      </c>
      <c r="FW28" s="541">
        <f t="shared" si="168"/>
        <v>0</v>
      </c>
      <c r="FX28" s="539"/>
      <c r="FY28" s="540">
        <f t="shared" si="58"/>
        <v>0</v>
      </c>
      <c r="FZ28" s="541">
        <f t="shared" si="169"/>
        <v>0</v>
      </c>
      <c r="GA28" s="539"/>
      <c r="GB28" s="540">
        <f t="shared" si="59"/>
        <v>0</v>
      </c>
      <c r="GC28" s="541">
        <f t="shared" si="170"/>
        <v>0</v>
      </c>
      <c r="GD28" s="539"/>
      <c r="GE28" s="540">
        <f t="shared" si="60"/>
        <v>0</v>
      </c>
      <c r="GF28" s="541">
        <f t="shared" si="171"/>
        <v>0</v>
      </c>
      <c r="GG28" s="539"/>
      <c r="GH28" s="540">
        <f t="shared" si="61"/>
        <v>0</v>
      </c>
      <c r="GI28" s="541">
        <f t="shared" si="172"/>
        <v>0</v>
      </c>
      <c r="GJ28" s="539"/>
      <c r="GK28" s="540">
        <f t="shared" si="62"/>
        <v>0</v>
      </c>
      <c r="GL28" s="541">
        <f t="shared" si="173"/>
        <v>0</v>
      </c>
      <c r="GM28" s="539"/>
      <c r="GN28" s="540">
        <f t="shared" si="63"/>
        <v>0</v>
      </c>
      <c r="GO28" s="541">
        <f t="shared" si="174"/>
        <v>0</v>
      </c>
      <c r="GP28" s="539"/>
      <c r="GQ28" s="540">
        <f t="shared" si="64"/>
        <v>0</v>
      </c>
      <c r="GR28" s="541">
        <f t="shared" si="175"/>
        <v>0</v>
      </c>
      <c r="GS28" s="539"/>
      <c r="GT28" s="540">
        <f t="shared" si="65"/>
        <v>0</v>
      </c>
      <c r="GU28" s="541">
        <f t="shared" si="176"/>
        <v>0</v>
      </c>
      <c r="GV28" s="539"/>
      <c r="GW28" s="540">
        <f t="shared" si="66"/>
        <v>0</v>
      </c>
      <c r="GX28" s="541">
        <f t="shared" si="177"/>
        <v>0</v>
      </c>
      <c r="GY28" s="539"/>
      <c r="GZ28" s="540">
        <f t="shared" si="67"/>
        <v>0</v>
      </c>
      <c r="HA28" s="541">
        <f t="shared" si="178"/>
        <v>0</v>
      </c>
      <c r="HB28" s="539"/>
      <c r="HC28" s="540">
        <f t="shared" si="68"/>
        <v>0</v>
      </c>
      <c r="HD28" s="541">
        <f t="shared" si="179"/>
        <v>0</v>
      </c>
      <c r="HE28" s="539"/>
      <c r="HF28" s="540">
        <f t="shared" si="69"/>
        <v>0</v>
      </c>
      <c r="HG28" s="541">
        <f t="shared" si="180"/>
        <v>0</v>
      </c>
      <c r="HH28" s="539"/>
      <c r="HI28" s="540">
        <f t="shared" si="70"/>
        <v>0</v>
      </c>
      <c r="HJ28" s="541">
        <f t="shared" si="181"/>
        <v>0</v>
      </c>
      <c r="HK28" s="539"/>
      <c r="HL28" s="540">
        <f t="shared" si="71"/>
        <v>0</v>
      </c>
      <c r="HM28" s="541">
        <f t="shared" si="182"/>
        <v>0</v>
      </c>
      <c r="HN28" s="539"/>
      <c r="HO28" s="540">
        <f t="shared" si="72"/>
        <v>0</v>
      </c>
      <c r="HP28" s="541">
        <f t="shared" si="183"/>
        <v>0</v>
      </c>
      <c r="HQ28" s="539"/>
      <c r="HR28" s="540">
        <f t="shared" si="73"/>
        <v>0</v>
      </c>
      <c r="HS28" s="541">
        <f t="shared" si="184"/>
        <v>0</v>
      </c>
      <c r="HT28" s="539"/>
      <c r="HU28" s="540">
        <f t="shared" si="74"/>
        <v>0</v>
      </c>
      <c r="HV28" s="541">
        <f t="shared" si="185"/>
        <v>0</v>
      </c>
      <c r="HW28" s="539"/>
      <c r="HX28" s="540">
        <f t="shared" si="75"/>
        <v>0</v>
      </c>
      <c r="HY28" s="541">
        <f t="shared" si="186"/>
        <v>0</v>
      </c>
      <c r="HZ28" s="539"/>
      <c r="IA28" s="540">
        <f t="shared" si="76"/>
        <v>0</v>
      </c>
      <c r="IB28" s="541">
        <f t="shared" si="187"/>
        <v>0</v>
      </c>
      <c r="IC28" s="539"/>
      <c r="ID28" s="540">
        <f t="shared" si="77"/>
        <v>0</v>
      </c>
      <c r="IE28" s="541">
        <f t="shared" si="188"/>
        <v>0</v>
      </c>
      <c r="IF28" s="539"/>
      <c r="IG28" s="540">
        <f t="shared" si="78"/>
        <v>0</v>
      </c>
      <c r="IH28" s="541">
        <f t="shared" si="189"/>
        <v>0</v>
      </c>
      <c r="II28" s="539"/>
      <c r="IJ28" s="540">
        <f t="shared" si="79"/>
        <v>0</v>
      </c>
      <c r="IK28" s="541">
        <f t="shared" si="190"/>
        <v>0</v>
      </c>
      <c r="IL28" s="539"/>
      <c r="IM28" s="540">
        <f t="shared" si="80"/>
        <v>0</v>
      </c>
      <c r="IN28" s="541">
        <f t="shared" si="191"/>
        <v>0</v>
      </c>
      <c r="IO28" s="539"/>
      <c r="IP28" s="540">
        <f t="shared" si="81"/>
        <v>0</v>
      </c>
      <c r="IQ28" s="541">
        <f t="shared" si="192"/>
        <v>0</v>
      </c>
      <c r="IR28" s="539"/>
      <c r="IS28" s="540">
        <f t="shared" si="82"/>
        <v>0</v>
      </c>
      <c r="IT28" s="541">
        <f t="shared" si="193"/>
        <v>0</v>
      </c>
      <c r="IU28" s="539"/>
      <c r="IV28" s="540">
        <f t="shared" si="83"/>
        <v>0</v>
      </c>
      <c r="IW28" s="541">
        <f t="shared" si="194"/>
        <v>0</v>
      </c>
      <c r="IX28" s="539"/>
      <c r="IY28" s="540">
        <f t="shared" si="84"/>
        <v>0</v>
      </c>
      <c r="IZ28" s="541">
        <f t="shared" si="195"/>
        <v>0</v>
      </c>
      <c r="JA28" s="539"/>
      <c r="JB28" s="540">
        <f t="shared" si="85"/>
        <v>0</v>
      </c>
      <c r="JC28" s="541">
        <f t="shared" si="196"/>
        <v>0</v>
      </c>
      <c r="JD28" s="539"/>
      <c r="JE28" s="540">
        <f t="shared" si="86"/>
        <v>0</v>
      </c>
      <c r="JF28" s="541">
        <f t="shared" si="197"/>
        <v>0</v>
      </c>
      <c r="JG28" s="539"/>
      <c r="JH28" s="540">
        <f t="shared" si="87"/>
        <v>0</v>
      </c>
      <c r="JI28" s="541">
        <f t="shared" si="198"/>
        <v>0</v>
      </c>
      <c r="JJ28" s="539"/>
      <c r="JK28" s="541" t="str">
        <f t="shared" si="88"/>
        <v>0</v>
      </c>
      <c r="JL28" s="541" t="str">
        <f t="shared" si="89"/>
        <v>0</v>
      </c>
      <c r="JM28" s="539"/>
      <c r="JN28" s="541" t="str">
        <f t="shared" si="90"/>
        <v>0</v>
      </c>
      <c r="JO28" s="541" t="str">
        <f t="shared" si="91"/>
        <v>0</v>
      </c>
      <c r="JP28" s="539"/>
      <c r="JQ28" s="541" t="str">
        <f t="shared" si="92"/>
        <v>0</v>
      </c>
      <c r="JR28" s="541" t="str">
        <f t="shared" si="93"/>
        <v>0</v>
      </c>
      <c r="JS28" s="539"/>
      <c r="JT28" s="541" t="str">
        <f t="shared" si="94"/>
        <v>0</v>
      </c>
      <c r="JU28" s="541" t="str">
        <f t="shared" si="95"/>
        <v>0</v>
      </c>
      <c r="JV28" s="539"/>
      <c r="JW28" s="541" t="str">
        <f t="shared" si="96"/>
        <v>0</v>
      </c>
      <c r="JX28" s="541" t="str">
        <f t="shared" si="97"/>
        <v>0</v>
      </c>
      <c r="JY28" s="539"/>
      <c r="JZ28" s="541" t="str">
        <f t="shared" si="98"/>
        <v>0</v>
      </c>
      <c r="KA28" s="541" t="str">
        <f t="shared" si="99"/>
        <v>0</v>
      </c>
      <c r="KB28" s="539"/>
      <c r="KC28" s="541" t="str">
        <f t="shared" si="100"/>
        <v>0</v>
      </c>
      <c r="KD28" s="541" t="str">
        <f t="shared" si="101"/>
        <v>0</v>
      </c>
      <c r="KE28" s="539"/>
      <c r="KF28" s="541" t="str">
        <f t="shared" si="102"/>
        <v>0</v>
      </c>
      <c r="KG28" s="541" t="str">
        <f t="shared" si="103"/>
        <v>0</v>
      </c>
      <c r="KH28" s="539"/>
      <c r="KI28" s="541" t="str">
        <f t="shared" si="104"/>
        <v>0</v>
      </c>
      <c r="KJ28" s="541" t="str">
        <f t="shared" si="105"/>
        <v>0</v>
      </c>
      <c r="KK28" s="539"/>
      <c r="KL28" s="541" t="str">
        <f t="shared" si="106"/>
        <v>0</v>
      </c>
      <c r="KM28" s="541" t="str">
        <f t="shared" si="107"/>
        <v>0</v>
      </c>
      <c r="KN28" s="539"/>
      <c r="KO28" s="541" t="str">
        <f t="shared" si="108"/>
        <v>0</v>
      </c>
      <c r="KP28" s="541" t="str">
        <f t="shared" si="109"/>
        <v>0</v>
      </c>
      <c r="KQ28" s="539"/>
      <c r="KR28" s="541" t="str">
        <f t="shared" si="110"/>
        <v>0</v>
      </c>
      <c r="KS28" s="541" t="str">
        <f t="shared" si="111"/>
        <v>0</v>
      </c>
      <c r="KT28" s="541">
        <f t="shared" si="200"/>
        <v>0</v>
      </c>
      <c r="KU28" s="541">
        <f t="shared" si="201"/>
        <v>0</v>
      </c>
      <c r="KV28" s="275">
        <f t="shared" si="202"/>
        <v>425.05295335935472</v>
      </c>
    </row>
    <row r="29" spans="1:309" ht="15" customHeight="1">
      <c r="A29" s="277">
        <f t="shared" si="199"/>
        <v>45951</v>
      </c>
      <c r="B29" s="278" t="str">
        <f>+Report1!B29</f>
        <v>Facial/Sanitary Napkin</v>
      </c>
      <c r="C29" s="420" t="str">
        <f>+Report1!C29</f>
        <v>12/15</v>
      </c>
      <c r="D29" s="279">
        <f>+Report1!P29</f>
        <v>42.079000000000008</v>
      </c>
      <c r="E29" s="280">
        <f>+Report1!R29</f>
        <v>40.225999999999999</v>
      </c>
      <c r="F29" s="539">
        <v>0</v>
      </c>
      <c r="G29" s="540">
        <f t="shared" si="0"/>
        <v>0</v>
      </c>
      <c r="H29" s="541">
        <f t="shared" si="112"/>
        <v>0</v>
      </c>
      <c r="I29" s="539">
        <v>220.93023255813955</v>
      </c>
      <c r="J29" s="540">
        <f t="shared" si="1"/>
        <v>5.4922247441490466</v>
      </c>
      <c r="K29" s="541">
        <f t="shared" si="113"/>
        <v>0</v>
      </c>
      <c r="L29" s="539"/>
      <c r="M29" s="540">
        <f t="shared" si="2"/>
        <v>0</v>
      </c>
      <c r="N29" s="541">
        <f t="shared" si="114"/>
        <v>0</v>
      </c>
      <c r="O29" s="539">
        <v>5.9999999999999716</v>
      </c>
      <c r="P29" s="540">
        <f t="shared" si="3"/>
        <v>0.14915726147267866</v>
      </c>
      <c r="Q29" s="541">
        <f t="shared" si="115"/>
        <v>0</v>
      </c>
      <c r="R29" s="539"/>
      <c r="S29" s="540">
        <f t="shared" si="4"/>
        <v>0</v>
      </c>
      <c r="T29" s="541">
        <f t="shared" si="116"/>
        <v>0</v>
      </c>
      <c r="U29" s="539">
        <v>7.6875</v>
      </c>
      <c r="V29" s="540">
        <f t="shared" si="5"/>
        <v>0.19110774126187044</v>
      </c>
      <c r="W29" s="541">
        <f t="shared" si="117"/>
        <v>0</v>
      </c>
      <c r="X29" s="539"/>
      <c r="Y29" s="540">
        <f t="shared" si="6"/>
        <v>0</v>
      </c>
      <c r="Z29" s="541">
        <f t="shared" si="118"/>
        <v>0</v>
      </c>
      <c r="AA29" s="539"/>
      <c r="AB29" s="540">
        <f t="shared" si="7"/>
        <v>0</v>
      </c>
      <c r="AC29" s="541">
        <f t="shared" si="119"/>
        <v>0</v>
      </c>
      <c r="AD29" s="539"/>
      <c r="AE29" s="540">
        <f t="shared" si="8"/>
        <v>0</v>
      </c>
      <c r="AF29" s="541">
        <f t="shared" si="120"/>
        <v>0</v>
      </c>
      <c r="AG29" s="539"/>
      <c r="AH29" s="540">
        <f t="shared" si="9"/>
        <v>0</v>
      </c>
      <c r="AI29" s="541">
        <f t="shared" si="121"/>
        <v>0</v>
      </c>
      <c r="AJ29" s="539">
        <v>0</v>
      </c>
      <c r="AK29" s="540">
        <f t="shared" si="10"/>
        <v>0</v>
      </c>
      <c r="AL29" s="541">
        <f t="shared" si="122"/>
        <v>0</v>
      </c>
      <c r="AM29" s="539">
        <v>55.189189743589765</v>
      </c>
      <c r="AN29" s="540">
        <f t="shared" si="11"/>
        <v>1.3719780675083222</v>
      </c>
      <c r="AO29" s="541">
        <f t="shared" si="123"/>
        <v>0</v>
      </c>
      <c r="AP29" s="539">
        <v>8.5443037974683875</v>
      </c>
      <c r="AQ29" s="540">
        <f t="shared" si="12"/>
        <v>0.21240749260349992</v>
      </c>
      <c r="AR29" s="541">
        <f t="shared" si="124"/>
        <v>0</v>
      </c>
      <c r="AS29" s="539"/>
      <c r="AT29" s="540">
        <f t="shared" si="13"/>
        <v>0</v>
      </c>
      <c r="AU29" s="541">
        <f t="shared" si="125"/>
        <v>0</v>
      </c>
      <c r="AV29" s="539">
        <v>5.5499999999999972</v>
      </c>
      <c r="AW29" s="540">
        <f t="shared" si="14"/>
        <v>0.13797046686222833</v>
      </c>
      <c r="AX29" s="541">
        <f t="shared" si="126"/>
        <v>0</v>
      </c>
      <c r="AY29" s="539">
        <v>49</v>
      </c>
      <c r="AZ29" s="540">
        <f t="shared" si="15"/>
        <v>1.2181176353602148</v>
      </c>
      <c r="BA29" s="541">
        <f t="shared" si="127"/>
        <v>0</v>
      </c>
      <c r="BB29" s="539">
        <v>0</v>
      </c>
      <c r="BC29" s="540">
        <f t="shared" si="16"/>
        <v>0</v>
      </c>
      <c r="BD29" s="541">
        <f t="shared" si="128"/>
        <v>0</v>
      </c>
      <c r="BE29" s="539"/>
      <c r="BF29" s="540">
        <f t="shared" si="17"/>
        <v>0</v>
      </c>
      <c r="BG29" s="541">
        <f t="shared" si="129"/>
        <v>0</v>
      </c>
      <c r="BH29" s="539"/>
      <c r="BI29" s="540">
        <f t="shared" si="18"/>
        <v>0</v>
      </c>
      <c r="BJ29" s="541">
        <f t="shared" si="130"/>
        <v>0</v>
      </c>
      <c r="BK29" s="539"/>
      <c r="BL29" s="540">
        <f t="shared" si="19"/>
        <v>0</v>
      </c>
      <c r="BM29" s="541">
        <f t="shared" si="131"/>
        <v>0</v>
      </c>
      <c r="BN29" s="539">
        <v>10.123456790123456</v>
      </c>
      <c r="BO29" s="540">
        <f t="shared" si="20"/>
        <v>0.25166451524196926</v>
      </c>
      <c r="BP29" s="541">
        <f t="shared" si="132"/>
        <v>0</v>
      </c>
      <c r="BQ29" s="539">
        <v>0</v>
      </c>
      <c r="BR29" s="540">
        <f t="shared" si="21"/>
        <v>0</v>
      </c>
      <c r="BS29" s="541">
        <f t="shared" si="133"/>
        <v>0</v>
      </c>
      <c r="BT29" s="539"/>
      <c r="BU29" s="540">
        <f t="shared" si="22"/>
        <v>0</v>
      </c>
      <c r="BV29" s="541">
        <f t="shared" si="134"/>
        <v>0</v>
      </c>
      <c r="BW29" s="539">
        <v>0</v>
      </c>
      <c r="BX29" s="540">
        <f t="shared" si="23"/>
        <v>0</v>
      </c>
      <c r="BY29" s="541">
        <f t="shared" si="135"/>
        <v>0</v>
      </c>
      <c r="BZ29" s="539"/>
      <c r="CA29" s="540">
        <f t="shared" si="24"/>
        <v>0</v>
      </c>
      <c r="CB29" s="541">
        <f t="shared" si="136"/>
        <v>0</v>
      </c>
      <c r="CC29" s="539">
        <v>0</v>
      </c>
      <c r="CD29" s="540">
        <f t="shared" si="25"/>
        <v>0</v>
      </c>
      <c r="CE29" s="541">
        <f t="shared" si="137"/>
        <v>0</v>
      </c>
      <c r="CF29" s="539">
        <v>9.9999999999999978E-2</v>
      </c>
      <c r="CG29" s="540">
        <f t="shared" si="26"/>
        <v>2.4859543578779888E-3</v>
      </c>
      <c r="CH29" s="541">
        <f t="shared" si="138"/>
        <v>0</v>
      </c>
      <c r="CI29" s="539"/>
      <c r="CJ29" s="540">
        <f t="shared" si="27"/>
        <v>0</v>
      </c>
      <c r="CK29" s="541">
        <f t="shared" si="139"/>
        <v>0</v>
      </c>
      <c r="CL29" s="539"/>
      <c r="CM29" s="540">
        <f t="shared" si="28"/>
        <v>0</v>
      </c>
      <c r="CN29" s="541">
        <f t="shared" si="140"/>
        <v>0</v>
      </c>
      <c r="CO29" s="539"/>
      <c r="CP29" s="540">
        <f t="shared" si="29"/>
        <v>0</v>
      </c>
      <c r="CQ29" s="541">
        <f t="shared" si="141"/>
        <v>0</v>
      </c>
      <c r="CR29" s="539"/>
      <c r="CS29" s="540">
        <f t="shared" si="30"/>
        <v>0</v>
      </c>
      <c r="CT29" s="541">
        <f t="shared" si="142"/>
        <v>0</v>
      </c>
      <c r="CU29" s="539"/>
      <c r="CV29" s="540">
        <f t="shared" si="31"/>
        <v>0</v>
      </c>
      <c r="CW29" s="541">
        <f t="shared" si="143"/>
        <v>0</v>
      </c>
      <c r="CX29" s="539"/>
      <c r="CY29" s="540">
        <f t="shared" si="32"/>
        <v>0</v>
      </c>
      <c r="CZ29" s="541">
        <f t="shared" si="144"/>
        <v>0</v>
      </c>
      <c r="DA29" s="539"/>
      <c r="DB29" s="540">
        <f t="shared" si="33"/>
        <v>0</v>
      </c>
      <c r="DC29" s="541">
        <f t="shared" si="145"/>
        <v>0</v>
      </c>
      <c r="DD29" s="539"/>
      <c r="DE29" s="540">
        <f t="shared" si="34"/>
        <v>0</v>
      </c>
      <c r="DF29" s="541">
        <f t="shared" si="146"/>
        <v>0</v>
      </c>
      <c r="DG29" s="539">
        <v>0</v>
      </c>
      <c r="DH29" s="540">
        <f t="shared" si="35"/>
        <v>0</v>
      </c>
      <c r="DI29" s="541">
        <f t="shared" si="203"/>
        <v>0</v>
      </c>
      <c r="DJ29" s="539"/>
      <c r="DK29" s="540">
        <f t="shared" si="36"/>
        <v>0</v>
      </c>
      <c r="DL29" s="541">
        <f t="shared" si="147"/>
        <v>0</v>
      </c>
      <c r="DM29" s="539"/>
      <c r="DN29" s="540">
        <f t="shared" si="37"/>
        <v>0</v>
      </c>
      <c r="DO29" s="541">
        <f t="shared" si="148"/>
        <v>0</v>
      </c>
      <c r="DP29" s="539"/>
      <c r="DQ29" s="540">
        <f t="shared" si="38"/>
        <v>0</v>
      </c>
      <c r="DR29" s="541">
        <f t="shared" si="149"/>
        <v>0</v>
      </c>
      <c r="DS29" s="539"/>
      <c r="DT29" s="540">
        <f t="shared" si="39"/>
        <v>0</v>
      </c>
      <c r="DU29" s="541">
        <f t="shared" si="150"/>
        <v>0</v>
      </c>
      <c r="DV29" s="539"/>
      <c r="DW29" s="540">
        <f t="shared" si="40"/>
        <v>0</v>
      </c>
      <c r="DX29" s="541">
        <f t="shared" si="151"/>
        <v>0</v>
      </c>
      <c r="DY29" s="539"/>
      <c r="DZ29" s="540">
        <f t="shared" si="41"/>
        <v>0</v>
      </c>
      <c r="EA29" s="541">
        <f t="shared" si="152"/>
        <v>0</v>
      </c>
      <c r="EB29" s="539">
        <v>14.534883720930225</v>
      </c>
      <c r="EC29" s="540">
        <f t="shared" si="42"/>
        <v>0.36133057527296336</v>
      </c>
      <c r="ED29" s="541">
        <f t="shared" si="153"/>
        <v>0</v>
      </c>
      <c r="EE29" s="539">
        <v>1</v>
      </c>
      <c r="EF29" s="540">
        <f t="shared" si="43"/>
        <v>2.4859543578779893E-2</v>
      </c>
      <c r="EG29" s="541">
        <f t="shared" si="154"/>
        <v>0</v>
      </c>
      <c r="EH29" s="539"/>
      <c r="EI29" s="540">
        <f t="shared" si="44"/>
        <v>0</v>
      </c>
      <c r="EJ29" s="541">
        <f t="shared" si="155"/>
        <v>0</v>
      </c>
      <c r="EK29" s="539"/>
      <c r="EL29" s="540">
        <f t="shared" si="45"/>
        <v>0</v>
      </c>
      <c r="EM29" s="541">
        <f t="shared" si="156"/>
        <v>0</v>
      </c>
      <c r="EN29" s="539"/>
      <c r="EO29" s="540">
        <f t="shared" si="46"/>
        <v>0</v>
      </c>
      <c r="EP29" s="541">
        <f t="shared" si="157"/>
        <v>0</v>
      </c>
      <c r="EQ29" s="539"/>
      <c r="ER29" s="540">
        <f t="shared" si="47"/>
        <v>0</v>
      </c>
      <c r="ES29" s="541">
        <f t="shared" si="158"/>
        <v>0</v>
      </c>
      <c r="ET29" s="539"/>
      <c r="EU29" s="540">
        <f t="shared" si="48"/>
        <v>0</v>
      </c>
      <c r="EV29" s="541">
        <f t="shared" si="159"/>
        <v>0</v>
      </c>
      <c r="EW29" s="539"/>
      <c r="EX29" s="540">
        <f t="shared" si="49"/>
        <v>0</v>
      </c>
      <c r="EY29" s="541">
        <f t="shared" si="160"/>
        <v>0</v>
      </c>
      <c r="EZ29" s="539"/>
      <c r="FA29" s="540">
        <f t="shared" si="50"/>
        <v>0</v>
      </c>
      <c r="FB29" s="541">
        <f t="shared" si="161"/>
        <v>0</v>
      </c>
      <c r="FC29" s="539"/>
      <c r="FD29" s="540">
        <f t="shared" si="51"/>
        <v>0</v>
      </c>
      <c r="FE29" s="541">
        <f t="shared" si="162"/>
        <v>0</v>
      </c>
      <c r="FF29" s="539"/>
      <c r="FG29" s="540">
        <f t="shared" si="52"/>
        <v>0</v>
      </c>
      <c r="FH29" s="541">
        <f t="shared" si="163"/>
        <v>0</v>
      </c>
      <c r="FI29" s="539"/>
      <c r="FJ29" s="540">
        <f t="shared" si="53"/>
        <v>0</v>
      </c>
      <c r="FK29" s="541">
        <f t="shared" si="164"/>
        <v>0</v>
      </c>
      <c r="FL29" s="539"/>
      <c r="FM29" s="540">
        <f t="shared" si="54"/>
        <v>0</v>
      </c>
      <c r="FN29" s="541">
        <f t="shared" si="165"/>
        <v>0</v>
      </c>
      <c r="FO29" s="539"/>
      <c r="FP29" s="540">
        <f t="shared" si="55"/>
        <v>0</v>
      </c>
      <c r="FQ29" s="541">
        <f t="shared" si="166"/>
        <v>0</v>
      </c>
      <c r="FR29" s="539"/>
      <c r="FS29" s="540">
        <f t="shared" si="56"/>
        <v>0</v>
      </c>
      <c r="FT29" s="541">
        <f t="shared" si="167"/>
        <v>0</v>
      </c>
      <c r="FU29" s="539"/>
      <c r="FV29" s="540">
        <f t="shared" si="57"/>
        <v>0</v>
      </c>
      <c r="FW29" s="541">
        <f t="shared" si="168"/>
        <v>0</v>
      </c>
      <c r="FX29" s="539"/>
      <c r="FY29" s="540">
        <f t="shared" si="58"/>
        <v>0</v>
      </c>
      <c r="FZ29" s="541">
        <f t="shared" si="169"/>
        <v>0</v>
      </c>
      <c r="GA29" s="539"/>
      <c r="GB29" s="540">
        <f t="shared" si="59"/>
        <v>0</v>
      </c>
      <c r="GC29" s="541">
        <f t="shared" si="170"/>
        <v>0</v>
      </c>
      <c r="GD29" s="539"/>
      <c r="GE29" s="540">
        <f t="shared" si="60"/>
        <v>0</v>
      </c>
      <c r="GF29" s="541">
        <f t="shared" si="171"/>
        <v>0</v>
      </c>
      <c r="GG29" s="539"/>
      <c r="GH29" s="540">
        <f t="shared" si="61"/>
        <v>0</v>
      </c>
      <c r="GI29" s="541">
        <f t="shared" si="172"/>
        <v>0</v>
      </c>
      <c r="GJ29" s="539"/>
      <c r="GK29" s="540">
        <f t="shared" si="62"/>
        <v>0</v>
      </c>
      <c r="GL29" s="541">
        <f t="shared" si="173"/>
        <v>0</v>
      </c>
      <c r="GM29" s="539"/>
      <c r="GN29" s="540">
        <f t="shared" si="63"/>
        <v>0</v>
      </c>
      <c r="GO29" s="541">
        <f t="shared" si="174"/>
        <v>0</v>
      </c>
      <c r="GP29" s="539"/>
      <c r="GQ29" s="540">
        <f t="shared" si="64"/>
        <v>0</v>
      </c>
      <c r="GR29" s="541">
        <f t="shared" si="175"/>
        <v>0</v>
      </c>
      <c r="GS29" s="539"/>
      <c r="GT29" s="540">
        <f t="shared" si="65"/>
        <v>0</v>
      </c>
      <c r="GU29" s="541">
        <f t="shared" si="176"/>
        <v>0</v>
      </c>
      <c r="GV29" s="539"/>
      <c r="GW29" s="540">
        <f t="shared" si="66"/>
        <v>0</v>
      </c>
      <c r="GX29" s="541">
        <f t="shared" si="177"/>
        <v>0</v>
      </c>
      <c r="GY29" s="539"/>
      <c r="GZ29" s="540">
        <f t="shared" si="67"/>
        <v>0</v>
      </c>
      <c r="HA29" s="541">
        <f t="shared" si="178"/>
        <v>0</v>
      </c>
      <c r="HB29" s="539"/>
      <c r="HC29" s="540">
        <f t="shared" si="68"/>
        <v>0</v>
      </c>
      <c r="HD29" s="541">
        <f t="shared" si="179"/>
        <v>0</v>
      </c>
      <c r="HE29" s="539"/>
      <c r="HF29" s="540">
        <f t="shared" si="69"/>
        <v>0</v>
      </c>
      <c r="HG29" s="541">
        <f t="shared" si="180"/>
        <v>0</v>
      </c>
      <c r="HH29" s="539"/>
      <c r="HI29" s="540">
        <f t="shared" si="70"/>
        <v>0</v>
      </c>
      <c r="HJ29" s="541">
        <f t="shared" si="181"/>
        <v>0</v>
      </c>
      <c r="HK29" s="539"/>
      <c r="HL29" s="540">
        <f t="shared" si="71"/>
        <v>0</v>
      </c>
      <c r="HM29" s="541">
        <f t="shared" si="182"/>
        <v>0</v>
      </c>
      <c r="HN29" s="539"/>
      <c r="HO29" s="540">
        <f t="shared" si="72"/>
        <v>0</v>
      </c>
      <c r="HP29" s="541">
        <f t="shared" si="183"/>
        <v>0</v>
      </c>
      <c r="HQ29" s="539"/>
      <c r="HR29" s="540">
        <f t="shared" si="73"/>
        <v>0</v>
      </c>
      <c r="HS29" s="541">
        <f t="shared" si="184"/>
        <v>0</v>
      </c>
      <c r="HT29" s="539"/>
      <c r="HU29" s="540">
        <f t="shared" si="74"/>
        <v>0</v>
      </c>
      <c r="HV29" s="541">
        <f t="shared" si="185"/>
        <v>0</v>
      </c>
      <c r="HW29" s="539"/>
      <c r="HX29" s="540">
        <f t="shared" si="75"/>
        <v>0</v>
      </c>
      <c r="HY29" s="541">
        <f t="shared" si="186"/>
        <v>0</v>
      </c>
      <c r="HZ29" s="539"/>
      <c r="IA29" s="540">
        <f t="shared" si="76"/>
        <v>0</v>
      </c>
      <c r="IB29" s="541">
        <f t="shared" si="187"/>
        <v>0</v>
      </c>
      <c r="IC29" s="539"/>
      <c r="ID29" s="540">
        <f t="shared" si="77"/>
        <v>0</v>
      </c>
      <c r="IE29" s="541">
        <f t="shared" si="188"/>
        <v>0</v>
      </c>
      <c r="IF29" s="539"/>
      <c r="IG29" s="540">
        <f t="shared" si="78"/>
        <v>0</v>
      </c>
      <c r="IH29" s="541">
        <f t="shared" si="189"/>
        <v>0</v>
      </c>
      <c r="II29" s="539"/>
      <c r="IJ29" s="540">
        <f t="shared" si="79"/>
        <v>0</v>
      </c>
      <c r="IK29" s="541">
        <f t="shared" si="190"/>
        <v>0</v>
      </c>
      <c r="IL29" s="539"/>
      <c r="IM29" s="540">
        <f t="shared" si="80"/>
        <v>0</v>
      </c>
      <c r="IN29" s="541">
        <f t="shared" si="191"/>
        <v>0</v>
      </c>
      <c r="IO29" s="539"/>
      <c r="IP29" s="540">
        <f t="shared" si="81"/>
        <v>0</v>
      </c>
      <c r="IQ29" s="541">
        <f t="shared" si="192"/>
        <v>0</v>
      </c>
      <c r="IR29" s="539"/>
      <c r="IS29" s="540">
        <f t="shared" si="82"/>
        <v>0</v>
      </c>
      <c r="IT29" s="541">
        <f t="shared" si="193"/>
        <v>0</v>
      </c>
      <c r="IU29" s="539"/>
      <c r="IV29" s="540">
        <f t="shared" si="83"/>
        <v>0</v>
      </c>
      <c r="IW29" s="541">
        <f t="shared" si="194"/>
        <v>0</v>
      </c>
      <c r="IX29" s="539"/>
      <c r="IY29" s="540">
        <f t="shared" si="84"/>
        <v>0</v>
      </c>
      <c r="IZ29" s="541">
        <f t="shared" si="195"/>
        <v>0</v>
      </c>
      <c r="JA29" s="539"/>
      <c r="JB29" s="540">
        <f t="shared" si="85"/>
        <v>0</v>
      </c>
      <c r="JC29" s="541">
        <f t="shared" si="196"/>
        <v>0</v>
      </c>
      <c r="JD29" s="539"/>
      <c r="JE29" s="540">
        <f t="shared" si="86"/>
        <v>0</v>
      </c>
      <c r="JF29" s="541">
        <f t="shared" si="197"/>
        <v>0</v>
      </c>
      <c r="JG29" s="539"/>
      <c r="JH29" s="540">
        <f t="shared" si="87"/>
        <v>0</v>
      </c>
      <c r="JI29" s="541">
        <f t="shared" si="198"/>
        <v>0</v>
      </c>
      <c r="JJ29" s="539"/>
      <c r="JK29" s="541" t="str">
        <f t="shared" si="88"/>
        <v>0</v>
      </c>
      <c r="JL29" s="541" t="str">
        <f t="shared" si="89"/>
        <v>0</v>
      </c>
      <c r="JM29" s="539"/>
      <c r="JN29" s="541" t="str">
        <f t="shared" si="90"/>
        <v>0</v>
      </c>
      <c r="JO29" s="541" t="str">
        <f t="shared" si="91"/>
        <v>0</v>
      </c>
      <c r="JP29" s="539"/>
      <c r="JQ29" s="541" t="str">
        <f t="shared" si="92"/>
        <v>0</v>
      </c>
      <c r="JR29" s="541" t="str">
        <f t="shared" si="93"/>
        <v>0</v>
      </c>
      <c r="JS29" s="539"/>
      <c r="JT29" s="541" t="str">
        <f t="shared" si="94"/>
        <v>0</v>
      </c>
      <c r="JU29" s="541" t="str">
        <f t="shared" si="95"/>
        <v>0</v>
      </c>
      <c r="JV29" s="539"/>
      <c r="JW29" s="541" t="str">
        <f t="shared" si="96"/>
        <v>0</v>
      </c>
      <c r="JX29" s="541" t="str">
        <f t="shared" si="97"/>
        <v>0</v>
      </c>
      <c r="JY29" s="539"/>
      <c r="JZ29" s="541" t="str">
        <f t="shared" si="98"/>
        <v>0</v>
      </c>
      <c r="KA29" s="541" t="str">
        <f t="shared" si="99"/>
        <v>0</v>
      </c>
      <c r="KB29" s="539"/>
      <c r="KC29" s="541" t="str">
        <f t="shared" si="100"/>
        <v>0</v>
      </c>
      <c r="KD29" s="541" t="str">
        <f t="shared" si="101"/>
        <v>0</v>
      </c>
      <c r="KE29" s="539"/>
      <c r="KF29" s="541" t="str">
        <f t="shared" si="102"/>
        <v>0</v>
      </c>
      <c r="KG29" s="541" t="str">
        <f t="shared" si="103"/>
        <v>0</v>
      </c>
      <c r="KH29" s="539"/>
      <c r="KI29" s="541" t="str">
        <f t="shared" si="104"/>
        <v>0</v>
      </c>
      <c r="KJ29" s="541" t="str">
        <f t="shared" si="105"/>
        <v>0</v>
      </c>
      <c r="KK29" s="539"/>
      <c r="KL29" s="541" t="str">
        <f t="shared" si="106"/>
        <v>0</v>
      </c>
      <c r="KM29" s="541" t="str">
        <f t="shared" si="107"/>
        <v>0</v>
      </c>
      <c r="KN29" s="539"/>
      <c r="KO29" s="541" t="str">
        <f t="shared" si="108"/>
        <v>0</v>
      </c>
      <c r="KP29" s="541" t="str">
        <f t="shared" si="109"/>
        <v>0</v>
      </c>
      <c r="KQ29" s="539"/>
      <c r="KR29" s="541" t="str">
        <f t="shared" si="110"/>
        <v>0</v>
      </c>
      <c r="KS29" s="541" t="str">
        <f t="shared" si="111"/>
        <v>0</v>
      </c>
      <c r="KT29" s="541">
        <f t="shared" si="200"/>
        <v>0</v>
      </c>
      <c r="KU29" s="541">
        <f t="shared" si="201"/>
        <v>0</v>
      </c>
      <c r="KV29" s="275">
        <f t="shared" si="202"/>
        <v>378.65956661025137</v>
      </c>
    </row>
    <row r="30" spans="1:309" ht="15" customHeight="1">
      <c r="A30" s="277">
        <f t="shared" si="199"/>
        <v>45952</v>
      </c>
      <c r="B30" s="278" t="str">
        <f>+Report1!B30</f>
        <v>Sanitary Napkin</v>
      </c>
      <c r="C30" s="420" t="str">
        <f>+Report1!C30</f>
        <v>15</v>
      </c>
      <c r="D30" s="279">
        <f>+Report1!P30</f>
        <v>56.07</v>
      </c>
      <c r="E30" s="280">
        <f>+Report1!R30</f>
        <v>52.610999999999997</v>
      </c>
      <c r="F30" s="539">
        <v>0</v>
      </c>
      <c r="G30" s="540">
        <f t="shared" si="0"/>
        <v>0</v>
      </c>
      <c r="H30" s="541">
        <f t="shared" si="112"/>
        <v>0</v>
      </c>
      <c r="I30" s="539">
        <v>302.32558139534876</v>
      </c>
      <c r="J30" s="540">
        <f t="shared" si="1"/>
        <v>5.7464329017762212</v>
      </c>
      <c r="K30" s="541">
        <f t="shared" si="113"/>
        <v>0</v>
      </c>
      <c r="L30" s="539"/>
      <c r="M30" s="540">
        <f t="shared" si="2"/>
        <v>0</v>
      </c>
      <c r="N30" s="541">
        <f t="shared" si="114"/>
        <v>0</v>
      </c>
      <c r="O30" s="539">
        <v>9</v>
      </c>
      <c r="P30" s="540">
        <f t="shared" si="3"/>
        <v>0.1710668871528768</v>
      </c>
      <c r="Q30" s="541">
        <f t="shared" si="115"/>
        <v>0</v>
      </c>
      <c r="R30" s="539"/>
      <c r="S30" s="540">
        <f t="shared" si="4"/>
        <v>0</v>
      </c>
      <c r="T30" s="541">
        <f t="shared" si="116"/>
        <v>0</v>
      </c>
      <c r="U30" s="539">
        <v>7.6875</v>
      </c>
      <c r="V30" s="540">
        <f t="shared" si="5"/>
        <v>0.1461196327764156</v>
      </c>
      <c r="W30" s="541">
        <f t="shared" si="117"/>
        <v>0</v>
      </c>
      <c r="X30" s="539"/>
      <c r="Y30" s="540">
        <f t="shared" si="6"/>
        <v>0</v>
      </c>
      <c r="Z30" s="541">
        <f t="shared" si="118"/>
        <v>0</v>
      </c>
      <c r="AA30" s="539"/>
      <c r="AB30" s="540">
        <f t="shared" si="7"/>
        <v>0</v>
      </c>
      <c r="AC30" s="541">
        <f t="shared" si="119"/>
        <v>0</v>
      </c>
      <c r="AD30" s="539"/>
      <c r="AE30" s="540">
        <f t="shared" si="8"/>
        <v>0</v>
      </c>
      <c r="AF30" s="541">
        <f t="shared" si="120"/>
        <v>0</v>
      </c>
      <c r="AG30" s="539"/>
      <c r="AH30" s="540">
        <f t="shared" si="9"/>
        <v>0</v>
      </c>
      <c r="AI30" s="541">
        <f t="shared" si="121"/>
        <v>0</v>
      </c>
      <c r="AJ30" s="539">
        <v>0</v>
      </c>
      <c r="AK30" s="540">
        <f t="shared" si="10"/>
        <v>0</v>
      </c>
      <c r="AL30" s="541">
        <f t="shared" si="122"/>
        <v>0</v>
      </c>
      <c r="AM30" s="539">
        <v>31.538461538461547</v>
      </c>
      <c r="AN30" s="540">
        <f t="shared" si="11"/>
        <v>0.59946516010837181</v>
      </c>
      <c r="AO30" s="541">
        <f t="shared" si="123"/>
        <v>0</v>
      </c>
      <c r="AP30" s="539">
        <v>0</v>
      </c>
      <c r="AQ30" s="540">
        <f t="shared" si="12"/>
        <v>0</v>
      </c>
      <c r="AR30" s="541">
        <f t="shared" si="124"/>
        <v>0</v>
      </c>
      <c r="AS30" s="539"/>
      <c r="AT30" s="540">
        <f t="shared" si="13"/>
        <v>0</v>
      </c>
      <c r="AU30" s="541">
        <f t="shared" si="125"/>
        <v>0</v>
      </c>
      <c r="AV30" s="539">
        <v>5.5499999999999829</v>
      </c>
      <c r="AW30" s="540">
        <f t="shared" si="14"/>
        <v>0.10549124707760703</v>
      </c>
      <c r="AX30" s="541">
        <f t="shared" si="126"/>
        <v>0</v>
      </c>
      <c r="AY30" s="539">
        <v>60.666666666666657</v>
      </c>
      <c r="AZ30" s="540">
        <f t="shared" si="15"/>
        <v>1.1531175356230952</v>
      </c>
      <c r="BA30" s="541">
        <f t="shared" si="127"/>
        <v>0</v>
      </c>
      <c r="BB30" s="539">
        <v>0</v>
      </c>
      <c r="BC30" s="540">
        <f t="shared" si="16"/>
        <v>0</v>
      </c>
      <c r="BD30" s="541">
        <f t="shared" si="128"/>
        <v>0</v>
      </c>
      <c r="BE30" s="539"/>
      <c r="BF30" s="540">
        <f t="shared" si="17"/>
        <v>0</v>
      </c>
      <c r="BG30" s="541">
        <f t="shared" si="129"/>
        <v>0</v>
      </c>
      <c r="BH30" s="539"/>
      <c r="BI30" s="540">
        <f t="shared" si="18"/>
        <v>0</v>
      </c>
      <c r="BJ30" s="541">
        <f t="shared" si="130"/>
        <v>0</v>
      </c>
      <c r="BK30" s="539"/>
      <c r="BL30" s="540">
        <f t="shared" si="19"/>
        <v>0</v>
      </c>
      <c r="BM30" s="541">
        <f t="shared" si="131"/>
        <v>0</v>
      </c>
      <c r="BN30" s="539">
        <v>7.592592592592581</v>
      </c>
      <c r="BO30" s="540">
        <f t="shared" si="20"/>
        <v>0.14431568669275591</v>
      </c>
      <c r="BP30" s="541">
        <f t="shared" si="132"/>
        <v>0</v>
      </c>
      <c r="BQ30" s="539">
        <v>0</v>
      </c>
      <c r="BR30" s="540">
        <f t="shared" si="21"/>
        <v>0</v>
      </c>
      <c r="BS30" s="541">
        <f t="shared" si="133"/>
        <v>0</v>
      </c>
      <c r="BT30" s="539"/>
      <c r="BU30" s="540">
        <f t="shared" si="22"/>
        <v>0</v>
      </c>
      <c r="BV30" s="541">
        <f t="shared" si="134"/>
        <v>0</v>
      </c>
      <c r="BW30" s="539">
        <v>0</v>
      </c>
      <c r="BX30" s="540">
        <f t="shared" si="23"/>
        <v>0</v>
      </c>
      <c r="BY30" s="541">
        <f t="shared" si="135"/>
        <v>0</v>
      </c>
      <c r="BZ30" s="539"/>
      <c r="CA30" s="540">
        <f t="shared" si="24"/>
        <v>0</v>
      </c>
      <c r="CB30" s="541">
        <f t="shared" si="136"/>
        <v>0</v>
      </c>
      <c r="CC30" s="539">
        <v>0</v>
      </c>
      <c r="CD30" s="540">
        <f t="shared" si="25"/>
        <v>0</v>
      </c>
      <c r="CE30" s="541">
        <f t="shared" si="137"/>
        <v>0</v>
      </c>
      <c r="CF30" s="539">
        <v>0.10000000000000003</v>
      </c>
      <c r="CG30" s="540">
        <f t="shared" si="26"/>
        <v>1.9007431905875205E-3</v>
      </c>
      <c r="CH30" s="541">
        <f t="shared" si="138"/>
        <v>0</v>
      </c>
      <c r="CI30" s="539"/>
      <c r="CJ30" s="540">
        <f t="shared" si="27"/>
        <v>0</v>
      </c>
      <c r="CK30" s="541">
        <f t="shared" si="139"/>
        <v>0</v>
      </c>
      <c r="CL30" s="539"/>
      <c r="CM30" s="540">
        <f t="shared" si="28"/>
        <v>0</v>
      </c>
      <c r="CN30" s="541">
        <f t="shared" si="140"/>
        <v>0</v>
      </c>
      <c r="CO30" s="539"/>
      <c r="CP30" s="540">
        <f t="shared" si="29"/>
        <v>0</v>
      </c>
      <c r="CQ30" s="541">
        <f t="shared" si="141"/>
        <v>0</v>
      </c>
      <c r="CR30" s="539"/>
      <c r="CS30" s="540">
        <f t="shared" si="30"/>
        <v>0</v>
      </c>
      <c r="CT30" s="541">
        <f t="shared" si="142"/>
        <v>0</v>
      </c>
      <c r="CU30" s="539"/>
      <c r="CV30" s="540">
        <f t="shared" si="31"/>
        <v>0</v>
      </c>
      <c r="CW30" s="541">
        <f t="shared" si="143"/>
        <v>0</v>
      </c>
      <c r="CX30" s="539"/>
      <c r="CY30" s="540">
        <f t="shared" si="32"/>
        <v>0</v>
      </c>
      <c r="CZ30" s="541">
        <f t="shared" si="144"/>
        <v>0</v>
      </c>
      <c r="DA30" s="539"/>
      <c r="DB30" s="540">
        <f t="shared" si="33"/>
        <v>0</v>
      </c>
      <c r="DC30" s="541">
        <f t="shared" si="145"/>
        <v>0</v>
      </c>
      <c r="DD30" s="539"/>
      <c r="DE30" s="540">
        <f t="shared" si="34"/>
        <v>0</v>
      </c>
      <c r="DF30" s="541">
        <f t="shared" si="146"/>
        <v>0</v>
      </c>
      <c r="DG30" s="539">
        <v>0</v>
      </c>
      <c r="DH30" s="540">
        <f t="shared" si="35"/>
        <v>0</v>
      </c>
      <c r="DI30" s="541">
        <f t="shared" si="203"/>
        <v>0</v>
      </c>
      <c r="DJ30" s="539"/>
      <c r="DK30" s="540">
        <f t="shared" si="36"/>
        <v>0</v>
      </c>
      <c r="DL30" s="541">
        <f t="shared" si="147"/>
        <v>0</v>
      </c>
      <c r="DM30" s="539"/>
      <c r="DN30" s="540">
        <f t="shared" si="37"/>
        <v>0</v>
      </c>
      <c r="DO30" s="541">
        <f t="shared" si="148"/>
        <v>0</v>
      </c>
      <c r="DP30" s="539"/>
      <c r="DQ30" s="540">
        <f t="shared" si="38"/>
        <v>0</v>
      </c>
      <c r="DR30" s="541">
        <f t="shared" si="149"/>
        <v>0</v>
      </c>
      <c r="DS30" s="539"/>
      <c r="DT30" s="540">
        <f t="shared" si="39"/>
        <v>0</v>
      </c>
      <c r="DU30" s="541">
        <f t="shared" si="150"/>
        <v>0</v>
      </c>
      <c r="DV30" s="539"/>
      <c r="DW30" s="540">
        <f t="shared" si="40"/>
        <v>0</v>
      </c>
      <c r="DX30" s="541">
        <f t="shared" si="151"/>
        <v>0</v>
      </c>
      <c r="DY30" s="539"/>
      <c r="DZ30" s="540">
        <f t="shared" si="41"/>
        <v>0</v>
      </c>
      <c r="EA30" s="541">
        <f t="shared" si="152"/>
        <v>0</v>
      </c>
      <c r="EB30" s="539">
        <v>14.534883720930111</v>
      </c>
      <c r="EC30" s="540">
        <f t="shared" si="42"/>
        <v>0.27627081258539299</v>
      </c>
      <c r="ED30" s="541">
        <f t="shared" si="153"/>
        <v>0</v>
      </c>
      <c r="EE30" s="539">
        <v>2</v>
      </c>
      <c r="EF30" s="540">
        <f t="shared" si="43"/>
        <v>3.8014863811750399E-2</v>
      </c>
      <c r="EG30" s="541">
        <f t="shared" si="154"/>
        <v>0</v>
      </c>
      <c r="EH30" s="539"/>
      <c r="EI30" s="540">
        <f t="shared" si="44"/>
        <v>0</v>
      </c>
      <c r="EJ30" s="541">
        <f t="shared" si="155"/>
        <v>0</v>
      </c>
      <c r="EK30" s="539"/>
      <c r="EL30" s="540">
        <f t="shared" si="45"/>
        <v>0</v>
      </c>
      <c r="EM30" s="541">
        <f t="shared" si="156"/>
        <v>0</v>
      </c>
      <c r="EN30" s="539"/>
      <c r="EO30" s="540">
        <f t="shared" si="46"/>
        <v>0</v>
      </c>
      <c r="EP30" s="541">
        <f t="shared" si="157"/>
        <v>0</v>
      </c>
      <c r="EQ30" s="539"/>
      <c r="ER30" s="540">
        <f t="shared" si="47"/>
        <v>0</v>
      </c>
      <c r="ES30" s="541">
        <f t="shared" si="158"/>
        <v>0</v>
      </c>
      <c r="ET30" s="539"/>
      <c r="EU30" s="540">
        <f t="shared" si="48"/>
        <v>0</v>
      </c>
      <c r="EV30" s="541">
        <f t="shared" si="159"/>
        <v>0</v>
      </c>
      <c r="EW30" s="539"/>
      <c r="EX30" s="540">
        <f t="shared" si="49"/>
        <v>0</v>
      </c>
      <c r="EY30" s="541">
        <f t="shared" si="160"/>
        <v>0</v>
      </c>
      <c r="EZ30" s="539"/>
      <c r="FA30" s="540">
        <f t="shared" si="50"/>
        <v>0</v>
      </c>
      <c r="FB30" s="541">
        <f t="shared" si="161"/>
        <v>0</v>
      </c>
      <c r="FC30" s="539"/>
      <c r="FD30" s="540">
        <f t="shared" si="51"/>
        <v>0</v>
      </c>
      <c r="FE30" s="541">
        <f t="shared" si="162"/>
        <v>0</v>
      </c>
      <c r="FF30" s="539"/>
      <c r="FG30" s="540">
        <f t="shared" si="52"/>
        <v>0</v>
      </c>
      <c r="FH30" s="541">
        <f t="shared" si="163"/>
        <v>0</v>
      </c>
      <c r="FI30" s="539"/>
      <c r="FJ30" s="540">
        <f t="shared" si="53"/>
        <v>0</v>
      </c>
      <c r="FK30" s="541">
        <f t="shared" si="164"/>
        <v>0</v>
      </c>
      <c r="FL30" s="539"/>
      <c r="FM30" s="540">
        <f t="shared" si="54"/>
        <v>0</v>
      </c>
      <c r="FN30" s="541">
        <f t="shared" si="165"/>
        <v>0</v>
      </c>
      <c r="FO30" s="539"/>
      <c r="FP30" s="540">
        <f t="shared" si="55"/>
        <v>0</v>
      </c>
      <c r="FQ30" s="541">
        <f t="shared" si="166"/>
        <v>0</v>
      </c>
      <c r="FR30" s="539"/>
      <c r="FS30" s="540">
        <f t="shared" si="56"/>
        <v>0</v>
      </c>
      <c r="FT30" s="541">
        <f t="shared" si="167"/>
        <v>0</v>
      </c>
      <c r="FU30" s="539"/>
      <c r="FV30" s="540">
        <f t="shared" si="57"/>
        <v>0</v>
      </c>
      <c r="FW30" s="541">
        <f t="shared" si="168"/>
        <v>0</v>
      </c>
      <c r="FX30" s="539"/>
      <c r="FY30" s="540">
        <f t="shared" si="58"/>
        <v>0</v>
      </c>
      <c r="FZ30" s="541">
        <f t="shared" si="169"/>
        <v>0</v>
      </c>
      <c r="GA30" s="539"/>
      <c r="GB30" s="540">
        <f t="shared" si="59"/>
        <v>0</v>
      </c>
      <c r="GC30" s="541">
        <f t="shared" si="170"/>
        <v>0</v>
      </c>
      <c r="GD30" s="539"/>
      <c r="GE30" s="540">
        <f t="shared" si="60"/>
        <v>0</v>
      </c>
      <c r="GF30" s="541">
        <f t="shared" si="171"/>
        <v>0</v>
      </c>
      <c r="GG30" s="539"/>
      <c r="GH30" s="540">
        <f t="shared" si="61"/>
        <v>0</v>
      </c>
      <c r="GI30" s="541">
        <f t="shared" si="172"/>
        <v>0</v>
      </c>
      <c r="GJ30" s="539"/>
      <c r="GK30" s="540">
        <f t="shared" si="62"/>
        <v>0</v>
      </c>
      <c r="GL30" s="541">
        <f t="shared" si="173"/>
        <v>0</v>
      </c>
      <c r="GM30" s="539"/>
      <c r="GN30" s="540">
        <f t="shared" si="63"/>
        <v>0</v>
      </c>
      <c r="GO30" s="541">
        <f t="shared" si="174"/>
        <v>0</v>
      </c>
      <c r="GP30" s="539"/>
      <c r="GQ30" s="540">
        <f t="shared" si="64"/>
        <v>0</v>
      </c>
      <c r="GR30" s="541">
        <f t="shared" si="175"/>
        <v>0</v>
      </c>
      <c r="GS30" s="539"/>
      <c r="GT30" s="540">
        <f t="shared" si="65"/>
        <v>0</v>
      </c>
      <c r="GU30" s="541">
        <f t="shared" si="176"/>
        <v>0</v>
      </c>
      <c r="GV30" s="539"/>
      <c r="GW30" s="540">
        <f t="shared" si="66"/>
        <v>0</v>
      </c>
      <c r="GX30" s="541">
        <f t="shared" si="177"/>
        <v>0</v>
      </c>
      <c r="GY30" s="539"/>
      <c r="GZ30" s="540">
        <f t="shared" si="67"/>
        <v>0</v>
      </c>
      <c r="HA30" s="541">
        <f t="shared" si="178"/>
        <v>0</v>
      </c>
      <c r="HB30" s="539"/>
      <c r="HC30" s="540">
        <f t="shared" si="68"/>
        <v>0</v>
      </c>
      <c r="HD30" s="541">
        <f t="shared" si="179"/>
        <v>0</v>
      </c>
      <c r="HE30" s="539"/>
      <c r="HF30" s="540">
        <f t="shared" si="69"/>
        <v>0</v>
      </c>
      <c r="HG30" s="541">
        <f t="shared" si="180"/>
        <v>0</v>
      </c>
      <c r="HH30" s="539"/>
      <c r="HI30" s="540">
        <f t="shared" si="70"/>
        <v>0</v>
      </c>
      <c r="HJ30" s="541">
        <f t="shared" si="181"/>
        <v>0</v>
      </c>
      <c r="HK30" s="539"/>
      <c r="HL30" s="540">
        <f t="shared" si="71"/>
        <v>0</v>
      </c>
      <c r="HM30" s="541">
        <f t="shared" si="182"/>
        <v>0</v>
      </c>
      <c r="HN30" s="539"/>
      <c r="HO30" s="540">
        <f t="shared" si="72"/>
        <v>0</v>
      </c>
      <c r="HP30" s="541">
        <f t="shared" si="183"/>
        <v>0</v>
      </c>
      <c r="HQ30" s="539"/>
      <c r="HR30" s="540">
        <f t="shared" si="73"/>
        <v>0</v>
      </c>
      <c r="HS30" s="541">
        <f t="shared" si="184"/>
        <v>0</v>
      </c>
      <c r="HT30" s="539"/>
      <c r="HU30" s="540">
        <f t="shared" si="74"/>
        <v>0</v>
      </c>
      <c r="HV30" s="541">
        <f t="shared" si="185"/>
        <v>0</v>
      </c>
      <c r="HW30" s="539"/>
      <c r="HX30" s="540">
        <f t="shared" si="75"/>
        <v>0</v>
      </c>
      <c r="HY30" s="541">
        <f t="shared" si="186"/>
        <v>0</v>
      </c>
      <c r="HZ30" s="539"/>
      <c r="IA30" s="540">
        <f t="shared" si="76"/>
        <v>0</v>
      </c>
      <c r="IB30" s="541">
        <f t="shared" si="187"/>
        <v>0</v>
      </c>
      <c r="IC30" s="539"/>
      <c r="ID30" s="540">
        <f t="shared" si="77"/>
        <v>0</v>
      </c>
      <c r="IE30" s="541">
        <f t="shared" si="188"/>
        <v>0</v>
      </c>
      <c r="IF30" s="539"/>
      <c r="IG30" s="540">
        <f t="shared" si="78"/>
        <v>0</v>
      </c>
      <c r="IH30" s="541">
        <f t="shared" si="189"/>
        <v>0</v>
      </c>
      <c r="II30" s="539"/>
      <c r="IJ30" s="540">
        <f t="shared" si="79"/>
        <v>0</v>
      </c>
      <c r="IK30" s="541">
        <f t="shared" si="190"/>
        <v>0</v>
      </c>
      <c r="IL30" s="539"/>
      <c r="IM30" s="540">
        <f t="shared" si="80"/>
        <v>0</v>
      </c>
      <c r="IN30" s="541">
        <f t="shared" si="191"/>
        <v>0</v>
      </c>
      <c r="IO30" s="539"/>
      <c r="IP30" s="540">
        <f t="shared" si="81"/>
        <v>0</v>
      </c>
      <c r="IQ30" s="541">
        <f t="shared" si="192"/>
        <v>0</v>
      </c>
      <c r="IR30" s="539"/>
      <c r="IS30" s="540">
        <f t="shared" si="82"/>
        <v>0</v>
      </c>
      <c r="IT30" s="541">
        <f t="shared" si="193"/>
        <v>0</v>
      </c>
      <c r="IU30" s="539"/>
      <c r="IV30" s="540">
        <f t="shared" si="83"/>
        <v>0</v>
      </c>
      <c r="IW30" s="541">
        <f t="shared" si="194"/>
        <v>0</v>
      </c>
      <c r="IX30" s="539"/>
      <c r="IY30" s="540">
        <f t="shared" si="84"/>
        <v>0</v>
      </c>
      <c r="IZ30" s="541">
        <f t="shared" si="195"/>
        <v>0</v>
      </c>
      <c r="JA30" s="539"/>
      <c r="JB30" s="540">
        <f t="shared" si="85"/>
        <v>0</v>
      </c>
      <c r="JC30" s="541">
        <f t="shared" si="196"/>
        <v>0</v>
      </c>
      <c r="JD30" s="539"/>
      <c r="JE30" s="540">
        <f t="shared" si="86"/>
        <v>0</v>
      </c>
      <c r="JF30" s="541">
        <f t="shared" si="197"/>
        <v>0</v>
      </c>
      <c r="JG30" s="539"/>
      <c r="JH30" s="540">
        <f t="shared" si="87"/>
        <v>0</v>
      </c>
      <c r="JI30" s="541">
        <f t="shared" si="198"/>
        <v>0</v>
      </c>
      <c r="JJ30" s="539"/>
      <c r="JK30" s="541" t="str">
        <f t="shared" si="88"/>
        <v>0</v>
      </c>
      <c r="JL30" s="541" t="str">
        <f t="shared" si="89"/>
        <v>0</v>
      </c>
      <c r="JM30" s="539"/>
      <c r="JN30" s="541" t="str">
        <f t="shared" si="90"/>
        <v>0</v>
      </c>
      <c r="JO30" s="541" t="str">
        <f t="shared" si="91"/>
        <v>0</v>
      </c>
      <c r="JP30" s="539"/>
      <c r="JQ30" s="541" t="str">
        <f t="shared" si="92"/>
        <v>0</v>
      </c>
      <c r="JR30" s="541" t="str">
        <f t="shared" si="93"/>
        <v>0</v>
      </c>
      <c r="JS30" s="539"/>
      <c r="JT30" s="541" t="str">
        <f t="shared" si="94"/>
        <v>0</v>
      </c>
      <c r="JU30" s="541" t="str">
        <f t="shared" si="95"/>
        <v>0</v>
      </c>
      <c r="JV30" s="539"/>
      <c r="JW30" s="541" t="str">
        <f t="shared" si="96"/>
        <v>0</v>
      </c>
      <c r="JX30" s="541" t="str">
        <f t="shared" si="97"/>
        <v>0</v>
      </c>
      <c r="JY30" s="539"/>
      <c r="JZ30" s="541" t="str">
        <f t="shared" si="98"/>
        <v>0</v>
      </c>
      <c r="KA30" s="541" t="str">
        <f t="shared" si="99"/>
        <v>0</v>
      </c>
      <c r="KB30" s="539"/>
      <c r="KC30" s="541" t="str">
        <f t="shared" si="100"/>
        <v>0</v>
      </c>
      <c r="KD30" s="541" t="str">
        <f t="shared" si="101"/>
        <v>0</v>
      </c>
      <c r="KE30" s="539"/>
      <c r="KF30" s="541" t="str">
        <f t="shared" si="102"/>
        <v>0</v>
      </c>
      <c r="KG30" s="541" t="str">
        <f t="shared" si="103"/>
        <v>0</v>
      </c>
      <c r="KH30" s="539"/>
      <c r="KI30" s="541" t="str">
        <f t="shared" si="104"/>
        <v>0</v>
      </c>
      <c r="KJ30" s="541" t="str">
        <f t="shared" si="105"/>
        <v>0</v>
      </c>
      <c r="KK30" s="539"/>
      <c r="KL30" s="541" t="str">
        <f t="shared" si="106"/>
        <v>0</v>
      </c>
      <c r="KM30" s="541" t="str">
        <f t="shared" si="107"/>
        <v>0</v>
      </c>
      <c r="KN30" s="539"/>
      <c r="KO30" s="541" t="str">
        <f t="shared" si="108"/>
        <v>0</v>
      </c>
      <c r="KP30" s="541" t="str">
        <f t="shared" si="109"/>
        <v>0</v>
      </c>
      <c r="KQ30" s="539"/>
      <c r="KR30" s="541" t="str">
        <f t="shared" si="110"/>
        <v>0</v>
      </c>
      <c r="KS30" s="541" t="str">
        <f t="shared" si="111"/>
        <v>0</v>
      </c>
      <c r="KT30" s="541">
        <f t="shared" si="200"/>
        <v>0</v>
      </c>
      <c r="KU30" s="541">
        <f t="shared" si="201"/>
        <v>0</v>
      </c>
      <c r="KV30" s="275">
        <f t="shared" si="202"/>
        <v>440.99568591399964</v>
      </c>
    </row>
    <row r="31" spans="1:309" ht="15" customHeight="1">
      <c r="A31" s="277">
        <f t="shared" si="199"/>
        <v>45953</v>
      </c>
      <c r="B31" s="278" t="str">
        <f>+Report1!B31</f>
        <v>Sanitary Napkin</v>
      </c>
      <c r="C31" s="420" t="str">
        <f>+Report1!C31</f>
        <v>15</v>
      </c>
      <c r="D31" s="279">
        <f>+Report1!P31</f>
        <v>55.677999999999997</v>
      </c>
      <c r="E31" s="280">
        <f>+Report1!R31</f>
        <v>53.991999999999997</v>
      </c>
      <c r="F31" s="539">
        <v>0</v>
      </c>
      <c r="G31" s="540">
        <f t="shared" si="0"/>
        <v>0</v>
      </c>
      <c r="H31" s="541">
        <f t="shared" si="112"/>
        <v>0</v>
      </c>
      <c r="I31" s="539">
        <v>255.81395348837214</v>
      </c>
      <c r="J31" s="540">
        <f t="shared" si="1"/>
        <v>4.7379973605047443</v>
      </c>
      <c r="K31" s="541">
        <f t="shared" si="113"/>
        <v>0</v>
      </c>
      <c r="L31" s="539"/>
      <c r="M31" s="540">
        <f t="shared" si="2"/>
        <v>0</v>
      </c>
      <c r="N31" s="541">
        <f t="shared" si="114"/>
        <v>0</v>
      </c>
      <c r="O31" s="539">
        <v>9</v>
      </c>
      <c r="P31" s="540">
        <f t="shared" si="3"/>
        <v>0.16669136168321233</v>
      </c>
      <c r="Q31" s="541">
        <f t="shared" si="115"/>
        <v>0</v>
      </c>
      <c r="R31" s="539"/>
      <c r="S31" s="540">
        <f t="shared" si="4"/>
        <v>0</v>
      </c>
      <c r="T31" s="541">
        <f t="shared" si="116"/>
        <v>0</v>
      </c>
      <c r="U31" s="539">
        <v>7.6875</v>
      </c>
      <c r="V31" s="540">
        <f t="shared" si="5"/>
        <v>0.14238220477107721</v>
      </c>
      <c r="W31" s="541">
        <f t="shared" si="117"/>
        <v>0</v>
      </c>
      <c r="X31" s="539"/>
      <c r="Y31" s="540">
        <f t="shared" si="6"/>
        <v>0</v>
      </c>
      <c r="Z31" s="541">
        <f t="shared" si="118"/>
        <v>0</v>
      </c>
      <c r="AA31" s="539"/>
      <c r="AB31" s="540">
        <f t="shared" si="7"/>
        <v>0</v>
      </c>
      <c r="AC31" s="541">
        <f t="shared" si="119"/>
        <v>0</v>
      </c>
      <c r="AD31" s="539"/>
      <c r="AE31" s="540">
        <f t="shared" si="8"/>
        <v>0</v>
      </c>
      <c r="AF31" s="541">
        <f t="shared" si="120"/>
        <v>0</v>
      </c>
      <c r="AG31" s="539"/>
      <c r="AH31" s="540">
        <f t="shared" si="9"/>
        <v>0</v>
      </c>
      <c r="AI31" s="541">
        <f t="shared" si="121"/>
        <v>0</v>
      </c>
      <c r="AJ31" s="539">
        <v>0</v>
      </c>
      <c r="AK31" s="540">
        <f t="shared" si="10"/>
        <v>0</v>
      </c>
      <c r="AL31" s="541">
        <f t="shared" si="122"/>
        <v>0</v>
      </c>
      <c r="AM31" s="539">
        <v>34.166666666666657</v>
      </c>
      <c r="AN31" s="540">
        <f t="shared" si="11"/>
        <v>0.63280979898256517</v>
      </c>
      <c r="AO31" s="541">
        <f t="shared" si="123"/>
        <v>0</v>
      </c>
      <c r="AP31" s="539">
        <v>0</v>
      </c>
      <c r="AQ31" s="540">
        <f t="shared" si="12"/>
        <v>0</v>
      </c>
      <c r="AR31" s="541">
        <f t="shared" si="124"/>
        <v>0</v>
      </c>
      <c r="AS31" s="539"/>
      <c r="AT31" s="540">
        <f t="shared" si="13"/>
        <v>0</v>
      </c>
      <c r="AU31" s="541">
        <f t="shared" si="125"/>
        <v>0</v>
      </c>
      <c r="AV31" s="539">
        <v>5.5500000000000114</v>
      </c>
      <c r="AW31" s="540">
        <f t="shared" si="14"/>
        <v>0.10279300637131449</v>
      </c>
      <c r="AX31" s="541">
        <f t="shared" si="126"/>
        <v>0</v>
      </c>
      <c r="AY31" s="539">
        <v>56</v>
      </c>
      <c r="AZ31" s="540">
        <f t="shared" si="15"/>
        <v>1.0371906949177656</v>
      </c>
      <c r="BA31" s="541">
        <f t="shared" si="127"/>
        <v>0</v>
      </c>
      <c r="BB31" s="539">
        <v>0</v>
      </c>
      <c r="BC31" s="540">
        <f t="shared" si="16"/>
        <v>0</v>
      </c>
      <c r="BD31" s="541">
        <f t="shared" si="128"/>
        <v>0</v>
      </c>
      <c r="BE31" s="539"/>
      <c r="BF31" s="540">
        <f t="shared" si="17"/>
        <v>0</v>
      </c>
      <c r="BG31" s="541">
        <f t="shared" si="129"/>
        <v>0</v>
      </c>
      <c r="BH31" s="539"/>
      <c r="BI31" s="540">
        <f t="shared" si="18"/>
        <v>0</v>
      </c>
      <c r="BJ31" s="541">
        <f t="shared" si="130"/>
        <v>0</v>
      </c>
      <c r="BK31" s="539"/>
      <c r="BL31" s="540">
        <f t="shared" si="19"/>
        <v>0</v>
      </c>
      <c r="BM31" s="541">
        <f t="shared" si="131"/>
        <v>0</v>
      </c>
      <c r="BN31" s="539">
        <v>7.5925925925925952</v>
      </c>
      <c r="BO31" s="540">
        <f t="shared" si="20"/>
        <v>0.14062439977390345</v>
      </c>
      <c r="BP31" s="541">
        <f t="shared" si="132"/>
        <v>0</v>
      </c>
      <c r="BQ31" s="539">
        <v>0</v>
      </c>
      <c r="BR31" s="540">
        <f t="shared" si="21"/>
        <v>0</v>
      </c>
      <c r="BS31" s="541">
        <f t="shared" si="133"/>
        <v>0</v>
      </c>
      <c r="BT31" s="539"/>
      <c r="BU31" s="540">
        <f t="shared" si="22"/>
        <v>0</v>
      </c>
      <c r="BV31" s="541">
        <f t="shared" si="134"/>
        <v>0</v>
      </c>
      <c r="BW31" s="539">
        <v>0</v>
      </c>
      <c r="BX31" s="540">
        <f t="shared" si="23"/>
        <v>0</v>
      </c>
      <c r="BY31" s="541">
        <f t="shared" si="135"/>
        <v>0</v>
      </c>
      <c r="BZ31" s="539"/>
      <c r="CA31" s="540">
        <f t="shared" si="24"/>
        <v>0</v>
      </c>
      <c r="CB31" s="541">
        <f t="shared" si="136"/>
        <v>0</v>
      </c>
      <c r="CC31" s="539">
        <v>0</v>
      </c>
      <c r="CD31" s="540">
        <f t="shared" si="25"/>
        <v>0</v>
      </c>
      <c r="CE31" s="541">
        <f t="shared" si="137"/>
        <v>0</v>
      </c>
      <c r="CF31" s="539">
        <v>9.9999999999999978E-2</v>
      </c>
      <c r="CG31" s="540">
        <f t="shared" si="26"/>
        <v>1.852126240924581E-3</v>
      </c>
      <c r="CH31" s="541">
        <f t="shared" si="138"/>
        <v>0</v>
      </c>
      <c r="CI31" s="539"/>
      <c r="CJ31" s="540">
        <f t="shared" si="27"/>
        <v>0</v>
      </c>
      <c r="CK31" s="541">
        <f t="shared" si="139"/>
        <v>0</v>
      </c>
      <c r="CL31" s="539"/>
      <c r="CM31" s="540">
        <f t="shared" si="28"/>
        <v>0</v>
      </c>
      <c r="CN31" s="541">
        <f t="shared" si="140"/>
        <v>0</v>
      </c>
      <c r="CO31" s="539"/>
      <c r="CP31" s="540">
        <f t="shared" si="29"/>
        <v>0</v>
      </c>
      <c r="CQ31" s="541">
        <f t="shared" si="141"/>
        <v>0</v>
      </c>
      <c r="CR31" s="539"/>
      <c r="CS31" s="540">
        <f t="shared" si="30"/>
        <v>0</v>
      </c>
      <c r="CT31" s="541">
        <f t="shared" si="142"/>
        <v>0</v>
      </c>
      <c r="CU31" s="539"/>
      <c r="CV31" s="540">
        <f t="shared" si="31"/>
        <v>0</v>
      </c>
      <c r="CW31" s="541">
        <f t="shared" si="143"/>
        <v>0</v>
      </c>
      <c r="CX31" s="539"/>
      <c r="CY31" s="540">
        <f t="shared" si="32"/>
        <v>0</v>
      </c>
      <c r="CZ31" s="541">
        <f t="shared" si="144"/>
        <v>0</v>
      </c>
      <c r="DA31" s="539"/>
      <c r="DB31" s="540">
        <f t="shared" si="33"/>
        <v>0</v>
      </c>
      <c r="DC31" s="541">
        <f t="shared" si="145"/>
        <v>0</v>
      </c>
      <c r="DD31" s="539"/>
      <c r="DE31" s="540">
        <f t="shared" si="34"/>
        <v>0</v>
      </c>
      <c r="DF31" s="541">
        <f t="shared" si="146"/>
        <v>0</v>
      </c>
      <c r="DG31" s="539">
        <v>0</v>
      </c>
      <c r="DH31" s="540">
        <f t="shared" si="35"/>
        <v>0</v>
      </c>
      <c r="DI31" s="541">
        <f t="shared" si="203"/>
        <v>0</v>
      </c>
      <c r="DJ31" s="539"/>
      <c r="DK31" s="540">
        <f t="shared" si="36"/>
        <v>0</v>
      </c>
      <c r="DL31" s="541">
        <f t="shared" si="147"/>
        <v>0</v>
      </c>
      <c r="DM31" s="539"/>
      <c r="DN31" s="540">
        <f t="shared" si="37"/>
        <v>0</v>
      </c>
      <c r="DO31" s="541">
        <f t="shared" si="148"/>
        <v>0</v>
      </c>
      <c r="DP31" s="539"/>
      <c r="DQ31" s="540">
        <f t="shared" si="38"/>
        <v>0</v>
      </c>
      <c r="DR31" s="541">
        <f t="shared" si="149"/>
        <v>0</v>
      </c>
      <c r="DS31" s="539"/>
      <c r="DT31" s="540">
        <f t="shared" si="39"/>
        <v>0</v>
      </c>
      <c r="DU31" s="541">
        <f t="shared" si="150"/>
        <v>0</v>
      </c>
      <c r="DV31" s="539"/>
      <c r="DW31" s="540">
        <f t="shared" si="40"/>
        <v>0</v>
      </c>
      <c r="DX31" s="541">
        <f t="shared" si="151"/>
        <v>0</v>
      </c>
      <c r="DY31" s="539"/>
      <c r="DZ31" s="540">
        <f t="shared" si="41"/>
        <v>0</v>
      </c>
      <c r="EA31" s="541">
        <f t="shared" si="152"/>
        <v>0</v>
      </c>
      <c r="EB31" s="539">
        <v>14.534883720930225</v>
      </c>
      <c r="EC31" s="540">
        <f t="shared" si="42"/>
        <v>0.26920439548322389</v>
      </c>
      <c r="ED31" s="541">
        <f t="shared" si="153"/>
        <v>0</v>
      </c>
      <c r="EE31" s="539">
        <v>1</v>
      </c>
      <c r="EF31" s="540">
        <f t="shared" si="43"/>
        <v>1.8521262409245814E-2</v>
      </c>
      <c r="EG31" s="541">
        <f t="shared" si="154"/>
        <v>0</v>
      </c>
      <c r="EH31" s="539"/>
      <c r="EI31" s="540">
        <f t="shared" si="44"/>
        <v>0</v>
      </c>
      <c r="EJ31" s="541">
        <f t="shared" si="155"/>
        <v>0</v>
      </c>
      <c r="EK31" s="539"/>
      <c r="EL31" s="540">
        <f t="shared" si="45"/>
        <v>0</v>
      </c>
      <c r="EM31" s="541">
        <f t="shared" si="156"/>
        <v>0</v>
      </c>
      <c r="EN31" s="539"/>
      <c r="EO31" s="540">
        <f t="shared" si="46"/>
        <v>0</v>
      </c>
      <c r="EP31" s="541">
        <f t="shared" si="157"/>
        <v>0</v>
      </c>
      <c r="EQ31" s="539"/>
      <c r="ER31" s="540">
        <f t="shared" si="47"/>
        <v>0</v>
      </c>
      <c r="ES31" s="541">
        <f t="shared" si="158"/>
        <v>0</v>
      </c>
      <c r="ET31" s="539"/>
      <c r="EU31" s="540">
        <f t="shared" si="48"/>
        <v>0</v>
      </c>
      <c r="EV31" s="541">
        <f t="shared" si="159"/>
        <v>0</v>
      </c>
      <c r="EW31" s="539"/>
      <c r="EX31" s="540">
        <f t="shared" si="49"/>
        <v>0</v>
      </c>
      <c r="EY31" s="541">
        <f t="shared" si="160"/>
        <v>0</v>
      </c>
      <c r="EZ31" s="539"/>
      <c r="FA31" s="540">
        <f t="shared" si="50"/>
        <v>0</v>
      </c>
      <c r="FB31" s="541">
        <f t="shared" si="161"/>
        <v>0</v>
      </c>
      <c r="FC31" s="539"/>
      <c r="FD31" s="540">
        <f t="shared" si="51"/>
        <v>0</v>
      </c>
      <c r="FE31" s="541">
        <f t="shared" si="162"/>
        <v>0</v>
      </c>
      <c r="FF31" s="539"/>
      <c r="FG31" s="540">
        <f t="shared" si="52"/>
        <v>0</v>
      </c>
      <c r="FH31" s="541">
        <f t="shared" si="163"/>
        <v>0</v>
      </c>
      <c r="FI31" s="539"/>
      <c r="FJ31" s="540">
        <f t="shared" si="53"/>
        <v>0</v>
      </c>
      <c r="FK31" s="541">
        <f t="shared" si="164"/>
        <v>0</v>
      </c>
      <c r="FL31" s="539"/>
      <c r="FM31" s="540">
        <f t="shared" si="54"/>
        <v>0</v>
      </c>
      <c r="FN31" s="541">
        <f t="shared" si="165"/>
        <v>0</v>
      </c>
      <c r="FO31" s="539"/>
      <c r="FP31" s="540">
        <f t="shared" si="55"/>
        <v>0</v>
      </c>
      <c r="FQ31" s="541">
        <f t="shared" si="166"/>
        <v>0</v>
      </c>
      <c r="FR31" s="539"/>
      <c r="FS31" s="540">
        <f t="shared" si="56"/>
        <v>0</v>
      </c>
      <c r="FT31" s="541">
        <f t="shared" si="167"/>
        <v>0</v>
      </c>
      <c r="FU31" s="539"/>
      <c r="FV31" s="540">
        <f t="shared" si="57"/>
        <v>0</v>
      </c>
      <c r="FW31" s="541">
        <f t="shared" si="168"/>
        <v>0</v>
      </c>
      <c r="FX31" s="539"/>
      <c r="FY31" s="540">
        <f t="shared" si="58"/>
        <v>0</v>
      </c>
      <c r="FZ31" s="541">
        <f t="shared" si="169"/>
        <v>0</v>
      </c>
      <c r="GA31" s="539"/>
      <c r="GB31" s="540">
        <f t="shared" si="59"/>
        <v>0</v>
      </c>
      <c r="GC31" s="541">
        <f t="shared" si="170"/>
        <v>0</v>
      </c>
      <c r="GD31" s="539"/>
      <c r="GE31" s="540">
        <f t="shared" si="60"/>
        <v>0</v>
      </c>
      <c r="GF31" s="541">
        <f t="shared" si="171"/>
        <v>0</v>
      </c>
      <c r="GG31" s="539"/>
      <c r="GH31" s="540">
        <f t="shared" si="61"/>
        <v>0</v>
      </c>
      <c r="GI31" s="541">
        <f t="shared" si="172"/>
        <v>0</v>
      </c>
      <c r="GJ31" s="539"/>
      <c r="GK31" s="540">
        <f t="shared" si="62"/>
        <v>0</v>
      </c>
      <c r="GL31" s="541">
        <f t="shared" si="173"/>
        <v>0</v>
      </c>
      <c r="GM31" s="539"/>
      <c r="GN31" s="540">
        <f t="shared" si="63"/>
        <v>0</v>
      </c>
      <c r="GO31" s="541">
        <f t="shared" si="174"/>
        <v>0</v>
      </c>
      <c r="GP31" s="539"/>
      <c r="GQ31" s="540">
        <f t="shared" si="64"/>
        <v>0</v>
      </c>
      <c r="GR31" s="541">
        <f t="shared" si="175"/>
        <v>0</v>
      </c>
      <c r="GS31" s="539"/>
      <c r="GT31" s="540">
        <f t="shared" si="65"/>
        <v>0</v>
      </c>
      <c r="GU31" s="541">
        <f t="shared" si="176"/>
        <v>0</v>
      </c>
      <c r="GV31" s="539"/>
      <c r="GW31" s="540">
        <f t="shared" si="66"/>
        <v>0</v>
      </c>
      <c r="GX31" s="541">
        <f t="shared" si="177"/>
        <v>0</v>
      </c>
      <c r="GY31" s="539"/>
      <c r="GZ31" s="540">
        <f t="shared" si="67"/>
        <v>0</v>
      </c>
      <c r="HA31" s="541">
        <f t="shared" si="178"/>
        <v>0</v>
      </c>
      <c r="HB31" s="539"/>
      <c r="HC31" s="540">
        <f t="shared" si="68"/>
        <v>0</v>
      </c>
      <c r="HD31" s="541">
        <f t="shared" si="179"/>
        <v>0</v>
      </c>
      <c r="HE31" s="539"/>
      <c r="HF31" s="540">
        <f t="shared" si="69"/>
        <v>0</v>
      </c>
      <c r="HG31" s="541">
        <f t="shared" si="180"/>
        <v>0</v>
      </c>
      <c r="HH31" s="539"/>
      <c r="HI31" s="540">
        <f t="shared" si="70"/>
        <v>0</v>
      </c>
      <c r="HJ31" s="541">
        <f t="shared" si="181"/>
        <v>0</v>
      </c>
      <c r="HK31" s="539"/>
      <c r="HL31" s="540">
        <f t="shared" si="71"/>
        <v>0</v>
      </c>
      <c r="HM31" s="541">
        <f t="shared" si="182"/>
        <v>0</v>
      </c>
      <c r="HN31" s="539"/>
      <c r="HO31" s="540">
        <f t="shared" si="72"/>
        <v>0</v>
      </c>
      <c r="HP31" s="541">
        <f t="shared" si="183"/>
        <v>0</v>
      </c>
      <c r="HQ31" s="539"/>
      <c r="HR31" s="540">
        <f t="shared" si="73"/>
        <v>0</v>
      </c>
      <c r="HS31" s="541">
        <f t="shared" si="184"/>
        <v>0</v>
      </c>
      <c r="HT31" s="539"/>
      <c r="HU31" s="540">
        <f t="shared" si="74"/>
        <v>0</v>
      </c>
      <c r="HV31" s="541">
        <f t="shared" si="185"/>
        <v>0</v>
      </c>
      <c r="HW31" s="539"/>
      <c r="HX31" s="540">
        <f t="shared" si="75"/>
        <v>0</v>
      </c>
      <c r="HY31" s="541">
        <f t="shared" si="186"/>
        <v>0</v>
      </c>
      <c r="HZ31" s="539"/>
      <c r="IA31" s="540">
        <f t="shared" si="76"/>
        <v>0</v>
      </c>
      <c r="IB31" s="541">
        <f t="shared" si="187"/>
        <v>0</v>
      </c>
      <c r="IC31" s="539"/>
      <c r="ID31" s="540">
        <f t="shared" si="77"/>
        <v>0</v>
      </c>
      <c r="IE31" s="541">
        <f t="shared" si="188"/>
        <v>0</v>
      </c>
      <c r="IF31" s="539"/>
      <c r="IG31" s="540">
        <f t="shared" si="78"/>
        <v>0</v>
      </c>
      <c r="IH31" s="541">
        <f t="shared" si="189"/>
        <v>0</v>
      </c>
      <c r="II31" s="539"/>
      <c r="IJ31" s="540">
        <f t="shared" si="79"/>
        <v>0</v>
      </c>
      <c r="IK31" s="541">
        <f t="shared" si="190"/>
        <v>0</v>
      </c>
      <c r="IL31" s="539"/>
      <c r="IM31" s="540">
        <f t="shared" si="80"/>
        <v>0</v>
      </c>
      <c r="IN31" s="541">
        <f t="shared" si="191"/>
        <v>0</v>
      </c>
      <c r="IO31" s="539"/>
      <c r="IP31" s="540">
        <f t="shared" si="81"/>
        <v>0</v>
      </c>
      <c r="IQ31" s="541">
        <f t="shared" si="192"/>
        <v>0</v>
      </c>
      <c r="IR31" s="539"/>
      <c r="IS31" s="540">
        <f t="shared" si="82"/>
        <v>0</v>
      </c>
      <c r="IT31" s="541">
        <f t="shared" si="193"/>
        <v>0</v>
      </c>
      <c r="IU31" s="539"/>
      <c r="IV31" s="540">
        <f t="shared" si="83"/>
        <v>0</v>
      </c>
      <c r="IW31" s="541">
        <f t="shared" si="194"/>
        <v>0</v>
      </c>
      <c r="IX31" s="539"/>
      <c r="IY31" s="540">
        <f t="shared" si="84"/>
        <v>0</v>
      </c>
      <c r="IZ31" s="541">
        <f t="shared" si="195"/>
        <v>0</v>
      </c>
      <c r="JA31" s="539"/>
      <c r="JB31" s="540">
        <f t="shared" si="85"/>
        <v>0</v>
      </c>
      <c r="JC31" s="541">
        <f t="shared" si="196"/>
        <v>0</v>
      </c>
      <c r="JD31" s="539"/>
      <c r="JE31" s="540">
        <f t="shared" si="86"/>
        <v>0</v>
      </c>
      <c r="JF31" s="541">
        <f t="shared" si="197"/>
        <v>0</v>
      </c>
      <c r="JG31" s="539"/>
      <c r="JH31" s="540">
        <f t="shared" si="87"/>
        <v>0</v>
      </c>
      <c r="JI31" s="541">
        <f t="shared" si="198"/>
        <v>0</v>
      </c>
      <c r="JJ31" s="539"/>
      <c r="JK31" s="541" t="str">
        <f t="shared" si="88"/>
        <v>0</v>
      </c>
      <c r="JL31" s="541" t="str">
        <f t="shared" si="89"/>
        <v>0</v>
      </c>
      <c r="JM31" s="539"/>
      <c r="JN31" s="541" t="str">
        <f t="shared" si="90"/>
        <v>0</v>
      </c>
      <c r="JO31" s="541" t="str">
        <f t="shared" si="91"/>
        <v>0</v>
      </c>
      <c r="JP31" s="539"/>
      <c r="JQ31" s="541" t="str">
        <f t="shared" si="92"/>
        <v>0</v>
      </c>
      <c r="JR31" s="541" t="str">
        <f t="shared" si="93"/>
        <v>0</v>
      </c>
      <c r="JS31" s="539"/>
      <c r="JT31" s="541" t="str">
        <f t="shared" si="94"/>
        <v>0</v>
      </c>
      <c r="JU31" s="541" t="str">
        <f t="shared" si="95"/>
        <v>0</v>
      </c>
      <c r="JV31" s="539"/>
      <c r="JW31" s="541" t="str">
        <f t="shared" si="96"/>
        <v>0</v>
      </c>
      <c r="JX31" s="541" t="str">
        <f t="shared" si="97"/>
        <v>0</v>
      </c>
      <c r="JY31" s="539"/>
      <c r="JZ31" s="541" t="str">
        <f t="shared" si="98"/>
        <v>0</v>
      </c>
      <c r="KA31" s="541" t="str">
        <f t="shared" si="99"/>
        <v>0</v>
      </c>
      <c r="KB31" s="539"/>
      <c r="KC31" s="541" t="str">
        <f t="shared" si="100"/>
        <v>0</v>
      </c>
      <c r="KD31" s="541" t="str">
        <f t="shared" si="101"/>
        <v>0</v>
      </c>
      <c r="KE31" s="539"/>
      <c r="KF31" s="541" t="str">
        <f t="shared" si="102"/>
        <v>0</v>
      </c>
      <c r="KG31" s="541" t="str">
        <f t="shared" si="103"/>
        <v>0</v>
      </c>
      <c r="KH31" s="539"/>
      <c r="KI31" s="541" t="str">
        <f t="shared" si="104"/>
        <v>0</v>
      </c>
      <c r="KJ31" s="541" t="str">
        <f t="shared" si="105"/>
        <v>0</v>
      </c>
      <c r="KK31" s="539"/>
      <c r="KL31" s="541" t="str">
        <f t="shared" si="106"/>
        <v>0</v>
      </c>
      <c r="KM31" s="541" t="str">
        <f t="shared" si="107"/>
        <v>0</v>
      </c>
      <c r="KN31" s="539"/>
      <c r="KO31" s="541" t="str">
        <f t="shared" si="108"/>
        <v>0</v>
      </c>
      <c r="KP31" s="541" t="str">
        <f t="shared" si="109"/>
        <v>0</v>
      </c>
      <c r="KQ31" s="539"/>
      <c r="KR31" s="541" t="str">
        <f t="shared" si="110"/>
        <v>0</v>
      </c>
      <c r="KS31" s="541" t="str">
        <f t="shared" si="111"/>
        <v>0</v>
      </c>
      <c r="KT31" s="541">
        <f t="shared" si="200"/>
        <v>0</v>
      </c>
      <c r="KU31" s="541">
        <f t="shared" si="201"/>
        <v>0</v>
      </c>
      <c r="KV31" s="275">
        <f t="shared" si="202"/>
        <v>391.44559646856163</v>
      </c>
    </row>
    <row r="32" spans="1:309" ht="15" customHeight="1">
      <c r="A32" s="277">
        <f t="shared" si="199"/>
        <v>45954</v>
      </c>
      <c r="B32" s="278" t="str">
        <f>+Report1!B32</f>
        <v>Facial</v>
      </c>
      <c r="C32" s="420" t="str">
        <f>+Report1!C32</f>
        <v>12</v>
      </c>
      <c r="D32" s="279">
        <f>+Report1!P32</f>
        <v>30.027000000000001</v>
      </c>
      <c r="E32" s="280">
        <f>+Report1!R32</f>
        <v>29.25</v>
      </c>
      <c r="F32" s="539">
        <v>0</v>
      </c>
      <c r="G32" s="540">
        <f t="shared" si="0"/>
        <v>0</v>
      </c>
      <c r="H32" s="541">
        <f t="shared" si="112"/>
        <v>0</v>
      </c>
      <c r="I32" s="539">
        <v>174.41860465116292</v>
      </c>
      <c r="J32" s="540">
        <f t="shared" si="1"/>
        <v>5.963029218843177</v>
      </c>
      <c r="K32" s="541">
        <f t="shared" si="113"/>
        <v>0</v>
      </c>
      <c r="L32" s="539"/>
      <c r="M32" s="540">
        <f t="shared" si="2"/>
        <v>0</v>
      </c>
      <c r="N32" s="541">
        <f t="shared" si="114"/>
        <v>0</v>
      </c>
      <c r="O32" s="539">
        <v>9</v>
      </c>
      <c r="P32" s="540">
        <f t="shared" si="3"/>
        <v>0.30769230769230771</v>
      </c>
      <c r="Q32" s="541">
        <f t="shared" si="115"/>
        <v>0</v>
      </c>
      <c r="R32" s="539"/>
      <c r="S32" s="540">
        <f t="shared" si="4"/>
        <v>0</v>
      </c>
      <c r="T32" s="541">
        <f t="shared" si="116"/>
        <v>0</v>
      </c>
      <c r="U32" s="539">
        <v>7.6875000000000284</v>
      </c>
      <c r="V32" s="540">
        <f t="shared" si="5"/>
        <v>0.26282051282051377</v>
      </c>
      <c r="W32" s="541">
        <f t="shared" si="117"/>
        <v>0</v>
      </c>
      <c r="X32" s="539"/>
      <c r="Y32" s="540">
        <f t="shared" si="6"/>
        <v>0</v>
      </c>
      <c r="Z32" s="541">
        <f t="shared" si="118"/>
        <v>0</v>
      </c>
      <c r="AA32" s="539"/>
      <c r="AB32" s="540">
        <f t="shared" si="7"/>
        <v>0</v>
      </c>
      <c r="AC32" s="541">
        <f t="shared" si="119"/>
        <v>0</v>
      </c>
      <c r="AD32" s="539"/>
      <c r="AE32" s="540">
        <f t="shared" si="8"/>
        <v>0</v>
      </c>
      <c r="AF32" s="541">
        <f t="shared" si="120"/>
        <v>0</v>
      </c>
      <c r="AG32" s="539"/>
      <c r="AH32" s="540">
        <f t="shared" si="9"/>
        <v>0</v>
      </c>
      <c r="AI32" s="541">
        <f t="shared" si="121"/>
        <v>0</v>
      </c>
      <c r="AJ32" s="539">
        <v>0</v>
      </c>
      <c r="AK32" s="540">
        <f t="shared" si="10"/>
        <v>0</v>
      </c>
      <c r="AL32" s="541">
        <f t="shared" si="122"/>
        <v>0</v>
      </c>
      <c r="AM32" s="539">
        <v>0</v>
      </c>
      <c r="AN32" s="540">
        <f t="shared" si="11"/>
        <v>0</v>
      </c>
      <c r="AO32" s="541">
        <f t="shared" si="123"/>
        <v>0</v>
      </c>
      <c r="AP32" s="539">
        <v>37.025316455696213</v>
      </c>
      <c r="AQ32" s="540">
        <f t="shared" si="12"/>
        <v>1.2658227848101269</v>
      </c>
      <c r="AR32" s="541">
        <f t="shared" si="124"/>
        <v>0</v>
      </c>
      <c r="AS32" s="539"/>
      <c r="AT32" s="540">
        <f t="shared" si="13"/>
        <v>0</v>
      </c>
      <c r="AU32" s="541">
        <f t="shared" si="125"/>
        <v>0</v>
      </c>
      <c r="AV32" s="539">
        <v>2.7750000000000057</v>
      </c>
      <c r="AW32" s="540">
        <f t="shared" si="14"/>
        <v>9.4871794871795062E-2</v>
      </c>
      <c r="AX32" s="541">
        <f t="shared" si="126"/>
        <v>0</v>
      </c>
      <c r="AY32" s="539">
        <v>46.666666666666657</v>
      </c>
      <c r="AZ32" s="540">
        <f t="shared" si="15"/>
        <v>1.595441595441595</v>
      </c>
      <c r="BA32" s="541">
        <f t="shared" si="127"/>
        <v>0</v>
      </c>
      <c r="BB32" s="539">
        <v>0</v>
      </c>
      <c r="BC32" s="540">
        <f t="shared" si="16"/>
        <v>0</v>
      </c>
      <c r="BD32" s="541">
        <f t="shared" si="128"/>
        <v>0</v>
      </c>
      <c r="BE32" s="539"/>
      <c r="BF32" s="540">
        <f t="shared" si="17"/>
        <v>0</v>
      </c>
      <c r="BG32" s="541">
        <f t="shared" si="129"/>
        <v>0</v>
      </c>
      <c r="BH32" s="539"/>
      <c r="BI32" s="540">
        <f t="shared" si="18"/>
        <v>0</v>
      </c>
      <c r="BJ32" s="541">
        <f t="shared" si="130"/>
        <v>0</v>
      </c>
      <c r="BK32" s="539"/>
      <c r="BL32" s="540">
        <f t="shared" si="19"/>
        <v>0</v>
      </c>
      <c r="BM32" s="541">
        <f t="shared" si="131"/>
        <v>0</v>
      </c>
      <c r="BN32" s="539">
        <v>5.0617283950617349</v>
      </c>
      <c r="BO32" s="540">
        <f t="shared" si="20"/>
        <v>0.17305054342091403</v>
      </c>
      <c r="BP32" s="541">
        <f t="shared" si="132"/>
        <v>0</v>
      </c>
      <c r="BQ32" s="539">
        <v>0</v>
      </c>
      <c r="BR32" s="540">
        <f t="shared" si="21"/>
        <v>0</v>
      </c>
      <c r="BS32" s="541">
        <f t="shared" si="133"/>
        <v>0</v>
      </c>
      <c r="BT32" s="539"/>
      <c r="BU32" s="540">
        <f t="shared" si="22"/>
        <v>0</v>
      </c>
      <c r="BV32" s="541">
        <f t="shared" si="134"/>
        <v>0</v>
      </c>
      <c r="BW32" s="539">
        <v>0</v>
      </c>
      <c r="BX32" s="540">
        <f t="shared" si="23"/>
        <v>0</v>
      </c>
      <c r="BY32" s="541">
        <f t="shared" si="135"/>
        <v>0</v>
      </c>
      <c r="BZ32" s="539"/>
      <c r="CA32" s="540">
        <f t="shared" si="24"/>
        <v>0</v>
      </c>
      <c r="CB32" s="541">
        <f t="shared" si="136"/>
        <v>0</v>
      </c>
      <c r="CC32" s="539">
        <v>0</v>
      </c>
      <c r="CD32" s="540">
        <f t="shared" si="25"/>
        <v>0</v>
      </c>
      <c r="CE32" s="541">
        <f t="shared" si="137"/>
        <v>0</v>
      </c>
      <c r="CF32" s="539">
        <v>9.9999999999999978E-2</v>
      </c>
      <c r="CG32" s="540">
        <f t="shared" si="26"/>
        <v>3.4188034188034179E-3</v>
      </c>
      <c r="CH32" s="541">
        <f t="shared" si="138"/>
        <v>0</v>
      </c>
      <c r="CI32" s="539"/>
      <c r="CJ32" s="540">
        <f t="shared" si="27"/>
        <v>0</v>
      </c>
      <c r="CK32" s="541">
        <f t="shared" si="139"/>
        <v>0</v>
      </c>
      <c r="CL32" s="539"/>
      <c r="CM32" s="540">
        <f t="shared" si="28"/>
        <v>0</v>
      </c>
      <c r="CN32" s="541">
        <f t="shared" si="140"/>
        <v>0</v>
      </c>
      <c r="CO32" s="539"/>
      <c r="CP32" s="540">
        <f t="shared" si="29"/>
        <v>0</v>
      </c>
      <c r="CQ32" s="541">
        <f t="shared" si="141"/>
        <v>0</v>
      </c>
      <c r="CR32" s="539"/>
      <c r="CS32" s="540">
        <f t="shared" si="30"/>
        <v>0</v>
      </c>
      <c r="CT32" s="541">
        <f t="shared" si="142"/>
        <v>0</v>
      </c>
      <c r="CU32" s="539"/>
      <c r="CV32" s="540">
        <f t="shared" si="31"/>
        <v>0</v>
      </c>
      <c r="CW32" s="541">
        <f t="shared" si="143"/>
        <v>0</v>
      </c>
      <c r="CX32" s="539"/>
      <c r="CY32" s="540">
        <f t="shared" si="32"/>
        <v>0</v>
      </c>
      <c r="CZ32" s="541">
        <f t="shared" si="144"/>
        <v>0</v>
      </c>
      <c r="DA32" s="539"/>
      <c r="DB32" s="540">
        <f t="shared" si="33"/>
        <v>0</v>
      </c>
      <c r="DC32" s="541">
        <f t="shared" si="145"/>
        <v>0</v>
      </c>
      <c r="DD32" s="539"/>
      <c r="DE32" s="540">
        <f t="shared" si="34"/>
        <v>0</v>
      </c>
      <c r="DF32" s="541">
        <f t="shared" si="146"/>
        <v>0</v>
      </c>
      <c r="DG32" s="539">
        <v>0</v>
      </c>
      <c r="DH32" s="540">
        <f t="shared" si="35"/>
        <v>0</v>
      </c>
      <c r="DI32" s="541">
        <f t="shared" si="203"/>
        <v>0</v>
      </c>
      <c r="DJ32" s="539"/>
      <c r="DK32" s="540">
        <f t="shared" si="36"/>
        <v>0</v>
      </c>
      <c r="DL32" s="541">
        <f t="shared" si="147"/>
        <v>0</v>
      </c>
      <c r="DM32" s="539"/>
      <c r="DN32" s="540">
        <f t="shared" si="37"/>
        <v>0</v>
      </c>
      <c r="DO32" s="541">
        <f t="shared" si="148"/>
        <v>0</v>
      </c>
      <c r="DP32" s="539"/>
      <c r="DQ32" s="540">
        <f t="shared" si="38"/>
        <v>0</v>
      </c>
      <c r="DR32" s="541">
        <f t="shared" si="149"/>
        <v>0</v>
      </c>
      <c r="DS32" s="539"/>
      <c r="DT32" s="540">
        <f t="shared" si="39"/>
        <v>0</v>
      </c>
      <c r="DU32" s="541">
        <f t="shared" si="150"/>
        <v>0</v>
      </c>
      <c r="DV32" s="539"/>
      <c r="DW32" s="540">
        <f t="shared" si="40"/>
        <v>0</v>
      </c>
      <c r="DX32" s="541">
        <f t="shared" si="151"/>
        <v>0</v>
      </c>
      <c r="DY32" s="539"/>
      <c r="DZ32" s="540">
        <f t="shared" si="41"/>
        <v>0</v>
      </c>
      <c r="EA32" s="541">
        <f t="shared" si="152"/>
        <v>0</v>
      </c>
      <c r="EB32" s="539">
        <v>14.534883720930225</v>
      </c>
      <c r="EC32" s="540">
        <f t="shared" si="42"/>
        <v>0.49691910157026409</v>
      </c>
      <c r="ED32" s="541">
        <f t="shared" si="153"/>
        <v>0</v>
      </c>
      <c r="EE32" s="539">
        <v>1</v>
      </c>
      <c r="EF32" s="540">
        <f t="shared" si="43"/>
        <v>3.4188034188034191E-2</v>
      </c>
      <c r="EG32" s="541">
        <f t="shared" si="154"/>
        <v>0</v>
      </c>
      <c r="EH32" s="539"/>
      <c r="EI32" s="540">
        <f t="shared" si="44"/>
        <v>0</v>
      </c>
      <c r="EJ32" s="541">
        <f t="shared" si="155"/>
        <v>0</v>
      </c>
      <c r="EK32" s="539"/>
      <c r="EL32" s="540">
        <f t="shared" si="45"/>
        <v>0</v>
      </c>
      <c r="EM32" s="541">
        <f t="shared" si="156"/>
        <v>0</v>
      </c>
      <c r="EN32" s="539"/>
      <c r="EO32" s="540">
        <f t="shared" si="46"/>
        <v>0</v>
      </c>
      <c r="EP32" s="541">
        <f t="shared" si="157"/>
        <v>0</v>
      </c>
      <c r="EQ32" s="539"/>
      <c r="ER32" s="540">
        <f t="shared" si="47"/>
        <v>0</v>
      </c>
      <c r="ES32" s="541">
        <f t="shared" si="158"/>
        <v>0</v>
      </c>
      <c r="ET32" s="539"/>
      <c r="EU32" s="540">
        <f t="shared" si="48"/>
        <v>0</v>
      </c>
      <c r="EV32" s="541">
        <f t="shared" si="159"/>
        <v>0</v>
      </c>
      <c r="EW32" s="539"/>
      <c r="EX32" s="540">
        <f t="shared" si="49"/>
        <v>0</v>
      </c>
      <c r="EY32" s="541">
        <f t="shared" si="160"/>
        <v>0</v>
      </c>
      <c r="EZ32" s="539"/>
      <c r="FA32" s="540">
        <f t="shared" si="50"/>
        <v>0</v>
      </c>
      <c r="FB32" s="541">
        <f t="shared" si="161"/>
        <v>0</v>
      </c>
      <c r="FC32" s="539"/>
      <c r="FD32" s="540">
        <f t="shared" si="51"/>
        <v>0</v>
      </c>
      <c r="FE32" s="541">
        <f t="shared" si="162"/>
        <v>0</v>
      </c>
      <c r="FF32" s="539"/>
      <c r="FG32" s="540">
        <f t="shared" si="52"/>
        <v>0</v>
      </c>
      <c r="FH32" s="541">
        <f t="shared" si="163"/>
        <v>0</v>
      </c>
      <c r="FI32" s="539"/>
      <c r="FJ32" s="540">
        <f t="shared" si="53"/>
        <v>0</v>
      </c>
      <c r="FK32" s="541">
        <f t="shared" si="164"/>
        <v>0</v>
      </c>
      <c r="FL32" s="539"/>
      <c r="FM32" s="540">
        <f t="shared" si="54"/>
        <v>0</v>
      </c>
      <c r="FN32" s="541">
        <f t="shared" si="165"/>
        <v>0</v>
      </c>
      <c r="FO32" s="539"/>
      <c r="FP32" s="540">
        <f t="shared" si="55"/>
        <v>0</v>
      </c>
      <c r="FQ32" s="541">
        <f t="shared" si="166"/>
        <v>0</v>
      </c>
      <c r="FR32" s="539"/>
      <c r="FS32" s="540">
        <f t="shared" si="56"/>
        <v>0</v>
      </c>
      <c r="FT32" s="541">
        <f t="shared" si="167"/>
        <v>0</v>
      </c>
      <c r="FU32" s="539"/>
      <c r="FV32" s="540">
        <f t="shared" si="57"/>
        <v>0</v>
      </c>
      <c r="FW32" s="541">
        <f t="shared" si="168"/>
        <v>0</v>
      </c>
      <c r="FX32" s="539"/>
      <c r="FY32" s="540">
        <f t="shared" si="58"/>
        <v>0</v>
      </c>
      <c r="FZ32" s="541">
        <f t="shared" si="169"/>
        <v>0</v>
      </c>
      <c r="GA32" s="539"/>
      <c r="GB32" s="540">
        <f t="shared" si="59"/>
        <v>0</v>
      </c>
      <c r="GC32" s="541">
        <f t="shared" si="170"/>
        <v>0</v>
      </c>
      <c r="GD32" s="539"/>
      <c r="GE32" s="540">
        <f t="shared" si="60"/>
        <v>0</v>
      </c>
      <c r="GF32" s="541">
        <f t="shared" si="171"/>
        <v>0</v>
      </c>
      <c r="GG32" s="539"/>
      <c r="GH32" s="540">
        <f t="shared" si="61"/>
        <v>0</v>
      </c>
      <c r="GI32" s="541">
        <f t="shared" si="172"/>
        <v>0</v>
      </c>
      <c r="GJ32" s="539"/>
      <c r="GK32" s="540">
        <f t="shared" si="62"/>
        <v>0</v>
      </c>
      <c r="GL32" s="541">
        <f t="shared" si="173"/>
        <v>0</v>
      </c>
      <c r="GM32" s="539"/>
      <c r="GN32" s="540">
        <f t="shared" si="63"/>
        <v>0</v>
      </c>
      <c r="GO32" s="541">
        <f t="shared" si="174"/>
        <v>0</v>
      </c>
      <c r="GP32" s="539"/>
      <c r="GQ32" s="540">
        <f t="shared" si="64"/>
        <v>0</v>
      </c>
      <c r="GR32" s="541">
        <f t="shared" si="175"/>
        <v>0</v>
      </c>
      <c r="GS32" s="539"/>
      <c r="GT32" s="540">
        <f t="shared" si="65"/>
        <v>0</v>
      </c>
      <c r="GU32" s="541">
        <f t="shared" si="176"/>
        <v>0</v>
      </c>
      <c r="GV32" s="539"/>
      <c r="GW32" s="540">
        <f t="shared" si="66"/>
        <v>0</v>
      </c>
      <c r="GX32" s="541">
        <f t="shared" si="177"/>
        <v>0</v>
      </c>
      <c r="GY32" s="539"/>
      <c r="GZ32" s="540">
        <f t="shared" si="67"/>
        <v>0</v>
      </c>
      <c r="HA32" s="541">
        <f t="shared" si="178"/>
        <v>0</v>
      </c>
      <c r="HB32" s="539"/>
      <c r="HC32" s="540">
        <f t="shared" si="68"/>
        <v>0</v>
      </c>
      <c r="HD32" s="541">
        <f t="shared" si="179"/>
        <v>0</v>
      </c>
      <c r="HE32" s="539"/>
      <c r="HF32" s="540">
        <f t="shared" si="69"/>
        <v>0</v>
      </c>
      <c r="HG32" s="541">
        <f t="shared" si="180"/>
        <v>0</v>
      </c>
      <c r="HH32" s="539"/>
      <c r="HI32" s="540">
        <f t="shared" si="70"/>
        <v>0</v>
      </c>
      <c r="HJ32" s="541">
        <f t="shared" si="181"/>
        <v>0</v>
      </c>
      <c r="HK32" s="539"/>
      <c r="HL32" s="540">
        <f t="shared" si="71"/>
        <v>0</v>
      </c>
      <c r="HM32" s="541">
        <f t="shared" si="182"/>
        <v>0</v>
      </c>
      <c r="HN32" s="539"/>
      <c r="HO32" s="540">
        <f t="shared" si="72"/>
        <v>0</v>
      </c>
      <c r="HP32" s="541">
        <f t="shared" si="183"/>
        <v>0</v>
      </c>
      <c r="HQ32" s="539"/>
      <c r="HR32" s="540">
        <f t="shared" si="73"/>
        <v>0</v>
      </c>
      <c r="HS32" s="541">
        <f t="shared" si="184"/>
        <v>0</v>
      </c>
      <c r="HT32" s="539"/>
      <c r="HU32" s="540">
        <f t="shared" si="74"/>
        <v>0</v>
      </c>
      <c r="HV32" s="541">
        <f t="shared" si="185"/>
        <v>0</v>
      </c>
      <c r="HW32" s="539"/>
      <c r="HX32" s="540">
        <f t="shared" si="75"/>
        <v>0</v>
      </c>
      <c r="HY32" s="541">
        <f t="shared" si="186"/>
        <v>0</v>
      </c>
      <c r="HZ32" s="539"/>
      <c r="IA32" s="540">
        <f t="shared" si="76"/>
        <v>0</v>
      </c>
      <c r="IB32" s="541">
        <f t="shared" si="187"/>
        <v>0</v>
      </c>
      <c r="IC32" s="539"/>
      <c r="ID32" s="540">
        <f t="shared" si="77"/>
        <v>0</v>
      </c>
      <c r="IE32" s="541">
        <f t="shared" si="188"/>
        <v>0</v>
      </c>
      <c r="IF32" s="539"/>
      <c r="IG32" s="540">
        <f t="shared" si="78"/>
        <v>0</v>
      </c>
      <c r="IH32" s="541">
        <f t="shared" si="189"/>
        <v>0</v>
      </c>
      <c r="II32" s="539"/>
      <c r="IJ32" s="540">
        <f t="shared" si="79"/>
        <v>0</v>
      </c>
      <c r="IK32" s="541">
        <f t="shared" si="190"/>
        <v>0</v>
      </c>
      <c r="IL32" s="539"/>
      <c r="IM32" s="540">
        <f t="shared" si="80"/>
        <v>0</v>
      </c>
      <c r="IN32" s="541">
        <f t="shared" si="191"/>
        <v>0</v>
      </c>
      <c r="IO32" s="539"/>
      <c r="IP32" s="540">
        <f t="shared" si="81"/>
        <v>0</v>
      </c>
      <c r="IQ32" s="541">
        <f t="shared" si="192"/>
        <v>0</v>
      </c>
      <c r="IR32" s="539"/>
      <c r="IS32" s="540">
        <f t="shared" si="82"/>
        <v>0</v>
      </c>
      <c r="IT32" s="541">
        <f t="shared" si="193"/>
        <v>0</v>
      </c>
      <c r="IU32" s="539"/>
      <c r="IV32" s="540">
        <f t="shared" si="83"/>
        <v>0</v>
      </c>
      <c r="IW32" s="541">
        <f t="shared" si="194"/>
        <v>0</v>
      </c>
      <c r="IX32" s="539"/>
      <c r="IY32" s="540">
        <f t="shared" si="84"/>
        <v>0</v>
      </c>
      <c r="IZ32" s="541">
        <f t="shared" si="195"/>
        <v>0</v>
      </c>
      <c r="JA32" s="539"/>
      <c r="JB32" s="540">
        <f t="shared" si="85"/>
        <v>0</v>
      </c>
      <c r="JC32" s="541">
        <f t="shared" si="196"/>
        <v>0</v>
      </c>
      <c r="JD32" s="539"/>
      <c r="JE32" s="540">
        <f t="shared" si="86"/>
        <v>0</v>
      </c>
      <c r="JF32" s="541">
        <f t="shared" si="197"/>
        <v>0</v>
      </c>
      <c r="JG32" s="539"/>
      <c r="JH32" s="540">
        <f t="shared" si="87"/>
        <v>0</v>
      </c>
      <c r="JI32" s="541">
        <f t="shared" si="198"/>
        <v>0</v>
      </c>
      <c r="JJ32" s="539"/>
      <c r="JK32" s="541" t="str">
        <f t="shared" si="88"/>
        <v>0</v>
      </c>
      <c r="JL32" s="541" t="str">
        <f t="shared" si="89"/>
        <v>0</v>
      </c>
      <c r="JM32" s="539"/>
      <c r="JN32" s="541" t="str">
        <f t="shared" si="90"/>
        <v>0</v>
      </c>
      <c r="JO32" s="541" t="str">
        <f t="shared" si="91"/>
        <v>0</v>
      </c>
      <c r="JP32" s="539"/>
      <c r="JQ32" s="541" t="str">
        <f t="shared" si="92"/>
        <v>0</v>
      </c>
      <c r="JR32" s="541" t="str">
        <f t="shared" si="93"/>
        <v>0</v>
      </c>
      <c r="JS32" s="539"/>
      <c r="JT32" s="541" t="str">
        <f t="shared" si="94"/>
        <v>0</v>
      </c>
      <c r="JU32" s="541" t="str">
        <f t="shared" si="95"/>
        <v>0</v>
      </c>
      <c r="JV32" s="539"/>
      <c r="JW32" s="541" t="str">
        <f t="shared" si="96"/>
        <v>0</v>
      </c>
      <c r="JX32" s="541" t="str">
        <f t="shared" si="97"/>
        <v>0</v>
      </c>
      <c r="JY32" s="539"/>
      <c r="JZ32" s="541" t="str">
        <f t="shared" si="98"/>
        <v>0</v>
      </c>
      <c r="KA32" s="541" t="str">
        <f t="shared" si="99"/>
        <v>0</v>
      </c>
      <c r="KB32" s="539"/>
      <c r="KC32" s="541" t="str">
        <f t="shared" si="100"/>
        <v>0</v>
      </c>
      <c r="KD32" s="541" t="str">
        <f t="shared" si="101"/>
        <v>0</v>
      </c>
      <c r="KE32" s="539"/>
      <c r="KF32" s="541" t="str">
        <f t="shared" si="102"/>
        <v>0</v>
      </c>
      <c r="KG32" s="541" t="str">
        <f t="shared" si="103"/>
        <v>0</v>
      </c>
      <c r="KH32" s="539"/>
      <c r="KI32" s="541" t="str">
        <f t="shared" si="104"/>
        <v>0</v>
      </c>
      <c r="KJ32" s="541" t="str">
        <f t="shared" si="105"/>
        <v>0</v>
      </c>
      <c r="KK32" s="539"/>
      <c r="KL32" s="541" t="str">
        <f t="shared" si="106"/>
        <v>0</v>
      </c>
      <c r="KM32" s="541" t="str">
        <f t="shared" si="107"/>
        <v>0</v>
      </c>
      <c r="KN32" s="539"/>
      <c r="KO32" s="541" t="str">
        <f t="shared" si="108"/>
        <v>0</v>
      </c>
      <c r="KP32" s="541" t="str">
        <f t="shared" si="109"/>
        <v>0</v>
      </c>
      <c r="KQ32" s="539"/>
      <c r="KR32" s="541" t="str">
        <f t="shared" si="110"/>
        <v>0</v>
      </c>
      <c r="KS32" s="541" t="str">
        <f t="shared" si="111"/>
        <v>0</v>
      </c>
      <c r="KT32" s="541">
        <f t="shared" si="200"/>
        <v>0</v>
      </c>
      <c r="KU32" s="541">
        <f t="shared" si="201"/>
        <v>0</v>
      </c>
      <c r="KV32" s="275">
        <f t="shared" si="202"/>
        <v>298.26969988951777</v>
      </c>
    </row>
    <row r="33" spans="1:308" ht="15" customHeight="1">
      <c r="A33" s="277">
        <f t="shared" si="199"/>
        <v>45955</v>
      </c>
      <c r="B33" s="278" t="str">
        <f>+Report1!B33</f>
        <v>Facial</v>
      </c>
      <c r="C33" s="420" t="str">
        <f>+Report1!C33</f>
        <v>12/13/13,5</v>
      </c>
      <c r="D33" s="279">
        <f>+Report1!P33</f>
        <v>53.856999999999999</v>
      </c>
      <c r="E33" s="280">
        <f>+Report1!R33</f>
        <v>45.805</v>
      </c>
      <c r="F33" s="539">
        <v>0</v>
      </c>
      <c r="G33" s="540">
        <f t="shared" si="0"/>
        <v>0</v>
      </c>
      <c r="H33" s="541">
        <f t="shared" si="112"/>
        <v>0</v>
      </c>
      <c r="I33" s="539">
        <v>273.66709302325569</v>
      </c>
      <c r="J33" s="540">
        <f t="shared" si="1"/>
        <v>5.9746117896137036</v>
      </c>
      <c r="K33" s="541">
        <f t="shared" si="113"/>
        <v>0</v>
      </c>
      <c r="L33" s="539"/>
      <c r="M33" s="540">
        <f t="shared" si="2"/>
        <v>0</v>
      </c>
      <c r="N33" s="541">
        <f t="shared" si="114"/>
        <v>0</v>
      </c>
      <c r="O33" s="539">
        <v>9</v>
      </c>
      <c r="P33" s="540">
        <f t="shared" si="3"/>
        <v>0.19648509987992577</v>
      </c>
      <c r="Q33" s="541">
        <f t="shared" si="115"/>
        <v>0</v>
      </c>
      <c r="R33" s="539"/>
      <c r="S33" s="540">
        <f t="shared" si="4"/>
        <v>0</v>
      </c>
      <c r="T33" s="541">
        <f t="shared" si="116"/>
        <v>0</v>
      </c>
      <c r="U33" s="539">
        <v>7.6875</v>
      </c>
      <c r="V33" s="540">
        <f t="shared" si="5"/>
        <v>0.16783102281410325</v>
      </c>
      <c r="W33" s="541">
        <f t="shared" si="117"/>
        <v>0</v>
      </c>
      <c r="X33" s="539"/>
      <c r="Y33" s="540">
        <f t="shared" si="6"/>
        <v>0</v>
      </c>
      <c r="Z33" s="541">
        <f t="shared" si="118"/>
        <v>0</v>
      </c>
      <c r="AA33" s="539"/>
      <c r="AB33" s="540">
        <f t="shared" si="7"/>
        <v>0</v>
      </c>
      <c r="AC33" s="541">
        <f t="shared" si="119"/>
        <v>0</v>
      </c>
      <c r="AD33" s="539"/>
      <c r="AE33" s="540">
        <f t="shared" si="8"/>
        <v>0</v>
      </c>
      <c r="AF33" s="541">
        <f t="shared" si="120"/>
        <v>0</v>
      </c>
      <c r="AG33" s="539"/>
      <c r="AH33" s="540">
        <f t="shared" si="9"/>
        <v>0</v>
      </c>
      <c r="AI33" s="541">
        <f t="shared" si="121"/>
        <v>0</v>
      </c>
      <c r="AJ33" s="539">
        <v>0</v>
      </c>
      <c r="AK33" s="540">
        <f t="shared" si="10"/>
        <v>0</v>
      </c>
      <c r="AL33" s="541">
        <f t="shared" si="122"/>
        <v>0</v>
      </c>
      <c r="AM33" s="539">
        <v>0</v>
      </c>
      <c r="AN33" s="540">
        <f t="shared" si="11"/>
        <v>0</v>
      </c>
      <c r="AO33" s="541">
        <f t="shared" si="123"/>
        <v>0</v>
      </c>
      <c r="AP33" s="539">
        <v>45.569620253164544</v>
      </c>
      <c r="AQ33" s="540">
        <f t="shared" si="12"/>
        <v>0.99486126521481377</v>
      </c>
      <c r="AR33" s="541">
        <f t="shared" si="124"/>
        <v>0</v>
      </c>
      <c r="AS33" s="539"/>
      <c r="AT33" s="540">
        <f t="shared" si="13"/>
        <v>0</v>
      </c>
      <c r="AU33" s="541">
        <f t="shared" si="125"/>
        <v>0</v>
      </c>
      <c r="AV33" s="539">
        <v>4.1625000000000014</v>
      </c>
      <c r="AW33" s="540">
        <f t="shared" si="14"/>
        <v>9.0874358694465696E-2</v>
      </c>
      <c r="AX33" s="541">
        <f t="shared" si="126"/>
        <v>0</v>
      </c>
      <c r="AY33" s="539">
        <v>56</v>
      </c>
      <c r="AZ33" s="540">
        <f t="shared" si="15"/>
        <v>1.2225739548084271</v>
      </c>
      <c r="BA33" s="541">
        <f t="shared" si="127"/>
        <v>0</v>
      </c>
      <c r="BB33" s="539">
        <v>0</v>
      </c>
      <c r="BC33" s="540">
        <f t="shared" si="16"/>
        <v>0</v>
      </c>
      <c r="BD33" s="541">
        <f t="shared" si="128"/>
        <v>0</v>
      </c>
      <c r="BE33" s="539"/>
      <c r="BF33" s="540">
        <f t="shared" si="17"/>
        <v>0</v>
      </c>
      <c r="BG33" s="541">
        <f t="shared" si="129"/>
        <v>0</v>
      </c>
      <c r="BH33" s="539"/>
      <c r="BI33" s="540">
        <f t="shared" si="18"/>
        <v>0</v>
      </c>
      <c r="BJ33" s="541">
        <f t="shared" si="130"/>
        <v>0</v>
      </c>
      <c r="BK33" s="539"/>
      <c r="BL33" s="540">
        <f t="shared" si="19"/>
        <v>0</v>
      </c>
      <c r="BM33" s="541">
        <f t="shared" si="131"/>
        <v>0</v>
      </c>
      <c r="BN33" s="539">
        <v>8.8580246913580254</v>
      </c>
      <c r="BO33" s="540">
        <f t="shared" si="20"/>
        <v>0.1933855406911478</v>
      </c>
      <c r="BP33" s="541">
        <f t="shared" si="132"/>
        <v>0</v>
      </c>
      <c r="BQ33" s="539">
        <v>0</v>
      </c>
      <c r="BR33" s="540">
        <f t="shared" si="21"/>
        <v>0</v>
      </c>
      <c r="BS33" s="541">
        <f t="shared" si="133"/>
        <v>0</v>
      </c>
      <c r="BT33" s="539"/>
      <c r="BU33" s="540">
        <f t="shared" si="22"/>
        <v>0</v>
      </c>
      <c r="BV33" s="541">
        <f t="shared" si="134"/>
        <v>0</v>
      </c>
      <c r="BW33" s="539">
        <v>0</v>
      </c>
      <c r="BX33" s="540">
        <f t="shared" si="23"/>
        <v>0</v>
      </c>
      <c r="BY33" s="541">
        <f t="shared" si="135"/>
        <v>0</v>
      </c>
      <c r="BZ33" s="539"/>
      <c r="CA33" s="540">
        <f t="shared" si="24"/>
        <v>0</v>
      </c>
      <c r="CB33" s="541">
        <f t="shared" si="136"/>
        <v>0</v>
      </c>
      <c r="CC33" s="539">
        <v>0</v>
      </c>
      <c r="CD33" s="540">
        <f t="shared" si="25"/>
        <v>0</v>
      </c>
      <c r="CE33" s="541">
        <f t="shared" si="137"/>
        <v>0</v>
      </c>
      <c r="CF33" s="539">
        <v>0.10000000000000003</v>
      </c>
      <c r="CG33" s="540">
        <f t="shared" si="26"/>
        <v>2.1831677764436205E-3</v>
      </c>
      <c r="CH33" s="541">
        <f t="shared" si="138"/>
        <v>0</v>
      </c>
      <c r="CI33" s="539"/>
      <c r="CJ33" s="540">
        <f t="shared" si="27"/>
        <v>0</v>
      </c>
      <c r="CK33" s="541">
        <f t="shared" si="139"/>
        <v>0</v>
      </c>
      <c r="CL33" s="539"/>
      <c r="CM33" s="540">
        <f t="shared" si="28"/>
        <v>0</v>
      </c>
      <c r="CN33" s="541">
        <f t="shared" si="140"/>
        <v>0</v>
      </c>
      <c r="CO33" s="539"/>
      <c r="CP33" s="540">
        <f t="shared" si="29"/>
        <v>0</v>
      </c>
      <c r="CQ33" s="541">
        <f t="shared" si="141"/>
        <v>0</v>
      </c>
      <c r="CR33" s="539"/>
      <c r="CS33" s="540">
        <f t="shared" si="30"/>
        <v>0</v>
      </c>
      <c r="CT33" s="541">
        <f t="shared" si="142"/>
        <v>0</v>
      </c>
      <c r="CU33" s="539"/>
      <c r="CV33" s="540">
        <f t="shared" si="31"/>
        <v>0</v>
      </c>
      <c r="CW33" s="541">
        <f t="shared" si="143"/>
        <v>0</v>
      </c>
      <c r="CX33" s="539"/>
      <c r="CY33" s="540">
        <f t="shared" si="32"/>
        <v>0</v>
      </c>
      <c r="CZ33" s="541">
        <f t="shared" si="144"/>
        <v>0</v>
      </c>
      <c r="DA33" s="539"/>
      <c r="DB33" s="540">
        <f t="shared" si="33"/>
        <v>0</v>
      </c>
      <c r="DC33" s="541">
        <f t="shared" si="145"/>
        <v>0</v>
      </c>
      <c r="DD33" s="539"/>
      <c r="DE33" s="540">
        <f t="shared" si="34"/>
        <v>0</v>
      </c>
      <c r="DF33" s="541">
        <f t="shared" si="146"/>
        <v>0</v>
      </c>
      <c r="DG33" s="539">
        <v>0</v>
      </c>
      <c r="DH33" s="540">
        <f t="shared" si="35"/>
        <v>0</v>
      </c>
      <c r="DI33" s="541">
        <f t="shared" si="203"/>
        <v>0</v>
      </c>
      <c r="DJ33" s="539"/>
      <c r="DK33" s="540">
        <f t="shared" si="36"/>
        <v>0</v>
      </c>
      <c r="DL33" s="541">
        <f t="shared" si="147"/>
        <v>0</v>
      </c>
      <c r="DM33" s="539"/>
      <c r="DN33" s="540">
        <f t="shared" si="37"/>
        <v>0</v>
      </c>
      <c r="DO33" s="541">
        <f t="shared" si="148"/>
        <v>0</v>
      </c>
      <c r="DP33" s="539"/>
      <c r="DQ33" s="540">
        <f t="shared" si="38"/>
        <v>0</v>
      </c>
      <c r="DR33" s="541">
        <f t="shared" si="149"/>
        <v>0</v>
      </c>
      <c r="DS33" s="539"/>
      <c r="DT33" s="540">
        <f t="shared" si="39"/>
        <v>0</v>
      </c>
      <c r="DU33" s="541">
        <f t="shared" si="150"/>
        <v>0</v>
      </c>
      <c r="DV33" s="539"/>
      <c r="DW33" s="540">
        <f t="shared" si="40"/>
        <v>0</v>
      </c>
      <c r="DX33" s="541">
        <f t="shared" si="151"/>
        <v>0</v>
      </c>
      <c r="DY33" s="539"/>
      <c r="DZ33" s="540">
        <f t="shared" si="41"/>
        <v>0</v>
      </c>
      <c r="EA33" s="541">
        <f t="shared" si="152"/>
        <v>0</v>
      </c>
      <c r="EB33" s="539">
        <v>14.534883720930281</v>
      </c>
      <c r="EC33" s="540">
        <f t="shared" si="42"/>
        <v>0.31732089773889927</v>
      </c>
      <c r="ED33" s="541">
        <f t="shared" si="153"/>
        <v>0</v>
      </c>
      <c r="EE33" s="539">
        <v>1</v>
      </c>
      <c r="EF33" s="540">
        <f t="shared" si="43"/>
        <v>2.1831677764436196E-2</v>
      </c>
      <c r="EG33" s="541">
        <f t="shared" si="154"/>
        <v>0</v>
      </c>
      <c r="EH33" s="539"/>
      <c r="EI33" s="540">
        <f t="shared" si="44"/>
        <v>0</v>
      </c>
      <c r="EJ33" s="541">
        <f t="shared" si="155"/>
        <v>0</v>
      </c>
      <c r="EK33" s="539"/>
      <c r="EL33" s="540">
        <f t="shared" si="45"/>
        <v>0</v>
      </c>
      <c r="EM33" s="541">
        <f t="shared" si="156"/>
        <v>0</v>
      </c>
      <c r="EN33" s="539"/>
      <c r="EO33" s="540">
        <f t="shared" si="46"/>
        <v>0</v>
      </c>
      <c r="EP33" s="541">
        <f t="shared" si="157"/>
        <v>0</v>
      </c>
      <c r="EQ33" s="539"/>
      <c r="ER33" s="540">
        <f t="shared" si="47"/>
        <v>0</v>
      </c>
      <c r="ES33" s="541">
        <f t="shared" si="158"/>
        <v>0</v>
      </c>
      <c r="ET33" s="539"/>
      <c r="EU33" s="540">
        <f t="shared" si="48"/>
        <v>0</v>
      </c>
      <c r="EV33" s="541">
        <f t="shared" si="159"/>
        <v>0</v>
      </c>
      <c r="EW33" s="539"/>
      <c r="EX33" s="540">
        <f t="shared" si="49"/>
        <v>0</v>
      </c>
      <c r="EY33" s="541">
        <f t="shared" si="160"/>
        <v>0</v>
      </c>
      <c r="EZ33" s="539"/>
      <c r="FA33" s="540">
        <f t="shared" si="50"/>
        <v>0</v>
      </c>
      <c r="FB33" s="541">
        <f t="shared" si="161"/>
        <v>0</v>
      </c>
      <c r="FC33" s="539"/>
      <c r="FD33" s="540">
        <f t="shared" si="51"/>
        <v>0</v>
      </c>
      <c r="FE33" s="541">
        <f t="shared" si="162"/>
        <v>0</v>
      </c>
      <c r="FF33" s="539"/>
      <c r="FG33" s="540">
        <f t="shared" si="52"/>
        <v>0</v>
      </c>
      <c r="FH33" s="541">
        <f t="shared" si="163"/>
        <v>0</v>
      </c>
      <c r="FI33" s="539"/>
      <c r="FJ33" s="540">
        <f t="shared" si="53"/>
        <v>0</v>
      </c>
      <c r="FK33" s="541">
        <f t="shared" si="164"/>
        <v>0</v>
      </c>
      <c r="FL33" s="539"/>
      <c r="FM33" s="540">
        <f t="shared" si="54"/>
        <v>0</v>
      </c>
      <c r="FN33" s="541">
        <f t="shared" si="165"/>
        <v>0</v>
      </c>
      <c r="FO33" s="539"/>
      <c r="FP33" s="540">
        <f t="shared" si="55"/>
        <v>0</v>
      </c>
      <c r="FQ33" s="541">
        <f t="shared" si="166"/>
        <v>0</v>
      </c>
      <c r="FR33" s="539"/>
      <c r="FS33" s="540">
        <f t="shared" si="56"/>
        <v>0</v>
      </c>
      <c r="FT33" s="541">
        <f t="shared" si="167"/>
        <v>0</v>
      </c>
      <c r="FU33" s="539"/>
      <c r="FV33" s="540">
        <f t="shared" si="57"/>
        <v>0</v>
      </c>
      <c r="FW33" s="541">
        <f t="shared" si="168"/>
        <v>0</v>
      </c>
      <c r="FX33" s="539"/>
      <c r="FY33" s="540">
        <f t="shared" si="58"/>
        <v>0</v>
      </c>
      <c r="FZ33" s="541">
        <f t="shared" si="169"/>
        <v>0</v>
      </c>
      <c r="GA33" s="539"/>
      <c r="GB33" s="540">
        <f t="shared" si="59"/>
        <v>0</v>
      </c>
      <c r="GC33" s="541">
        <f t="shared" si="170"/>
        <v>0</v>
      </c>
      <c r="GD33" s="539"/>
      <c r="GE33" s="540">
        <f t="shared" si="60"/>
        <v>0</v>
      </c>
      <c r="GF33" s="541">
        <f t="shared" si="171"/>
        <v>0</v>
      </c>
      <c r="GG33" s="539"/>
      <c r="GH33" s="540">
        <f t="shared" si="61"/>
        <v>0</v>
      </c>
      <c r="GI33" s="541">
        <f t="shared" si="172"/>
        <v>0</v>
      </c>
      <c r="GJ33" s="539"/>
      <c r="GK33" s="540">
        <f t="shared" si="62"/>
        <v>0</v>
      </c>
      <c r="GL33" s="541">
        <f t="shared" si="173"/>
        <v>0</v>
      </c>
      <c r="GM33" s="539"/>
      <c r="GN33" s="540">
        <f t="shared" si="63"/>
        <v>0</v>
      </c>
      <c r="GO33" s="541">
        <f t="shared" si="174"/>
        <v>0</v>
      </c>
      <c r="GP33" s="539"/>
      <c r="GQ33" s="540">
        <f t="shared" si="64"/>
        <v>0</v>
      </c>
      <c r="GR33" s="541">
        <f t="shared" si="175"/>
        <v>0</v>
      </c>
      <c r="GS33" s="539"/>
      <c r="GT33" s="540">
        <f t="shared" si="65"/>
        <v>0</v>
      </c>
      <c r="GU33" s="541">
        <f t="shared" si="176"/>
        <v>0</v>
      </c>
      <c r="GV33" s="539"/>
      <c r="GW33" s="540">
        <f t="shared" si="66"/>
        <v>0</v>
      </c>
      <c r="GX33" s="541">
        <f t="shared" si="177"/>
        <v>0</v>
      </c>
      <c r="GY33" s="539"/>
      <c r="GZ33" s="540">
        <f t="shared" si="67"/>
        <v>0</v>
      </c>
      <c r="HA33" s="541">
        <f t="shared" si="178"/>
        <v>0</v>
      </c>
      <c r="HB33" s="539"/>
      <c r="HC33" s="540">
        <f t="shared" si="68"/>
        <v>0</v>
      </c>
      <c r="HD33" s="541">
        <f t="shared" si="179"/>
        <v>0</v>
      </c>
      <c r="HE33" s="539"/>
      <c r="HF33" s="540">
        <f t="shared" si="69"/>
        <v>0</v>
      </c>
      <c r="HG33" s="541">
        <f t="shared" si="180"/>
        <v>0</v>
      </c>
      <c r="HH33" s="539"/>
      <c r="HI33" s="540">
        <f t="shared" si="70"/>
        <v>0</v>
      </c>
      <c r="HJ33" s="541">
        <f t="shared" si="181"/>
        <v>0</v>
      </c>
      <c r="HK33" s="539"/>
      <c r="HL33" s="540">
        <f t="shared" si="71"/>
        <v>0</v>
      </c>
      <c r="HM33" s="541">
        <f t="shared" si="182"/>
        <v>0</v>
      </c>
      <c r="HN33" s="539"/>
      <c r="HO33" s="540">
        <f t="shared" si="72"/>
        <v>0</v>
      </c>
      <c r="HP33" s="541">
        <f t="shared" si="183"/>
        <v>0</v>
      </c>
      <c r="HQ33" s="539"/>
      <c r="HR33" s="540">
        <f t="shared" si="73"/>
        <v>0</v>
      </c>
      <c r="HS33" s="541">
        <f t="shared" si="184"/>
        <v>0</v>
      </c>
      <c r="HT33" s="539"/>
      <c r="HU33" s="540">
        <f t="shared" si="74"/>
        <v>0</v>
      </c>
      <c r="HV33" s="541">
        <f t="shared" si="185"/>
        <v>0</v>
      </c>
      <c r="HW33" s="539"/>
      <c r="HX33" s="540">
        <f t="shared" si="75"/>
        <v>0</v>
      </c>
      <c r="HY33" s="541">
        <f t="shared" si="186"/>
        <v>0</v>
      </c>
      <c r="HZ33" s="539"/>
      <c r="IA33" s="540">
        <f t="shared" si="76"/>
        <v>0</v>
      </c>
      <c r="IB33" s="541">
        <f t="shared" si="187"/>
        <v>0</v>
      </c>
      <c r="IC33" s="539"/>
      <c r="ID33" s="540">
        <f t="shared" si="77"/>
        <v>0</v>
      </c>
      <c r="IE33" s="541">
        <f t="shared" si="188"/>
        <v>0</v>
      </c>
      <c r="IF33" s="539"/>
      <c r="IG33" s="540">
        <f t="shared" si="78"/>
        <v>0</v>
      </c>
      <c r="IH33" s="541">
        <f t="shared" si="189"/>
        <v>0</v>
      </c>
      <c r="II33" s="539"/>
      <c r="IJ33" s="540">
        <f t="shared" si="79"/>
        <v>0</v>
      </c>
      <c r="IK33" s="541">
        <f t="shared" si="190"/>
        <v>0</v>
      </c>
      <c r="IL33" s="539"/>
      <c r="IM33" s="540">
        <f t="shared" si="80"/>
        <v>0</v>
      </c>
      <c r="IN33" s="541">
        <f t="shared" si="191"/>
        <v>0</v>
      </c>
      <c r="IO33" s="539"/>
      <c r="IP33" s="540">
        <f t="shared" si="81"/>
        <v>0</v>
      </c>
      <c r="IQ33" s="541">
        <f t="shared" si="192"/>
        <v>0</v>
      </c>
      <c r="IR33" s="539"/>
      <c r="IS33" s="540">
        <f t="shared" si="82"/>
        <v>0</v>
      </c>
      <c r="IT33" s="541">
        <f t="shared" si="193"/>
        <v>0</v>
      </c>
      <c r="IU33" s="539"/>
      <c r="IV33" s="540">
        <f t="shared" si="83"/>
        <v>0</v>
      </c>
      <c r="IW33" s="541">
        <f t="shared" si="194"/>
        <v>0</v>
      </c>
      <c r="IX33" s="539"/>
      <c r="IY33" s="540">
        <f t="shared" si="84"/>
        <v>0</v>
      </c>
      <c r="IZ33" s="541">
        <f t="shared" si="195"/>
        <v>0</v>
      </c>
      <c r="JA33" s="539"/>
      <c r="JB33" s="540">
        <f t="shared" si="85"/>
        <v>0</v>
      </c>
      <c r="JC33" s="541">
        <f t="shared" si="196"/>
        <v>0</v>
      </c>
      <c r="JD33" s="539"/>
      <c r="JE33" s="540">
        <f t="shared" si="86"/>
        <v>0</v>
      </c>
      <c r="JF33" s="541">
        <f t="shared" si="197"/>
        <v>0</v>
      </c>
      <c r="JG33" s="539"/>
      <c r="JH33" s="540">
        <f t="shared" si="87"/>
        <v>0</v>
      </c>
      <c r="JI33" s="541">
        <f t="shared" si="198"/>
        <v>0</v>
      </c>
      <c r="JJ33" s="539"/>
      <c r="JK33" s="541" t="str">
        <f t="shared" si="88"/>
        <v>0</v>
      </c>
      <c r="JL33" s="541" t="str">
        <f t="shared" si="89"/>
        <v>0</v>
      </c>
      <c r="JM33" s="539"/>
      <c r="JN33" s="541" t="str">
        <f t="shared" si="90"/>
        <v>0</v>
      </c>
      <c r="JO33" s="541" t="str">
        <f t="shared" si="91"/>
        <v>0</v>
      </c>
      <c r="JP33" s="539"/>
      <c r="JQ33" s="541" t="str">
        <f t="shared" si="92"/>
        <v>0</v>
      </c>
      <c r="JR33" s="541" t="str">
        <f t="shared" si="93"/>
        <v>0</v>
      </c>
      <c r="JS33" s="539"/>
      <c r="JT33" s="541" t="str">
        <f t="shared" si="94"/>
        <v>0</v>
      </c>
      <c r="JU33" s="541" t="str">
        <f t="shared" si="95"/>
        <v>0</v>
      </c>
      <c r="JV33" s="539"/>
      <c r="JW33" s="541" t="str">
        <f t="shared" si="96"/>
        <v>0</v>
      </c>
      <c r="JX33" s="541" t="str">
        <f t="shared" si="97"/>
        <v>0</v>
      </c>
      <c r="JY33" s="539"/>
      <c r="JZ33" s="541" t="str">
        <f t="shared" si="98"/>
        <v>0</v>
      </c>
      <c r="KA33" s="541" t="str">
        <f t="shared" si="99"/>
        <v>0</v>
      </c>
      <c r="KB33" s="539"/>
      <c r="KC33" s="541" t="str">
        <f t="shared" si="100"/>
        <v>0</v>
      </c>
      <c r="KD33" s="541" t="str">
        <f t="shared" si="101"/>
        <v>0</v>
      </c>
      <c r="KE33" s="539"/>
      <c r="KF33" s="541" t="str">
        <f t="shared" si="102"/>
        <v>0</v>
      </c>
      <c r="KG33" s="541" t="str">
        <f t="shared" si="103"/>
        <v>0</v>
      </c>
      <c r="KH33" s="539"/>
      <c r="KI33" s="541" t="str">
        <f t="shared" si="104"/>
        <v>0</v>
      </c>
      <c r="KJ33" s="541" t="str">
        <f t="shared" si="105"/>
        <v>0</v>
      </c>
      <c r="KK33" s="539"/>
      <c r="KL33" s="541" t="str">
        <f t="shared" si="106"/>
        <v>0</v>
      </c>
      <c r="KM33" s="541" t="str">
        <f t="shared" si="107"/>
        <v>0</v>
      </c>
      <c r="KN33" s="539"/>
      <c r="KO33" s="541" t="str">
        <f t="shared" si="108"/>
        <v>0</v>
      </c>
      <c r="KP33" s="541" t="str">
        <f t="shared" si="109"/>
        <v>0</v>
      </c>
      <c r="KQ33" s="539"/>
      <c r="KR33" s="541" t="str">
        <f t="shared" si="110"/>
        <v>0</v>
      </c>
      <c r="KS33" s="541" t="str">
        <f t="shared" si="111"/>
        <v>0</v>
      </c>
      <c r="KT33" s="541">
        <f t="shared" si="200"/>
        <v>0</v>
      </c>
      <c r="KU33" s="541">
        <f t="shared" si="201"/>
        <v>0</v>
      </c>
      <c r="KV33" s="275">
        <f t="shared" si="202"/>
        <v>420.57962168870858</v>
      </c>
    </row>
    <row r="34" spans="1:308" ht="15" customHeight="1">
      <c r="A34" s="277">
        <f t="shared" si="199"/>
        <v>45956</v>
      </c>
      <c r="B34" s="278" t="str">
        <f>+Report1!B34</f>
        <v>Facial</v>
      </c>
      <c r="C34" s="420" t="str">
        <f>+Report1!C34</f>
        <v>12/14</v>
      </c>
      <c r="D34" s="279">
        <f>+Report1!P34</f>
        <v>53.692999999999998</v>
      </c>
      <c r="E34" s="280">
        <f>+Report1!R34</f>
        <v>43.750999999999998</v>
      </c>
      <c r="F34" s="539">
        <v>0</v>
      </c>
      <c r="G34" s="540">
        <f t="shared" si="0"/>
        <v>0</v>
      </c>
      <c r="H34" s="541">
        <f t="shared" si="112"/>
        <v>0</v>
      </c>
      <c r="I34" s="539">
        <v>273.66709302325569</v>
      </c>
      <c r="J34" s="540">
        <f t="shared" si="1"/>
        <v>6.2551048667060343</v>
      </c>
      <c r="K34" s="541">
        <f t="shared" si="113"/>
        <v>0</v>
      </c>
      <c r="L34" s="539"/>
      <c r="M34" s="540">
        <f t="shared" si="2"/>
        <v>0</v>
      </c>
      <c r="N34" s="541">
        <f t="shared" si="114"/>
        <v>0</v>
      </c>
      <c r="O34" s="539">
        <v>9</v>
      </c>
      <c r="P34" s="540">
        <f t="shared" si="3"/>
        <v>0.20570958378094217</v>
      </c>
      <c r="Q34" s="541">
        <f t="shared" si="115"/>
        <v>0</v>
      </c>
      <c r="R34" s="539"/>
      <c r="S34" s="540">
        <f t="shared" si="4"/>
        <v>0</v>
      </c>
      <c r="T34" s="541">
        <f t="shared" si="116"/>
        <v>0</v>
      </c>
      <c r="U34" s="539">
        <v>7.6875</v>
      </c>
      <c r="V34" s="540">
        <f t="shared" si="5"/>
        <v>0.17571026947955476</v>
      </c>
      <c r="W34" s="541">
        <f t="shared" si="117"/>
        <v>0</v>
      </c>
      <c r="X34" s="539"/>
      <c r="Y34" s="540">
        <f t="shared" si="6"/>
        <v>0</v>
      </c>
      <c r="Z34" s="541">
        <f t="shared" si="118"/>
        <v>0</v>
      </c>
      <c r="AA34" s="539"/>
      <c r="AB34" s="540">
        <f t="shared" si="7"/>
        <v>0</v>
      </c>
      <c r="AC34" s="541">
        <f t="shared" si="119"/>
        <v>0</v>
      </c>
      <c r="AD34" s="539"/>
      <c r="AE34" s="540">
        <f t="shared" si="8"/>
        <v>0</v>
      </c>
      <c r="AF34" s="541">
        <f t="shared" si="120"/>
        <v>0</v>
      </c>
      <c r="AG34" s="539"/>
      <c r="AH34" s="540">
        <f t="shared" si="9"/>
        <v>0</v>
      </c>
      <c r="AI34" s="541">
        <f t="shared" si="121"/>
        <v>0</v>
      </c>
      <c r="AJ34" s="539">
        <v>0</v>
      </c>
      <c r="AK34" s="540">
        <f t="shared" si="10"/>
        <v>0</v>
      </c>
      <c r="AL34" s="541">
        <f t="shared" si="122"/>
        <v>0</v>
      </c>
      <c r="AM34" s="539">
        <v>0</v>
      </c>
      <c r="AN34" s="540">
        <f t="shared" si="11"/>
        <v>0</v>
      </c>
      <c r="AO34" s="541">
        <f t="shared" si="123"/>
        <v>0</v>
      </c>
      <c r="AP34" s="539">
        <v>45.569620253164544</v>
      </c>
      <c r="AQ34" s="540">
        <f t="shared" si="12"/>
        <v>1.0415675128148967</v>
      </c>
      <c r="AR34" s="541">
        <f t="shared" si="124"/>
        <v>0</v>
      </c>
      <c r="AS34" s="539"/>
      <c r="AT34" s="540">
        <f t="shared" si="13"/>
        <v>0</v>
      </c>
      <c r="AU34" s="541">
        <f t="shared" si="125"/>
        <v>0</v>
      </c>
      <c r="AV34" s="539">
        <v>4.1625000000000014</v>
      </c>
      <c r="AW34" s="540">
        <f t="shared" si="14"/>
        <v>9.5140682498685777E-2</v>
      </c>
      <c r="AX34" s="541">
        <f t="shared" si="126"/>
        <v>0</v>
      </c>
      <c r="AY34" s="539">
        <v>56</v>
      </c>
      <c r="AZ34" s="540">
        <f t="shared" si="15"/>
        <v>1.2799707435258623</v>
      </c>
      <c r="BA34" s="541">
        <f t="shared" si="127"/>
        <v>0</v>
      </c>
      <c r="BB34" s="539">
        <v>0</v>
      </c>
      <c r="BC34" s="540">
        <f t="shared" si="16"/>
        <v>0</v>
      </c>
      <c r="BD34" s="541">
        <f t="shared" si="128"/>
        <v>0</v>
      </c>
      <c r="BE34" s="539"/>
      <c r="BF34" s="540">
        <f t="shared" si="17"/>
        <v>0</v>
      </c>
      <c r="BG34" s="541">
        <f t="shared" si="129"/>
        <v>0</v>
      </c>
      <c r="BH34" s="539"/>
      <c r="BI34" s="540">
        <f t="shared" si="18"/>
        <v>0</v>
      </c>
      <c r="BJ34" s="541">
        <f t="shared" si="130"/>
        <v>0</v>
      </c>
      <c r="BK34" s="539"/>
      <c r="BL34" s="540">
        <f t="shared" si="19"/>
        <v>0</v>
      </c>
      <c r="BM34" s="541">
        <f t="shared" si="131"/>
        <v>0</v>
      </c>
      <c r="BN34" s="539">
        <v>8.8580246913580254</v>
      </c>
      <c r="BO34" s="540">
        <f t="shared" si="20"/>
        <v>0.20246450804228533</v>
      </c>
      <c r="BP34" s="541">
        <f t="shared" si="132"/>
        <v>0</v>
      </c>
      <c r="BQ34" s="539">
        <v>0</v>
      </c>
      <c r="BR34" s="540">
        <f t="shared" si="21"/>
        <v>0</v>
      </c>
      <c r="BS34" s="541">
        <f t="shared" si="133"/>
        <v>0</v>
      </c>
      <c r="BT34" s="539"/>
      <c r="BU34" s="540">
        <f t="shared" si="22"/>
        <v>0</v>
      </c>
      <c r="BV34" s="541">
        <f t="shared" si="134"/>
        <v>0</v>
      </c>
      <c r="BW34" s="539">
        <v>0</v>
      </c>
      <c r="BX34" s="540">
        <f t="shared" si="23"/>
        <v>0</v>
      </c>
      <c r="BY34" s="541">
        <f t="shared" si="135"/>
        <v>0</v>
      </c>
      <c r="BZ34" s="539"/>
      <c r="CA34" s="540">
        <f t="shared" si="24"/>
        <v>0</v>
      </c>
      <c r="CB34" s="541">
        <f t="shared" si="136"/>
        <v>0</v>
      </c>
      <c r="CC34" s="539">
        <v>0</v>
      </c>
      <c r="CD34" s="540">
        <f t="shared" si="25"/>
        <v>0</v>
      </c>
      <c r="CE34" s="541">
        <f t="shared" si="137"/>
        <v>0</v>
      </c>
      <c r="CF34" s="539">
        <v>0.10000000000000003</v>
      </c>
      <c r="CG34" s="540">
        <f t="shared" si="26"/>
        <v>2.2856620420104693E-3</v>
      </c>
      <c r="CH34" s="541">
        <f t="shared" si="138"/>
        <v>0</v>
      </c>
      <c r="CI34" s="539"/>
      <c r="CJ34" s="540">
        <f t="shared" si="27"/>
        <v>0</v>
      </c>
      <c r="CK34" s="541">
        <f t="shared" si="139"/>
        <v>0</v>
      </c>
      <c r="CL34" s="539"/>
      <c r="CM34" s="540">
        <f t="shared" si="28"/>
        <v>0</v>
      </c>
      <c r="CN34" s="541">
        <f t="shared" si="140"/>
        <v>0</v>
      </c>
      <c r="CO34" s="539"/>
      <c r="CP34" s="540">
        <f t="shared" si="29"/>
        <v>0</v>
      </c>
      <c r="CQ34" s="541">
        <f t="shared" si="141"/>
        <v>0</v>
      </c>
      <c r="CR34" s="539"/>
      <c r="CS34" s="540">
        <f t="shared" si="30"/>
        <v>0</v>
      </c>
      <c r="CT34" s="541">
        <f t="shared" si="142"/>
        <v>0</v>
      </c>
      <c r="CU34" s="539"/>
      <c r="CV34" s="540">
        <f t="shared" si="31"/>
        <v>0</v>
      </c>
      <c r="CW34" s="541">
        <f t="shared" si="143"/>
        <v>0</v>
      </c>
      <c r="CX34" s="539"/>
      <c r="CY34" s="540">
        <f t="shared" si="32"/>
        <v>0</v>
      </c>
      <c r="CZ34" s="541">
        <f t="shared" si="144"/>
        <v>0</v>
      </c>
      <c r="DA34" s="539"/>
      <c r="DB34" s="540">
        <f t="shared" si="33"/>
        <v>0</v>
      </c>
      <c r="DC34" s="541">
        <f t="shared" si="145"/>
        <v>0</v>
      </c>
      <c r="DD34" s="539"/>
      <c r="DE34" s="540">
        <f t="shared" si="34"/>
        <v>0</v>
      </c>
      <c r="DF34" s="541">
        <f t="shared" si="146"/>
        <v>0</v>
      </c>
      <c r="DG34" s="539">
        <v>0</v>
      </c>
      <c r="DH34" s="540">
        <f t="shared" si="35"/>
        <v>0</v>
      </c>
      <c r="DI34" s="541">
        <f t="shared" si="203"/>
        <v>0</v>
      </c>
      <c r="DJ34" s="539"/>
      <c r="DK34" s="540">
        <f t="shared" si="36"/>
        <v>0</v>
      </c>
      <c r="DL34" s="541">
        <f t="shared" si="147"/>
        <v>0</v>
      </c>
      <c r="DM34" s="539"/>
      <c r="DN34" s="540">
        <f t="shared" si="37"/>
        <v>0</v>
      </c>
      <c r="DO34" s="541">
        <f t="shared" si="148"/>
        <v>0</v>
      </c>
      <c r="DP34" s="539"/>
      <c r="DQ34" s="540">
        <f t="shared" si="38"/>
        <v>0</v>
      </c>
      <c r="DR34" s="541">
        <f t="shared" si="149"/>
        <v>0</v>
      </c>
      <c r="DS34" s="539"/>
      <c r="DT34" s="540">
        <f t="shared" si="39"/>
        <v>0</v>
      </c>
      <c r="DU34" s="541">
        <f t="shared" si="150"/>
        <v>0</v>
      </c>
      <c r="DV34" s="539"/>
      <c r="DW34" s="540">
        <f t="shared" si="40"/>
        <v>0</v>
      </c>
      <c r="DX34" s="541">
        <f t="shared" si="151"/>
        <v>0</v>
      </c>
      <c r="DY34" s="539"/>
      <c r="DZ34" s="540">
        <f t="shared" si="41"/>
        <v>0</v>
      </c>
      <c r="EA34" s="541">
        <f t="shared" si="152"/>
        <v>0</v>
      </c>
      <c r="EB34" s="539">
        <v>14.534883720930281</v>
      </c>
      <c r="EC34" s="540">
        <f t="shared" si="42"/>
        <v>0.33221832005966223</v>
      </c>
      <c r="ED34" s="541">
        <f t="shared" si="153"/>
        <v>0</v>
      </c>
      <c r="EE34" s="539">
        <v>1</v>
      </c>
      <c r="EF34" s="540">
        <f t="shared" si="43"/>
        <v>2.2856620420104685E-2</v>
      </c>
      <c r="EG34" s="541">
        <f t="shared" si="154"/>
        <v>0</v>
      </c>
      <c r="EH34" s="539"/>
      <c r="EI34" s="540">
        <f t="shared" si="44"/>
        <v>0</v>
      </c>
      <c r="EJ34" s="541">
        <f t="shared" si="155"/>
        <v>0</v>
      </c>
      <c r="EK34" s="539"/>
      <c r="EL34" s="540">
        <f t="shared" si="45"/>
        <v>0</v>
      </c>
      <c r="EM34" s="541">
        <f t="shared" si="156"/>
        <v>0</v>
      </c>
      <c r="EN34" s="539"/>
      <c r="EO34" s="540">
        <f t="shared" si="46"/>
        <v>0</v>
      </c>
      <c r="EP34" s="541">
        <f t="shared" si="157"/>
        <v>0</v>
      </c>
      <c r="EQ34" s="539"/>
      <c r="ER34" s="540">
        <f t="shared" si="47"/>
        <v>0</v>
      </c>
      <c r="ES34" s="541">
        <f t="shared" si="158"/>
        <v>0</v>
      </c>
      <c r="ET34" s="539"/>
      <c r="EU34" s="540">
        <f t="shared" si="48"/>
        <v>0</v>
      </c>
      <c r="EV34" s="541">
        <f t="shared" si="159"/>
        <v>0</v>
      </c>
      <c r="EW34" s="539"/>
      <c r="EX34" s="540">
        <f t="shared" si="49"/>
        <v>0</v>
      </c>
      <c r="EY34" s="541">
        <f t="shared" si="160"/>
        <v>0</v>
      </c>
      <c r="EZ34" s="539"/>
      <c r="FA34" s="540">
        <f t="shared" si="50"/>
        <v>0</v>
      </c>
      <c r="FB34" s="541">
        <f t="shared" si="161"/>
        <v>0</v>
      </c>
      <c r="FC34" s="539"/>
      <c r="FD34" s="540">
        <f t="shared" si="51"/>
        <v>0</v>
      </c>
      <c r="FE34" s="541">
        <f t="shared" si="162"/>
        <v>0</v>
      </c>
      <c r="FF34" s="539"/>
      <c r="FG34" s="540">
        <f t="shared" si="52"/>
        <v>0</v>
      </c>
      <c r="FH34" s="541">
        <f t="shared" si="163"/>
        <v>0</v>
      </c>
      <c r="FI34" s="539"/>
      <c r="FJ34" s="540">
        <f t="shared" si="53"/>
        <v>0</v>
      </c>
      <c r="FK34" s="541">
        <f t="shared" si="164"/>
        <v>0</v>
      </c>
      <c r="FL34" s="539"/>
      <c r="FM34" s="540">
        <f t="shared" si="54"/>
        <v>0</v>
      </c>
      <c r="FN34" s="541">
        <f t="shared" si="165"/>
        <v>0</v>
      </c>
      <c r="FO34" s="539"/>
      <c r="FP34" s="540">
        <f t="shared" si="55"/>
        <v>0</v>
      </c>
      <c r="FQ34" s="541">
        <f t="shared" si="166"/>
        <v>0</v>
      </c>
      <c r="FR34" s="539"/>
      <c r="FS34" s="540">
        <f t="shared" si="56"/>
        <v>0</v>
      </c>
      <c r="FT34" s="541">
        <f t="shared" si="167"/>
        <v>0</v>
      </c>
      <c r="FU34" s="539"/>
      <c r="FV34" s="540">
        <f t="shared" si="57"/>
        <v>0</v>
      </c>
      <c r="FW34" s="541">
        <f t="shared" si="168"/>
        <v>0</v>
      </c>
      <c r="FX34" s="539"/>
      <c r="FY34" s="540">
        <f t="shared" si="58"/>
        <v>0</v>
      </c>
      <c r="FZ34" s="541">
        <f t="shared" si="169"/>
        <v>0</v>
      </c>
      <c r="GA34" s="539"/>
      <c r="GB34" s="540">
        <f t="shared" si="59"/>
        <v>0</v>
      </c>
      <c r="GC34" s="541">
        <f t="shared" si="170"/>
        <v>0</v>
      </c>
      <c r="GD34" s="539"/>
      <c r="GE34" s="540">
        <f t="shared" si="60"/>
        <v>0</v>
      </c>
      <c r="GF34" s="541">
        <f t="shared" si="171"/>
        <v>0</v>
      </c>
      <c r="GG34" s="539"/>
      <c r="GH34" s="540">
        <f t="shared" si="61"/>
        <v>0</v>
      </c>
      <c r="GI34" s="541">
        <f t="shared" si="172"/>
        <v>0</v>
      </c>
      <c r="GJ34" s="539"/>
      <c r="GK34" s="540">
        <f t="shared" si="62"/>
        <v>0</v>
      </c>
      <c r="GL34" s="541">
        <f t="shared" si="173"/>
        <v>0</v>
      </c>
      <c r="GM34" s="539"/>
      <c r="GN34" s="540">
        <f t="shared" si="63"/>
        <v>0</v>
      </c>
      <c r="GO34" s="541">
        <f t="shared" si="174"/>
        <v>0</v>
      </c>
      <c r="GP34" s="539"/>
      <c r="GQ34" s="540">
        <f t="shared" si="64"/>
        <v>0</v>
      </c>
      <c r="GR34" s="541">
        <f t="shared" si="175"/>
        <v>0</v>
      </c>
      <c r="GS34" s="539"/>
      <c r="GT34" s="540">
        <f t="shared" si="65"/>
        <v>0</v>
      </c>
      <c r="GU34" s="541">
        <f t="shared" si="176"/>
        <v>0</v>
      </c>
      <c r="GV34" s="539"/>
      <c r="GW34" s="540">
        <f t="shared" si="66"/>
        <v>0</v>
      </c>
      <c r="GX34" s="541">
        <f t="shared" si="177"/>
        <v>0</v>
      </c>
      <c r="GY34" s="539"/>
      <c r="GZ34" s="540">
        <f t="shared" si="67"/>
        <v>0</v>
      </c>
      <c r="HA34" s="541">
        <f t="shared" si="178"/>
        <v>0</v>
      </c>
      <c r="HB34" s="539"/>
      <c r="HC34" s="540">
        <f t="shared" si="68"/>
        <v>0</v>
      </c>
      <c r="HD34" s="541">
        <f t="shared" si="179"/>
        <v>0</v>
      </c>
      <c r="HE34" s="539"/>
      <c r="HF34" s="540">
        <f t="shared" si="69"/>
        <v>0</v>
      </c>
      <c r="HG34" s="541">
        <f t="shared" si="180"/>
        <v>0</v>
      </c>
      <c r="HH34" s="539"/>
      <c r="HI34" s="540">
        <f t="shared" si="70"/>
        <v>0</v>
      </c>
      <c r="HJ34" s="541">
        <f t="shared" si="181"/>
        <v>0</v>
      </c>
      <c r="HK34" s="539"/>
      <c r="HL34" s="540">
        <f t="shared" si="71"/>
        <v>0</v>
      </c>
      <c r="HM34" s="541">
        <f t="shared" si="182"/>
        <v>0</v>
      </c>
      <c r="HN34" s="539"/>
      <c r="HO34" s="540">
        <f t="shared" si="72"/>
        <v>0</v>
      </c>
      <c r="HP34" s="541">
        <f t="shared" si="183"/>
        <v>0</v>
      </c>
      <c r="HQ34" s="539"/>
      <c r="HR34" s="540">
        <f t="shared" si="73"/>
        <v>0</v>
      </c>
      <c r="HS34" s="541">
        <f t="shared" si="184"/>
        <v>0</v>
      </c>
      <c r="HT34" s="539"/>
      <c r="HU34" s="540">
        <f t="shared" si="74"/>
        <v>0</v>
      </c>
      <c r="HV34" s="541">
        <f t="shared" si="185"/>
        <v>0</v>
      </c>
      <c r="HW34" s="539"/>
      <c r="HX34" s="540">
        <f t="shared" si="75"/>
        <v>0</v>
      </c>
      <c r="HY34" s="541">
        <f t="shared" si="186"/>
        <v>0</v>
      </c>
      <c r="HZ34" s="539"/>
      <c r="IA34" s="540">
        <f t="shared" si="76"/>
        <v>0</v>
      </c>
      <c r="IB34" s="541">
        <f t="shared" si="187"/>
        <v>0</v>
      </c>
      <c r="IC34" s="539"/>
      <c r="ID34" s="540">
        <f t="shared" si="77"/>
        <v>0</v>
      </c>
      <c r="IE34" s="541">
        <f t="shared" si="188"/>
        <v>0</v>
      </c>
      <c r="IF34" s="539"/>
      <c r="IG34" s="540">
        <f t="shared" si="78"/>
        <v>0</v>
      </c>
      <c r="IH34" s="541">
        <f t="shared" si="189"/>
        <v>0</v>
      </c>
      <c r="II34" s="539"/>
      <c r="IJ34" s="540">
        <f t="shared" si="79"/>
        <v>0</v>
      </c>
      <c r="IK34" s="541">
        <f t="shared" si="190"/>
        <v>0</v>
      </c>
      <c r="IL34" s="539"/>
      <c r="IM34" s="540">
        <f t="shared" si="80"/>
        <v>0</v>
      </c>
      <c r="IN34" s="541">
        <f t="shared" si="191"/>
        <v>0</v>
      </c>
      <c r="IO34" s="539"/>
      <c r="IP34" s="540">
        <f t="shared" si="81"/>
        <v>0</v>
      </c>
      <c r="IQ34" s="541">
        <f t="shared" si="192"/>
        <v>0</v>
      </c>
      <c r="IR34" s="539"/>
      <c r="IS34" s="540">
        <f t="shared" si="82"/>
        <v>0</v>
      </c>
      <c r="IT34" s="541">
        <f t="shared" si="193"/>
        <v>0</v>
      </c>
      <c r="IU34" s="539"/>
      <c r="IV34" s="540">
        <f t="shared" si="83"/>
        <v>0</v>
      </c>
      <c r="IW34" s="541">
        <f t="shared" si="194"/>
        <v>0</v>
      </c>
      <c r="IX34" s="539"/>
      <c r="IY34" s="540">
        <f t="shared" si="84"/>
        <v>0</v>
      </c>
      <c r="IZ34" s="541">
        <f t="shared" si="195"/>
        <v>0</v>
      </c>
      <c r="JA34" s="539"/>
      <c r="JB34" s="540">
        <f t="shared" si="85"/>
        <v>0</v>
      </c>
      <c r="JC34" s="541">
        <f t="shared" si="196"/>
        <v>0</v>
      </c>
      <c r="JD34" s="539"/>
      <c r="JE34" s="540">
        <f t="shared" si="86"/>
        <v>0</v>
      </c>
      <c r="JF34" s="541">
        <f t="shared" si="197"/>
        <v>0</v>
      </c>
      <c r="JG34" s="539"/>
      <c r="JH34" s="540">
        <f t="shared" si="87"/>
        <v>0</v>
      </c>
      <c r="JI34" s="541">
        <f t="shared" si="198"/>
        <v>0</v>
      </c>
      <c r="JJ34" s="539"/>
      <c r="JK34" s="541" t="str">
        <f t="shared" si="88"/>
        <v>0</v>
      </c>
      <c r="JL34" s="541" t="str">
        <f t="shared" si="89"/>
        <v>0</v>
      </c>
      <c r="JM34" s="539"/>
      <c r="JN34" s="541" t="str">
        <f t="shared" si="90"/>
        <v>0</v>
      </c>
      <c r="JO34" s="541" t="str">
        <f t="shared" si="91"/>
        <v>0</v>
      </c>
      <c r="JP34" s="539"/>
      <c r="JQ34" s="541" t="str">
        <f t="shared" si="92"/>
        <v>0</v>
      </c>
      <c r="JR34" s="541" t="str">
        <f t="shared" si="93"/>
        <v>0</v>
      </c>
      <c r="JS34" s="539"/>
      <c r="JT34" s="541" t="str">
        <f t="shared" si="94"/>
        <v>0</v>
      </c>
      <c r="JU34" s="541" t="str">
        <f t="shared" si="95"/>
        <v>0</v>
      </c>
      <c r="JV34" s="539"/>
      <c r="JW34" s="541" t="str">
        <f t="shared" si="96"/>
        <v>0</v>
      </c>
      <c r="JX34" s="541" t="str">
        <f t="shared" si="97"/>
        <v>0</v>
      </c>
      <c r="JY34" s="539"/>
      <c r="JZ34" s="541" t="str">
        <f t="shared" si="98"/>
        <v>0</v>
      </c>
      <c r="KA34" s="541" t="str">
        <f t="shared" si="99"/>
        <v>0</v>
      </c>
      <c r="KB34" s="539"/>
      <c r="KC34" s="541" t="str">
        <f t="shared" si="100"/>
        <v>0</v>
      </c>
      <c r="KD34" s="541" t="str">
        <f t="shared" si="101"/>
        <v>0</v>
      </c>
      <c r="KE34" s="539"/>
      <c r="KF34" s="541" t="str">
        <f t="shared" si="102"/>
        <v>0</v>
      </c>
      <c r="KG34" s="541" t="str">
        <f t="shared" si="103"/>
        <v>0</v>
      </c>
      <c r="KH34" s="539"/>
      <c r="KI34" s="541" t="str">
        <f t="shared" si="104"/>
        <v>0</v>
      </c>
      <c r="KJ34" s="541" t="str">
        <f t="shared" si="105"/>
        <v>0</v>
      </c>
      <c r="KK34" s="539"/>
      <c r="KL34" s="541" t="str">
        <f t="shared" si="106"/>
        <v>0</v>
      </c>
      <c r="KM34" s="541" t="str">
        <f t="shared" si="107"/>
        <v>0</v>
      </c>
      <c r="KN34" s="539"/>
      <c r="KO34" s="541" t="str">
        <f t="shared" si="108"/>
        <v>0</v>
      </c>
      <c r="KP34" s="541" t="str">
        <f t="shared" si="109"/>
        <v>0</v>
      </c>
      <c r="KQ34" s="539"/>
      <c r="KR34" s="541" t="str">
        <f t="shared" si="110"/>
        <v>0</v>
      </c>
      <c r="KS34" s="541" t="str">
        <f t="shared" si="111"/>
        <v>0</v>
      </c>
      <c r="KT34" s="541">
        <f t="shared" si="200"/>
        <v>0</v>
      </c>
      <c r="KU34" s="541">
        <f t="shared" si="201"/>
        <v>0</v>
      </c>
      <c r="KV34" s="275">
        <f t="shared" si="202"/>
        <v>420.57962168870858</v>
      </c>
    </row>
    <row r="35" spans="1:308" ht="15" customHeight="1">
      <c r="A35" s="277">
        <f t="shared" si="199"/>
        <v>45957</v>
      </c>
      <c r="B35" s="278" t="str">
        <f>+Report1!B35</f>
        <v>Facial</v>
      </c>
      <c r="C35" s="420" t="str">
        <f>+Report1!C35</f>
        <v>14</v>
      </c>
      <c r="D35" s="279">
        <f>+Report1!P35</f>
        <v>57.25</v>
      </c>
      <c r="E35" s="280">
        <f>+Report1!R35</f>
        <v>51.003999999999998</v>
      </c>
      <c r="F35" s="539">
        <v>0</v>
      </c>
      <c r="G35" s="540">
        <f t="shared" si="0"/>
        <v>0</v>
      </c>
      <c r="H35" s="541">
        <f t="shared" si="112"/>
        <v>0</v>
      </c>
      <c r="I35" s="539">
        <v>290.69767441860472</v>
      </c>
      <c r="J35" s="540">
        <f t="shared" si="1"/>
        <v>5.699507380178118</v>
      </c>
      <c r="K35" s="541">
        <f t="shared" si="113"/>
        <v>0</v>
      </c>
      <c r="L35" s="539"/>
      <c r="M35" s="540">
        <f t="shared" si="2"/>
        <v>0</v>
      </c>
      <c r="N35" s="541">
        <f t="shared" si="114"/>
        <v>0</v>
      </c>
      <c r="O35" s="539">
        <v>9</v>
      </c>
      <c r="P35" s="540">
        <f t="shared" si="3"/>
        <v>0.17645674849031448</v>
      </c>
      <c r="Q35" s="541">
        <f t="shared" si="115"/>
        <v>0</v>
      </c>
      <c r="R35" s="539"/>
      <c r="S35" s="540">
        <f t="shared" si="4"/>
        <v>0</v>
      </c>
      <c r="T35" s="541">
        <f t="shared" si="116"/>
        <v>0</v>
      </c>
      <c r="U35" s="539">
        <v>5.1249999999999716</v>
      </c>
      <c r="V35" s="540">
        <f t="shared" si="5"/>
        <v>0.10048231511253965</v>
      </c>
      <c r="W35" s="541">
        <f t="shared" si="117"/>
        <v>0</v>
      </c>
      <c r="X35" s="539"/>
      <c r="Y35" s="540">
        <f t="shared" si="6"/>
        <v>0</v>
      </c>
      <c r="Z35" s="541">
        <f t="shared" si="118"/>
        <v>0</v>
      </c>
      <c r="AA35" s="539"/>
      <c r="AB35" s="540">
        <f t="shared" si="7"/>
        <v>0</v>
      </c>
      <c r="AC35" s="541">
        <f t="shared" si="119"/>
        <v>0</v>
      </c>
      <c r="AD35" s="539"/>
      <c r="AE35" s="540">
        <f t="shared" si="8"/>
        <v>0</v>
      </c>
      <c r="AF35" s="541">
        <f t="shared" si="120"/>
        <v>0</v>
      </c>
      <c r="AG35" s="539"/>
      <c r="AH35" s="540">
        <f t="shared" si="9"/>
        <v>0</v>
      </c>
      <c r="AI35" s="541">
        <f t="shared" si="121"/>
        <v>0</v>
      </c>
      <c r="AJ35" s="539">
        <v>14.687499999999993</v>
      </c>
      <c r="AK35" s="540">
        <f t="shared" si="10"/>
        <v>0.28796761038349922</v>
      </c>
      <c r="AL35" s="541">
        <f t="shared" si="122"/>
        <v>0</v>
      </c>
      <c r="AM35" s="539">
        <v>0</v>
      </c>
      <c r="AN35" s="540">
        <f t="shared" si="11"/>
        <v>0</v>
      </c>
      <c r="AO35" s="541">
        <f t="shared" si="123"/>
        <v>0</v>
      </c>
      <c r="AP35" s="539">
        <v>51.265822784810155</v>
      </c>
      <c r="AQ35" s="540">
        <f t="shared" si="12"/>
        <v>1.0051333774764755</v>
      </c>
      <c r="AR35" s="541">
        <f t="shared" si="124"/>
        <v>0</v>
      </c>
      <c r="AS35" s="539"/>
      <c r="AT35" s="540">
        <f t="shared" si="13"/>
        <v>0</v>
      </c>
      <c r="AU35" s="541">
        <f t="shared" si="125"/>
        <v>0</v>
      </c>
      <c r="AV35" s="539">
        <v>2.7749999999999915</v>
      </c>
      <c r="AW35" s="540">
        <f t="shared" si="14"/>
        <v>5.4407497451180134E-2</v>
      </c>
      <c r="AX35" s="541">
        <f t="shared" si="126"/>
        <v>0</v>
      </c>
      <c r="AY35" s="539">
        <v>53.666666666666686</v>
      </c>
      <c r="AZ35" s="540">
        <f t="shared" si="15"/>
        <v>1.0522050558126164</v>
      </c>
      <c r="BA35" s="541">
        <f t="shared" si="127"/>
        <v>0</v>
      </c>
      <c r="BB35" s="539">
        <v>0</v>
      </c>
      <c r="BC35" s="540">
        <f t="shared" si="16"/>
        <v>0</v>
      </c>
      <c r="BD35" s="541">
        <f t="shared" si="128"/>
        <v>0</v>
      </c>
      <c r="BE35" s="539"/>
      <c r="BF35" s="540">
        <f t="shared" si="17"/>
        <v>0</v>
      </c>
      <c r="BG35" s="541">
        <f t="shared" si="129"/>
        <v>0</v>
      </c>
      <c r="BH35" s="539"/>
      <c r="BI35" s="540">
        <f t="shared" si="18"/>
        <v>0</v>
      </c>
      <c r="BJ35" s="541">
        <f t="shared" si="130"/>
        <v>0</v>
      </c>
      <c r="BK35" s="539"/>
      <c r="BL35" s="540">
        <f t="shared" si="19"/>
        <v>0</v>
      </c>
      <c r="BM35" s="541">
        <f t="shared" si="131"/>
        <v>0</v>
      </c>
      <c r="BN35" s="539">
        <v>12.654320987654323</v>
      </c>
      <c r="BO35" s="540">
        <f t="shared" si="20"/>
        <v>0.24810448175935856</v>
      </c>
      <c r="BP35" s="541">
        <f t="shared" si="132"/>
        <v>0</v>
      </c>
      <c r="BQ35" s="539">
        <v>0</v>
      </c>
      <c r="BR35" s="540">
        <f t="shared" si="21"/>
        <v>0</v>
      </c>
      <c r="BS35" s="541">
        <f t="shared" si="133"/>
        <v>0</v>
      </c>
      <c r="BT35" s="539"/>
      <c r="BU35" s="540">
        <f t="shared" si="22"/>
        <v>0</v>
      </c>
      <c r="BV35" s="541">
        <f t="shared" si="134"/>
        <v>0</v>
      </c>
      <c r="BW35" s="539">
        <v>0</v>
      </c>
      <c r="BX35" s="540">
        <f t="shared" si="23"/>
        <v>0</v>
      </c>
      <c r="BY35" s="541">
        <f t="shared" si="135"/>
        <v>0</v>
      </c>
      <c r="BZ35" s="539"/>
      <c r="CA35" s="540">
        <f t="shared" si="24"/>
        <v>0</v>
      </c>
      <c r="CB35" s="541">
        <f t="shared" si="136"/>
        <v>0</v>
      </c>
      <c r="CC35" s="539">
        <v>0</v>
      </c>
      <c r="CD35" s="540">
        <f t="shared" si="25"/>
        <v>0</v>
      </c>
      <c r="CE35" s="541">
        <f t="shared" si="137"/>
        <v>0</v>
      </c>
      <c r="CF35" s="539">
        <v>9.9999999999999978E-2</v>
      </c>
      <c r="CG35" s="540">
        <f t="shared" si="26"/>
        <v>1.9606305387812719E-3</v>
      </c>
      <c r="CH35" s="541">
        <f t="shared" si="138"/>
        <v>0</v>
      </c>
      <c r="CI35" s="539"/>
      <c r="CJ35" s="540">
        <f t="shared" si="27"/>
        <v>0</v>
      </c>
      <c r="CK35" s="541">
        <f t="shared" si="139"/>
        <v>0</v>
      </c>
      <c r="CL35" s="539"/>
      <c r="CM35" s="540">
        <f t="shared" si="28"/>
        <v>0</v>
      </c>
      <c r="CN35" s="541">
        <f t="shared" si="140"/>
        <v>0</v>
      </c>
      <c r="CO35" s="539"/>
      <c r="CP35" s="540">
        <f t="shared" si="29"/>
        <v>0</v>
      </c>
      <c r="CQ35" s="541">
        <f t="shared" si="141"/>
        <v>0</v>
      </c>
      <c r="CR35" s="539"/>
      <c r="CS35" s="540">
        <f t="shared" si="30"/>
        <v>0</v>
      </c>
      <c r="CT35" s="541">
        <f t="shared" si="142"/>
        <v>0</v>
      </c>
      <c r="CU35" s="539"/>
      <c r="CV35" s="540">
        <f t="shared" si="31"/>
        <v>0</v>
      </c>
      <c r="CW35" s="541">
        <f t="shared" si="143"/>
        <v>0</v>
      </c>
      <c r="CX35" s="539"/>
      <c r="CY35" s="540">
        <f t="shared" si="32"/>
        <v>0</v>
      </c>
      <c r="CZ35" s="541">
        <f t="shared" si="144"/>
        <v>0</v>
      </c>
      <c r="DA35" s="539"/>
      <c r="DB35" s="540">
        <f t="shared" si="33"/>
        <v>0</v>
      </c>
      <c r="DC35" s="541">
        <f t="shared" si="145"/>
        <v>0</v>
      </c>
      <c r="DD35" s="539"/>
      <c r="DE35" s="540">
        <f t="shared" si="34"/>
        <v>0</v>
      </c>
      <c r="DF35" s="541">
        <f t="shared" si="146"/>
        <v>0</v>
      </c>
      <c r="DG35" s="539">
        <v>0</v>
      </c>
      <c r="DH35" s="540">
        <f t="shared" si="35"/>
        <v>0</v>
      </c>
      <c r="DI35" s="541">
        <f t="shared" si="203"/>
        <v>0</v>
      </c>
      <c r="DJ35" s="539"/>
      <c r="DK35" s="540">
        <f t="shared" si="36"/>
        <v>0</v>
      </c>
      <c r="DL35" s="541">
        <f t="shared" si="147"/>
        <v>0</v>
      </c>
      <c r="DM35" s="539"/>
      <c r="DN35" s="540">
        <f t="shared" si="37"/>
        <v>0</v>
      </c>
      <c r="DO35" s="541">
        <f t="shared" si="148"/>
        <v>0</v>
      </c>
      <c r="DP35" s="539"/>
      <c r="DQ35" s="540">
        <f t="shared" si="38"/>
        <v>0</v>
      </c>
      <c r="DR35" s="541">
        <f t="shared" si="149"/>
        <v>0</v>
      </c>
      <c r="DS35" s="539"/>
      <c r="DT35" s="540">
        <f t="shared" si="39"/>
        <v>0</v>
      </c>
      <c r="DU35" s="541">
        <f t="shared" si="150"/>
        <v>0</v>
      </c>
      <c r="DV35" s="539"/>
      <c r="DW35" s="540">
        <f t="shared" si="40"/>
        <v>0</v>
      </c>
      <c r="DX35" s="541">
        <f t="shared" si="151"/>
        <v>0</v>
      </c>
      <c r="DY35" s="539"/>
      <c r="DZ35" s="540">
        <f t="shared" si="41"/>
        <v>0</v>
      </c>
      <c r="EA35" s="541">
        <f t="shared" si="152"/>
        <v>0</v>
      </c>
      <c r="EB35" s="539">
        <v>14.534883720930225</v>
      </c>
      <c r="EC35" s="540">
        <f t="shared" si="42"/>
        <v>0.28497536900890569</v>
      </c>
      <c r="ED35" s="541">
        <f t="shared" si="153"/>
        <v>0</v>
      </c>
      <c r="EE35" s="539">
        <v>1</v>
      </c>
      <c r="EF35" s="540">
        <f t="shared" si="43"/>
        <v>1.960630538781272E-2</v>
      </c>
      <c r="EG35" s="541">
        <f t="shared" si="154"/>
        <v>0</v>
      </c>
      <c r="EH35" s="539"/>
      <c r="EI35" s="540">
        <f t="shared" si="44"/>
        <v>0</v>
      </c>
      <c r="EJ35" s="541">
        <f t="shared" si="155"/>
        <v>0</v>
      </c>
      <c r="EK35" s="539"/>
      <c r="EL35" s="540">
        <f t="shared" si="45"/>
        <v>0</v>
      </c>
      <c r="EM35" s="541">
        <f t="shared" si="156"/>
        <v>0</v>
      </c>
      <c r="EN35" s="539"/>
      <c r="EO35" s="540">
        <f t="shared" si="46"/>
        <v>0</v>
      </c>
      <c r="EP35" s="541">
        <f t="shared" si="157"/>
        <v>0</v>
      </c>
      <c r="EQ35" s="539"/>
      <c r="ER35" s="540">
        <f t="shared" si="47"/>
        <v>0</v>
      </c>
      <c r="ES35" s="541">
        <f t="shared" si="158"/>
        <v>0</v>
      </c>
      <c r="ET35" s="539"/>
      <c r="EU35" s="540">
        <f t="shared" si="48"/>
        <v>0</v>
      </c>
      <c r="EV35" s="541">
        <f t="shared" si="159"/>
        <v>0</v>
      </c>
      <c r="EW35" s="539"/>
      <c r="EX35" s="540">
        <f t="shared" si="49"/>
        <v>0</v>
      </c>
      <c r="EY35" s="541">
        <f t="shared" si="160"/>
        <v>0</v>
      </c>
      <c r="EZ35" s="539"/>
      <c r="FA35" s="540">
        <f t="shared" si="50"/>
        <v>0</v>
      </c>
      <c r="FB35" s="541">
        <f t="shared" si="161"/>
        <v>0</v>
      </c>
      <c r="FC35" s="539"/>
      <c r="FD35" s="540">
        <f t="shared" si="51"/>
        <v>0</v>
      </c>
      <c r="FE35" s="541">
        <f t="shared" si="162"/>
        <v>0</v>
      </c>
      <c r="FF35" s="539"/>
      <c r="FG35" s="540">
        <f t="shared" si="52"/>
        <v>0</v>
      </c>
      <c r="FH35" s="541">
        <f t="shared" si="163"/>
        <v>0</v>
      </c>
      <c r="FI35" s="539"/>
      <c r="FJ35" s="540">
        <f t="shared" si="53"/>
        <v>0</v>
      </c>
      <c r="FK35" s="541">
        <f t="shared" si="164"/>
        <v>0</v>
      </c>
      <c r="FL35" s="539"/>
      <c r="FM35" s="540">
        <f t="shared" si="54"/>
        <v>0</v>
      </c>
      <c r="FN35" s="541">
        <f t="shared" si="165"/>
        <v>0</v>
      </c>
      <c r="FO35" s="539"/>
      <c r="FP35" s="540">
        <f t="shared" si="55"/>
        <v>0</v>
      </c>
      <c r="FQ35" s="541">
        <f t="shared" si="166"/>
        <v>0</v>
      </c>
      <c r="FR35" s="539"/>
      <c r="FS35" s="540">
        <f t="shared" si="56"/>
        <v>0</v>
      </c>
      <c r="FT35" s="541">
        <f t="shared" si="167"/>
        <v>0</v>
      </c>
      <c r="FU35" s="539"/>
      <c r="FV35" s="540">
        <f t="shared" si="57"/>
        <v>0</v>
      </c>
      <c r="FW35" s="541">
        <f t="shared" si="168"/>
        <v>0</v>
      </c>
      <c r="FX35" s="539"/>
      <c r="FY35" s="540">
        <f t="shared" si="58"/>
        <v>0</v>
      </c>
      <c r="FZ35" s="541">
        <f t="shared" si="169"/>
        <v>0</v>
      </c>
      <c r="GA35" s="539"/>
      <c r="GB35" s="540">
        <f t="shared" si="59"/>
        <v>0</v>
      </c>
      <c r="GC35" s="541">
        <f t="shared" si="170"/>
        <v>0</v>
      </c>
      <c r="GD35" s="539"/>
      <c r="GE35" s="540">
        <f t="shared" si="60"/>
        <v>0</v>
      </c>
      <c r="GF35" s="541">
        <f t="shared" si="171"/>
        <v>0</v>
      </c>
      <c r="GG35" s="539"/>
      <c r="GH35" s="540">
        <f t="shared" si="61"/>
        <v>0</v>
      </c>
      <c r="GI35" s="541">
        <f t="shared" si="172"/>
        <v>0</v>
      </c>
      <c r="GJ35" s="539"/>
      <c r="GK35" s="540">
        <f t="shared" si="62"/>
        <v>0</v>
      </c>
      <c r="GL35" s="541">
        <f t="shared" si="173"/>
        <v>0</v>
      </c>
      <c r="GM35" s="539"/>
      <c r="GN35" s="540">
        <f t="shared" si="63"/>
        <v>0</v>
      </c>
      <c r="GO35" s="541">
        <f t="shared" si="174"/>
        <v>0</v>
      </c>
      <c r="GP35" s="539"/>
      <c r="GQ35" s="540">
        <f t="shared" si="64"/>
        <v>0</v>
      </c>
      <c r="GR35" s="541">
        <f t="shared" si="175"/>
        <v>0</v>
      </c>
      <c r="GS35" s="539"/>
      <c r="GT35" s="540">
        <f t="shared" si="65"/>
        <v>0</v>
      </c>
      <c r="GU35" s="541">
        <f t="shared" si="176"/>
        <v>0</v>
      </c>
      <c r="GV35" s="539"/>
      <c r="GW35" s="540">
        <f t="shared" si="66"/>
        <v>0</v>
      </c>
      <c r="GX35" s="541">
        <f t="shared" si="177"/>
        <v>0</v>
      </c>
      <c r="GY35" s="539"/>
      <c r="GZ35" s="540">
        <f t="shared" si="67"/>
        <v>0</v>
      </c>
      <c r="HA35" s="541">
        <f t="shared" si="178"/>
        <v>0</v>
      </c>
      <c r="HB35" s="539"/>
      <c r="HC35" s="540">
        <f t="shared" si="68"/>
        <v>0</v>
      </c>
      <c r="HD35" s="541">
        <f t="shared" si="179"/>
        <v>0</v>
      </c>
      <c r="HE35" s="539"/>
      <c r="HF35" s="540">
        <f t="shared" si="69"/>
        <v>0</v>
      </c>
      <c r="HG35" s="541">
        <f t="shared" si="180"/>
        <v>0</v>
      </c>
      <c r="HH35" s="539"/>
      <c r="HI35" s="540">
        <f t="shared" si="70"/>
        <v>0</v>
      </c>
      <c r="HJ35" s="541">
        <f t="shared" si="181"/>
        <v>0</v>
      </c>
      <c r="HK35" s="539"/>
      <c r="HL35" s="540">
        <f t="shared" si="71"/>
        <v>0</v>
      </c>
      <c r="HM35" s="541">
        <f t="shared" si="182"/>
        <v>0</v>
      </c>
      <c r="HN35" s="539"/>
      <c r="HO35" s="540">
        <f t="shared" si="72"/>
        <v>0</v>
      </c>
      <c r="HP35" s="541">
        <f t="shared" si="183"/>
        <v>0</v>
      </c>
      <c r="HQ35" s="539"/>
      <c r="HR35" s="540">
        <f t="shared" si="73"/>
        <v>0</v>
      </c>
      <c r="HS35" s="541">
        <f t="shared" si="184"/>
        <v>0</v>
      </c>
      <c r="HT35" s="539"/>
      <c r="HU35" s="540">
        <f t="shared" si="74"/>
        <v>0</v>
      </c>
      <c r="HV35" s="541">
        <f t="shared" si="185"/>
        <v>0</v>
      </c>
      <c r="HW35" s="539"/>
      <c r="HX35" s="540">
        <f t="shared" si="75"/>
        <v>0</v>
      </c>
      <c r="HY35" s="541">
        <f t="shared" si="186"/>
        <v>0</v>
      </c>
      <c r="HZ35" s="539"/>
      <c r="IA35" s="540">
        <f t="shared" si="76"/>
        <v>0</v>
      </c>
      <c r="IB35" s="541">
        <f t="shared" si="187"/>
        <v>0</v>
      </c>
      <c r="IC35" s="539"/>
      <c r="ID35" s="540">
        <f t="shared" si="77"/>
        <v>0</v>
      </c>
      <c r="IE35" s="541">
        <f t="shared" si="188"/>
        <v>0</v>
      </c>
      <c r="IF35" s="539"/>
      <c r="IG35" s="540">
        <f t="shared" si="78"/>
        <v>0</v>
      </c>
      <c r="IH35" s="541">
        <f t="shared" si="189"/>
        <v>0</v>
      </c>
      <c r="II35" s="539"/>
      <c r="IJ35" s="540">
        <f t="shared" si="79"/>
        <v>0</v>
      </c>
      <c r="IK35" s="541">
        <f t="shared" si="190"/>
        <v>0</v>
      </c>
      <c r="IL35" s="539"/>
      <c r="IM35" s="540">
        <f t="shared" si="80"/>
        <v>0</v>
      </c>
      <c r="IN35" s="541">
        <f t="shared" si="191"/>
        <v>0</v>
      </c>
      <c r="IO35" s="539"/>
      <c r="IP35" s="540">
        <f t="shared" si="81"/>
        <v>0</v>
      </c>
      <c r="IQ35" s="541">
        <f t="shared" si="192"/>
        <v>0</v>
      </c>
      <c r="IR35" s="539"/>
      <c r="IS35" s="540">
        <f t="shared" si="82"/>
        <v>0</v>
      </c>
      <c r="IT35" s="541">
        <f t="shared" si="193"/>
        <v>0</v>
      </c>
      <c r="IU35" s="539"/>
      <c r="IV35" s="540">
        <f t="shared" si="83"/>
        <v>0</v>
      </c>
      <c r="IW35" s="541">
        <f t="shared" si="194"/>
        <v>0</v>
      </c>
      <c r="IX35" s="539"/>
      <c r="IY35" s="540">
        <f t="shared" si="84"/>
        <v>0</v>
      </c>
      <c r="IZ35" s="541">
        <f t="shared" si="195"/>
        <v>0</v>
      </c>
      <c r="JA35" s="539"/>
      <c r="JB35" s="540">
        <f t="shared" si="85"/>
        <v>0</v>
      </c>
      <c r="JC35" s="541">
        <f t="shared" si="196"/>
        <v>0</v>
      </c>
      <c r="JD35" s="539"/>
      <c r="JE35" s="540">
        <f t="shared" si="86"/>
        <v>0</v>
      </c>
      <c r="JF35" s="541">
        <f t="shared" si="197"/>
        <v>0</v>
      </c>
      <c r="JG35" s="539"/>
      <c r="JH35" s="540">
        <f t="shared" si="87"/>
        <v>0</v>
      </c>
      <c r="JI35" s="541">
        <f t="shared" si="198"/>
        <v>0</v>
      </c>
      <c r="JJ35" s="539"/>
      <c r="JK35" s="541" t="str">
        <f t="shared" si="88"/>
        <v>0</v>
      </c>
      <c r="JL35" s="541" t="str">
        <f t="shared" si="89"/>
        <v>0</v>
      </c>
      <c r="JM35" s="539"/>
      <c r="JN35" s="541" t="str">
        <f t="shared" si="90"/>
        <v>0</v>
      </c>
      <c r="JO35" s="541" t="str">
        <f t="shared" si="91"/>
        <v>0</v>
      </c>
      <c r="JP35" s="539"/>
      <c r="JQ35" s="541" t="str">
        <f t="shared" si="92"/>
        <v>0</v>
      </c>
      <c r="JR35" s="541" t="str">
        <f t="shared" si="93"/>
        <v>0</v>
      </c>
      <c r="JS35" s="539"/>
      <c r="JT35" s="541" t="str">
        <f t="shared" si="94"/>
        <v>0</v>
      </c>
      <c r="JU35" s="541" t="str">
        <f t="shared" si="95"/>
        <v>0</v>
      </c>
      <c r="JV35" s="539"/>
      <c r="JW35" s="541" t="str">
        <f t="shared" si="96"/>
        <v>0</v>
      </c>
      <c r="JX35" s="541" t="str">
        <f t="shared" si="97"/>
        <v>0</v>
      </c>
      <c r="JY35" s="539"/>
      <c r="JZ35" s="541" t="str">
        <f t="shared" si="98"/>
        <v>0</v>
      </c>
      <c r="KA35" s="541" t="str">
        <f t="shared" si="99"/>
        <v>0</v>
      </c>
      <c r="KB35" s="539"/>
      <c r="KC35" s="541" t="str">
        <f t="shared" si="100"/>
        <v>0</v>
      </c>
      <c r="KD35" s="541" t="str">
        <f t="shared" si="101"/>
        <v>0</v>
      </c>
      <c r="KE35" s="539"/>
      <c r="KF35" s="541" t="str">
        <f t="shared" si="102"/>
        <v>0</v>
      </c>
      <c r="KG35" s="541" t="str">
        <f t="shared" si="103"/>
        <v>0</v>
      </c>
      <c r="KH35" s="539"/>
      <c r="KI35" s="541" t="str">
        <f t="shared" si="104"/>
        <v>0</v>
      </c>
      <c r="KJ35" s="541" t="str">
        <f t="shared" si="105"/>
        <v>0</v>
      </c>
      <c r="KK35" s="539"/>
      <c r="KL35" s="541" t="str">
        <f t="shared" si="106"/>
        <v>0</v>
      </c>
      <c r="KM35" s="541" t="str">
        <f t="shared" si="107"/>
        <v>0</v>
      </c>
      <c r="KN35" s="539"/>
      <c r="KO35" s="541" t="str">
        <f t="shared" si="108"/>
        <v>0</v>
      </c>
      <c r="KP35" s="541" t="str">
        <f t="shared" si="109"/>
        <v>0</v>
      </c>
      <c r="KQ35" s="539"/>
      <c r="KR35" s="541" t="str">
        <f t="shared" si="110"/>
        <v>0</v>
      </c>
      <c r="KS35" s="541" t="str">
        <f t="shared" si="111"/>
        <v>0</v>
      </c>
      <c r="KT35" s="541">
        <f t="shared" si="200"/>
        <v>0</v>
      </c>
      <c r="KU35" s="541">
        <f t="shared" si="201"/>
        <v>0</v>
      </c>
      <c r="KV35" s="275">
        <f t="shared" si="202"/>
        <v>455.50686857866611</v>
      </c>
    </row>
    <row r="36" spans="1:308" ht="15" customHeight="1">
      <c r="A36" s="277">
        <f t="shared" si="199"/>
        <v>45958</v>
      </c>
      <c r="B36" s="278" t="str">
        <f>+Report1!B36</f>
        <v>Facial</v>
      </c>
      <c r="C36" s="420" t="str">
        <f>+Report1!C36</f>
        <v>14/13</v>
      </c>
      <c r="D36" s="279">
        <f>+Report1!P36</f>
        <v>55.466000000000001</v>
      </c>
      <c r="E36" s="280">
        <f>+Report1!R36</f>
        <v>48.39</v>
      </c>
      <c r="F36" s="539">
        <v>0</v>
      </c>
      <c r="G36" s="540">
        <f t="shared" si="0"/>
        <v>0</v>
      </c>
      <c r="H36" s="541">
        <f t="shared" si="112"/>
        <v>0</v>
      </c>
      <c r="I36" s="539">
        <v>325.58139534883719</v>
      </c>
      <c r="J36" s="540">
        <f t="shared" si="1"/>
        <v>6.7282784738342052</v>
      </c>
      <c r="K36" s="541">
        <f t="shared" si="113"/>
        <v>0</v>
      </c>
      <c r="L36" s="539"/>
      <c r="M36" s="540">
        <f t="shared" si="2"/>
        <v>0</v>
      </c>
      <c r="N36" s="541">
        <f t="shared" si="114"/>
        <v>0</v>
      </c>
      <c r="O36" s="539">
        <v>9</v>
      </c>
      <c r="P36" s="540">
        <f t="shared" si="3"/>
        <v>0.18598884066955981</v>
      </c>
      <c r="Q36" s="541">
        <f t="shared" si="115"/>
        <v>0</v>
      </c>
      <c r="R36" s="539"/>
      <c r="S36" s="540">
        <f t="shared" si="4"/>
        <v>0</v>
      </c>
      <c r="T36" s="541">
        <f t="shared" si="116"/>
        <v>0</v>
      </c>
      <c r="U36" s="539">
        <v>5.1250000000000284</v>
      </c>
      <c r="V36" s="540">
        <f t="shared" si="5"/>
        <v>0.10591031204794438</v>
      </c>
      <c r="W36" s="541">
        <f t="shared" si="117"/>
        <v>0</v>
      </c>
      <c r="X36" s="539"/>
      <c r="Y36" s="540">
        <f t="shared" si="6"/>
        <v>0</v>
      </c>
      <c r="Z36" s="541">
        <f t="shared" si="118"/>
        <v>0</v>
      </c>
      <c r="AA36" s="539"/>
      <c r="AB36" s="540">
        <f t="shared" si="7"/>
        <v>0</v>
      </c>
      <c r="AC36" s="541">
        <f t="shared" si="119"/>
        <v>0</v>
      </c>
      <c r="AD36" s="539"/>
      <c r="AE36" s="540">
        <f t="shared" si="8"/>
        <v>0</v>
      </c>
      <c r="AF36" s="541">
        <f t="shared" si="120"/>
        <v>0</v>
      </c>
      <c r="AG36" s="539"/>
      <c r="AH36" s="540">
        <f t="shared" si="9"/>
        <v>0</v>
      </c>
      <c r="AI36" s="541">
        <f t="shared" si="121"/>
        <v>0</v>
      </c>
      <c r="AJ36" s="539">
        <v>0</v>
      </c>
      <c r="AK36" s="540">
        <f t="shared" si="10"/>
        <v>0</v>
      </c>
      <c r="AL36" s="541">
        <f t="shared" si="122"/>
        <v>0</v>
      </c>
      <c r="AM36" s="539">
        <v>0</v>
      </c>
      <c r="AN36" s="540">
        <f t="shared" si="11"/>
        <v>0</v>
      </c>
      <c r="AO36" s="541">
        <f t="shared" si="123"/>
        <v>0</v>
      </c>
      <c r="AP36" s="539">
        <v>48.417721518987264</v>
      </c>
      <c r="AQ36" s="540">
        <f t="shared" si="12"/>
        <v>1.0005728770197824</v>
      </c>
      <c r="AR36" s="541">
        <f t="shared" si="124"/>
        <v>0</v>
      </c>
      <c r="AS36" s="539"/>
      <c r="AT36" s="540">
        <f t="shared" si="13"/>
        <v>0</v>
      </c>
      <c r="AU36" s="541">
        <f t="shared" si="125"/>
        <v>0</v>
      </c>
      <c r="AV36" s="539">
        <v>2.7750000000000057</v>
      </c>
      <c r="AW36" s="540">
        <f t="shared" si="14"/>
        <v>5.7346559206447732E-2</v>
      </c>
      <c r="AX36" s="541">
        <f t="shared" si="126"/>
        <v>0</v>
      </c>
      <c r="AY36" s="539">
        <v>58.333333333333314</v>
      </c>
      <c r="AZ36" s="540">
        <f t="shared" si="15"/>
        <v>1.2054832265619615</v>
      </c>
      <c r="BA36" s="541">
        <f t="shared" si="127"/>
        <v>0</v>
      </c>
      <c r="BB36" s="539">
        <v>0</v>
      </c>
      <c r="BC36" s="540">
        <f t="shared" si="16"/>
        <v>0</v>
      </c>
      <c r="BD36" s="541">
        <f t="shared" si="128"/>
        <v>0</v>
      </c>
      <c r="BE36" s="539"/>
      <c r="BF36" s="540">
        <f t="shared" si="17"/>
        <v>0</v>
      </c>
      <c r="BG36" s="541">
        <f t="shared" si="129"/>
        <v>0</v>
      </c>
      <c r="BH36" s="539"/>
      <c r="BI36" s="540">
        <f t="shared" si="18"/>
        <v>0</v>
      </c>
      <c r="BJ36" s="541">
        <f t="shared" si="130"/>
        <v>0</v>
      </c>
      <c r="BK36" s="539"/>
      <c r="BL36" s="540">
        <f t="shared" si="19"/>
        <v>0</v>
      </c>
      <c r="BM36" s="541">
        <f t="shared" si="131"/>
        <v>0</v>
      </c>
      <c r="BN36" s="539">
        <v>2.5308641975308639</v>
      </c>
      <c r="BO36" s="540">
        <f t="shared" si="20"/>
        <v>5.2301388665651247E-2</v>
      </c>
      <c r="BP36" s="541">
        <f t="shared" si="132"/>
        <v>0</v>
      </c>
      <c r="BQ36" s="539">
        <v>0</v>
      </c>
      <c r="BR36" s="540">
        <f t="shared" si="21"/>
        <v>0</v>
      </c>
      <c r="BS36" s="541">
        <f t="shared" si="133"/>
        <v>0</v>
      </c>
      <c r="BT36" s="539"/>
      <c r="BU36" s="540">
        <f t="shared" si="22"/>
        <v>0</v>
      </c>
      <c r="BV36" s="541">
        <f t="shared" si="134"/>
        <v>0</v>
      </c>
      <c r="BW36" s="539">
        <v>0</v>
      </c>
      <c r="BX36" s="540">
        <f t="shared" si="23"/>
        <v>0</v>
      </c>
      <c r="BY36" s="541">
        <f t="shared" si="135"/>
        <v>0</v>
      </c>
      <c r="BZ36" s="539"/>
      <c r="CA36" s="540">
        <f t="shared" si="24"/>
        <v>0</v>
      </c>
      <c r="CB36" s="541">
        <f t="shared" si="136"/>
        <v>0</v>
      </c>
      <c r="CC36" s="539">
        <v>0</v>
      </c>
      <c r="CD36" s="540">
        <f t="shared" si="25"/>
        <v>0</v>
      </c>
      <c r="CE36" s="541">
        <f t="shared" si="137"/>
        <v>0</v>
      </c>
      <c r="CF36" s="539">
        <v>0.10000000000000009</v>
      </c>
      <c r="CG36" s="540">
        <f t="shared" si="26"/>
        <v>2.066542674106222E-3</v>
      </c>
      <c r="CH36" s="541">
        <f t="shared" si="138"/>
        <v>0</v>
      </c>
      <c r="CI36" s="539"/>
      <c r="CJ36" s="540">
        <f t="shared" si="27"/>
        <v>0</v>
      </c>
      <c r="CK36" s="541">
        <f t="shared" si="139"/>
        <v>0</v>
      </c>
      <c r="CL36" s="539"/>
      <c r="CM36" s="540">
        <f t="shared" si="28"/>
        <v>0</v>
      </c>
      <c r="CN36" s="541">
        <f t="shared" si="140"/>
        <v>0</v>
      </c>
      <c r="CO36" s="539"/>
      <c r="CP36" s="540">
        <f t="shared" si="29"/>
        <v>0</v>
      </c>
      <c r="CQ36" s="541">
        <f t="shared" si="141"/>
        <v>0</v>
      </c>
      <c r="CR36" s="539"/>
      <c r="CS36" s="540">
        <f t="shared" si="30"/>
        <v>0</v>
      </c>
      <c r="CT36" s="541">
        <f t="shared" si="142"/>
        <v>0</v>
      </c>
      <c r="CU36" s="539"/>
      <c r="CV36" s="540">
        <f t="shared" si="31"/>
        <v>0</v>
      </c>
      <c r="CW36" s="541">
        <f t="shared" si="143"/>
        <v>0</v>
      </c>
      <c r="CX36" s="539"/>
      <c r="CY36" s="540">
        <f t="shared" si="32"/>
        <v>0</v>
      </c>
      <c r="CZ36" s="541">
        <f t="shared" si="144"/>
        <v>0</v>
      </c>
      <c r="DA36" s="539"/>
      <c r="DB36" s="540">
        <f t="shared" si="33"/>
        <v>0</v>
      </c>
      <c r="DC36" s="541">
        <f t="shared" si="145"/>
        <v>0</v>
      </c>
      <c r="DD36" s="539"/>
      <c r="DE36" s="540">
        <f t="shared" si="34"/>
        <v>0</v>
      </c>
      <c r="DF36" s="541">
        <f t="shared" si="146"/>
        <v>0</v>
      </c>
      <c r="DG36" s="539">
        <v>0</v>
      </c>
      <c r="DH36" s="540">
        <f t="shared" si="35"/>
        <v>0</v>
      </c>
      <c r="DI36" s="541">
        <f t="shared" si="203"/>
        <v>0</v>
      </c>
      <c r="DJ36" s="539"/>
      <c r="DK36" s="540">
        <f t="shared" si="36"/>
        <v>0</v>
      </c>
      <c r="DL36" s="541">
        <f t="shared" si="147"/>
        <v>0</v>
      </c>
      <c r="DM36" s="539"/>
      <c r="DN36" s="540">
        <f t="shared" si="37"/>
        <v>0</v>
      </c>
      <c r="DO36" s="541">
        <f t="shared" si="148"/>
        <v>0</v>
      </c>
      <c r="DP36" s="539"/>
      <c r="DQ36" s="540">
        <f t="shared" si="38"/>
        <v>0</v>
      </c>
      <c r="DR36" s="541">
        <f t="shared" si="149"/>
        <v>0</v>
      </c>
      <c r="DS36" s="539"/>
      <c r="DT36" s="540">
        <f t="shared" si="39"/>
        <v>0</v>
      </c>
      <c r="DU36" s="541">
        <f t="shared" si="150"/>
        <v>0</v>
      </c>
      <c r="DV36" s="539"/>
      <c r="DW36" s="540">
        <f t="shared" si="40"/>
        <v>0</v>
      </c>
      <c r="DX36" s="541">
        <f t="shared" si="151"/>
        <v>0</v>
      </c>
      <c r="DY36" s="539"/>
      <c r="DZ36" s="540">
        <f t="shared" si="41"/>
        <v>0</v>
      </c>
      <c r="EA36" s="541">
        <f t="shared" si="152"/>
        <v>0</v>
      </c>
      <c r="EB36" s="539">
        <v>14.534883720930225</v>
      </c>
      <c r="EC36" s="540">
        <f t="shared" si="42"/>
        <v>0.30036957472474113</v>
      </c>
      <c r="ED36" s="541">
        <f t="shared" si="153"/>
        <v>0</v>
      </c>
      <c r="EE36" s="539">
        <v>1</v>
      </c>
      <c r="EF36" s="540">
        <f t="shared" si="43"/>
        <v>2.0665426741062202E-2</v>
      </c>
      <c r="EG36" s="541">
        <f t="shared" si="154"/>
        <v>0</v>
      </c>
      <c r="EH36" s="539"/>
      <c r="EI36" s="540">
        <f t="shared" si="44"/>
        <v>0</v>
      </c>
      <c r="EJ36" s="541">
        <f t="shared" si="155"/>
        <v>0</v>
      </c>
      <c r="EK36" s="539"/>
      <c r="EL36" s="540">
        <f t="shared" si="45"/>
        <v>0</v>
      </c>
      <c r="EM36" s="541">
        <f t="shared" si="156"/>
        <v>0</v>
      </c>
      <c r="EN36" s="539"/>
      <c r="EO36" s="540">
        <f t="shared" si="46"/>
        <v>0</v>
      </c>
      <c r="EP36" s="541">
        <f t="shared" si="157"/>
        <v>0</v>
      </c>
      <c r="EQ36" s="539"/>
      <c r="ER36" s="540">
        <f t="shared" si="47"/>
        <v>0</v>
      </c>
      <c r="ES36" s="541">
        <f t="shared" si="158"/>
        <v>0</v>
      </c>
      <c r="ET36" s="539"/>
      <c r="EU36" s="540">
        <f t="shared" si="48"/>
        <v>0</v>
      </c>
      <c r="EV36" s="541">
        <f t="shared" si="159"/>
        <v>0</v>
      </c>
      <c r="EW36" s="539"/>
      <c r="EX36" s="540">
        <f t="shared" si="49"/>
        <v>0</v>
      </c>
      <c r="EY36" s="541">
        <f t="shared" si="160"/>
        <v>0</v>
      </c>
      <c r="EZ36" s="539"/>
      <c r="FA36" s="540">
        <f t="shared" si="50"/>
        <v>0</v>
      </c>
      <c r="FB36" s="541">
        <f t="shared" si="161"/>
        <v>0</v>
      </c>
      <c r="FC36" s="539"/>
      <c r="FD36" s="540">
        <f t="shared" si="51"/>
        <v>0</v>
      </c>
      <c r="FE36" s="541">
        <f t="shared" si="162"/>
        <v>0</v>
      </c>
      <c r="FF36" s="539"/>
      <c r="FG36" s="540">
        <f t="shared" si="52"/>
        <v>0</v>
      </c>
      <c r="FH36" s="541">
        <f t="shared" si="163"/>
        <v>0</v>
      </c>
      <c r="FI36" s="539"/>
      <c r="FJ36" s="540">
        <f t="shared" si="53"/>
        <v>0</v>
      </c>
      <c r="FK36" s="541">
        <f t="shared" si="164"/>
        <v>0</v>
      </c>
      <c r="FL36" s="539"/>
      <c r="FM36" s="540">
        <f t="shared" si="54"/>
        <v>0</v>
      </c>
      <c r="FN36" s="541">
        <f t="shared" si="165"/>
        <v>0</v>
      </c>
      <c r="FO36" s="539"/>
      <c r="FP36" s="540">
        <f t="shared" si="55"/>
        <v>0</v>
      </c>
      <c r="FQ36" s="541">
        <f t="shared" si="166"/>
        <v>0</v>
      </c>
      <c r="FR36" s="539"/>
      <c r="FS36" s="540">
        <f t="shared" si="56"/>
        <v>0</v>
      </c>
      <c r="FT36" s="541">
        <f t="shared" si="167"/>
        <v>0</v>
      </c>
      <c r="FU36" s="539"/>
      <c r="FV36" s="540">
        <f t="shared" si="57"/>
        <v>0</v>
      </c>
      <c r="FW36" s="541">
        <f t="shared" si="168"/>
        <v>0</v>
      </c>
      <c r="FX36" s="539"/>
      <c r="FY36" s="540">
        <f t="shared" si="58"/>
        <v>0</v>
      </c>
      <c r="FZ36" s="541">
        <f t="shared" si="169"/>
        <v>0</v>
      </c>
      <c r="GA36" s="539"/>
      <c r="GB36" s="540">
        <f t="shared" si="59"/>
        <v>0</v>
      </c>
      <c r="GC36" s="541">
        <f t="shared" si="170"/>
        <v>0</v>
      </c>
      <c r="GD36" s="539"/>
      <c r="GE36" s="540">
        <f t="shared" si="60"/>
        <v>0</v>
      </c>
      <c r="GF36" s="541">
        <f t="shared" si="171"/>
        <v>0</v>
      </c>
      <c r="GG36" s="539"/>
      <c r="GH36" s="540">
        <f t="shared" si="61"/>
        <v>0</v>
      </c>
      <c r="GI36" s="541">
        <f t="shared" si="172"/>
        <v>0</v>
      </c>
      <c r="GJ36" s="539"/>
      <c r="GK36" s="540">
        <f t="shared" si="62"/>
        <v>0</v>
      </c>
      <c r="GL36" s="541">
        <f t="shared" si="173"/>
        <v>0</v>
      </c>
      <c r="GM36" s="539"/>
      <c r="GN36" s="540">
        <f t="shared" si="63"/>
        <v>0</v>
      </c>
      <c r="GO36" s="541">
        <f t="shared" si="174"/>
        <v>0</v>
      </c>
      <c r="GP36" s="539"/>
      <c r="GQ36" s="540">
        <f t="shared" si="64"/>
        <v>0</v>
      </c>
      <c r="GR36" s="541">
        <f t="shared" si="175"/>
        <v>0</v>
      </c>
      <c r="GS36" s="539"/>
      <c r="GT36" s="540">
        <f t="shared" si="65"/>
        <v>0</v>
      </c>
      <c r="GU36" s="541">
        <f t="shared" si="176"/>
        <v>0</v>
      </c>
      <c r="GV36" s="539"/>
      <c r="GW36" s="540">
        <f t="shared" si="66"/>
        <v>0</v>
      </c>
      <c r="GX36" s="541">
        <f t="shared" si="177"/>
        <v>0</v>
      </c>
      <c r="GY36" s="539"/>
      <c r="GZ36" s="540">
        <f t="shared" si="67"/>
        <v>0</v>
      </c>
      <c r="HA36" s="541">
        <f t="shared" si="178"/>
        <v>0</v>
      </c>
      <c r="HB36" s="539"/>
      <c r="HC36" s="540">
        <f t="shared" si="68"/>
        <v>0</v>
      </c>
      <c r="HD36" s="541">
        <f t="shared" si="179"/>
        <v>0</v>
      </c>
      <c r="HE36" s="539"/>
      <c r="HF36" s="540">
        <f t="shared" si="69"/>
        <v>0</v>
      </c>
      <c r="HG36" s="541">
        <f t="shared" si="180"/>
        <v>0</v>
      </c>
      <c r="HH36" s="539"/>
      <c r="HI36" s="540">
        <f t="shared" si="70"/>
        <v>0</v>
      </c>
      <c r="HJ36" s="541">
        <f t="shared" si="181"/>
        <v>0</v>
      </c>
      <c r="HK36" s="539"/>
      <c r="HL36" s="540">
        <f t="shared" si="71"/>
        <v>0</v>
      </c>
      <c r="HM36" s="541">
        <f t="shared" si="182"/>
        <v>0</v>
      </c>
      <c r="HN36" s="539"/>
      <c r="HO36" s="540">
        <f t="shared" si="72"/>
        <v>0</v>
      </c>
      <c r="HP36" s="541">
        <f t="shared" si="183"/>
        <v>0</v>
      </c>
      <c r="HQ36" s="539"/>
      <c r="HR36" s="540">
        <f t="shared" si="73"/>
        <v>0</v>
      </c>
      <c r="HS36" s="541">
        <f t="shared" si="184"/>
        <v>0</v>
      </c>
      <c r="HT36" s="539"/>
      <c r="HU36" s="540">
        <f t="shared" si="74"/>
        <v>0</v>
      </c>
      <c r="HV36" s="541">
        <f t="shared" si="185"/>
        <v>0</v>
      </c>
      <c r="HW36" s="539"/>
      <c r="HX36" s="540">
        <f t="shared" si="75"/>
        <v>0</v>
      </c>
      <c r="HY36" s="541">
        <f t="shared" si="186"/>
        <v>0</v>
      </c>
      <c r="HZ36" s="539"/>
      <c r="IA36" s="540">
        <f t="shared" si="76"/>
        <v>0</v>
      </c>
      <c r="IB36" s="541">
        <f t="shared" si="187"/>
        <v>0</v>
      </c>
      <c r="IC36" s="539"/>
      <c r="ID36" s="540">
        <f t="shared" si="77"/>
        <v>0</v>
      </c>
      <c r="IE36" s="541">
        <f t="shared" si="188"/>
        <v>0</v>
      </c>
      <c r="IF36" s="539"/>
      <c r="IG36" s="540">
        <f t="shared" si="78"/>
        <v>0</v>
      </c>
      <c r="IH36" s="541">
        <f t="shared" si="189"/>
        <v>0</v>
      </c>
      <c r="II36" s="539"/>
      <c r="IJ36" s="540">
        <f t="shared" si="79"/>
        <v>0</v>
      </c>
      <c r="IK36" s="541">
        <f t="shared" si="190"/>
        <v>0</v>
      </c>
      <c r="IL36" s="539"/>
      <c r="IM36" s="540">
        <f t="shared" si="80"/>
        <v>0</v>
      </c>
      <c r="IN36" s="541">
        <f t="shared" si="191"/>
        <v>0</v>
      </c>
      <c r="IO36" s="539"/>
      <c r="IP36" s="540">
        <f t="shared" si="81"/>
        <v>0</v>
      </c>
      <c r="IQ36" s="541">
        <f t="shared" si="192"/>
        <v>0</v>
      </c>
      <c r="IR36" s="539"/>
      <c r="IS36" s="540">
        <f t="shared" si="82"/>
        <v>0</v>
      </c>
      <c r="IT36" s="541">
        <f t="shared" si="193"/>
        <v>0</v>
      </c>
      <c r="IU36" s="539"/>
      <c r="IV36" s="540">
        <f t="shared" si="83"/>
        <v>0</v>
      </c>
      <c r="IW36" s="541">
        <f t="shared" si="194"/>
        <v>0</v>
      </c>
      <c r="IX36" s="539"/>
      <c r="IY36" s="540">
        <f t="shared" si="84"/>
        <v>0</v>
      </c>
      <c r="IZ36" s="541">
        <f t="shared" si="195"/>
        <v>0</v>
      </c>
      <c r="JA36" s="539"/>
      <c r="JB36" s="540">
        <f t="shared" si="85"/>
        <v>0</v>
      </c>
      <c r="JC36" s="541">
        <f t="shared" si="196"/>
        <v>0</v>
      </c>
      <c r="JD36" s="539"/>
      <c r="JE36" s="540">
        <f t="shared" si="86"/>
        <v>0</v>
      </c>
      <c r="JF36" s="541">
        <f t="shared" si="197"/>
        <v>0</v>
      </c>
      <c r="JG36" s="539"/>
      <c r="JH36" s="540">
        <f t="shared" si="87"/>
        <v>0</v>
      </c>
      <c r="JI36" s="541">
        <f t="shared" si="198"/>
        <v>0</v>
      </c>
      <c r="JJ36" s="539"/>
      <c r="JK36" s="541" t="str">
        <f t="shared" si="88"/>
        <v>0</v>
      </c>
      <c r="JL36" s="541" t="str">
        <f t="shared" si="89"/>
        <v>0</v>
      </c>
      <c r="JM36" s="539"/>
      <c r="JN36" s="541" t="str">
        <f t="shared" si="90"/>
        <v>0</v>
      </c>
      <c r="JO36" s="541" t="str">
        <f t="shared" si="91"/>
        <v>0</v>
      </c>
      <c r="JP36" s="539"/>
      <c r="JQ36" s="541" t="str">
        <f t="shared" si="92"/>
        <v>0</v>
      </c>
      <c r="JR36" s="541" t="str">
        <f t="shared" si="93"/>
        <v>0</v>
      </c>
      <c r="JS36" s="539"/>
      <c r="JT36" s="541" t="str">
        <f t="shared" si="94"/>
        <v>0</v>
      </c>
      <c r="JU36" s="541" t="str">
        <f t="shared" si="95"/>
        <v>0</v>
      </c>
      <c r="JV36" s="539"/>
      <c r="JW36" s="541" t="str">
        <f t="shared" si="96"/>
        <v>0</v>
      </c>
      <c r="JX36" s="541" t="str">
        <f t="shared" si="97"/>
        <v>0</v>
      </c>
      <c r="JY36" s="539"/>
      <c r="JZ36" s="541" t="str">
        <f t="shared" si="98"/>
        <v>0</v>
      </c>
      <c r="KA36" s="541" t="str">
        <f t="shared" si="99"/>
        <v>0</v>
      </c>
      <c r="KB36" s="539"/>
      <c r="KC36" s="541" t="str">
        <f t="shared" si="100"/>
        <v>0</v>
      </c>
      <c r="KD36" s="541" t="str">
        <f t="shared" si="101"/>
        <v>0</v>
      </c>
      <c r="KE36" s="539"/>
      <c r="KF36" s="541" t="str">
        <f t="shared" si="102"/>
        <v>0</v>
      </c>
      <c r="KG36" s="541" t="str">
        <f t="shared" si="103"/>
        <v>0</v>
      </c>
      <c r="KH36" s="539"/>
      <c r="KI36" s="541" t="str">
        <f t="shared" si="104"/>
        <v>0</v>
      </c>
      <c r="KJ36" s="541" t="str">
        <f t="shared" si="105"/>
        <v>0</v>
      </c>
      <c r="KK36" s="539"/>
      <c r="KL36" s="541" t="str">
        <f t="shared" si="106"/>
        <v>0</v>
      </c>
      <c r="KM36" s="541" t="str">
        <f t="shared" si="107"/>
        <v>0</v>
      </c>
      <c r="KN36" s="539"/>
      <c r="KO36" s="541" t="str">
        <f t="shared" si="108"/>
        <v>0</v>
      </c>
      <c r="KP36" s="541" t="str">
        <f t="shared" si="109"/>
        <v>0</v>
      </c>
      <c r="KQ36" s="539"/>
      <c r="KR36" s="541" t="str">
        <f t="shared" si="110"/>
        <v>0</v>
      </c>
      <c r="KS36" s="541" t="str">
        <f t="shared" si="111"/>
        <v>0</v>
      </c>
      <c r="KT36" s="541">
        <f t="shared" si="200"/>
        <v>0</v>
      </c>
      <c r="KU36" s="541">
        <f t="shared" si="201"/>
        <v>0</v>
      </c>
      <c r="KV36" s="275">
        <f t="shared" si="202"/>
        <v>467.39819811961888</v>
      </c>
    </row>
    <row r="37" spans="1:308" ht="15" customHeight="1">
      <c r="A37" s="277">
        <f t="shared" si="199"/>
        <v>45959</v>
      </c>
      <c r="B37" s="278" t="str">
        <f>+Report1!B37</f>
        <v>Facial</v>
      </c>
      <c r="C37" s="420" t="str">
        <f>+Report1!C37</f>
        <v>13</v>
      </c>
      <c r="D37" s="279">
        <f>+Report1!P37</f>
        <v>57.948</v>
      </c>
      <c r="E37" s="280">
        <f>+Report1!R37</f>
        <v>61.749000000000002</v>
      </c>
      <c r="F37" s="539">
        <v>0</v>
      </c>
      <c r="G37" s="540">
        <f t="shared" si="0"/>
        <v>0</v>
      </c>
      <c r="H37" s="541">
        <f t="shared" si="112"/>
        <v>0</v>
      </c>
      <c r="I37" s="539">
        <v>348.83720930232562</v>
      </c>
      <c r="J37" s="540">
        <f t="shared" si="1"/>
        <v>5.6492770620143746</v>
      </c>
      <c r="K37" s="541">
        <f t="shared" si="113"/>
        <v>0</v>
      </c>
      <c r="L37" s="539"/>
      <c r="M37" s="540">
        <f t="shared" si="2"/>
        <v>0</v>
      </c>
      <c r="N37" s="541">
        <f t="shared" si="114"/>
        <v>0</v>
      </c>
      <c r="O37" s="539">
        <v>9</v>
      </c>
      <c r="P37" s="540">
        <f t="shared" si="3"/>
        <v>0.14575134819997085</v>
      </c>
      <c r="Q37" s="541">
        <f t="shared" si="115"/>
        <v>0</v>
      </c>
      <c r="R37" s="539"/>
      <c r="S37" s="540">
        <f t="shared" si="4"/>
        <v>0</v>
      </c>
      <c r="T37" s="541">
        <f t="shared" si="116"/>
        <v>0</v>
      </c>
      <c r="U37" s="539">
        <v>5.125</v>
      </c>
      <c r="V37" s="540">
        <f t="shared" si="5"/>
        <v>8.2997295502761179E-2</v>
      </c>
      <c r="W37" s="541">
        <f t="shared" si="117"/>
        <v>0</v>
      </c>
      <c r="X37" s="539"/>
      <c r="Y37" s="540">
        <f t="shared" si="6"/>
        <v>0</v>
      </c>
      <c r="Z37" s="541">
        <f t="shared" si="118"/>
        <v>0</v>
      </c>
      <c r="AA37" s="539"/>
      <c r="AB37" s="540">
        <f t="shared" si="7"/>
        <v>0</v>
      </c>
      <c r="AC37" s="541">
        <f t="shared" si="119"/>
        <v>0</v>
      </c>
      <c r="AD37" s="539"/>
      <c r="AE37" s="540">
        <f t="shared" si="8"/>
        <v>0</v>
      </c>
      <c r="AF37" s="541">
        <f t="shared" si="120"/>
        <v>0</v>
      </c>
      <c r="AG37" s="539"/>
      <c r="AH37" s="540">
        <f t="shared" si="9"/>
        <v>0</v>
      </c>
      <c r="AI37" s="541">
        <f t="shared" si="121"/>
        <v>0</v>
      </c>
      <c r="AJ37" s="539">
        <v>0</v>
      </c>
      <c r="AK37" s="540">
        <f t="shared" si="10"/>
        <v>0</v>
      </c>
      <c r="AL37" s="541">
        <f t="shared" si="122"/>
        <v>0</v>
      </c>
      <c r="AM37" s="539">
        <v>0</v>
      </c>
      <c r="AN37" s="540">
        <f t="shared" si="11"/>
        <v>0</v>
      </c>
      <c r="AO37" s="541">
        <f t="shared" si="123"/>
        <v>0</v>
      </c>
      <c r="AP37" s="539">
        <v>39.873417721519019</v>
      </c>
      <c r="AQ37" s="540">
        <f t="shared" si="12"/>
        <v>0.64573382113911182</v>
      </c>
      <c r="AR37" s="541">
        <f t="shared" si="124"/>
        <v>0</v>
      </c>
      <c r="AS37" s="539"/>
      <c r="AT37" s="540">
        <f t="shared" si="13"/>
        <v>0</v>
      </c>
      <c r="AU37" s="541">
        <f t="shared" si="125"/>
        <v>0</v>
      </c>
      <c r="AV37" s="539">
        <v>2.7750000000000057</v>
      </c>
      <c r="AW37" s="540">
        <f t="shared" si="14"/>
        <v>4.4939999028324434E-2</v>
      </c>
      <c r="AX37" s="541">
        <f t="shared" si="126"/>
        <v>0</v>
      </c>
      <c r="AY37" s="539">
        <v>67.666666666666671</v>
      </c>
      <c r="AZ37" s="540">
        <f t="shared" si="15"/>
        <v>1.0958342105405217</v>
      </c>
      <c r="BA37" s="541">
        <f t="shared" si="127"/>
        <v>0</v>
      </c>
      <c r="BB37" s="539">
        <v>0</v>
      </c>
      <c r="BC37" s="540">
        <f t="shared" si="16"/>
        <v>0</v>
      </c>
      <c r="BD37" s="541">
        <f t="shared" si="128"/>
        <v>0</v>
      </c>
      <c r="BE37" s="539"/>
      <c r="BF37" s="540">
        <f t="shared" si="17"/>
        <v>0</v>
      </c>
      <c r="BG37" s="541">
        <f t="shared" si="129"/>
        <v>0</v>
      </c>
      <c r="BH37" s="539"/>
      <c r="BI37" s="540">
        <f t="shared" si="18"/>
        <v>0</v>
      </c>
      <c r="BJ37" s="541">
        <f t="shared" si="130"/>
        <v>0</v>
      </c>
      <c r="BK37" s="539"/>
      <c r="BL37" s="540">
        <f t="shared" si="19"/>
        <v>0</v>
      </c>
      <c r="BM37" s="541">
        <f t="shared" si="131"/>
        <v>0</v>
      </c>
      <c r="BN37" s="539">
        <v>5.0617283950617242</v>
      </c>
      <c r="BO37" s="540">
        <f t="shared" si="20"/>
        <v>8.1972637533591214E-2</v>
      </c>
      <c r="BP37" s="541">
        <f t="shared" si="132"/>
        <v>0</v>
      </c>
      <c r="BQ37" s="539">
        <v>0</v>
      </c>
      <c r="BR37" s="540">
        <f t="shared" si="21"/>
        <v>0</v>
      </c>
      <c r="BS37" s="541">
        <f t="shared" si="133"/>
        <v>0</v>
      </c>
      <c r="BT37" s="539"/>
      <c r="BU37" s="540">
        <f t="shared" si="22"/>
        <v>0</v>
      </c>
      <c r="BV37" s="541">
        <f t="shared" si="134"/>
        <v>0</v>
      </c>
      <c r="BW37" s="539">
        <v>0</v>
      </c>
      <c r="BX37" s="540">
        <f t="shared" si="23"/>
        <v>0</v>
      </c>
      <c r="BY37" s="541">
        <f t="shared" si="135"/>
        <v>0</v>
      </c>
      <c r="BZ37" s="539"/>
      <c r="CA37" s="540">
        <f t="shared" si="24"/>
        <v>0</v>
      </c>
      <c r="CB37" s="541">
        <f t="shared" si="136"/>
        <v>0</v>
      </c>
      <c r="CC37" s="539">
        <v>0</v>
      </c>
      <c r="CD37" s="540">
        <f t="shared" si="25"/>
        <v>0</v>
      </c>
      <c r="CE37" s="541">
        <f t="shared" si="137"/>
        <v>0</v>
      </c>
      <c r="CF37" s="539">
        <v>9.9999999999999978E-2</v>
      </c>
      <c r="CG37" s="540">
        <f t="shared" si="26"/>
        <v>1.6194594244441202E-3</v>
      </c>
      <c r="CH37" s="541">
        <f t="shared" si="138"/>
        <v>0</v>
      </c>
      <c r="CI37" s="539"/>
      <c r="CJ37" s="540">
        <f t="shared" si="27"/>
        <v>0</v>
      </c>
      <c r="CK37" s="541">
        <f t="shared" si="139"/>
        <v>0</v>
      </c>
      <c r="CL37" s="539"/>
      <c r="CM37" s="540">
        <f t="shared" si="28"/>
        <v>0</v>
      </c>
      <c r="CN37" s="541">
        <f t="shared" si="140"/>
        <v>0</v>
      </c>
      <c r="CO37" s="539"/>
      <c r="CP37" s="540">
        <f t="shared" si="29"/>
        <v>0</v>
      </c>
      <c r="CQ37" s="541">
        <f t="shared" si="141"/>
        <v>0</v>
      </c>
      <c r="CR37" s="539"/>
      <c r="CS37" s="540">
        <f t="shared" si="30"/>
        <v>0</v>
      </c>
      <c r="CT37" s="541">
        <f t="shared" si="142"/>
        <v>0</v>
      </c>
      <c r="CU37" s="539"/>
      <c r="CV37" s="540">
        <f t="shared" si="31"/>
        <v>0</v>
      </c>
      <c r="CW37" s="541">
        <f t="shared" si="143"/>
        <v>0</v>
      </c>
      <c r="CX37" s="539"/>
      <c r="CY37" s="540">
        <f t="shared" si="32"/>
        <v>0</v>
      </c>
      <c r="CZ37" s="541">
        <f t="shared" si="144"/>
        <v>0</v>
      </c>
      <c r="DA37" s="539"/>
      <c r="DB37" s="540">
        <f t="shared" si="33"/>
        <v>0</v>
      </c>
      <c r="DC37" s="541">
        <f t="shared" si="145"/>
        <v>0</v>
      </c>
      <c r="DD37" s="539"/>
      <c r="DE37" s="540">
        <f t="shared" si="34"/>
        <v>0</v>
      </c>
      <c r="DF37" s="541">
        <f t="shared" si="146"/>
        <v>0</v>
      </c>
      <c r="DG37" s="539">
        <v>0</v>
      </c>
      <c r="DH37" s="540">
        <f t="shared" si="35"/>
        <v>0</v>
      </c>
      <c r="DI37" s="541">
        <f t="shared" si="203"/>
        <v>0</v>
      </c>
      <c r="DJ37" s="539"/>
      <c r="DK37" s="540">
        <f t="shared" si="36"/>
        <v>0</v>
      </c>
      <c r="DL37" s="541">
        <f t="shared" si="147"/>
        <v>0</v>
      </c>
      <c r="DM37" s="539"/>
      <c r="DN37" s="540">
        <f t="shared" si="37"/>
        <v>0</v>
      </c>
      <c r="DO37" s="541">
        <f t="shared" si="148"/>
        <v>0</v>
      </c>
      <c r="DP37" s="539"/>
      <c r="DQ37" s="540">
        <f t="shared" si="38"/>
        <v>0</v>
      </c>
      <c r="DR37" s="541">
        <f t="shared" si="149"/>
        <v>0</v>
      </c>
      <c r="DS37" s="539"/>
      <c r="DT37" s="540">
        <f t="shared" si="39"/>
        <v>0</v>
      </c>
      <c r="DU37" s="541">
        <f t="shared" si="150"/>
        <v>0</v>
      </c>
      <c r="DV37" s="539"/>
      <c r="DW37" s="540">
        <f t="shared" si="40"/>
        <v>0</v>
      </c>
      <c r="DX37" s="541">
        <f t="shared" si="151"/>
        <v>0</v>
      </c>
      <c r="DY37" s="539"/>
      <c r="DZ37" s="540">
        <f t="shared" si="41"/>
        <v>0</v>
      </c>
      <c r="EA37" s="541">
        <f t="shared" si="152"/>
        <v>0</v>
      </c>
      <c r="EB37" s="539">
        <v>14.534883720930111</v>
      </c>
      <c r="EC37" s="540">
        <f t="shared" si="42"/>
        <v>0.23538654425059694</v>
      </c>
      <c r="ED37" s="541">
        <f t="shared" si="153"/>
        <v>0</v>
      </c>
      <c r="EE37" s="539">
        <v>1</v>
      </c>
      <c r="EF37" s="540">
        <f t="shared" si="43"/>
        <v>1.6194594244441207E-2</v>
      </c>
      <c r="EG37" s="541">
        <f t="shared" si="154"/>
        <v>0</v>
      </c>
      <c r="EH37" s="539"/>
      <c r="EI37" s="540">
        <f t="shared" si="44"/>
        <v>0</v>
      </c>
      <c r="EJ37" s="541">
        <f t="shared" si="155"/>
        <v>0</v>
      </c>
      <c r="EK37" s="539"/>
      <c r="EL37" s="540">
        <f t="shared" si="45"/>
        <v>0</v>
      </c>
      <c r="EM37" s="541">
        <f t="shared" si="156"/>
        <v>0</v>
      </c>
      <c r="EN37" s="539"/>
      <c r="EO37" s="540">
        <f t="shared" si="46"/>
        <v>0</v>
      </c>
      <c r="EP37" s="541">
        <f t="shared" si="157"/>
        <v>0</v>
      </c>
      <c r="EQ37" s="539"/>
      <c r="ER37" s="540">
        <f t="shared" si="47"/>
        <v>0</v>
      </c>
      <c r="ES37" s="541">
        <f t="shared" si="158"/>
        <v>0</v>
      </c>
      <c r="ET37" s="539"/>
      <c r="EU37" s="540">
        <f t="shared" si="48"/>
        <v>0</v>
      </c>
      <c r="EV37" s="541">
        <f t="shared" si="159"/>
        <v>0</v>
      </c>
      <c r="EW37" s="539"/>
      <c r="EX37" s="540">
        <f t="shared" si="49"/>
        <v>0</v>
      </c>
      <c r="EY37" s="541">
        <f t="shared" si="160"/>
        <v>0</v>
      </c>
      <c r="EZ37" s="539"/>
      <c r="FA37" s="540">
        <f t="shared" si="50"/>
        <v>0</v>
      </c>
      <c r="FB37" s="541">
        <f t="shared" si="161"/>
        <v>0</v>
      </c>
      <c r="FC37" s="539"/>
      <c r="FD37" s="540">
        <f t="shared" si="51"/>
        <v>0</v>
      </c>
      <c r="FE37" s="541">
        <f t="shared" si="162"/>
        <v>0</v>
      </c>
      <c r="FF37" s="539"/>
      <c r="FG37" s="540">
        <f t="shared" si="52"/>
        <v>0</v>
      </c>
      <c r="FH37" s="541">
        <f t="shared" si="163"/>
        <v>0</v>
      </c>
      <c r="FI37" s="539"/>
      <c r="FJ37" s="540">
        <f t="shared" si="53"/>
        <v>0</v>
      </c>
      <c r="FK37" s="541">
        <f t="shared" si="164"/>
        <v>0</v>
      </c>
      <c r="FL37" s="539"/>
      <c r="FM37" s="540">
        <f t="shared" si="54"/>
        <v>0</v>
      </c>
      <c r="FN37" s="541">
        <f t="shared" si="165"/>
        <v>0</v>
      </c>
      <c r="FO37" s="539"/>
      <c r="FP37" s="540">
        <f t="shared" si="55"/>
        <v>0</v>
      </c>
      <c r="FQ37" s="541">
        <f t="shared" si="166"/>
        <v>0</v>
      </c>
      <c r="FR37" s="539"/>
      <c r="FS37" s="540">
        <f t="shared" si="56"/>
        <v>0</v>
      </c>
      <c r="FT37" s="541">
        <f t="shared" si="167"/>
        <v>0</v>
      </c>
      <c r="FU37" s="539"/>
      <c r="FV37" s="540">
        <f t="shared" si="57"/>
        <v>0</v>
      </c>
      <c r="FW37" s="541">
        <f t="shared" si="168"/>
        <v>0</v>
      </c>
      <c r="FX37" s="539"/>
      <c r="FY37" s="540">
        <f t="shared" si="58"/>
        <v>0</v>
      </c>
      <c r="FZ37" s="541">
        <f t="shared" si="169"/>
        <v>0</v>
      </c>
      <c r="GA37" s="539"/>
      <c r="GB37" s="540">
        <f t="shared" si="59"/>
        <v>0</v>
      </c>
      <c r="GC37" s="541">
        <f t="shared" si="170"/>
        <v>0</v>
      </c>
      <c r="GD37" s="539"/>
      <c r="GE37" s="540">
        <f t="shared" si="60"/>
        <v>0</v>
      </c>
      <c r="GF37" s="541">
        <f t="shared" si="171"/>
        <v>0</v>
      </c>
      <c r="GG37" s="539"/>
      <c r="GH37" s="540">
        <f t="shared" si="61"/>
        <v>0</v>
      </c>
      <c r="GI37" s="541">
        <f t="shared" si="172"/>
        <v>0</v>
      </c>
      <c r="GJ37" s="539"/>
      <c r="GK37" s="540">
        <f t="shared" si="62"/>
        <v>0</v>
      </c>
      <c r="GL37" s="541">
        <f t="shared" si="173"/>
        <v>0</v>
      </c>
      <c r="GM37" s="539"/>
      <c r="GN37" s="540">
        <f t="shared" si="63"/>
        <v>0</v>
      </c>
      <c r="GO37" s="541">
        <f t="shared" si="174"/>
        <v>0</v>
      </c>
      <c r="GP37" s="539"/>
      <c r="GQ37" s="540">
        <f t="shared" si="64"/>
        <v>0</v>
      </c>
      <c r="GR37" s="541">
        <f t="shared" si="175"/>
        <v>0</v>
      </c>
      <c r="GS37" s="539"/>
      <c r="GT37" s="540">
        <f t="shared" si="65"/>
        <v>0</v>
      </c>
      <c r="GU37" s="541">
        <f t="shared" si="176"/>
        <v>0</v>
      </c>
      <c r="GV37" s="539"/>
      <c r="GW37" s="540">
        <f t="shared" si="66"/>
        <v>0</v>
      </c>
      <c r="GX37" s="541">
        <f t="shared" si="177"/>
        <v>0</v>
      </c>
      <c r="GY37" s="539"/>
      <c r="GZ37" s="540">
        <f t="shared" si="67"/>
        <v>0</v>
      </c>
      <c r="HA37" s="541">
        <f t="shared" si="178"/>
        <v>0</v>
      </c>
      <c r="HB37" s="539"/>
      <c r="HC37" s="540">
        <f t="shared" si="68"/>
        <v>0</v>
      </c>
      <c r="HD37" s="541">
        <f t="shared" si="179"/>
        <v>0</v>
      </c>
      <c r="HE37" s="539"/>
      <c r="HF37" s="540">
        <f t="shared" si="69"/>
        <v>0</v>
      </c>
      <c r="HG37" s="541">
        <f t="shared" si="180"/>
        <v>0</v>
      </c>
      <c r="HH37" s="539"/>
      <c r="HI37" s="540">
        <f t="shared" si="70"/>
        <v>0</v>
      </c>
      <c r="HJ37" s="541">
        <f t="shared" si="181"/>
        <v>0</v>
      </c>
      <c r="HK37" s="539"/>
      <c r="HL37" s="540">
        <f t="shared" si="71"/>
        <v>0</v>
      </c>
      <c r="HM37" s="541">
        <f t="shared" si="182"/>
        <v>0</v>
      </c>
      <c r="HN37" s="539"/>
      <c r="HO37" s="540">
        <f t="shared" si="72"/>
        <v>0</v>
      </c>
      <c r="HP37" s="541">
        <f t="shared" si="183"/>
        <v>0</v>
      </c>
      <c r="HQ37" s="539"/>
      <c r="HR37" s="540">
        <f t="shared" si="73"/>
        <v>0</v>
      </c>
      <c r="HS37" s="541">
        <f t="shared" si="184"/>
        <v>0</v>
      </c>
      <c r="HT37" s="539"/>
      <c r="HU37" s="540">
        <f t="shared" si="74"/>
        <v>0</v>
      </c>
      <c r="HV37" s="541">
        <f t="shared" si="185"/>
        <v>0</v>
      </c>
      <c r="HW37" s="539"/>
      <c r="HX37" s="540">
        <f t="shared" si="75"/>
        <v>0</v>
      </c>
      <c r="HY37" s="541">
        <f t="shared" si="186"/>
        <v>0</v>
      </c>
      <c r="HZ37" s="539"/>
      <c r="IA37" s="540">
        <f t="shared" si="76"/>
        <v>0</v>
      </c>
      <c r="IB37" s="541">
        <f t="shared" si="187"/>
        <v>0</v>
      </c>
      <c r="IC37" s="539"/>
      <c r="ID37" s="540">
        <f t="shared" si="77"/>
        <v>0</v>
      </c>
      <c r="IE37" s="541">
        <f t="shared" si="188"/>
        <v>0</v>
      </c>
      <c r="IF37" s="539"/>
      <c r="IG37" s="540">
        <f t="shared" si="78"/>
        <v>0</v>
      </c>
      <c r="IH37" s="541">
        <f t="shared" si="189"/>
        <v>0</v>
      </c>
      <c r="II37" s="539"/>
      <c r="IJ37" s="540">
        <f t="shared" si="79"/>
        <v>0</v>
      </c>
      <c r="IK37" s="541">
        <f t="shared" si="190"/>
        <v>0</v>
      </c>
      <c r="IL37" s="539"/>
      <c r="IM37" s="540">
        <f t="shared" si="80"/>
        <v>0</v>
      </c>
      <c r="IN37" s="541">
        <f t="shared" si="191"/>
        <v>0</v>
      </c>
      <c r="IO37" s="539"/>
      <c r="IP37" s="540">
        <f t="shared" si="81"/>
        <v>0</v>
      </c>
      <c r="IQ37" s="541">
        <f t="shared" si="192"/>
        <v>0</v>
      </c>
      <c r="IR37" s="539"/>
      <c r="IS37" s="540">
        <f t="shared" si="82"/>
        <v>0</v>
      </c>
      <c r="IT37" s="541">
        <f t="shared" si="193"/>
        <v>0</v>
      </c>
      <c r="IU37" s="539"/>
      <c r="IV37" s="540">
        <f t="shared" si="83"/>
        <v>0</v>
      </c>
      <c r="IW37" s="541">
        <f t="shared" si="194"/>
        <v>0</v>
      </c>
      <c r="IX37" s="539"/>
      <c r="IY37" s="540">
        <f t="shared" si="84"/>
        <v>0</v>
      </c>
      <c r="IZ37" s="541">
        <f t="shared" si="195"/>
        <v>0</v>
      </c>
      <c r="JA37" s="539"/>
      <c r="JB37" s="540">
        <f t="shared" si="85"/>
        <v>0</v>
      </c>
      <c r="JC37" s="541">
        <f t="shared" si="196"/>
        <v>0</v>
      </c>
      <c r="JD37" s="539"/>
      <c r="JE37" s="540">
        <f t="shared" si="86"/>
        <v>0</v>
      </c>
      <c r="JF37" s="541">
        <f t="shared" si="197"/>
        <v>0</v>
      </c>
      <c r="JG37" s="539"/>
      <c r="JH37" s="540">
        <f t="shared" si="87"/>
        <v>0</v>
      </c>
      <c r="JI37" s="541">
        <f t="shared" si="198"/>
        <v>0</v>
      </c>
      <c r="JJ37" s="539"/>
      <c r="JK37" s="541" t="str">
        <f t="shared" si="88"/>
        <v>0</v>
      </c>
      <c r="JL37" s="541" t="str">
        <f t="shared" si="89"/>
        <v>0</v>
      </c>
      <c r="JM37" s="539"/>
      <c r="JN37" s="541" t="str">
        <f t="shared" si="90"/>
        <v>0</v>
      </c>
      <c r="JO37" s="541" t="str">
        <f t="shared" si="91"/>
        <v>0</v>
      </c>
      <c r="JP37" s="539"/>
      <c r="JQ37" s="541" t="str">
        <f t="shared" si="92"/>
        <v>0</v>
      </c>
      <c r="JR37" s="541" t="str">
        <f t="shared" si="93"/>
        <v>0</v>
      </c>
      <c r="JS37" s="539"/>
      <c r="JT37" s="541" t="str">
        <f t="shared" si="94"/>
        <v>0</v>
      </c>
      <c r="JU37" s="541" t="str">
        <f t="shared" si="95"/>
        <v>0</v>
      </c>
      <c r="JV37" s="539"/>
      <c r="JW37" s="541" t="str">
        <f t="shared" si="96"/>
        <v>0</v>
      </c>
      <c r="JX37" s="541" t="str">
        <f t="shared" si="97"/>
        <v>0</v>
      </c>
      <c r="JY37" s="539"/>
      <c r="JZ37" s="541" t="str">
        <f t="shared" si="98"/>
        <v>0</v>
      </c>
      <c r="KA37" s="541" t="str">
        <f t="shared" si="99"/>
        <v>0</v>
      </c>
      <c r="KB37" s="539"/>
      <c r="KC37" s="541" t="str">
        <f t="shared" si="100"/>
        <v>0</v>
      </c>
      <c r="KD37" s="541" t="str">
        <f t="shared" si="101"/>
        <v>0</v>
      </c>
      <c r="KE37" s="539"/>
      <c r="KF37" s="541" t="str">
        <f t="shared" si="102"/>
        <v>0</v>
      </c>
      <c r="KG37" s="541" t="str">
        <f t="shared" si="103"/>
        <v>0</v>
      </c>
      <c r="KH37" s="539"/>
      <c r="KI37" s="541" t="str">
        <f t="shared" si="104"/>
        <v>0</v>
      </c>
      <c r="KJ37" s="541" t="str">
        <f t="shared" si="105"/>
        <v>0</v>
      </c>
      <c r="KK37" s="539"/>
      <c r="KL37" s="541" t="str">
        <f t="shared" si="106"/>
        <v>0</v>
      </c>
      <c r="KM37" s="541" t="str">
        <f t="shared" si="107"/>
        <v>0</v>
      </c>
      <c r="KN37" s="539"/>
      <c r="KO37" s="541" t="str">
        <f t="shared" si="108"/>
        <v>0</v>
      </c>
      <c r="KP37" s="541" t="str">
        <f t="shared" si="109"/>
        <v>0</v>
      </c>
      <c r="KQ37" s="539"/>
      <c r="KR37" s="541" t="str">
        <f t="shared" si="110"/>
        <v>0</v>
      </c>
      <c r="KS37" s="541" t="str">
        <f t="shared" si="111"/>
        <v>0</v>
      </c>
      <c r="KT37" s="541">
        <f t="shared" si="200"/>
        <v>0</v>
      </c>
      <c r="KU37" s="541">
        <f t="shared" si="201"/>
        <v>0</v>
      </c>
      <c r="KV37" s="275">
        <f t="shared" si="202"/>
        <v>493.97390580650313</v>
      </c>
    </row>
    <row r="38" spans="1:308" ht="15" customHeight="1">
      <c r="A38" s="277">
        <f t="shared" si="199"/>
        <v>45960</v>
      </c>
      <c r="B38" s="278" t="str">
        <f>+Report1!B38</f>
        <v>Facial/MG</v>
      </c>
      <c r="C38" s="420" t="str">
        <f>+Report1!C38</f>
        <v>13/15,5/22/17/16,5</v>
      </c>
      <c r="D38" s="279">
        <f>+Report1!P38</f>
        <v>64.97</v>
      </c>
      <c r="E38" s="280">
        <f>+Report1!R38</f>
        <v>53.747</v>
      </c>
      <c r="F38" s="539">
        <v>116.27906976744191</v>
      </c>
      <c r="G38" s="540">
        <f t="shared" si="0"/>
        <v>2.163452281382066</v>
      </c>
      <c r="H38" s="541">
        <f t="shared" si="112"/>
        <v>0</v>
      </c>
      <c r="I38" s="539">
        <v>744.18604651162764</v>
      </c>
      <c r="J38" s="540">
        <f t="shared" si="1"/>
        <v>13.846094600845213</v>
      </c>
      <c r="K38" s="541">
        <f t="shared" si="113"/>
        <v>0</v>
      </c>
      <c r="L38" s="539"/>
      <c r="M38" s="540">
        <f t="shared" si="2"/>
        <v>0</v>
      </c>
      <c r="N38" s="541">
        <f t="shared" si="114"/>
        <v>0</v>
      </c>
      <c r="O38" s="539">
        <v>9</v>
      </c>
      <c r="P38" s="540">
        <f t="shared" si="3"/>
        <v>0.16745120657897186</v>
      </c>
      <c r="Q38" s="541">
        <f t="shared" si="115"/>
        <v>0</v>
      </c>
      <c r="R38" s="539"/>
      <c r="S38" s="540">
        <f t="shared" si="4"/>
        <v>0</v>
      </c>
      <c r="T38" s="541">
        <f t="shared" si="116"/>
        <v>0</v>
      </c>
      <c r="U38" s="539">
        <v>5.1249999999999716</v>
      </c>
      <c r="V38" s="540">
        <f t="shared" si="5"/>
        <v>9.5354159301914002E-2</v>
      </c>
      <c r="W38" s="541">
        <f t="shared" si="117"/>
        <v>0</v>
      </c>
      <c r="X38" s="539"/>
      <c r="Y38" s="540">
        <f t="shared" si="6"/>
        <v>0</v>
      </c>
      <c r="Z38" s="541">
        <f t="shared" si="118"/>
        <v>0</v>
      </c>
      <c r="AA38" s="539"/>
      <c r="AB38" s="540">
        <f t="shared" si="7"/>
        <v>0</v>
      </c>
      <c r="AC38" s="541">
        <f t="shared" si="119"/>
        <v>0</v>
      </c>
      <c r="AD38" s="539"/>
      <c r="AE38" s="540">
        <f t="shared" si="8"/>
        <v>0</v>
      </c>
      <c r="AF38" s="541">
        <f t="shared" si="120"/>
        <v>0</v>
      </c>
      <c r="AG38" s="539"/>
      <c r="AH38" s="540">
        <f t="shared" si="9"/>
        <v>0</v>
      </c>
      <c r="AI38" s="541">
        <f t="shared" si="121"/>
        <v>0</v>
      </c>
      <c r="AJ38" s="539">
        <v>0</v>
      </c>
      <c r="AK38" s="540">
        <f t="shared" si="10"/>
        <v>0</v>
      </c>
      <c r="AL38" s="541">
        <f t="shared" si="122"/>
        <v>0</v>
      </c>
      <c r="AM38" s="539">
        <v>0</v>
      </c>
      <c r="AN38" s="540">
        <f t="shared" si="11"/>
        <v>0</v>
      </c>
      <c r="AO38" s="541">
        <f t="shared" si="123"/>
        <v>0</v>
      </c>
      <c r="AP38" s="539">
        <v>11.392405063291136</v>
      </c>
      <c r="AQ38" s="540">
        <f t="shared" si="12"/>
        <v>0.21196355263160988</v>
      </c>
      <c r="AR38" s="541">
        <f t="shared" si="124"/>
        <v>0</v>
      </c>
      <c r="AS38" s="539"/>
      <c r="AT38" s="540">
        <f t="shared" si="13"/>
        <v>0</v>
      </c>
      <c r="AU38" s="541">
        <f t="shared" si="125"/>
        <v>0</v>
      </c>
      <c r="AV38" s="539">
        <v>5.5499999999999972</v>
      </c>
      <c r="AW38" s="540">
        <f t="shared" si="14"/>
        <v>0.10326157739036593</v>
      </c>
      <c r="AX38" s="541">
        <f t="shared" si="126"/>
        <v>0</v>
      </c>
      <c r="AY38" s="539">
        <v>79.333333333333343</v>
      </c>
      <c r="AZ38" s="540">
        <f t="shared" si="15"/>
        <v>1.4760513765109373</v>
      </c>
      <c r="BA38" s="541">
        <f t="shared" si="127"/>
        <v>0</v>
      </c>
      <c r="BB38" s="539">
        <v>0</v>
      </c>
      <c r="BC38" s="540">
        <f t="shared" si="16"/>
        <v>0</v>
      </c>
      <c r="BD38" s="541">
        <f t="shared" si="128"/>
        <v>0</v>
      </c>
      <c r="BE38" s="539"/>
      <c r="BF38" s="540">
        <f t="shared" si="17"/>
        <v>0</v>
      </c>
      <c r="BG38" s="541">
        <f t="shared" si="129"/>
        <v>0</v>
      </c>
      <c r="BH38" s="539"/>
      <c r="BI38" s="540">
        <f t="shared" si="18"/>
        <v>0</v>
      </c>
      <c r="BJ38" s="541">
        <f t="shared" si="130"/>
        <v>0</v>
      </c>
      <c r="BK38" s="539"/>
      <c r="BL38" s="540">
        <f t="shared" si="19"/>
        <v>0</v>
      </c>
      <c r="BM38" s="541">
        <f t="shared" si="131"/>
        <v>0</v>
      </c>
      <c r="BN38" s="539">
        <v>17.716049382716054</v>
      </c>
      <c r="BO38" s="540">
        <f t="shared" si="20"/>
        <v>0.32961931610538364</v>
      </c>
      <c r="BP38" s="541">
        <f t="shared" si="132"/>
        <v>0</v>
      </c>
      <c r="BQ38" s="539">
        <v>0</v>
      </c>
      <c r="BR38" s="540">
        <f t="shared" si="21"/>
        <v>0</v>
      </c>
      <c r="BS38" s="541">
        <f t="shared" si="133"/>
        <v>0</v>
      </c>
      <c r="BT38" s="539"/>
      <c r="BU38" s="540">
        <f t="shared" si="22"/>
        <v>0</v>
      </c>
      <c r="BV38" s="541">
        <f t="shared" si="134"/>
        <v>0</v>
      </c>
      <c r="BW38" s="539">
        <v>0.67999999999999972</v>
      </c>
      <c r="BX38" s="540">
        <f t="shared" si="23"/>
        <v>1.2651868941522312E-2</v>
      </c>
      <c r="BY38" s="541">
        <f t="shared" si="135"/>
        <v>0</v>
      </c>
      <c r="BZ38" s="539"/>
      <c r="CA38" s="540">
        <f t="shared" si="24"/>
        <v>0</v>
      </c>
      <c r="CB38" s="541">
        <f t="shared" si="136"/>
        <v>0</v>
      </c>
      <c r="CC38" s="539">
        <v>0</v>
      </c>
      <c r="CD38" s="540">
        <f t="shared" si="25"/>
        <v>0</v>
      </c>
      <c r="CE38" s="541">
        <f t="shared" si="137"/>
        <v>0</v>
      </c>
      <c r="CF38" s="539">
        <v>9.9999999999999978E-2</v>
      </c>
      <c r="CG38" s="540">
        <f t="shared" si="26"/>
        <v>1.8605689619885758E-3</v>
      </c>
      <c r="CH38" s="541">
        <f t="shared" si="138"/>
        <v>0</v>
      </c>
      <c r="CI38" s="539"/>
      <c r="CJ38" s="540">
        <f t="shared" si="27"/>
        <v>0</v>
      </c>
      <c r="CK38" s="541">
        <f t="shared" si="139"/>
        <v>0</v>
      </c>
      <c r="CL38" s="539"/>
      <c r="CM38" s="540">
        <f t="shared" si="28"/>
        <v>0</v>
      </c>
      <c r="CN38" s="541">
        <f t="shared" si="140"/>
        <v>0</v>
      </c>
      <c r="CO38" s="539"/>
      <c r="CP38" s="540">
        <f t="shared" si="29"/>
        <v>0</v>
      </c>
      <c r="CQ38" s="541">
        <f t="shared" si="141"/>
        <v>0</v>
      </c>
      <c r="CR38" s="539"/>
      <c r="CS38" s="540">
        <f t="shared" si="30"/>
        <v>0</v>
      </c>
      <c r="CT38" s="541">
        <f t="shared" si="142"/>
        <v>0</v>
      </c>
      <c r="CU38" s="539"/>
      <c r="CV38" s="540">
        <f t="shared" si="31"/>
        <v>0</v>
      </c>
      <c r="CW38" s="541">
        <f t="shared" si="143"/>
        <v>0</v>
      </c>
      <c r="CX38" s="539"/>
      <c r="CY38" s="540">
        <f t="shared" si="32"/>
        <v>0</v>
      </c>
      <c r="CZ38" s="541">
        <f t="shared" si="144"/>
        <v>0</v>
      </c>
      <c r="DA38" s="539"/>
      <c r="DB38" s="540">
        <f t="shared" si="33"/>
        <v>0</v>
      </c>
      <c r="DC38" s="541">
        <f t="shared" si="145"/>
        <v>0</v>
      </c>
      <c r="DD38" s="539"/>
      <c r="DE38" s="540">
        <f t="shared" si="34"/>
        <v>0</v>
      </c>
      <c r="DF38" s="541">
        <f t="shared" si="146"/>
        <v>0</v>
      </c>
      <c r="DG38" s="539">
        <v>2.2249999999999943</v>
      </c>
      <c r="DH38" s="540">
        <f t="shared" si="35"/>
        <v>4.139765940424571E-2</v>
      </c>
      <c r="DI38" s="541">
        <f t="shared" si="203"/>
        <v>0</v>
      </c>
      <c r="DJ38" s="539"/>
      <c r="DK38" s="540">
        <f t="shared" si="36"/>
        <v>0</v>
      </c>
      <c r="DL38" s="541">
        <f t="shared" si="147"/>
        <v>0</v>
      </c>
      <c r="DM38" s="539"/>
      <c r="DN38" s="540">
        <f t="shared" si="37"/>
        <v>0</v>
      </c>
      <c r="DO38" s="541">
        <f t="shared" si="148"/>
        <v>0</v>
      </c>
      <c r="DP38" s="539"/>
      <c r="DQ38" s="540">
        <f t="shared" si="38"/>
        <v>0</v>
      </c>
      <c r="DR38" s="541">
        <f t="shared" si="149"/>
        <v>0</v>
      </c>
      <c r="DS38" s="539"/>
      <c r="DT38" s="540">
        <f t="shared" si="39"/>
        <v>0</v>
      </c>
      <c r="DU38" s="541">
        <f t="shared" si="150"/>
        <v>0</v>
      </c>
      <c r="DV38" s="539"/>
      <c r="DW38" s="540">
        <f t="shared" si="40"/>
        <v>0</v>
      </c>
      <c r="DX38" s="541">
        <f t="shared" si="151"/>
        <v>0</v>
      </c>
      <c r="DY38" s="539"/>
      <c r="DZ38" s="540">
        <f t="shared" si="41"/>
        <v>0</v>
      </c>
      <c r="EA38" s="541">
        <f t="shared" si="152"/>
        <v>0</v>
      </c>
      <c r="EB38" s="539">
        <v>14.534883720930338</v>
      </c>
      <c r="EC38" s="540">
        <f t="shared" si="42"/>
        <v>0.27043153517276014</v>
      </c>
      <c r="ED38" s="541">
        <f t="shared" si="153"/>
        <v>0</v>
      </c>
      <c r="EE38" s="539">
        <v>1</v>
      </c>
      <c r="EF38" s="540">
        <f t="shared" si="43"/>
        <v>1.8605689619885762E-2</v>
      </c>
      <c r="EG38" s="541">
        <f t="shared" si="154"/>
        <v>0</v>
      </c>
      <c r="EH38" s="539"/>
      <c r="EI38" s="540">
        <f t="shared" si="44"/>
        <v>0</v>
      </c>
      <c r="EJ38" s="541">
        <f t="shared" si="155"/>
        <v>0</v>
      </c>
      <c r="EK38" s="539"/>
      <c r="EL38" s="540">
        <f t="shared" si="45"/>
        <v>0</v>
      </c>
      <c r="EM38" s="541">
        <f t="shared" si="156"/>
        <v>0</v>
      </c>
      <c r="EN38" s="539"/>
      <c r="EO38" s="540">
        <f t="shared" si="46"/>
        <v>0</v>
      </c>
      <c r="EP38" s="541">
        <f t="shared" si="157"/>
        <v>0</v>
      </c>
      <c r="EQ38" s="539"/>
      <c r="ER38" s="540">
        <f t="shared" si="47"/>
        <v>0</v>
      </c>
      <c r="ES38" s="541">
        <f t="shared" si="158"/>
        <v>0</v>
      </c>
      <c r="ET38" s="539"/>
      <c r="EU38" s="540">
        <f t="shared" si="48"/>
        <v>0</v>
      </c>
      <c r="EV38" s="541">
        <f t="shared" si="159"/>
        <v>0</v>
      </c>
      <c r="EW38" s="539"/>
      <c r="EX38" s="540">
        <f t="shared" si="49"/>
        <v>0</v>
      </c>
      <c r="EY38" s="541">
        <f t="shared" si="160"/>
        <v>0</v>
      </c>
      <c r="EZ38" s="539"/>
      <c r="FA38" s="540">
        <f t="shared" si="50"/>
        <v>0</v>
      </c>
      <c r="FB38" s="541">
        <f t="shared" si="161"/>
        <v>0</v>
      </c>
      <c r="FC38" s="539"/>
      <c r="FD38" s="540">
        <f t="shared" si="51"/>
        <v>0</v>
      </c>
      <c r="FE38" s="541">
        <f t="shared" si="162"/>
        <v>0</v>
      </c>
      <c r="FF38" s="539"/>
      <c r="FG38" s="540">
        <f t="shared" si="52"/>
        <v>0</v>
      </c>
      <c r="FH38" s="541">
        <f t="shared" si="163"/>
        <v>0</v>
      </c>
      <c r="FI38" s="539"/>
      <c r="FJ38" s="540">
        <f t="shared" si="53"/>
        <v>0</v>
      </c>
      <c r="FK38" s="541">
        <f t="shared" si="164"/>
        <v>0</v>
      </c>
      <c r="FL38" s="539"/>
      <c r="FM38" s="540">
        <f t="shared" si="54"/>
        <v>0</v>
      </c>
      <c r="FN38" s="541">
        <f t="shared" si="165"/>
        <v>0</v>
      </c>
      <c r="FO38" s="539"/>
      <c r="FP38" s="540">
        <f t="shared" si="55"/>
        <v>0</v>
      </c>
      <c r="FQ38" s="541">
        <f t="shared" si="166"/>
        <v>0</v>
      </c>
      <c r="FR38" s="539"/>
      <c r="FS38" s="540">
        <f t="shared" si="56"/>
        <v>0</v>
      </c>
      <c r="FT38" s="541">
        <f t="shared" si="167"/>
        <v>0</v>
      </c>
      <c r="FU38" s="539"/>
      <c r="FV38" s="540">
        <f t="shared" si="57"/>
        <v>0</v>
      </c>
      <c r="FW38" s="541">
        <f t="shared" si="168"/>
        <v>0</v>
      </c>
      <c r="FX38" s="539"/>
      <c r="FY38" s="540">
        <f t="shared" si="58"/>
        <v>0</v>
      </c>
      <c r="FZ38" s="541">
        <f t="shared" si="169"/>
        <v>0</v>
      </c>
      <c r="GA38" s="539"/>
      <c r="GB38" s="540">
        <f t="shared" si="59"/>
        <v>0</v>
      </c>
      <c r="GC38" s="541">
        <f t="shared" si="170"/>
        <v>0</v>
      </c>
      <c r="GD38" s="539"/>
      <c r="GE38" s="540">
        <f t="shared" si="60"/>
        <v>0</v>
      </c>
      <c r="GF38" s="541">
        <f t="shared" si="171"/>
        <v>0</v>
      </c>
      <c r="GG38" s="539"/>
      <c r="GH38" s="540">
        <f t="shared" si="61"/>
        <v>0</v>
      </c>
      <c r="GI38" s="541">
        <f t="shared" si="172"/>
        <v>0</v>
      </c>
      <c r="GJ38" s="539"/>
      <c r="GK38" s="540">
        <f t="shared" si="62"/>
        <v>0</v>
      </c>
      <c r="GL38" s="541">
        <f t="shared" si="173"/>
        <v>0</v>
      </c>
      <c r="GM38" s="539"/>
      <c r="GN38" s="540">
        <f t="shared" si="63"/>
        <v>0</v>
      </c>
      <c r="GO38" s="541">
        <f t="shared" si="174"/>
        <v>0</v>
      </c>
      <c r="GP38" s="539"/>
      <c r="GQ38" s="540">
        <f t="shared" si="64"/>
        <v>0</v>
      </c>
      <c r="GR38" s="541">
        <f t="shared" si="175"/>
        <v>0</v>
      </c>
      <c r="GS38" s="539"/>
      <c r="GT38" s="540">
        <f t="shared" si="65"/>
        <v>0</v>
      </c>
      <c r="GU38" s="541">
        <f t="shared" si="176"/>
        <v>0</v>
      </c>
      <c r="GV38" s="539"/>
      <c r="GW38" s="540">
        <f t="shared" si="66"/>
        <v>0</v>
      </c>
      <c r="GX38" s="541">
        <f t="shared" si="177"/>
        <v>0</v>
      </c>
      <c r="GY38" s="539"/>
      <c r="GZ38" s="540">
        <f t="shared" si="67"/>
        <v>0</v>
      </c>
      <c r="HA38" s="541">
        <f t="shared" si="178"/>
        <v>0</v>
      </c>
      <c r="HB38" s="539"/>
      <c r="HC38" s="540">
        <f t="shared" si="68"/>
        <v>0</v>
      </c>
      <c r="HD38" s="541">
        <f t="shared" si="179"/>
        <v>0</v>
      </c>
      <c r="HE38" s="539"/>
      <c r="HF38" s="540">
        <f t="shared" si="69"/>
        <v>0</v>
      </c>
      <c r="HG38" s="541">
        <f t="shared" si="180"/>
        <v>0</v>
      </c>
      <c r="HH38" s="539"/>
      <c r="HI38" s="540">
        <f t="shared" si="70"/>
        <v>0</v>
      </c>
      <c r="HJ38" s="541">
        <f t="shared" si="181"/>
        <v>0</v>
      </c>
      <c r="HK38" s="539"/>
      <c r="HL38" s="540">
        <f t="shared" si="71"/>
        <v>0</v>
      </c>
      <c r="HM38" s="541">
        <f t="shared" si="182"/>
        <v>0</v>
      </c>
      <c r="HN38" s="539"/>
      <c r="HO38" s="540">
        <f t="shared" si="72"/>
        <v>0</v>
      </c>
      <c r="HP38" s="541">
        <f t="shared" si="183"/>
        <v>0</v>
      </c>
      <c r="HQ38" s="539"/>
      <c r="HR38" s="540">
        <f t="shared" si="73"/>
        <v>0</v>
      </c>
      <c r="HS38" s="541">
        <f t="shared" si="184"/>
        <v>0</v>
      </c>
      <c r="HT38" s="539"/>
      <c r="HU38" s="540">
        <f t="shared" si="74"/>
        <v>0</v>
      </c>
      <c r="HV38" s="541">
        <f t="shared" si="185"/>
        <v>0</v>
      </c>
      <c r="HW38" s="539"/>
      <c r="HX38" s="540">
        <f t="shared" si="75"/>
        <v>0</v>
      </c>
      <c r="HY38" s="541">
        <f t="shared" si="186"/>
        <v>0</v>
      </c>
      <c r="HZ38" s="539"/>
      <c r="IA38" s="540">
        <f t="shared" si="76"/>
        <v>0</v>
      </c>
      <c r="IB38" s="541">
        <f t="shared" si="187"/>
        <v>0</v>
      </c>
      <c r="IC38" s="539"/>
      <c r="ID38" s="540">
        <f t="shared" si="77"/>
        <v>0</v>
      </c>
      <c r="IE38" s="541">
        <f t="shared" si="188"/>
        <v>0</v>
      </c>
      <c r="IF38" s="539"/>
      <c r="IG38" s="540">
        <f t="shared" si="78"/>
        <v>0</v>
      </c>
      <c r="IH38" s="541">
        <f t="shared" si="189"/>
        <v>0</v>
      </c>
      <c r="II38" s="539"/>
      <c r="IJ38" s="540">
        <f t="shared" si="79"/>
        <v>0</v>
      </c>
      <c r="IK38" s="541">
        <f t="shared" si="190"/>
        <v>0</v>
      </c>
      <c r="IL38" s="539"/>
      <c r="IM38" s="540">
        <f t="shared" si="80"/>
        <v>0</v>
      </c>
      <c r="IN38" s="541">
        <f t="shared" si="191"/>
        <v>0</v>
      </c>
      <c r="IO38" s="539"/>
      <c r="IP38" s="540">
        <f t="shared" si="81"/>
        <v>0</v>
      </c>
      <c r="IQ38" s="541">
        <f t="shared" si="192"/>
        <v>0</v>
      </c>
      <c r="IR38" s="539"/>
      <c r="IS38" s="540">
        <f t="shared" si="82"/>
        <v>0</v>
      </c>
      <c r="IT38" s="541">
        <f t="shared" si="193"/>
        <v>0</v>
      </c>
      <c r="IU38" s="539"/>
      <c r="IV38" s="540">
        <f t="shared" si="83"/>
        <v>0</v>
      </c>
      <c r="IW38" s="541">
        <f t="shared" si="194"/>
        <v>0</v>
      </c>
      <c r="IX38" s="539"/>
      <c r="IY38" s="540">
        <f t="shared" si="84"/>
        <v>0</v>
      </c>
      <c r="IZ38" s="541">
        <f t="shared" si="195"/>
        <v>0</v>
      </c>
      <c r="JA38" s="539"/>
      <c r="JB38" s="540">
        <f t="shared" si="85"/>
        <v>0</v>
      </c>
      <c r="JC38" s="541">
        <f t="shared" si="196"/>
        <v>0</v>
      </c>
      <c r="JD38" s="539"/>
      <c r="JE38" s="540">
        <f t="shared" si="86"/>
        <v>0</v>
      </c>
      <c r="JF38" s="541">
        <f t="shared" si="197"/>
        <v>0</v>
      </c>
      <c r="JG38" s="539"/>
      <c r="JH38" s="540">
        <f t="shared" si="87"/>
        <v>0</v>
      </c>
      <c r="JI38" s="541">
        <f t="shared" si="198"/>
        <v>0</v>
      </c>
      <c r="JJ38" s="539"/>
      <c r="JK38" s="541" t="str">
        <f t="shared" si="88"/>
        <v>0</v>
      </c>
      <c r="JL38" s="541" t="str">
        <f t="shared" si="89"/>
        <v>0</v>
      </c>
      <c r="JM38" s="539"/>
      <c r="JN38" s="541" t="str">
        <f t="shared" si="90"/>
        <v>0</v>
      </c>
      <c r="JO38" s="541" t="str">
        <f t="shared" si="91"/>
        <v>0</v>
      </c>
      <c r="JP38" s="539"/>
      <c r="JQ38" s="541" t="str">
        <f t="shared" si="92"/>
        <v>0</v>
      </c>
      <c r="JR38" s="541" t="str">
        <f t="shared" si="93"/>
        <v>0</v>
      </c>
      <c r="JS38" s="539"/>
      <c r="JT38" s="541" t="str">
        <f t="shared" si="94"/>
        <v>0</v>
      </c>
      <c r="JU38" s="541" t="str">
        <f t="shared" si="95"/>
        <v>0</v>
      </c>
      <c r="JV38" s="539"/>
      <c r="JW38" s="541" t="str">
        <f t="shared" si="96"/>
        <v>0</v>
      </c>
      <c r="JX38" s="541" t="str">
        <f t="shared" si="97"/>
        <v>0</v>
      </c>
      <c r="JY38" s="539"/>
      <c r="JZ38" s="541" t="str">
        <f t="shared" si="98"/>
        <v>0</v>
      </c>
      <c r="KA38" s="541" t="str">
        <f t="shared" si="99"/>
        <v>0</v>
      </c>
      <c r="KB38" s="539"/>
      <c r="KC38" s="541" t="str">
        <f t="shared" si="100"/>
        <v>0</v>
      </c>
      <c r="KD38" s="541" t="str">
        <f t="shared" si="101"/>
        <v>0</v>
      </c>
      <c r="KE38" s="539"/>
      <c r="KF38" s="541" t="str">
        <f t="shared" si="102"/>
        <v>0</v>
      </c>
      <c r="KG38" s="541" t="str">
        <f t="shared" si="103"/>
        <v>0</v>
      </c>
      <c r="KH38" s="539"/>
      <c r="KI38" s="541" t="str">
        <f t="shared" si="104"/>
        <v>0</v>
      </c>
      <c r="KJ38" s="541" t="str">
        <f t="shared" si="105"/>
        <v>0</v>
      </c>
      <c r="KK38" s="539"/>
      <c r="KL38" s="541" t="str">
        <f t="shared" si="106"/>
        <v>0</v>
      </c>
      <c r="KM38" s="541" t="str">
        <f t="shared" si="107"/>
        <v>0</v>
      </c>
      <c r="KN38" s="539"/>
      <c r="KO38" s="541" t="str">
        <f t="shared" si="108"/>
        <v>0</v>
      </c>
      <c r="KP38" s="541" t="str">
        <f t="shared" si="109"/>
        <v>0</v>
      </c>
      <c r="KQ38" s="539"/>
      <c r="KR38" s="541" t="str">
        <f t="shared" si="110"/>
        <v>0</v>
      </c>
      <c r="KS38" s="541" t="str">
        <f t="shared" si="111"/>
        <v>0</v>
      </c>
      <c r="KT38" s="541">
        <f t="shared" si="200"/>
        <v>0</v>
      </c>
      <c r="KU38" s="541">
        <f t="shared" si="201"/>
        <v>0</v>
      </c>
      <c r="KV38" s="275">
        <f t="shared" si="202"/>
        <v>1007.1217877793404</v>
      </c>
    </row>
    <row r="39" spans="1:308" ht="15" customHeight="1">
      <c r="A39" s="277">
        <f t="shared" si="199"/>
        <v>45961</v>
      </c>
      <c r="B39" s="278" t="str">
        <f>+Report1!B39</f>
        <v>MG</v>
      </c>
      <c r="C39" s="420" t="str">
        <f>+Report1!C39</f>
        <v>16,5/14</v>
      </c>
      <c r="D39" s="279">
        <f>+Report1!P39</f>
        <v>65.960999999999999</v>
      </c>
      <c r="E39" s="280">
        <f>+Report1!R39</f>
        <v>60.962000000000003</v>
      </c>
      <c r="F39" s="539">
        <v>58.139534883720899</v>
      </c>
      <c r="G39" s="540">
        <f t="shared" si="0"/>
        <v>0.95370123820939101</v>
      </c>
      <c r="H39" s="541">
        <f t="shared" si="112"/>
        <v>0</v>
      </c>
      <c r="I39" s="539">
        <v>627.90697674418607</v>
      </c>
      <c r="J39" s="540">
        <f t="shared" si="1"/>
        <v>10.299973372661428</v>
      </c>
      <c r="K39" s="541">
        <f t="shared" si="113"/>
        <v>0</v>
      </c>
      <c r="L39" s="539"/>
      <c r="M39" s="540">
        <f t="shared" si="2"/>
        <v>0</v>
      </c>
      <c r="N39" s="541">
        <f t="shared" si="114"/>
        <v>0</v>
      </c>
      <c r="O39" s="539">
        <v>9</v>
      </c>
      <c r="P39" s="540">
        <f t="shared" si="3"/>
        <v>0.1476329516748138</v>
      </c>
      <c r="Q39" s="541">
        <f t="shared" si="115"/>
        <v>0</v>
      </c>
      <c r="R39" s="539"/>
      <c r="S39" s="540">
        <f t="shared" si="4"/>
        <v>0</v>
      </c>
      <c r="T39" s="541">
        <f t="shared" si="116"/>
        <v>0</v>
      </c>
      <c r="U39" s="539">
        <v>5.1250000000000284</v>
      </c>
      <c r="V39" s="540">
        <f t="shared" si="5"/>
        <v>8.4068764148158337E-2</v>
      </c>
      <c r="W39" s="541">
        <f t="shared" si="117"/>
        <v>0</v>
      </c>
      <c r="X39" s="539"/>
      <c r="Y39" s="540">
        <f t="shared" si="6"/>
        <v>0</v>
      </c>
      <c r="Z39" s="541">
        <f t="shared" si="118"/>
        <v>0</v>
      </c>
      <c r="AA39" s="539"/>
      <c r="AB39" s="540">
        <f t="shared" si="7"/>
        <v>0</v>
      </c>
      <c r="AC39" s="541">
        <f t="shared" si="119"/>
        <v>0</v>
      </c>
      <c r="AD39" s="539"/>
      <c r="AE39" s="540">
        <f t="shared" si="8"/>
        <v>0</v>
      </c>
      <c r="AF39" s="541">
        <f t="shared" si="120"/>
        <v>0</v>
      </c>
      <c r="AG39" s="539"/>
      <c r="AH39" s="540">
        <f t="shared" si="9"/>
        <v>0</v>
      </c>
      <c r="AI39" s="541">
        <f t="shared" si="121"/>
        <v>0</v>
      </c>
      <c r="AJ39" s="539">
        <v>0</v>
      </c>
      <c r="AK39" s="540">
        <f t="shared" si="10"/>
        <v>0</v>
      </c>
      <c r="AL39" s="541">
        <f t="shared" si="122"/>
        <v>0</v>
      </c>
      <c r="AM39" s="539">
        <v>0</v>
      </c>
      <c r="AN39" s="540">
        <f t="shared" si="11"/>
        <v>0</v>
      </c>
      <c r="AO39" s="541">
        <f t="shared" si="123"/>
        <v>0</v>
      </c>
      <c r="AP39" s="539">
        <v>0</v>
      </c>
      <c r="AQ39" s="540">
        <f t="shared" si="12"/>
        <v>0</v>
      </c>
      <c r="AR39" s="541">
        <f t="shared" si="124"/>
        <v>0</v>
      </c>
      <c r="AS39" s="539"/>
      <c r="AT39" s="540">
        <f t="shared" si="13"/>
        <v>0</v>
      </c>
      <c r="AU39" s="541">
        <f t="shared" si="125"/>
        <v>0</v>
      </c>
      <c r="AV39" s="539">
        <v>5.5499999999999972</v>
      </c>
      <c r="AW39" s="540">
        <f t="shared" si="14"/>
        <v>9.1040320199468464E-2</v>
      </c>
      <c r="AX39" s="541">
        <f t="shared" si="126"/>
        <v>0</v>
      </c>
      <c r="AY39" s="539">
        <v>72.333333333333314</v>
      </c>
      <c r="AZ39" s="540">
        <f t="shared" si="15"/>
        <v>1.1865315004975774</v>
      </c>
      <c r="BA39" s="541">
        <f t="shared" si="127"/>
        <v>0</v>
      </c>
      <c r="BB39" s="539">
        <v>0</v>
      </c>
      <c r="BC39" s="540">
        <f t="shared" si="16"/>
        <v>0</v>
      </c>
      <c r="BD39" s="541">
        <f t="shared" si="128"/>
        <v>0</v>
      </c>
      <c r="BE39" s="539"/>
      <c r="BF39" s="540">
        <f t="shared" si="17"/>
        <v>0</v>
      </c>
      <c r="BG39" s="541">
        <f t="shared" si="129"/>
        <v>0</v>
      </c>
      <c r="BH39" s="539"/>
      <c r="BI39" s="540">
        <f t="shared" si="18"/>
        <v>0</v>
      </c>
      <c r="BJ39" s="541">
        <f t="shared" si="130"/>
        <v>0</v>
      </c>
      <c r="BK39" s="539"/>
      <c r="BL39" s="540">
        <f t="shared" si="19"/>
        <v>0</v>
      </c>
      <c r="BM39" s="541">
        <f t="shared" si="131"/>
        <v>0</v>
      </c>
      <c r="BN39" s="539">
        <v>7.592592592592581</v>
      </c>
      <c r="BO39" s="540">
        <f t="shared" si="20"/>
        <v>0.12454631725652998</v>
      </c>
      <c r="BP39" s="541">
        <f t="shared" si="132"/>
        <v>0</v>
      </c>
      <c r="BQ39" s="539">
        <v>0</v>
      </c>
      <c r="BR39" s="540">
        <f t="shared" si="21"/>
        <v>0</v>
      </c>
      <c r="BS39" s="541">
        <f t="shared" si="133"/>
        <v>0</v>
      </c>
      <c r="BT39" s="539"/>
      <c r="BU39" s="540">
        <f t="shared" si="22"/>
        <v>0</v>
      </c>
      <c r="BV39" s="541">
        <f t="shared" si="134"/>
        <v>0</v>
      </c>
      <c r="BW39" s="539">
        <v>0.67999999999999972</v>
      </c>
      <c r="BX39" s="540">
        <f t="shared" si="23"/>
        <v>1.1154489682097039E-2</v>
      </c>
      <c r="BY39" s="541">
        <f t="shared" si="135"/>
        <v>0</v>
      </c>
      <c r="BZ39" s="539"/>
      <c r="CA39" s="540">
        <f t="shared" si="24"/>
        <v>0</v>
      </c>
      <c r="CB39" s="541">
        <f t="shared" si="136"/>
        <v>0</v>
      </c>
      <c r="CC39" s="539">
        <v>19.999999999999993</v>
      </c>
      <c r="CD39" s="540">
        <f t="shared" si="25"/>
        <v>0.3280732259440306</v>
      </c>
      <c r="CE39" s="541">
        <f t="shared" si="137"/>
        <v>0</v>
      </c>
      <c r="CF39" s="539">
        <v>9.9999999999999978E-2</v>
      </c>
      <c r="CG39" s="540">
        <f t="shared" si="26"/>
        <v>1.6403661297201531E-3</v>
      </c>
      <c r="CH39" s="541">
        <f t="shared" si="138"/>
        <v>0</v>
      </c>
      <c r="CI39" s="539"/>
      <c r="CJ39" s="540">
        <f t="shared" si="27"/>
        <v>0</v>
      </c>
      <c r="CK39" s="541">
        <f t="shared" si="139"/>
        <v>0</v>
      </c>
      <c r="CL39" s="539"/>
      <c r="CM39" s="540">
        <f t="shared" si="28"/>
        <v>0</v>
      </c>
      <c r="CN39" s="541">
        <f t="shared" si="140"/>
        <v>0</v>
      </c>
      <c r="CO39" s="539"/>
      <c r="CP39" s="540">
        <f t="shared" si="29"/>
        <v>0</v>
      </c>
      <c r="CQ39" s="541">
        <f t="shared" si="141"/>
        <v>0</v>
      </c>
      <c r="CR39" s="539"/>
      <c r="CS39" s="540">
        <f t="shared" si="30"/>
        <v>0</v>
      </c>
      <c r="CT39" s="541">
        <f t="shared" si="142"/>
        <v>0</v>
      </c>
      <c r="CU39" s="539"/>
      <c r="CV39" s="540">
        <f t="shared" si="31"/>
        <v>0</v>
      </c>
      <c r="CW39" s="541">
        <f t="shared" si="143"/>
        <v>0</v>
      </c>
      <c r="CX39" s="539"/>
      <c r="CY39" s="540">
        <f t="shared" si="32"/>
        <v>0</v>
      </c>
      <c r="CZ39" s="541">
        <f t="shared" si="144"/>
        <v>0</v>
      </c>
      <c r="DA39" s="539"/>
      <c r="DB39" s="540">
        <f t="shared" si="33"/>
        <v>0</v>
      </c>
      <c r="DC39" s="541">
        <f t="shared" si="145"/>
        <v>0</v>
      </c>
      <c r="DD39" s="539"/>
      <c r="DE39" s="540">
        <f t="shared" si="34"/>
        <v>0</v>
      </c>
      <c r="DF39" s="541">
        <f t="shared" si="146"/>
        <v>0</v>
      </c>
      <c r="DG39" s="539">
        <v>4.7250000000000014</v>
      </c>
      <c r="DH39" s="540">
        <f t="shared" si="35"/>
        <v>7.7507299629277271E-2</v>
      </c>
      <c r="DI39" s="541">
        <f t="shared" si="203"/>
        <v>0</v>
      </c>
      <c r="DJ39" s="539"/>
      <c r="DK39" s="540">
        <f t="shared" si="36"/>
        <v>0</v>
      </c>
      <c r="DL39" s="541">
        <f t="shared" si="147"/>
        <v>0</v>
      </c>
      <c r="DM39" s="539"/>
      <c r="DN39" s="540">
        <f t="shared" si="37"/>
        <v>0</v>
      </c>
      <c r="DO39" s="541">
        <f t="shared" si="148"/>
        <v>0</v>
      </c>
      <c r="DP39" s="539"/>
      <c r="DQ39" s="540">
        <f t="shared" si="38"/>
        <v>0</v>
      </c>
      <c r="DR39" s="541">
        <f t="shared" si="149"/>
        <v>0</v>
      </c>
      <c r="DS39" s="539"/>
      <c r="DT39" s="540">
        <f t="shared" si="39"/>
        <v>0</v>
      </c>
      <c r="DU39" s="541">
        <f t="shared" si="150"/>
        <v>0</v>
      </c>
      <c r="DV39" s="539"/>
      <c r="DW39" s="540">
        <f t="shared" si="40"/>
        <v>0</v>
      </c>
      <c r="DX39" s="541">
        <f t="shared" si="151"/>
        <v>0</v>
      </c>
      <c r="DY39" s="539"/>
      <c r="DZ39" s="540">
        <f t="shared" si="41"/>
        <v>0</v>
      </c>
      <c r="EA39" s="541">
        <f t="shared" si="152"/>
        <v>0</v>
      </c>
      <c r="EB39" s="539">
        <v>14.534883720930225</v>
      </c>
      <c r="EC39" s="540">
        <f t="shared" si="42"/>
        <v>0.23842530955234775</v>
      </c>
      <c r="ED39" s="541">
        <f t="shared" si="153"/>
        <v>0</v>
      </c>
      <c r="EE39" s="539">
        <v>1</v>
      </c>
      <c r="EF39" s="540">
        <f t="shared" si="43"/>
        <v>1.6403661297201534E-2</v>
      </c>
      <c r="EG39" s="541">
        <f t="shared" si="154"/>
        <v>0</v>
      </c>
      <c r="EH39" s="539"/>
      <c r="EI39" s="540">
        <f t="shared" si="44"/>
        <v>0</v>
      </c>
      <c r="EJ39" s="541">
        <f t="shared" si="155"/>
        <v>0</v>
      </c>
      <c r="EK39" s="539"/>
      <c r="EL39" s="540">
        <f t="shared" si="45"/>
        <v>0</v>
      </c>
      <c r="EM39" s="541">
        <f t="shared" si="156"/>
        <v>0</v>
      </c>
      <c r="EN39" s="539"/>
      <c r="EO39" s="540">
        <f t="shared" si="46"/>
        <v>0</v>
      </c>
      <c r="EP39" s="541">
        <f t="shared" si="157"/>
        <v>0</v>
      </c>
      <c r="EQ39" s="539"/>
      <c r="ER39" s="540">
        <f t="shared" si="47"/>
        <v>0</v>
      </c>
      <c r="ES39" s="541">
        <f t="shared" si="158"/>
        <v>0</v>
      </c>
      <c r="ET39" s="539"/>
      <c r="EU39" s="540">
        <f t="shared" si="48"/>
        <v>0</v>
      </c>
      <c r="EV39" s="541">
        <f t="shared" si="159"/>
        <v>0</v>
      </c>
      <c r="EW39" s="539"/>
      <c r="EX39" s="540">
        <f t="shared" si="49"/>
        <v>0</v>
      </c>
      <c r="EY39" s="541">
        <f t="shared" si="160"/>
        <v>0</v>
      </c>
      <c r="EZ39" s="539"/>
      <c r="FA39" s="540">
        <f t="shared" si="50"/>
        <v>0</v>
      </c>
      <c r="FB39" s="541">
        <f t="shared" si="161"/>
        <v>0</v>
      </c>
      <c r="FC39" s="539"/>
      <c r="FD39" s="540">
        <f t="shared" si="51"/>
        <v>0</v>
      </c>
      <c r="FE39" s="541">
        <f t="shared" si="162"/>
        <v>0</v>
      </c>
      <c r="FF39" s="539"/>
      <c r="FG39" s="540">
        <f t="shared" si="52"/>
        <v>0</v>
      </c>
      <c r="FH39" s="541">
        <f t="shared" si="163"/>
        <v>0</v>
      </c>
      <c r="FI39" s="539"/>
      <c r="FJ39" s="540">
        <f t="shared" si="53"/>
        <v>0</v>
      </c>
      <c r="FK39" s="541">
        <f t="shared" si="164"/>
        <v>0</v>
      </c>
      <c r="FL39" s="539"/>
      <c r="FM39" s="540">
        <f t="shared" si="54"/>
        <v>0</v>
      </c>
      <c r="FN39" s="541">
        <f t="shared" si="165"/>
        <v>0</v>
      </c>
      <c r="FO39" s="539"/>
      <c r="FP39" s="540">
        <f t="shared" si="55"/>
        <v>0</v>
      </c>
      <c r="FQ39" s="541">
        <f t="shared" si="166"/>
        <v>0</v>
      </c>
      <c r="FR39" s="539"/>
      <c r="FS39" s="540">
        <f t="shared" si="56"/>
        <v>0</v>
      </c>
      <c r="FT39" s="541">
        <f t="shared" si="167"/>
        <v>0</v>
      </c>
      <c r="FU39" s="539"/>
      <c r="FV39" s="540">
        <f t="shared" si="57"/>
        <v>0</v>
      </c>
      <c r="FW39" s="541">
        <f t="shared" si="168"/>
        <v>0</v>
      </c>
      <c r="FX39" s="539"/>
      <c r="FY39" s="540">
        <f t="shared" si="58"/>
        <v>0</v>
      </c>
      <c r="FZ39" s="541">
        <f t="shared" si="169"/>
        <v>0</v>
      </c>
      <c r="GA39" s="539"/>
      <c r="GB39" s="540">
        <f t="shared" si="59"/>
        <v>0</v>
      </c>
      <c r="GC39" s="541">
        <f t="shared" si="170"/>
        <v>0</v>
      </c>
      <c r="GD39" s="539"/>
      <c r="GE39" s="540">
        <f t="shared" si="60"/>
        <v>0</v>
      </c>
      <c r="GF39" s="541">
        <f t="shared" si="171"/>
        <v>0</v>
      </c>
      <c r="GG39" s="539"/>
      <c r="GH39" s="540">
        <f t="shared" si="61"/>
        <v>0</v>
      </c>
      <c r="GI39" s="541">
        <f t="shared" si="172"/>
        <v>0</v>
      </c>
      <c r="GJ39" s="539"/>
      <c r="GK39" s="540">
        <f t="shared" si="62"/>
        <v>0</v>
      </c>
      <c r="GL39" s="541">
        <f t="shared" si="173"/>
        <v>0</v>
      </c>
      <c r="GM39" s="539"/>
      <c r="GN39" s="540">
        <f t="shared" si="63"/>
        <v>0</v>
      </c>
      <c r="GO39" s="541">
        <f t="shared" si="174"/>
        <v>0</v>
      </c>
      <c r="GP39" s="539"/>
      <c r="GQ39" s="540">
        <f t="shared" si="64"/>
        <v>0</v>
      </c>
      <c r="GR39" s="541">
        <f t="shared" si="175"/>
        <v>0</v>
      </c>
      <c r="GS39" s="539"/>
      <c r="GT39" s="540">
        <f t="shared" si="65"/>
        <v>0</v>
      </c>
      <c r="GU39" s="541">
        <f t="shared" si="176"/>
        <v>0</v>
      </c>
      <c r="GV39" s="539"/>
      <c r="GW39" s="540">
        <f t="shared" si="66"/>
        <v>0</v>
      </c>
      <c r="GX39" s="541">
        <f t="shared" si="177"/>
        <v>0</v>
      </c>
      <c r="GY39" s="539"/>
      <c r="GZ39" s="540">
        <f t="shared" si="67"/>
        <v>0</v>
      </c>
      <c r="HA39" s="541">
        <f t="shared" si="178"/>
        <v>0</v>
      </c>
      <c r="HB39" s="539"/>
      <c r="HC39" s="540">
        <f t="shared" si="68"/>
        <v>0</v>
      </c>
      <c r="HD39" s="541">
        <f t="shared" si="179"/>
        <v>0</v>
      </c>
      <c r="HE39" s="539"/>
      <c r="HF39" s="540">
        <f t="shared" si="69"/>
        <v>0</v>
      </c>
      <c r="HG39" s="541">
        <f t="shared" si="180"/>
        <v>0</v>
      </c>
      <c r="HH39" s="539"/>
      <c r="HI39" s="540">
        <f t="shared" si="70"/>
        <v>0</v>
      </c>
      <c r="HJ39" s="541">
        <f t="shared" si="181"/>
        <v>0</v>
      </c>
      <c r="HK39" s="539"/>
      <c r="HL39" s="540">
        <f t="shared" si="71"/>
        <v>0</v>
      </c>
      <c r="HM39" s="541">
        <f t="shared" si="182"/>
        <v>0</v>
      </c>
      <c r="HN39" s="539"/>
      <c r="HO39" s="540">
        <f t="shared" si="72"/>
        <v>0</v>
      </c>
      <c r="HP39" s="541">
        <f t="shared" si="183"/>
        <v>0</v>
      </c>
      <c r="HQ39" s="539"/>
      <c r="HR39" s="540">
        <f t="shared" si="73"/>
        <v>0</v>
      </c>
      <c r="HS39" s="541">
        <f t="shared" si="184"/>
        <v>0</v>
      </c>
      <c r="HT39" s="539"/>
      <c r="HU39" s="540">
        <f t="shared" si="74"/>
        <v>0</v>
      </c>
      <c r="HV39" s="541">
        <f t="shared" si="185"/>
        <v>0</v>
      </c>
      <c r="HW39" s="539"/>
      <c r="HX39" s="540">
        <f t="shared" si="75"/>
        <v>0</v>
      </c>
      <c r="HY39" s="541">
        <f t="shared" si="186"/>
        <v>0</v>
      </c>
      <c r="HZ39" s="539"/>
      <c r="IA39" s="540">
        <f t="shared" si="76"/>
        <v>0</v>
      </c>
      <c r="IB39" s="541">
        <f t="shared" si="187"/>
        <v>0</v>
      </c>
      <c r="IC39" s="539"/>
      <c r="ID39" s="540">
        <f t="shared" si="77"/>
        <v>0</v>
      </c>
      <c r="IE39" s="541">
        <f t="shared" si="188"/>
        <v>0</v>
      </c>
      <c r="IF39" s="539"/>
      <c r="IG39" s="540">
        <f t="shared" si="78"/>
        <v>0</v>
      </c>
      <c r="IH39" s="541">
        <f t="shared" si="189"/>
        <v>0</v>
      </c>
      <c r="II39" s="539"/>
      <c r="IJ39" s="540">
        <f t="shared" si="79"/>
        <v>0</v>
      </c>
      <c r="IK39" s="541">
        <f t="shared" si="190"/>
        <v>0</v>
      </c>
      <c r="IL39" s="539"/>
      <c r="IM39" s="540">
        <f t="shared" si="80"/>
        <v>0</v>
      </c>
      <c r="IN39" s="541">
        <f t="shared" si="191"/>
        <v>0</v>
      </c>
      <c r="IO39" s="539"/>
      <c r="IP39" s="540">
        <f t="shared" si="81"/>
        <v>0</v>
      </c>
      <c r="IQ39" s="541">
        <f t="shared" si="192"/>
        <v>0</v>
      </c>
      <c r="IR39" s="539"/>
      <c r="IS39" s="540">
        <f t="shared" si="82"/>
        <v>0</v>
      </c>
      <c r="IT39" s="541">
        <f t="shared" si="193"/>
        <v>0</v>
      </c>
      <c r="IU39" s="539"/>
      <c r="IV39" s="540">
        <f t="shared" si="83"/>
        <v>0</v>
      </c>
      <c r="IW39" s="541">
        <f t="shared" si="194"/>
        <v>0</v>
      </c>
      <c r="IX39" s="539"/>
      <c r="IY39" s="540">
        <f t="shared" si="84"/>
        <v>0</v>
      </c>
      <c r="IZ39" s="541">
        <f t="shared" si="195"/>
        <v>0</v>
      </c>
      <c r="JA39" s="539"/>
      <c r="JB39" s="540">
        <f t="shared" si="85"/>
        <v>0</v>
      </c>
      <c r="JC39" s="541">
        <f t="shared" si="196"/>
        <v>0</v>
      </c>
      <c r="JD39" s="539"/>
      <c r="JE39" s="540">
        <f t="shared" si="86"/>
        <v>0</v>
      </c>
      <c r="JF39" s="541">
        <f t="shared" si="197"/>
        <v>0</v>
      </c>
      <c r="JG39" s="539"/>
      <c r="JH39" s="540">
        <f t="shared" si="87"/>
        <v>0</v>
      </c>
      <c r="JI39" s="541">
        <f t="shared" si="198"/>
        <v>0</v>
      </c>
      <c r="JJ39" s="539"/>
      <c r="JK39" s="541" t="str">
        <f t="shared" si="88"/>
        <v>0</v>
      </c>
      <c r="JL39" s="541" t="str">
        <f t="shared" si="89"/>
        <v>0</v>
      </c>
      <c r="JM39" s="539"/>
      <c r="JN39" s="541" t="str">
        <f t="shared" si="90"/>
        <v>0</v>
      </c>
      <c r="JO39" s="541" t="str">
        <f t="shared" si="91"/>
        <v>0</v>
      </c>
      <c r="JP39" s="539"/>
      <c r="JQ39" s="541" t="str">
        <f t="shared" si="92"/>
        <v>0</v>
      </c>
      <c r="JR39" s="541" t="str">
        <f t="shared" si="93"/>
        <v>0</v>
      </c>
      <c r="JS39" s="539"/>
      <c r="JT39" s="541" t="str">
        <f t="shared" si="94"/>
        <v>0</v>
      </c>
      <c r="JU39" s="541" t="str">
        <f t="shared" si="95"/>
        <v>0</v>
      </c>
      <c r="JV39" s="539"/>
      <c r="JW39" s="541" t="str">
        <f t="shared" si="96"/>
        <v>0</v>
      </c>
      <c r="JX39" s="541" t="str">
        <f t="shared" si="97"/>
        <v>0</v>
      </c>
      <c r="JY39" s="539"/>
      <c r="JZ39" s="541" t="str">
        <f t="shared" si="98"/>
        <v>0</v>
      </c>
      <c r="KA39" s="541" t="str">
        <f t="shared" si="99"/>
        <v>0</v>
      </c>
      <c r="KB39" s="539"/>
      <c r="KC39" s="541" t="str">
        <f t="shared" si="100"/>
        <v>0</v>
      </c>
      <c r="KD39" s="541" t="str">
        <f t="shared" si="101"/>
        <v>0</v>
      </c>
      <c r="KE39" s="539"/>
      <c r="KF39" s="541" t="str">
        <f t="shared" si="102"/>
        <v>0</v>
      </c>
      <c r="KG39" s="541" t="str">
        <f t="shared" si="103"/>
        <v>0</v>
      </c>
      <c r="KH39" s="539"/>
      <c r="KI39" s="541" t="str">
        <f t="shared" si="104"/>
        <v>0</v>
      </c>
      <c r="KJ39" s="541" t="str">
        <f t="shared" si="105"/>
        <v>0</v>
      </c>
      <c r="KK39" s="539"/>
      <c r="KL39" s="541" t="str">
        <f t="shared" si="106"/>
        <v>0</v>
      </c>
      <c r="KM39" s="541" t="str">
        <f t="shared" si="107"/>
        <v>0</v>
      </c>
      <c r="KN39" s="539"/>
      <c r="KO39" s="541" t="str">
        <f t="shared" si="108"/>
        <v>0</v>
      </c>
      <c r="KP39" s="541" t="str">
        <f t="shared" si="109"/>
        <v>0</v>
      </c>
      <c r="KQ39" s="539"/>
      <c r="KR39" s="541" t="str">
        <f t="shared" si="110"/>
        <v>0</v>
      </c>
      <c r="KS39" s="541" t="str">
        <f t="shared" si="111"/>
        <v>0</v>
      </c>
      <c r="KT39" s="541">
        <f t="shared" si="200"/>
        <v>0</v>
      </c>
      <c r="KU39" s="541">
        <f t="shared" si="201"/>
        <v>0</v>
      </c>
      <c r="KV39" s="275">
        <f t="shared" si="202"/>
        <v>826.68732127476301</v>
      </c>
    </row>
    <row r="40" spans="1:308" ht="15" customHeight="1" thickBot="1">
      <c r="A40" s="282"/>
      <c r="B40" s="283"/>
      <c r="C40" s="284"/>
      <c r="D40" s="284"/>
      <c r="E40" s="280">
        <f>+Report1!R40</f>
        <v>0</v>
      </c>
      <c r="F40" s="539"/>
      <c r="G40" s="540"/>
      <c r="H40" s="541"/>
      <c r="I40" s="539"/>
      <c r="J40" s="540"/>
      <c r="K40" s="541"/>
      <c r="L40" s="539"/>
      <c r="M40" s="540"/>
      <c r="N40" s="541"/>
      <c r="O40" s="539"/>
      <c r="P40" s="540"/>
      <c r="Q40" s="541"/>
      <c r="R40" s="539"/>
      <c r="S40" s="540"/>
      <c r="T40" s="541"/>
      <c r="U40" s="539"/>
      <c r="V40" s="540"/>
      <c r="W40" s="541"/>
      <c r="X40" s="539"/>
      <c r="Y40" s="540"/>
      <c r="Z40" s="541"/>
      <c r="AA40" s="539"/>
      <c r="AB40" s="540"/>
      <c r="AC40" s="541"/>
      <c r="AD40" s="539"/>
      <c r="AE40" s="540"/>
      <c r="AF40" s="541"/>
      <c r="AG40" s="539"/>
      <c r="AH40" s="540"/>
      <c r="AI40" s="541"/>
      <c r="AJ40" s="539"/>
      <c r="AK40" s="540"/>
      <c r="AL40" s="541"/>
      <c r="AM40" s="539"/>
      <c r="AN40" s="540"/>
      <c r="AO40" s="541"/>
      <c r="AP40" s="539"/>
      <c r="AQ40" s="540"/>
      <c r="AR40" s="541"/>
      <c r="AS40" s="539"/>
      <c r="AT40" s="540"/>
      <c r="AU40" s="541"/>
      <c r="AV40" s="539"/>
      <c r="AW40" s="540"/>
      <c r="AX40" s="541"/>
      <c r="AY40" s="539"/>
      <c r="AZ40" s="540"/>
      <c r="BA40" s="541"/>
      <c r="BB40" s="539"/>
      <c r="BC40" s="540"/>
      <c r="BD40" s="541"/>
      <c r="BE40" s="539"/>
      <c r="BF40" s="540"/>
      <c r="BG40" s="541"/>
      <c r="BH40" s="539"/>
      <c r="BI40" s="540"/>
      <c r="BJ40" s="541"/>
      <c r="BK40" s="539"/>
      <c r="BL40" s="540"/>
      <c r="BM40" s="541"/>
      <c r="BN40" s="539"/>
      <c r="BO40" s="540"/>
      <c r="BP40" s="541"/>
      <c r="BQ40" s="539"/>
      <c r="BR40" s="540"/>
      <c r="BS40" s="541"/>
      <c r="BT40" s="539"/>
      <c r="BU40" s="540"/>
      <c r="BV40" s="541"/>
      <c r="BW40" s="539"/>
      <c r="BX40" s="540"/>
      <c r="BY40" s="541"/>
      <c r="BZ40" s="539"/>
      <c r="CA40" s="540"/>
      <c r="CB40" s="541"/>
      <c r="CC40" s="539"/>
      <c r="CD40" s="540"/>
      <c r="CE40" s="541"/>
      <c r="CF40" s="539"/>
      <c r="CG40" s="540"/>
      <c r="CH40" s="541"/>
      <c r="CI40" s="539"/>
      <c r="CJ40" s="540"/>
      <c r="CK40" s="541"/>
      <c r="CL40" s="539"/>
      <c r="CM40" s="540"/>
      <c r="CN40" s="541"/>
      <c r="CO40" s="539"/>
      <c r="CP40" s="540"/>
      <c r="CQ40" s="541"/>
      <c r="CR40" s="539"/>
      <c r="CS40" s="540"/>
      <c r="CT40" s="541"/>
      <c r="CU40" s="539"/>
      <c r="CV40" s="540"/>
      <c r="CW40" s="541"/>
      <c r="CX40" s="539"/>
      <c r="CY40" s="540"/>
      <c r="CZ40" s="541"/>
      <c r="DA40" s="539"/>
      <c r="DB40" s="540"/>
      <c r="DC40" s="541"/>
      <c r="DD40" s="539"/>
      <c r="DE40" s="540"/>
      <c r="DF40" s="541"/>
      <c r="DG40" s="539"/>
      <c r="DH40" s="540"/>
      <c r="DI40" s="541"/>
      <c r="DJ40" s="539"/>
      <c r="DK40" s="540"/>
      <c r="DL40" s="541"/>
      <c r="DM40" s="539"/>
      <c r="DN40" s="540"/>
      <c r="DO40" s="541"/>
      <c r="DP40" s="539"/>
      <c r="DQ40" s="540"/>
      <c r="DR40" s="541"/>
      <c r="DS40" s="539"/>
      <c r="DT40" s="540"/>
      <c r="DU40" s="541"/>
      <c r="DV40" s="539"/>
      <c r="DW40" s="540"/>
      <c r="DX40" s="541"/>
      <c r="DY40" s="539"/>
      <c r="DZ40" s="540"/>
      <c r="EA40" s="541"/>
      <c r="EB40" s="539"/>
      <c r="EC40" s="540"/>
      <c r="ED40" s="541"/>
      <c r="EE40" s="539"/>
      <c r="EF40" s="540"/>
      <c r="EG40" s="541"/>
      <c r="EH40" s="539"/>
      <c r="EI40" s="540"/>
      <c r="EJ40" s="541"/>
      <c r="EK40" s="539"/>
      <c r="EL40" s="540"/>
      <c r="EM40" s="541"/>
      <c r="EN40" s="539"/>
      <c r="EO40" s="540"/>
      <c r="EP40" s="541"/>
      <c r="EQ40" s="539"/>
      <c r="ER40" s="540"/>
      <c r="ES40" s="541"/>
      <c r="ET40" s="539"/>
      <c r="EU40" s="540"/>
      <c r="EV40" s="541"/>
      <c r="EW40" s="539"/>
      <c r="EX40" s="540"/>
      <c r="EY40" s="541"/>
      <c r="EZ40" s="539"/>
      <c r="FA40" s="540"/>
      <c r="FB40" s="541"/>
      <c r="FC40" s="539"/>
      <c r="FD40" s="540"/>
      <c r="FE40" s="541"/>
      <c r="FF40" s="539"/>
      <c r="FG40" s="540"/>
      <c r="FH40" s="541"/>
      <c r="FI40" s="539"/>
      <c r="FJ40" s="540"/>
      <c r="FK40" s="541"/>
      <c r="FL40" s="539"/>
      <c r="FM40" s="540"/>
      <c r="FN40" s="541"/>
      <c r="FO40" s="539"/>
      <c r="FP40" s="540"/>
      <c r="FQ40" s="541"/>
      <c r="FR40" s="539"/>
      <c r="FS40" s="540"/>
      <c r="FT40" s="541"/>
      <c r="FU40" s="539"/>
      <c r="FV40" s="540"/>
      <c r="FW40" s="541"/>
      <c r="FX40" s="539"/>
      <c r="FY40" s="540"/>
      <c r="FZ40" s="541"/>
      <c r="GA40" s="539"/>
      <c r="GB40" s="540"/>
      <c r="GC40" s="541"/>
      <c r="GD40" s="539"/>
      <c r="GE40" s="540"/>
      <c r="GF40" s="541"/>
      <c r="GG40" s="539"/>
      <c r="GH40" s="540"/>
      <c r="GI40" s="541"/>
      <c r="GJ40" s="539"/>
      <c r="GK40" s="540"/>
      <c r="GL40" s="541"/>
      <c r="GM40" s="539"/>
      <c r="GN40" s="540"/>
      <c r="GO40" s="541"/>
      <c r="GP40" s="539"/>
      <c r="GQ40" s="540"/>
      <c r="GR40" s="541"/>
      <c r="GS40" s="539"/>
      <c r="GT40" s="540"/>
      <c r="GU40" s="541"/>
      <c r="GV40" s="539"/>
      <c r="GW40" s="540"/>
      <c r="GX40" s="541"/>
      <c r="GY40" s="539"/>
      <c r="GZ40" s="540"/>
      <c r="HA40" s="541"/>
      <c r="HB40" s="539"/>
      <c r="HC40" s="540"/>
      <c r="HD40" s="541"/>
      <c r="HE40" s="539"/>
      <c r="HF40" s="540"/>
      <c r="HG40" s="541"/>
      <c r="HH40" s="539"/>
      <c r="HI40" s="540"/>
      <c r="HJ40" s="541"/>
      <c r="HK40" s="539"/>
      <c r="HL40" s="540"/>
      <c r="HM40" s="541"/>
      <c r="HN40" s="539"/>
      <c r="HO40" s="540"/>
      <c r="HP40" s="541"/>
      <c r="HQ40" s="539"/>
      <c r="HR40" s="540"/>
      <c r="HS40" s="541"/>
      <c r="HT40" s="539"/>
      <c r="HU40" s="540"/>
      <c r="HV40" s="541"/>
      <c r="HW40" s="539"/>
      <c r="HX40" s="540"/>
      <c r="HY40" s="541"/>
      <c r="HZ40" s="539"/>
      <c r="IA40" s="540"/>
      <c r="IB40" s="541"/>
      <c r="IC40" s="539"/>
      <c r="ID40" s="540"/>
      <c r="IE40" s="541"/>
      <c r="IF40" s="539"/>
      <c r="IG40" s="540"/>
      <c r="IH40" s="541"/>
      <c r="II40" s="539"/>
      <c r="IJ40" s="540"/>
      <c r="IK40" s="541"/>
      <c r="IL40" s="539"/>
      <c r="IM40" s="540"/>
      <c r="IN40" s="541"/>
      <c r="IO40" s="539"/>
      <c r="IP40" s="540"/>
      <c r="IQ40" s="541"/>
      <c r="IR40" s="539"/>
      <c r="IS40" s="540"/>
      <c r="IT40" s="541"/>
      <c r="IU40" s="539"/>
      <c r="IV40" s="540"/>
      <c r="IW40" s="541"/>
      <c r="IX40" s="539"/>
      <c r="IY40" s="540"/>
      <c r="IZ40" s="541"/>
      <c r="JA40" s="539"/>
      <c r="JB40" s="540"/>
      <c r="JC40" s="541"/>
      <c r="JD40" s="539"/>
      <c r="JE40" s="540"/>
      <c r="JF40" s="541"/>
      <c r="JG40" s="539"/>
      <c r="JH40" s="540"/>
      <c r="JI40" s="541"/>
      <c r="JJ40" s="539"/>
      <c r="JK40" s="541"/>
      <c r="JL40" s="541"/>
      <c r="JM40" s="539"/>
      <c r="JN40" s="541"/>
      <c r="JO40" s="541"/>
      <c r="JP40" s="539"/>
      <c r="JQ40" s="541"/>
      <c r="JR40" s="541"/>
      <c r="JS40" s="539"/>
      <c r="JT40" s="541"/>
      <c r="JU40" s="541"/>
      <c r="JV40" s="539"/>
      <c r="JW40" s="541"/>
      <c r="JX40" s="541"/>
      <c r="JY40" s="539"/>
      <c r="JZ40" s="541"/>
      <c r="KA40" s="541"/>
      <c r="KB40" s="539"/>
      <c r="KC40" s="541"/>
      <c r="KD40" s="541"/>
      <c r="KE40" s="539"/>
      <c r="KF40" s="541"/>
      <c r="KG40" s="541"/>
      <c r="KH40" s="539"/>
      <c r="KI40" s="541"/>
      <c r="KJ40" s="541"/>
      <c r="KK40" s="539"/>
      <c r="KL40" s="541"/>
      <c r="KM40" s="541"/>
      <c r="KN40" s="539"/>
      <c r="KO40" s="541"/>
      <c r="KP40" s="541"/>
      <c r="KQ40" s="539"/>
      <c r="KR40" s="541"/>
      <c r="KS40" s="541"/>
      <c r="KT40" s="541"/>
      <c r="KU40" s="541"/>
      <c r="KV40" s="275"/>
    </row>
    <row r="41" spans="1:308" s="281" customFormat="1" ht="15" customHeight="1" thickTop="1" thickBot="1">
      <c r="A41" s="964" t="s">
        <v>28</v>
      </c>
      <c r="B41" s="965"/>
      <c r="C41" s="966"/>
      <c r="D41" s="285">
        <f>SUM(D9:D40)</f>
        <v>1762.4719999999998</v>
      </c>
      <c r="E41" s="285">
        <f>SUM(E9:E40)</f>
        <v>1655.8839999999998</v>
      </c>
      <c r="F41" s="536">
        <f>SUM(F9:F39)</f>
        <v>976.74459069767431</v>
      </c>
      <c r="G41" s="536">
        <f>IFERROR((F41/$L$41),0)</f>
        <v>0</v>
      </c>
      <c r="H41" s="536">
        <f>IFERROR(((F41*H$8)/$L$41),0)</f>
        <v>0</v>
      </c>
      <c r="I41" s="536">
        <f>SUM(I9:I39)</f>
        <v>12058.96209302326</v>
      </c>
      <c r="J41" s="536">
        <f>IFERROR((I41/$L$41),0)</f>
        <v>0</v>
      </c>
      <c r="K41" s="536">
        <f>IFERROR(((I41*K$8)/$L$41),0)</f>
        <v>0</v>
      </c>
      <c r="L41" s="536">
        <f>SUM(L9:L39)</f>
        <v>0</v>
      </c>
      <c r="M41" s="536">
        <f>IFERROR((L41/$L$41),0)</f>
        <v>0</v>
      </c>
      <c r="N41" s="536">
        <f>IFERROR(((L41*N$8)/$L$41),0)</f>
        <v>0</v>
      </c>
      <c r="O41" s="536">
        <f>SUM(O9:O39)</f>
        <v>228</v>
      </c>
      <c r="P41" s="536">
        <f>IFERROR((O41/$L$41),0)</f>
        <v>0</v>
      </c>
      <c r="Q41" s="536">
        <f>IFERROR(((O41*Q$8)/$L$41),0)</f>
        <v>0</v>
      </c>
      <c r="R41" s="536">
        <f>SUM(R9:R39)</f>
        <v>0</v>
      </c>
      <c r="S41" s="536">
        <f>IFERROR((R41/$L$41),0)</f>
        <v>0</v>
      </c>
      <c r="T41" s="536">
        <f>IFERROR(((R41*T$8)/$L$41),0)</f>
        <v>0</v>
      </c>
      <c r="U41" s="536">
        <f>SUM(U9:U39)</f>
        <v>153.75</v>
      </c>
      <c r="V41" s="536">
        <f>IFERROR((U41/$L$41),0)</f>
        <v>0</v>
      </c>
      <c r="W41" s="536">
        <f>IFERROR(((U41*W$8)/$L$41),0)</f>
        <v>0</v>
      </c>
      <c r="X41" s="536">
        <f>SUM(X9:X39)</f>
        <v>0</v>
      </c>
      <c r="Y41" s="536">
        <f>IFERROR((X41/$L$41),0)</f>
        <v>0</v>
      </c>
      <c r="Z41" s="536">
        <f>IFERROR(((X41*Z$8)/$L$41),0)</f>
        <v>0</v>
      </c>
      <c r="AA41" s="536">
        <f>SUM(AA9:AA39)</f>
        <v>0</v>
      </c>
      <c r="AB41" s="536">
        <f>IFERROR((AA41/$L$41),0)</f>
        <v>0</v>
      </c>
      <c r="AC41" s="536">
        <f>IFERROR(((AA41*AC$8)/$L$41),0)</f>
        <v>0</v>
      </c>
      <c r="AD41" s="536">
        <f>SUM(AD9:AD39)</f>
        <v>0</v>
      </c>
      <c r="AE41" s="536">
        <f>IFERROR((AD41/$L$41),0)</f>
        <v>0</v>
      </c>
      <c r="AF41" s="536">
        <f>IFERROR(((AD41*AF$8)/$L$41),0)</f>
        <v>0</v>
      </c>
      <c r="AG41" s="536">
        <f>SUM(AG9:AG39)</f>
        <v>0</v>
      </c>
      <c r="AH41" s="536">
        <f>IFERROR((AG41/$L$41),0)</f>
        <v>0</v>
      </c>
      <c r="AI41" s="536">
        <f>IFERROR(((AG41*AI$8)/$L$41),0)</f>
        <v>0</v>
      </c>
      <c r="AJ41" s="536">
        <f>SUM(AJ9:AJ39)</f>
        <v>73.440700000000007</v>
      </c>
      <c r="AK41" s="536">
        <f>IFERROR((AJ41/$L$41),0)</f>
        <v>0</v>
      </c>
      <c r="AL41" s="536">
        <f>IFERROR(((AJ41*AL$8)/$L$41),0)</f>
        <v>0</v>
      </c>
      <c r="AM41" s="536">
        <f>SUM(AM9:AM39)</f>
        <v>120.89431794871797</v>
      </c>
      <c r="AN41" s="536">
        <f>IFERROR((AM41/$L$41),0)</f>
        <v>0</v>
      </c>
      <c r="AO41" s="536">
        <f>IFERROR(((AM41*AO$8)/$L$41),0)</f>
        <v>0</v>
      </c>
      <c r="AP41" s="536">
        <f>SUM(AP9:AP39)</f>
        <v>1053.7974683544303</v>
      </c>
      <c r="AQ41" s="536">
        <f>IFERROR((AP41/$L$41),0)</f>
        <v>0</v>
      </c>
      <c r="AR41" s="536">
        <f>IFERROR(((AP41*AR$8)/$L$41),0)</f>
        <v>0</v>
      </c>
      <c r="AS41" s="536">
        <f>SUM(AS9:AS39)</f>
        <v>0</v>
      </c>
      <c r="AT41" s="536">
        <f>IFERROR((AS41/$L$41),0)</f>
        <v>0</v>
      </c>
      <c r="AU41" s="536">
        <f>IFERROR(((AS41*AU$8)/$L$41),0)</f>
        <v>0</v>
      </c>
      <c r="AV41" s="536">
        <f>SUM(AV9:AV39)</f>
        <v>185.92499999999995</v>
      </c>
      <c r="AW41" s="536">
        <f>IFERROR((AV41/$L$41),0)</f>
        <v>0</v>
      </c>
      <c r="AX41" s="536">
        <f>IFERROR(((AV41*AX$8)/$L$41),0)</f>
        <v>0</v>
      </c>
      <c r="AY41" s="536">
        <f>SUM(AY9:AY39)</f>
        <v>1656.6666666666667</v>
      </c>
      <c r="AZ41" s="536">
        <f>IFERROR((AY41/$L$41),0)</f>
        <v>0</v>
      </c>
      <c r="BA41" s="536">
        <f>IFERROR(((AY41*BA$8)/$L$41),0)</f>
        <v>0</v>
      </c>
      <c r="BB41" s="536">
        <f>SUM(BB9:BB39)</f>
        <v>331.33333333333326</v>
      </c>
      <c r="BC41" s="536">
        <f>IFERROR((BB41/$L$41),0)</f>
        <v>0</v>
      </c>
      <c r="BD41" s="536">
        <f>IFERROR(((BB41*BD$8)/$L$41),0)</f>
        <v>0</v>
      </c>
      <c r="BE41" s="536">
        <f>SUM(BE9:BE39)</f>
        <v>0</v>
      </c>
      <c r="BF41" s="536">
        <f>IFERROR((BE41/$L$41),0)</f>
        <v>0</v>
      </c>
      <c r="BG41" s="536">
        <f>IFERROR(((BE41*BG$8)/$L$41),0)</f>
        <v>0</v>
      </c>
      <c r="BH41" s="536">
        <f>SUM(BH9:BH39)</f>
        <v>0</v>
      </c>
      <c r="BI41" s="536">
        <f>IFERROR((BH41/$L$41),0)</f>
        <v>0</v>
      </c>
      <c r="BJ41" s="536">
        <f>IFERROR(((BH41*BJ$8)/$L$41),0)</f>
        <v>0</v>
      </c>
      <c r="BK41" s="536">
        <f>SUM(BK9:BK39)</f>
        <v>0</v>
      </c>
      <c r="BL41" s="536">
        <f>IFERROR((BK41/$L$41),0)</f>
        <v>0</v>
      </c>
      <c r="BM41" s="536">
        <f>IFERROR(((BK41*BM$8)/$L$41),0)</f>
        <v>0</v>
      </c>
      <c r="BN41" s="536">
        <f>SUM(BN9:BN39)</f>
        <v>321.41975308641975</v>
      </c>
      <c r="BO41" s="536">
        <f>IFERROR((BN41/$L$41),0)</f>
        <v>0</v>
      </c>
      <c r="BP41" s="536">
        <f>IFERROR(((BN41*BP$8)/$L$41),0)</f>
        <v>0</v>
      </c>
      <c r="BQ41" s="536">
        <f>SUM(BQ9:BQ39)</f>
        <v>156.41025641025638</v>
      </c>
      <c r="BR41" s="536">
        <f>IFERROR((BQ41/$L$41),0)</f>
        <v>0</v>
      </c>
      <c r="BS41" s="536">
        <f>IFERROR(((BQ41*BS$8)/$L$41),0)</f>
        <v>0</v>
      </c>
      <c r="BT41" s="536">
        <f>SUM(BT9:BT39)</f>
        <v>0</v>
      </c>
      <c r="BU41" s="536">
        <f>IFERROR((BT41/$L$41),0)</f>
        <v>0</v>
      </c>
      <c r="BV41" s="536">
        <f>IFERROR(((BT41*BV$8)/$L$41),0)</f>
        <v>0</v>
      </c>
      <c r="BW41" s="536">
        <f>SUM(BW9:BW39)</f>
        <v>2.3800000000000026</v>
      </c>
      <c r="BX41" s="536">
        <f>IFERROR((BW41/$L$41),0)</f>
        <v>0</v>
      </c>
      <c r="BY41" s="536">
        <f>IFERROR(((BW41*BY$8)/$L$41),0)</f>
        <v>0</v>
      </c>
      <c r="BZ41" s="536">
        <f>SUM(BZ9:BZ39)</f>
        <v>0</v>
      </c>
      <c r="CA41" s="536">
        <f>IFERROR((BZ41/$L$41),0)</f>
        <v>0</v>
      </c>
      <c r="CB41" s="536">
        <f>IFERROR(((BZ41*CB$8)/$L$41),0)</f>
        <v>0</v>
      </c>
      <c r="CC41" s="536">
        <f>SUM(CC9:CC39)</f>
        <v>44.999999999999993</v>
      </c>
      <c r="CD41" s="536">
        <f>IFERROR((CC41/$L$41),0)</f>
        <v>0</v>
      </c>
      <c r="CE41" s="536">
        <f>IFERROR(((CC41*CE$8)/$L$41),0)</f>
        <v>0</v>
      </c>
      <c r="CF41" s="536">
        <f>SUM(CF9:CF39)</f>
        <v>3.1000000000000014</v>
      </c>
      <c r="CG41" s="536">
        <f>IFERROR((CF41/$L$41),0)</f>
        <v>0</v>
      </c>
      <c r="CH41" s="536">
        <f>IFERROR(((CF41*CH$8)/$L$41),0)</f>
        <v>0</v>
      </c>
      <c r="CI41" s="536">
        <f>SUM(CI9:CI39)</f>
        <v>0</v>
      </c>
      <c r="CJ41" s="536">
        <f>IFERROR((CI41/$L$41),0)</f>
        <v>0</v>
      </c>
      <c r="CK41" s="536">
        <f>IFERROR(((CI41*CK$8)/$L$41),0)</f>
        <v>0</v>
      </c>
      <c r="CL41" s="536">
        <f>SUM(CL9:CL39)</f>
        <v>0</v>
      </c>
      <c r="CM41" s="536">
        <f>IFERROR((CL41/$L$41),0)</f>
        <v>0</v>
      </c>
      <c r="CN41" s="536">
        <f>IFERROR(((CL41*CN$8)/$L$41),0)</f>
        <v>0</v>
      </c>
      <c r="CO41" s="536">
        <f>SUM(CO9:CO39)</f>
        <v>0</v>
      </c>
      <c r="CP41" s="536">
        <f>IFERROR((CO41/$L$41),0)</f>
        <v>0</v>
      </c>
      <c r="CQ41" s="536">
        <f>IFERROR(((CO41*CQ$8)/$L$41),0)</f>
        <v>0</v>
      </c>
      <c r="CR41" s="536">
        <f>SUM(CR9:CR39)</f>
        <v>0</v>
      </c>
      <c r="CS41" s="536">
        <f>IFERROR((CR41/$L$41),0)</f>
        <v>0</v>
      </c>
      <c r="CT41" s="536">
        <f>IFERROR(((CR41*CT$8)/$L$41),0)</f>
        <v>0</v>
      </c>
      <c r="CU41" s="536">
        <f>SUM(CU9:CU39)</f>
        <v>0</v>
      </c>
      <c r="CV41" s="536">
        <f>IFERROR((CU41/$L$41),0)</f>
        <v>0</v>
      </c>
      <c r="CW41" s="536">
        <f>IFERROR(((CU41*CW$8)/$L$41),0)</f>
        <v>0</v>
      </c>
      <c r="CX41" s="536">
        <f>SUM(CX9:CX39)</f>
        <v>0</v>
      </c>
      <c r="CY41" s="536">
        <f>IFERROR((CX41/$L$41),0)</f>
        <v>0</v>
      </c>
      <c r="CZ41" s="536">
        <f>IFERROR(((CX41*CZ$8)/$L$41),0)</f>
        <v>0</v>
      </c>
      <c r="DA41" s="536">
        <f>SUM(DA9:DA39)</f>
        <v>0</v>
      </c>
      <c r="DB41" s="536">
        <f>IFERROR((DA41/$L$41),0)</f>
        <v>0</v>
      </c>
      <c r="DC41" s="536">
        <f>IFERROR(((DA41*DC$8)/$L$41),0)</f>
        <v>0</v>
      </c>
      <c r="DD41" s="536">
        <f>SUM(DD9:DD39)</f>
        <v>0</v>
      </c>
      <c r="DE41" s="536">
        <f>IFERROR((DD41/$L$41),0)</f>
        <v>0</v>
      </c>
      <c r="DF41" s="536">
        <f>IFERROR(((DD41*DF$8)/$L$41),0)</f>
        <v>0</v>
      </c>
      <c r="DG41" s="536">
        <f>SUM(DG14:DG39)</f>
        <v>13.774999999999995</v>
      </c>
      <c r="DH41" s="536">
        <f>IFERROR((DG41/$L$41),0)</f>
        <v>0</v>
      </c>
      <c r="DI41" s="536">
        <f>IFERROR(((DG41*DI$8)/$L$41),0)</f>
        <v>0</v>
      </c>
      <c r="DJ41" s="536">
        <f>SUM(DJ9:DJ39)</f>
        <v>0</v>
      </c>
      <c r="DK41" s="536">
        <f>IFERROR((DJ41/$L$41),0)</f>
        <v>0</v>
      </c>
      <c r="DL41" s="536">
        <f>IFERROR(((DJ41*DL$8)/$L$41),0)</f>
        <v>0</v>
      </c>
      <c r="DM41" s="536">
        <f>SUM(DM9:DM39)</f>
        <v>0</v>
      </c>
      <c r="DN41" s="536">
        <f>IFERROR((DM41/$L$41),0)</f>
        <v>0</v>
      </c>
      <c r="DO41" s="536">
        <f>IFERROR(((DM41*DO$8)/$L$41),0)</f>
        <v>0</v>
      </c>
      <c r="DP41" s="536">
        <f>SUM(DP9:DP39)</f>
        <v>0</v>
      </c>
      <c r="DQ41" s="536">
        <f>IFERROR((DP41/$L$41),0)</f>
        <v>0</v>
      </c>
      <c r="DR41" s="536">
        <f>IFERROR(((DP41*DR$8)/$L$41),0)</f>
        <v>0</v>
      </c>
      <c r="DS41" s="536">
        <f>SUM(DS9:DS39)</f>
        <v>0</v>
      </c>
      <c r="DT41" s="536">
        <f>IFERROR((DS41/$L$41),0)</f>
        <v>0</v>
      </c>
      <c r="DU41" s="536">
        <f>IFERROR(((DS41*DU$8)/$L$41),0)</f>
        <v>0</v>
      </c>
      <c r="DV41" s="536">
        <f>SUM(DV9:DV39)</f>
        <v>0</v>
      </c>
      <c r="DW41" s="536">
        <f>IFERROR((DV41/$L$41),0)</f>
        <v>0</v>
      </c>
      <c r="DX41" s="536">
        <f>IFERROR(((DV41*DX$8)/$L$41),0)</f>
        <v>0</v>
      </c>
      <c r="DY41" s="536">
        <f>SUM(DY9:DY39)</f>
        <v>0</v>
      </c>
      <c r="DZ41" s="536">
        <f>IFERROR((DY41/$L$41),0)</f>
        <v>0</v>
      </c>
      <c r="EA41" s="536">
        <f>IFERROR(((DY41*EA$8)/$L$41),0)</f>
        <v>0</v>
      </c>
      <c r="EB41" s="536">
        <f>SUM(EB9:EB39)</f>
        <v>450.5813953488373</v>
      </c>
      <c r="EC41" s="536">
        <f>IFERROR((EB41/$L$41),0)</f>
        <v>0</v>
      </c>
      <c r="ED41" s="536">
        <f>IFERROR(((EB41*ED$8)/$L$41),0)</f>
        <v>0</v>
      </c>
      <c r="EE41" s="536">
        <f>SUM(EE9:EE39)</f>
        <v>44</v>
      </c>
      <c r="EF41" s="536">
        <f>IFERROR((EE41/$L$41),0)</f>
        <v>0</v>
      </c>
      <c r="EG41" s="536">
        <f>IFERROR(((EE41*EG$8)/$L$41),0)</f>
        <v>0</v>
      </c>
      <c r="EH41" s="536">
        <f>SUM(EH9:EH39)</f>
        <v>0</v>
      </c>
      <c r="EI41" s="536">
        <f>IFERROR((EH41/$L$41),0)</f>
        <v>0</v>
      </c>
      <c r="EJ41" s="536">
        <f>IFERROR(((EH41*EJ$8)/$L$41),0)</f>
        <v>0</v>
      </c>
      <c r="EK41" s="536">
        <f>SUM(EK9:EK39)</f>
        <v>0</v>
      </c>
      <c r="EL41" s="536">
        <f>IFERROR((EK41/$L$41),0)</f>
        <v>0</v>
      </c>
      <c r="EM41" s="536">
        <f>IFERROR(((EK41*EM$8)/$L$41),0)</f>
        <v>0</v>
      </c>
      <c r="EN41" s="536">
        <f>SUM(EN9:EN39)</f>
        <v>0</v>
      </c>
      <c r="EO41" s="536">
        <f>IFERROR((EN41/$L$41),0)</f>
        <v>0</v>
      </c>
      <c r="EP41" s="536">
        <f>IFERROR(((EN41*EP$8)/$L$41),0)</f>
        <v>0</v>
      </c>
      <c r="EQ41" s="536">
        <f>SUM(EQ9:EQ39)</f>
        <v>0</v>
      </c>
      <c r="ER41" s="536">
        <f>IFERROR((EQ41/$L$41),0)</f>
        <v>0</v>
      </c>
      <c r="ES41" s="536">
        <f>IFERROR(((EQ41*ES$8)/$L$41),0)</f>
        <v>0</v>
      </c>
      <c r="ET41" s="536">
        <f>SUM(ET9:ET39)</f>
        <v>0</v>
      </c>
      <c r="EU41" s="536">
        <f>IFERROR((ET41/$L$41),0)</f>
        <v>0</v>
      </c>
      <c r="EV41" s="536">
        <f>IFERROR(((ET41*EV$8)/$L$41),0)</f>
        <v>0</v>
      </c>
      <c r="EW41" s="536">
        <f>SUM(EW9:EW39)</f>
        <v>0</v>
      </c>
      <c r="EX41" s="536">
        <f>IFERROR((EW41/$L$41),0)</f>
        <v>0</v>
      </c>
      <c r="EY41" s="536">
        <f>IFERROR(((EW41*EY$8)/$L$41),0)</f>
        <v>0</v>
      </c>
      <c r="EZ41" s="536">
        <f>SUM(EZ9:EZ39)</f>
        <v>0</v>
      </c>
      <c r="FA41" s="536">
        <f>IFERROR((EZ41/$L$41),0)</f>
        <v>0</v>
      </c>
      <c r="FB41" s="536">
        <f>IFERROR(((EZ41*FB$8)/$L$41),0)</f>
        <v>0</v>
      </c>
      <c r="FC41" s="536">
        <f>SUM(FC9:FC39)</f>
        <v>0</v>
      </c>
      <c r="FD41" s="536">
        <f>IFERROR((FC41/$L$41),0)</f>
        <v>0</v>
      </c>
      <c r="FE41" s="536">
        <f>IFERROR(((FC41*FE$8)/$L$41),0)</f>
        <v>0</v>
      </c>
      <c r="FF41" s="536">
        <f>SUM(FF9:FF39)</f>
        <v>0</v>
      </c>
      <c r="FG41" s="536">
        <f>IFERROR((FF41/$L$41),0)</f>
        <v>0</v>
      </c>
      <c r="FH41" s="536">
        <f>IFERROR(((FF41*FH$8)/$L$41),0)</f>
        <v>0</v>
      </c>
      <c r="FI41" s="536">
        <f>SUM(FI9:FI39)</f>
        <v>0</v>
      </c>
      <c r="FJ41" s="536">
        <f>IFERROR((FI41/$L$41),0)</f>
        <v>0</v>
      </c>
      <c r="FK41" s="536">
        <f>IFERROR(((FI41*FK$8)/$L$41),0)</f>
        <v>0</v>
      </c>
      <c r="FL41" s="536">
        <f>SUM(FL9:FL39)</f>
        <v>0</v>
      </c>
      <c r="FM41" s="536">
        <f>IFERROR((FL41/$L$41),0)</f>
        <v>0</v>
      </c>
      <c r="FN41" s="536">
        <f>IFERROR(((FL41*FN$8)/$L$41),0)</f>
        <v>0</v>
      </c>
      <c r="FO41" s="536">
        <f>SUM(FO9:FO39)</f>
        <v>0</v>
      </c>
      <c r="FP41" s="536">
        <f>IFERROR((FO41/$L$41),0)</f>
        <v>0</v>
      </c>
      <c r="FQ41" s="536">
        <f>IFERROR(((FO41*FQ$8)/$L$41),0)</f>
        <v>0</v>
      </c>
      <c r="FR41" s="536">
        <f>SUM(FR9:FR39)</f>
        <v>0</v>
      </c>
      <c r="FS41" s="536">
        <f>IFERROR((FR41/$L$41),0)</f>
        <v>0</v>
      </c>
      <c r="FT41" s="536">
        <f>IFERROR(((FR41*FT$8)/$L$41),0)</f>
        <v>0</v>
      </c>
      <c r="FU41" s="536">
        <f>SUM(FU9:FU39)</f>
        <v>0</v>
      </c>
      <c r="FV41" s="536">
        <f>IFERROR((FU41/$L$41),0)</f>
        <v>0</v>
      </c>
      <c r="FW41" s="536">
        <f>IFERROR(((FU41*FW$8)/$L$41),0)</f>
        <v>0</v>
      </c>
      <c r="FX41" s="536">
        <f>SUM(FX9:FX39)</f>
        <v>0</v>
      </c>
      <c r="FY41" s="536">
        <f>IFERROR((FX41/$L$41),0)</f>
        <v>0</v>
      </c>
      <c r="FZ41" s="536">
        <f>IFERROR(((FX41*FZ$8)/$L$41),0)</f>
        <v>0</v>
      </c>
      <c r="GA41" s="536">
        <f>SUM(GA9:GA39)</f>
        <v>0</v>
      </c>
      <c r="GB41" s="536">
        <f>IFERROR((GA41/$L$41),0)</f>
        <v>0</v>
      </c>
      <c r="GC41" s="536">
        <f>IFERROR(((GA41*GC$8)/$L$41),0)</f>
        <v>0</v>
      </c>
      <c r="GD41" s="536">
        <f>SUM(GD9:GD39)</f>
        <v>0</v>
      </c>
      <c r="GE41" s="536">
        <f>IFERROR((GD41/$L$41),0)</f>
        <v>0</v>
      </c>
      <c r="GF41" s="536">
        <f>IFERROR(((GD41*GF$8)/$L$41),0)</f>
        <v>0</v>
      </c>
      <c r="GG41" s="536">
        <f>SUM(GG9:GG39)</f>
        <v>0</v>
      </c>
      <c r="GH41" s="536">
        <f>IFERROR((GG41/$L$41),0)</f>
        <v>0</v>
      </c>
      <c r="GI41" s="536">
        <f>IFERROR(((GG41*GI$8)/$L$41),0)</f>
        <v>0</v>
      </c>
      <c r="GJ41" s="536">
        <f>SUM(GJ9:GJ39)</f>
        <v>0</v>
      </c>
      <c r="GK41" s="536">
        <f>IFERROR((GJ41/$L$41),0)</f>
        <v>0</v>
      </c>
      <c r="GL41" s="536">
        <f>IFERROR(((GJ41*GL$8)/$L$41),0)</f>
        <v>0</v>
      </c>
      <c r="GM41" s="536">
        <f>SUM(GM9:GM39)</f>
        <v>0</v>
      </c>
      <c r="GN41" s="536">
        <f>IFERROR((GM41/$L$41),0)</f>
        <v>0</v>
      </c>
      <c r="GO41" s="536">
        <f>IFERROR(((GM41*GO$8)/$L$41),0)</f>
        <v>0</v>
      </c>
      <c r="GP41" s="536">
        <f>SUM(GP9:GP39)</f>
        <v>0</v>
      </c>
      <c r="GQ41" s="536">
        <f>IFERROR((GP41/$L$41),0)</f>
        <v>0</v>
      </c>
      <c r="GR41" s="536">
        <f>IFERROR(((GP41*GR$8)/$L$41),0)</f>
        <v>0</v>
      </c>
      <c r="GS41" s="536">
        <f>SUM(GS9:GS39)</f>
        <v>0</v>
      </c>
      <c r="GT41" s="536">
        <f>IFERROR((GS41/$L$41),0)</f>
        <v>0</v>
      </c>
      <c r="GU41" s="536">
        <f>IFERROR(((GS41*GU$8)/$L$41),0)</f>
        <v>0</v>
      </c>
      <c r="GV41" s="536">
        <f>SUM(GV9:GV39)</f>
        <v>0</v>
      </c>
      <c r="GW41" s="536">
        <f>IFERROR((GV41/$L$41),0)</f>
        <v>0</v>
      </c>
      <c r="GX41" s="536">
        <f>IFERROR(((GV41*GX$8)/$L$41),0)</f>
        <v>0</v>
      </c>
      <c r="GY41" s="536">
        <f>SUM(GY9:GY39)</f>
        <v>0</v>
      </c>
      <c r="GZ41" s="536">
        <f>IFERROR((GY41/$L$41),0)</f>
        <v>0</v>
      </c>
      <c r="HA41" s="536">
        <f>IFERROR(((GY41*HA$8)/$L$41),0)</f>
        <v>0</v>
      </c>
      <c r="HB41" s="536">
        <f>SUM(HB9:HB39)</f>
        <v>0</v>
      </c>
      <c r="HC41" s="536">
        <f>IFERROR((HB41/$L$41),0)</f>
        <v>0</v>
      </c>
      <c r="HD41" s="536">
        <f>IFERROR(((HB41*HD$8)/$L$41),0)</f>
        <v>0</v>
      </c>
      <c r="HE41" s="536">
        <f>SUM(HE9:HE39)</f>
        <v>0</v>
      </c>
      <c r="HF41" s="536">
        <f>IFERROR((HE41/$L$41),0)</f>
        <v>0</v>
      </c>
      <c r="HG41" s="536">
        <f>IFERROR(((HE41*HG$8)/$L$41),0)</f>
        <v>0</v>
      </c>
      <c r="HH41" s="536">
        <f>SUM(HH9:HH39)</f>
        <v>0</v>
      </c>
      <c r="HI41" s="536">
        <f>IFERROR((HH41/$L$41),0)</f>
        <v>0</v>
      </c>
      <c r="HJ41" s="536">
        <f>IFERROR(((HH41*HJ$8)/$L$41),0)</f>
        <v>0</v>
      </c>
      <c r="HK41" s="536">
        <f>SUM(HK9:HK39)</f>
        <v>0</v>
      </c>
      <c r="HL41" s="536">
        <f>IFERROR((HK41/$L$41),0)</f>
        <v>0</v>
      </c>
      <c r="HM41" s="536">
        <f>IFERROR(((HK41*HM$8)/$L$41),0)</f>
        <v>0</v>
      </c>
      <c r="HN41" s="536">
        <f>SUM(HN9:HN39)</f>
        <v>0</v>
      </c>
      <c r="HO41" s="536">
        <f>IFERROR((HN41/$L$41),0)</f>
        <v>0</v>
      </c>
      <c r="HP41" s="536">
        <f>IFERROR(((HN41*HP$8)/$L$41),0)</f>
        <v>0</v>
      </c>
      <c r="HQ41" s="536">
        <f>SUM(HQ9:HQ39)</f>
        <v>0</v>
      </c>
      <c r="HR41" s="536">
        <f>IFERROR((HQ41/$L$41),0)</f>
        <v>0</v>
      </c>
      <c r="HS41" s="536">
        <f>IFERROR(((HQ41*HS$8)/$L$41),0)</f>
        <v>0</v>
      </c>
      <c r="HT41" s="536">
        <f>SUM(HT9:HT39)</f>
        <v>0</v>
      </c>
      <c r="HU41" s="536">
        <f>IFERROR((HT41/$L$41),0)</f>
        <v>0</v>
      </c>
      <c r="HV41" s="536">
        <f>IFERROR(((HT41*HV$8)/$L$41),0)</f>
        <v>0</v>
      </c>
      <c r="HW41" s="536">
        <f>SUM(HW9:HW39)</f>
        <v>0</v>
      </c>
      <c r="HX41" s="536">
        <f>IFERROR((HW41/$L$41),0)</f>
        <v>0</v>
      </c>
      <c r="HY41" s="536">
        <f>IFERROR(((HW41*HY$8)/$L$41),0)</f>
        <v>0</v>
      </c>
      <c r="HZ41" s="536">
        <f>SUM(HZ9:HZ39)</f>
        <v>0</v>
      </c>
      <c r="IA41" s="536">
        <f>IFERROR((HZ41/$L$41),0)</f>
        <v>0</v>
      </c>
      <c r="IB41" s="536">
        <f>IFERROR(((HZ41*IB$8)/$L$41),0)</f>
        <v>0</v>
      </c>
      <c r="IC41" s="536">
        <f>SUM(IC9:IC39)</f>
        <v>0</v>
      </c>
      <c r="ID41" s="536">
        <f>IFERROR((IC41/$L$41),0)</f>
        <v>0</v>
      </c>
      <c r="IE41" s="536">
        <f>IFERROR(((IC41*IE$8)/$L$41),0)</f>
        <v>0</v>
      </c>
      <c r="IF41" s="536">
        <f>SUM(IF9:IF39)</f>
        <v>0</v>
      </c>
      <c r="IG41" s="536">
        <f>IFERROR((IF41/$L$41),0)</f>
        <v>0</v>
      </c>
      <c r="IH41" s="536">
        <f>IFERROR(((IF41*IH$8)/$L$41),0)</f>
        <v>0</v>
      </c>
      <c r="II41" s="536">
        <f>SUM(II9:II39)</f>
        <v>0</v>
      </c>
      <c r="IJ41" s="536">
        <f>IFERROR((II41/$L$41),0)</f>
        <v>0</v>
      </c>
      <c r="IK41" s="536">
        <f>IFERROR(((II41*IK$8)/$L$41),0)</f>
        <v>0</v>
      </c>
      <c r="IL41" s="536">
        <f>SUM(IL9:IL39)</f>
        <v>0</v>
      </c>
      <c r="IM41" s="536">
        <f>IFERROR((IL41/$L$41),0)</f>
        <v>0</v>
      </c>
      <c r="IN41" s="536">
        <f>IFERROR(((IL41*IN$8)/$L$41),0)</f>
        <v>0</v>
      </c>
      <c r="IO41" s="536">
        <f>SUM(IO9:IO39)</f>
        <v>0</v>
      </c>
      <c r="IP41" s="536">
        <f>IFERROR((IO41/$L$41),0)</f>
        <v>0</v>
      </c>
      <c r="IQ41" s="536">
        <f>IFERROR(((IO41*IQ$8)/$L$41),0)</f>
        <v>0</v>
      </c>
      <c r="IR41" s="536">
        <f>SUM(IR9:IR39)</f>
        <v>0</v>
      </c>
      <c r="IS41" s="536">
        <f>IFERROR((IR41/$L$41),0)</f>
        <v>0</v>
      </c>
      <c r="IT41" s="536">
        <f>IFERROR(((IR41*IT$8)/$L$41),0)</f>
        <v>0</v>
      </c>
      <c r="IU41" s="536">
        <f>SUM(IU9:IU39)</f>
        <v>0</v>
      </c>
      <c r="IV41" s="536">
        <f>IFERROR((IU41/$L$41),0)</f>
        <v>0</v>
      </c>
      <c r="IW41" s="536">
        <f>IFERROR(((IU41*IW$8)/$L$41),0)</f>
        <v>0</v>
      </c>
      <c r="IX41" s="536">
        <f>SUM(IX9:IX39)</f>
        <v>0</v>
      </c>
      <c r="IY41" s="536">
        <f>IFERROR((IX41/$L$41),0)</f>
        <v>0</v>
      </c>
      <c r="IZ41" s="536">
        <f>IFERROR(((IX41*IZ$8)/$L$41),0)</f>
        <v>0</v>
      </c>
      <c r="JA41" s="536">
        <f>SUM(JA9:JA39)</f>
        <v>0</v>
      </c>
      <c r="JB41" s="536">
        <f>IFERROR((JA41/$L$41),0)</f>
        <v>0</v>
      </c>
      <c r="JC41" s="536">
        <f>IFERROR(((JA41*JC$8)/$L$41),0)</f>
        <v>0</v>
      </c>
      <c r="JD41" s="536">
        <f>SUM(JD9:JD39)</f>
        <v>0</v>
      </c>
      <c r="JE41" s="536">
        <f>IFERROR((JD41/$L$41),0)</f>
        <v>0</v>
      </c>
      <c r="JF41" s="536">
        <f>IFERROR(((JD41*JF$8)/$L$41),0)</f>
        <v>0</v>
      </c>
      <c r="JG41" s="536">
        <f>SUM(JG9:JG39)</f>
        <v>0</v>
      </c>
      <c r="JH41" s="536">
        <f>IFERROR((JG41/$L$41),0)</f>
        <v>0</v>
      </c>
      <c r="JI41" s="536">
        <f>IFERROR(((JG41*JI$8)/$L$41),0)</f>
        <v>0</v>
      </c>
      <c r="JJ41" s="536">
        <f>SUM(JJ9:JJ39)</f>
        <v>0</v>
      </c>
      <c r="JK41" s="536">
        <f>IFERROR((JJ41/$L$41),0)</f>
        <v>0</v>
      </c>
      <c r="JL41" s="536">
        <f>IFERROR(((JJ41*JL$8)/$L$41),0)</f>
        <v>0</v>
      </c>
      <c r="JM41" s="536">
        <f>SUM(JM9:JM39)</f>
        <v>0</v>
      </c>
      <c r="JN41" s="536">
        <f>IFERROR((JM41/$L$41),0)</f>
        <v>0</v>
      </c>
      <c r="JO41" s="536">
        <f>IFERROR(((JM41*JO$8)/$L$41),0)</f>
        <v>0</v>
      </c>
      <c r="JP41" s="536">
        <f>SUM(JP9:JP39)</f>
        <v>0</v>
      </c>
      <c r="JQ41" s="536">
        <f>IFERROR((JP41/$L$41),0)</f>
        <v>0</v>
      </c>
      <c r="JR41" s="536">
        <f>IFERROR(((JP41*JR$8)/$L$41),0)</f>
        <v>0</v>
      </c>
      <c r="JS41" s="536">
        <f>SUM(JS9:JS39)</f>
        <v>0</v>
      </c>
      <c r="JT41" s="536">
        <f>IFERROR((JS41/$L$41),0)</f>
        <v>0</v>
      </c>
      <c r="JU41" s="536">
        <f>IFERROR(((JS41*JU$8)/$L$41),0)</f>
        <v>0</v>
      </c>
      <c r="JV41" s="536">
        <f>SUM(JV9:JV39)</f>
        <v>0</v>
      </c>
      <c r="JW41" s="536">
        <f>IFERROR((JV41/$L$41),0)</f>
        <v>0</v>
      </c>
      <c r="JX41" s="536">
        <f>IFERROR(((JV41*JX$8)/$L$41),0)</f>
        <v>0</v>
      </c>
      <c r="JY41" s="536">
        <f>SUM(JY9:JY39)</f>
        <v>0</v>
      </c>
      <c r="JZ41" s="536">
        <f>IFERROR((JY41/$L$41),0)</f>
        <v>0</v>
      </c>
      <c r="KA41" s="536">
        <f>IFERROR(((JY41*KA$8)/$L$41),0)</f>
        <v>0</v>
      </c>
      <c r="KB41" s="536">
        <f>SUM(KB9:KB39)</f>
        <v>0</v>
      </c>
      <c r="KC41" s="536">
        <f>IFERROR((KB41/$L$41),0)</f>
        <v>0</v>
      </c>
      <c r="KD41" s="536">
        <f>IFERROR(((KB41*KD$8)/$L$41),0)</f>
        <v>0</v>
      </c>
      <c r="KE41" s="536">
        <f>SUM(KE9:KE39)</f>
        <v>0</v>
      </c>
      <c r="KF41" s="536">
        <f>IFERROR((KE41/$L$41),0)</f>
        <v>0</v>
      </c>
      <c r="KG41" s="536">
        <f>IFERROR(((KE41*KG$8)/$L$41),0)</f>
        <v>0</v>
      </c>
      <c r="KH41" s="536">
        <f>SUM(KH9:KH39)</f>
        <v>0</v>
      </c>
      <c r="KI41" s="536">
        <f>IFERROR((KH41/$L$41),0)</f>
        <v>0</v>
      </c>
      <c r="KJ41" s="536">
        <f>IFERROR(((KH41*KJ$8)/$L$41),0)</f>
        <v>0</v>
      </c>
      <c r="KK41" s="536">
        <f>SUM(KK9:KK39)</f>
        <v>0</v>
      </c>
      <c r="KL41" s="536">
        <f>IFERROR((KK41/$L$41),0)</f>
        <v>0</v>
      </c>
      <c r="KM41" s="536">
        <f>IFERROR(((KK41*KM$8)/$L$41),0)</f>
        <v>0</v>
      </c>
      <c r="KN41" s="536">
        <f>SUM(KN9:KN39)</f>
        <v>0</v>
      </c>
      <c r="KO41" s="536">
        <f>IFERROR((KN41/$L$41),0)</f>
        <v>0</v>
      </c>
      <c r="KP41" s="536">
        <f>IFERROR(((KN41*KP$8)/$L$41),0)</f>
        <v>0</v>
      </c>
      <c r="KQ41" s="536">
        <f>SUM(KQ9:KQ39)</f>
        <v>0</v>
      </c>
      <c r="KR41" s="536">
        <f>IFERROR((KQ41/$L$41),0)</f>
        <v>0</v>
      </c>
      <c r="KS41" s="536">
        <f>IFERROR(((KQ41*KS$8)/$L$41),0)</f>
        <v>0</v>
      </c>
      <c r="KT41" s="537">
        <f t="shared" si="200"/>
        <v>0</v>
      </c>
      <c r="KU41" s="537">
        <f t="shared" si="201"/>
        <v>0</v>
      </c>
      <c r="KV41" s="275">
        <f t="shared" si="202"/>
        <v>17876.180574869592</v>
      </c>
    </row>
    <row r="43" spans="1:308" ht="15" customHeight="1">
      <c r="A43" s="286" t="s">
        <v>138</v>
      </c>
      <c r="B43" s="287" t="s">
        <v>139</v>
      </c>
      <c r="C43" s="288" t="s">
        <v>153</v>
      </c>
      <c r="D43" s="272"/>
      <c r="E43" s="272"/>
    </row>
    <row r="44" spans="1:308" ht="15" customHeight="1">
      <c r="A44" s="289"/>
      <c r="B44" s="287" t="s">
        <v>140</v>
      </c>
      <c r="C44" s="288" t="s">
        <v>146</v>
      </c>
      <c r="D44" s="272"/>
      <c r="E44" s="272"/>
    </row>
    <row r="45" spans="1:308" ht="15" customHeight="1">
      <c r="A45" s="289"/>
      <c r="B45" s="290" t="s">
        <v>141</v>
      </c>
      <c r="C45" s="288" t="s">
        <v>142</v>
      </c>
      <c r="D45" s="272"/>
      <c r="E45" s="272"/>
    </row>
  </sheetData>
  <mergeCells count="210">
    <mergeCell ref="CL7:CM7"/>
    <mergeCell ref="CO7:CP7"/>
    <mergeCell ref="B6:B8"/>
    <mergeCell ref="AJ7:AK7"/>
    <mergeCell ref="BN7:BO7"/>
    <mergeCell ref="BZ7:CA7"/>
    <mergeCell ref="CC7:CD7"/>
    <mergeCell ref="CF7:CG7"/>
    <mergeCell ref="CI7:CJ7"/>
    <mergeCell ref="AV6:AX6"/>
    <mergeCell ref="AY7:AZ7"/>
    <mergeCell ref="AY6:BA6"/>
    <mergeCell ref="BB6:BD6"/>
    <mergeCell ref="BE6:BG6"/>
    <mergeCell ref="A41:C41"/>
    <mergeCell ref="F7:G7"/>
    <mergeCell ref="C6:C8"/>
    <mergeCell ref="E6:E8"/>
    <mergeCell ref="D6:D8"/>
    <mergeCell ref="A6:A8"/>
    <mergeCell ref="F5:GC5"/>
    <mergeCell ref="GD5:KS5"/>
    <mergeCell ref="KT5:KT8"/>
    <mergeCell ref="CF6:CH6"/>
    <mergeCell ref="CI6:CK6"/>
    <mergeCell ref="BH6:BJ6"/>
    <mergeCell ref="BK6:BM6"/>
    <mergeCell ref="BN6:BP6"/>
    <mergeCell ref="BQ6:BS6"/>
    <mergeCell ref="BT6:BV6"/>
    <mergeCell ref="DA6:DC6"/>
    <mergeCell ref="DD6:DF6"/>
    <mergeCell ref="DG6:DI6"/>
    <mergeCell ref="DJ6:DL6"/>
    <mergeCell ref="DM6:DO6"/>
    <mergeCell ref="CL6:CN6"/>
    <mergeCell ref="CO6:CQ6"/>
    <mergeCell ref="CR6:CT6"/>
    <mergeCell ref="KU5:KU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BT7:BU7"/>
    <mergeCell ref="BK7:BL7"/>
    <mergeCell ref="R7:S7"/>
    <mergeCell ref="U7:V7"/>
    <mergeCell ref="AG7:AH7"/>
    <mergeCell ref="AV7:AW7"/>
    <mergeCell ref="AP6:AR6"/>
    <mergeCell ref="AS6:AU6"/>
    <mergeCell ref="BW6:BY6"/>
    <mergeCell ref="BZ6:CB6"/>
    <mergeCell ref="CC6:CE6"/>
    <mergeCell ref="CU6:CW6"/>
    <mergeCell ref="CX6:CZ6"/>
    <mergeCell ref="EE6:EG6"/>
    <mergeCell ref="EH6:EJ6"/>
    <mergeCell ref="EK6:EM6"/>
    <mergeCell ref="EN6:EP6"/>
    <mergeCell ref="EQ6:ES6"/>
    <mergeCell ref="DP6:DR6"/>
    <mergeCell ref="DS6:DU6"/>
    <mergeCell ref="DV6:DX6"/>
    <mergeCell ref="DY6:EA6"/>
    <mergeCell ref="EB6:ED6"/>
    <mergeCell ref="FI6:FK6"/>
    <mergeCell ref="FL6:FN6"/>
    <mergeCell ref="FO6:FQ6"/>
    <mergeCell ref="FR6:FT6"/>
    <mergeCell ref="FU6:FW6"/>
    <mergeCell ref="ET6:EV6"/>
    <mergeCell ref="EW6:EY6"/>
    <mergeCell ref="EZ6:FB6"/>
    <mergeCell ref="FC6:FE6"/>
    <mergeCell ref="FF6:FH6"/>
    <mergeCell ref="GM6:GO6"/>
    <mergeCell ref="GP6:GR6"/>
    <mergeCell ref="GS6:GU6"/>
    <mergeCell ref="GV6:GX6"/>
    <mergeCell ref="GY6:HA6"/>
    <mergeCell ref="FX6:FZ6"/>
    <mergeCell ref="GA6:GC6"/>
    <mergeCell ref="GD6:GF6"/>
    <mergeCell ref="GG6:GI6"/>
    <mergeCell ref="GJ6:GL6"/>
    <mergeCell ref="HQ6:HS6"/>
    <mergeCell ref="HT6:HV6"/>
    <mergeCell ref="HW6:HY6"/>
    <mergeCell ref="HZ6:IB6"/>
    <mergeCell ref="IC6:IE6"/>
    <mergeCell ref="HB6:HD6"/>
    <mergeCell ref="HE6:HG6"/>
    <mergeCell ref="HH6:HJ6"/>
    <mergeCell ref="HK6:HM6"/>
    <mergeCell ref="HN6:HP6"/>
    <mergeCell ref="JS6:JU6"/>
    <mergeCell ref="JV6:JX6"/>
    <mergeCell ref="IU6:IW6"/>
    <mergeCell ref="IX6:IZ6"/>
    <mergeCell ref="JA6:JC6"/>
    <mergeCell ref="JD6:JF6"/>
    <mergeCell ref="JG6:JI6"/>
    <mergeCell ref="IF6:IH6"/>
    <mergeCell ref="II6:IK6"/>
    <mergeCell ref="IL6:IN6"/>
    <mergeCell ref="IO6:IQ6"/>
    <mergeCell ref="IR6:IT6"/>
    <mergeCell ref="KN6:KP6"/>
    <mergeCell ref="KQ6:KS6"/>
    <mergeCell ref="I7:J7"/>
    <mergeCell ref="L7:M7"/>
    <mergeCell ref="O7:P7"/>
    <mergeCell ref="X7:Y7"/>
    <mergeCell ref="AA7:AB7"/>
    <mergeCell ref="AD7:AE7"/>
    <mergeCell ref="AM7:AN7"/>
    <mergeCell ref="AP7:AQ7"/>
    <mergeCell ref="AS7:AT7"/>
    <mergeCell ref="BB7:BC7"/>
    <mergeCell ref="BE7:BF7"/>
    <mergeCell ref="BH7:BI7"/>
    <mergeCell ref="BQ7:BR7"/>
    <mergeCell ref="BW7:BX7"/>
    <mergeCell ref="JY6:KA6"/>
    <mergeCell ref="KB6:KD6"/>
    <mergeCell ref="KE6:KG6"/>
    <mergeCell ref="KH6:KJ6"/>
    <mergeCell ref="KK6:KM6"/>
    <mergeCell ref="JJ6:JL6"/>
    <mergeCell ref="JM6:JO6"/>
    <mergeCell ref="JP6:JR6"/>
    <mergeCell ref="DG7:DH7"/>
    <mergeCell ref="DJ7:DK7"/>
    <mergeCell ref="DM7:DN7"/>
    <mergeCell ref="DP7:DQ7"/>
    <mergeCell ref="DS7:DT7"/>
    <mergeCell ref="CR7:CS7"/>
    <mergeCell ref="CU7:CV7"/>
    <mergeCell ref="CX7:CY7"/>
    <mergeCell ref="DA7:DB7"/>
    <mergeCell ref="DD7:DE7"/>
    <mergeCell ref="EK7:EL7"/>
    <mergeCell ref="EN7:EO7"/>
    <mergeCell ref="EQ7:ER7"/>
    <mergeCell ref="ET7:EU7"/>
    <mergeCell ref="EW7:EX7"/>
    <mergeCell ref="DV7:DW7"/>
    <mergeCell ref="DY7:DZ7"/>
    <mergeCell ref="EB7:EC7"/>
    <mergeCell ref="EE7:EF7"/>
    <mergeCell ref="EH7:EI7"/>
    <mergeCell ref="FO7:FP7"/>
    <mergeCell ref="FR7:FS7"/>
    <mergeCell ref="FU7:FV7"/>
    <mergeCell ref="FX7:FY7"/>
    <mergeCell ref="GA7:GB7"/>
    <mergeCell ref="EZ7:FA7"/>
    <mergeCell ref="FC7:FD7"/>
    <mergeCell ref="FF7:FG7"/>
    <mergeCell ref="FI7:FJ7"/>
    <mergeCell ref="FL7:FM7"/>
    <mergeCell ref="GS7:GT7"/>
    <mergeCell ref="GV7:GW7"/>
    <mergeCell ref="GY7:GZ7"/>
    <mergeCell ref="HB7:HC7"/>
    <mergeCell ref="HE7:HF7"/>
    <mergeCell ref="GD7:GE7"/>
    <mergeCell ref="GG7:GH7"/>
    <mergeCell ref="GJ7:GK7"/>
    <mergeCell ref="GM7:GN7"/>
    <mergeCell ref="GP7:GQ7"/>
    <mergeCell ref="HW7:HX7"/>
    <mergeCell ref="HZ7:IA7"/>
    <mergeCell ref="IC7:ID7"/>
    <mergeCell ref="IF7:IG7"/>
    <mergeCell ref="II7:IJ7"/>
    <mergeCell ref="HH7:HI7"/>
    <mergeCell ref="HK7:HL7"/>
    <mergeCell ref="HN7:HO7"/>
    <mergeCell ref="HQ7:HR7"/>
    <mergeCell ref="HT7:HU7"/>
    <mergeCell ref="JA7:JB7"/>
    <mergeCell ref="JD7:JE7"/>
    <mergeCell ref="JG7:JH7"/>
    <mergeCell ref="JJ7:JK7"/>
    <mergeCell ref="JM7:JN7"/>
    <mergeCell ref="IL7:IM7"/>
    <mergeCell ref="IO7:IP7"/>
    <mergeCell ref="IR7:IS7"/>
    <mergeCell ref="IU7:IV7"/>
    <mergeCell ref="IX7:IY7"/>
    <mergeCell ref="KE7:KF7"/>
    <mergeCell ref="KH7:KI7"/>
    <mergeCell ref="KK7:KL7"/>
    <mergeCell ref="KN7:KO7"/>
    <mergeCell ref="KQ7:KR7"/>
    <mergeCell ref="JP7:JQ7"/>
    <mergeCell ref="JS7:JT7"/>
    <mergeCell ref="JV7:JW7"/>
    <mergeCell ref="JY7:JZ7"/>
    <mergeCell ref="KB7:KC7"/>
  </mergeCells>
  <phoneticPr fontId="31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9"/>
  <sheetViews>
    <sheetView workbookViewId="0">
      <selection activeCell="AG4" sqref="AG4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2" width="9.140625" hidden="1" customWidth="1"/>
    <col min="23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4700</v>
      </c>
      <c r="C1">
        <v>6600</v>
      </c>
      <c r="D1">
        <v>6800</v>
      </c>
      <c r="E1">
        <v>7500</v>
      </c>
      <c r="F1">
        <v>7700</v>
      </c>
      <c r="G1">
        <v>8100</v>
      </c>
      <c r="H1">
        <v>6400</v>
      </c>
      <c r="I1">
        <v>5800</v>
      </c>
      <c r="J1">
        <v>4000</v>
      </c>
      <c r="K1">
        <v>4400</v>
      </c>
      <c r="L1">
        <v>4900</v>
      </c>
      <c r="M1">
        <v>5200</v>
      </c>
      <c r="N1">
        <v>6800</v>
      </c>
      <c r="O1">
        <v>4800</v>
      </c>
      <c r="P1">
        <v>5600</v>
      </c>
      <c r="Q1">
        <v>5300</v>
      </c>
      <c r="R1">
        <v>4800</v>
      </c>
      <c r="S1">
        <v>4900</v>
      </c>
      <c r="T1">
        <v>6700</v>
      </c>
      <c r="U1">
        <v>4700</v>
      </c>
      <c r="V1">
        <v>7100</v>
      </c>
      <c r="W1">
        <v>9300</v>
      </c>
      <c r="X1">
        <v>8400</v>
      </c>
      <c r="Y1">
        <v>6700</v>
      </c>
      <c r="Z1">
        <v>6000</v>
      </c>
      <c r="AA1">
        <v>4900</v>
      </c>
      <c r="AB1">
        <v>6300</v>
      </c>
      <c r="AC1">
        <v>5900</v>
      </c>
      <c r="AD1">
        <v>5000</v>
      </c>
      <c r="AE1">
        <v>8000</v>
      </c>
      <c r="AF1">
        <v>3982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87" t="s">
        <v>281</v>
      </c>
      <c r="AH2" s="488" t="s">
        <v>282</v>
      </c>
      <c r="AI2" s="489" t="s">
        <v>283</v>
      </c>
    </row>
    <row r="3" spans="1:35">
      <c r="A3" s="490" t="s">
        <v>284</v>
      </c>
      <c r="B3" s="6">
        <v>6.4</v>
      </c>
      <c r="C3" s="6">
        <v>15.5</v>
      </c>
      <c r="D3" s="507">
        <v>8.4</v>
      </c>
      <c r="E3" s="507">
        <v>5.8</v>
      </c>
      <c r="F3" s="6">
        <v>3.4</v>
      </c>
      <c r="G3" s="6">
        <v>4.5</v>
      </c>
      <c r="H3" s="6">
        <v>8.5</v>
      </c>
      <c r="I3" s="6">
        <v>4.5</v>
      </c>
      <c r="J3" s="6">
        <v>4.5</v>
      </c>
      <c r="K3" s="6">
        <v>3</v>
      </c>
      <c r="L3" s="6">
        <v>4.5999999999999996</v>
      </c>
      <c r="M3" s="6">
        <v>5.6</v>
      </c>
      <c r="N3" s="6">
        <v>3.6</v>
      </c>
      <c r="O3" s="6">
        <v>2.7</v>
      </c>
      <c r="P3" s="6">
        <v>3.8</v>
      </c>
      <c r="Q3" s="6">
        <v>5.0999999999999996</v>
      </c>
      <c r="R3" s="6">
        <v>5.0999999999999996</v>
      </c>
      <c r="S3" s="6">
        <v>4</v>
      </c>
      <c r="T3" s="6">
        <v>4.3</v>
      </c>
      <c r="U3" s="6">
        <v>4.2</v>
      </c>
      <c r="V3" s="6">
        <v>3</v>
      </c>
      <c r="W3" s="6">
        <v>6.9</v>
      </c>
      <c r="X3" s="6">
        <v>5.7</v>
      </c>
      <c r="Y3" s="6">
        <v>4.8</v>
      </c>
      <c r="Z3" s="6">
        <v>9</v>
      </c>
      <c r="AA3" s="6">
        <v>11.5</v>
      </c>
      <c r="AB3" s="6">
        <v>7.3</v>
      </c>
      <c r="AC3" s="6">
        <v>11</v>
      </c>
      <c r="AD3" s="6">
        <v>3.7</v>
      </c>
      <c r="AE3" s="6">
        <v>2.1989999999999998</v>
      </c>
      <c r="AF3" s="6">
        <v>14.28</v>
      </c>
      <c r="AG3" s="6">
        <f>+AF3</f>
        <v>14.28</v>
      </c>
      <c r="AH3" s="485">
        <f>+AG3/Efficiency1!$K$163</f>
        <v>7.0681992176373446E-3</v>
      </c>
      <c r="AI3" s="982">
        <f>SUM(AH3:AH4)</f>
        <v>7.5532717129653979E-3</v>
      </c>
    </row>
    <row r="4" spans="1:35">
      <c r="A4" s="490" t="s">
        <v>285</v>
      </c>
      <c r="B4" s="6">
        <v>0.54700000000000004</v>
      </c>
      <c r="C4" s="6">
        <v>0.98699999999999999</v>
      </c>
      <c r="D4" s="507">
        <v>1.2190000000000001</v>
      </c>
      <c r="E4" s="507">
        <v>1.6</v>
      </c>
      <c r="F4" s="6">
        <v>1.6</v>
      </c>
      <c r="G4" s="6">
        <v>0.747</v>
      </c>
      <c r="H4" s="6">
        <v>1.3</v>
      </c>
      <c r="I4" s="6">
        <v>2.1</v>
      </c>
      <c r="J4" s="6">
        <v>0.57199999999999995</v>
      </c>
      <c r="K4" s="6">
        <v>1.746</v>
      </c>
      <c r="L4" s="6">
        <v>0.2</v>
      </c>
      <c r="M4" s="6">
        <v>0.71799999999999997</v>
      </c>
      <c r="N4" s="491">
        <v>0.5</v>
      </c>
      <c r="O4" s="491">
        <v>0.1</v>
      </c>
      <c r="P4" s="6">
        <v>1.4</v>
      </c>
      <c r="Q4" s="6">
        <v>1.625</v>
      </c>
      <c r="R4" s="6">
        <v>0.50700000000000001</v>
      </c>
      <c r="S4" s="6">
        <v>1.3049999999999999</v>
      </c>
      <c r="T4" s="6">
        <v>1.2649999999999999</v>
      </c>
      <c r="U4" s="6">
        <v>1.02</v>
      </c>
      <c r="V4" s="6">
        <v>2.6520000000000001</v>
      </c>
      <c r="W4" s="491">
        <v>0.42199999999999999</v>
      </c>
      <c r="X4" s="6">
        <v>0</v>
      </c>
      <c r="Y4" s="6">
        <v>1.363</v>
      </c>
      <c r="Z4" s="6">
        <v>0.49</v>
      </c>
      <c r="AA4" s="6">
        <v>0.28899999999999998</v>
      </c>
      <c r="AB4" s="6">
        <v>0.90300000000000002</v>
      </c>
      <c r="AC4" s="6">
        <v>1.5</v>
      </c>
      <c r="AD4" s="6">
        <v>0.253</v>
      </c>
      <c r="AE4" s="6">
        <v>0.224</v>
      </c>
      <c r="AF4" s="6">
        <v>0.98</v>
      </c>
      <c r="AG4" s="6">
        <f>+AF4</f>
        <v>0.98</v>
      </c>
      <c r="AH4" s="485">
        <f>+AG4/Efficiency1!$K$163</f>
        <v>4.8507249532805306E-4</v>
      </c>
      <c r="AI4" s="983"/>
    </row>
    <row r="5" spans="1:35">
      <c r="A5" s="492"/>
      <c r="B5" s="493"/>
      <c r="C5" s="493"/>
      <c r="D5" s="493"/>
      <c r="E5" s="493"/>
      <c r="F5" s="493"/>
      <c r="G5" s="493"/>
      <c r="H5" s="493"/>
      <c r="I5" s="493"/>
      <c r="J5" s="493"/>
      <c r="K5" s="493"/>
      <c r="L5" s="493"/>
      <c r="M5" s="493"/>
      <c r="N5" s="494"/>
      <c r="O5" s="494"/>
      <c r="P5" s="493"/>
      <c r="Q5" s="493"/>
      <c r="R5" s="493"/>
      <c r="S5" s="493"/>
      <c r="T5" s="493"/>
      <c r="U5" s="493"/>
      <c r="V5" s="493"/>
      <c r="W5" s="494"/>
      <c r="X5" s="493"/>
      <c r="Y5" s="493"/>
      <c r="Z5" s="493"/>
      <c r="AA5" s="493"/>
      <c r="AB5" s="493"/>
      <c r="AC5" s="493"/>
      <c r="AD5" s="493"/>
      <c r="AE5" s="493"/>
      <c r="AF5" s="493"/>
      <c r="AG5" s="493"/>
      <c r="AH5" s="495"/>
    </row>
    <row r="6" spans="1:35">
      <c r="A6" s="490" t="s">
        <v>286</v>
      </c>
      <c r="B6" s="6">
        <f>0.218+0.28</f>
        <v>0.498</v>
      </c>
      <c r="C6" s="6">
        <f>0.15+0.35</f>
        <v>0.5</v>
      </c>
      <c r="D6" s="6">
        <f>0.35+0.299+0.283</f>
        <v>0.93199999999999994</v>
      </c>
      <c r="E6" s="6">
        <f>0.5+0.25+0.289</f>
        <v>1.0389999999999999</v>
      </c>
      <c r="F6" s="6">
        <f>0.15+0.289</f>
        <v>0.43899999999999995</v>
      </c>
      <c r="G6" s="6">
        <f>0.418+0.209+0.35</f>
        <v>0.97699999999999998</v>
      </c>
      <c r="H6" s="6">
        <f>0.15+0.265+0.276+1.105+0.374</f>
        <v>2.17</v>
      </c>
      <c r="I6" s="6">
        <f>0.275+0.295+0.2</f>
        <v>0.77</v>
      </c>
      <c r="J6" s="6">
        <f>0.25+0.202+0.237</f>
        <v>0.68900000000000006</v>
      </c>
      <c r="K6" s="6">
        <f>0.25+0.15+0.246</f>
        <v>0.64600000000000002</v>
      </c>
      <c r="L6" s="6">
        <f>0.1+0.252</f>
        <v>0.35199999999999998</v>
      </c>
      <c r="M6" s="6">
        <f>0.25+0.3+0.11</f>
        <v>0.66</v>
      </c>
      <c r="N6" s="6">
        <f>0.15+0.2+0.223</f>
        <v>0.57299999999999995</v>
      </c>
      <c r="O6" s="6">
        <f>0.191+0.2+0.1</f>
        <v>0.49099999999999999</v>
      </c>
      <c r="P6" s="6">
        <f>0.1+0.224</f>
        <v>0.32400000000000001</v>
      </c>
      <c r="Q6" s="6">
        <f>0.232+0.229+0.25</f>
        <v>0.71100000000000008</v>
      </c>
      <c r="R6" s="6">
        <f>0.259+0.269+0.25</f>
        <v>0.77800000000000002</v>
      </c>
      <c r="S6" s="6">
        <f>0.257+0.1+0.25</f>
        <v>0.60699999999999998</v>
      </c>
      <c r="T6" s="6">
        <f>0.268+0.18+0.2</f>
        <v>0.64800000000000002</v>
      </c>
      <c r="U6" s="6">
        <f>0.2+0.15</f>
        <v>0.35</v>
      </c>
      <c r="V6" s="6">
        <f>0.1+0.1</f>
        <v>0.2</v>
      </c>
      <c r="W6" s="491">
        <f>0.291+0.2+0.278</f>
        <v>0.76900000000000002</v>
      </c>
      <c r="X6" s="6">
        <f>0.2+0.2+0.212</f>
        <v>0.61199999999999999</v>
      </c>
      <c r="Y6" s="6">
        <f>0.2+0.8+0.288</f>
        <v>1.288</v>
      </c>
      <c r="Z6" s="491">
        <f>0.55+0.538+0.249</f>
        <v>1.3370000000000002</v>
      </c>
      <c r="AA6" s="6">
        <f>0.5+0.5+0.448</f>
        <v>1.448</v>
      </c>
      <c r="AB6" s="6">
        <f>0.24+0.45+0.387</f>
        <v>1.077</v>
      </c>
      <c r="AC6" s="6">
        <f>0.26+0.28+0.383</f>
        <v>0.92300000000000004</v>
      </c>
      <c r="AD6" s="6">
        <f>0.2+0.2+0.202</f>
        <v>0.60200000000000009</v>
      </c>
      <c r="AE6" s="6">
        <f>0.13+0.345+0.387</f>
        <v>0.86199999999999999</v>
      </c>
      <c r="AF6" s="6">
        <f>0.2+0.583+0.4</f>
        <v>1.1829999999999998</v>
      </c>
      <c r="AG6" s="6">
        <f t="shared" ref="AG6:AG37" si="0">+SUM(B6:AF6)</f>
        <v>24.454999999999998</v>
      </c>
      <c r="AH6" s="496">
        <f t="shared" ref="AH6:AH36" si="1">+AG6/$AG$39</f>
        <v>0.36090613931523019</v>
      </c>
    </row>
    <row r="7" spans="1:35">
      <c r="A7" s="490" t="s">
        <v>287</v>
      </c>
      <c r="B7" s="6">
        <v>0.35</v>
      </c>
      <c r="C7" s="6"/>
      <c r="D7" s="6"/>
      <c r="E7" s="6">
        <f>7.709+1.164</f>
        <v>8.8729999999999993</v>
      </c>
      <c r="F7" s="6">
        <v>0.34499999999999997</v>
      </c>
      <c r="G7" s="6">
        <v>1.0049999999999999</v>
      </c>
      <c r="H7" s="491">
        <f>0.15+0.219+0.34+0.273</f>
        <v>0.9820000000000001</v>
      </c>
      <c r="I7" s="6">
        <v>0.38500000000000001</v>
      </c>
      <c r="J7" s="6">
        <v>0.39200000000000002</v>
      </c>
      <c r="K7" s="6">
        <f>0.333+0.3+0.356</f>
        <v>0.98899999999999999</v>
      </c>
      <c r="L7" s="6">
        <v>0.3</v>
      </c>
      <c r="M7" s="6">
        <f>0.332+0.27+0.29</f>
        <v>0.89200000000000013</v>
      </c>
      <c r="N7" s="6">
        <v>0.2</v>
      </c>
      <c r="O7" s="6"/>
      <c r="P7" s="6"/>
      <c r="Q7" s="6">
        <f>0.525+0.495</f>
        <v>1.02</v>
      </c>
      <c r="R7">
        <f>0.29+0.555</f>
        <v>0.84499999999999997</v>
      </c>
      <c r="S7" s="6">
        <f>0.25+0.234</f>
        <v>0.48399999999999999</v>
      </c>
      <c r="T7" s="6">
        <v>0.54300000000000004</v>
      </c>
      <c r="U7" s="6">
        <v>0.24</v>
      </c>
      <c r="V7" s="6">
        <f>0.744+0.2+0.227</f>
        <v>1.171</v>
      </c>
      <c r="W7" s="6">
        <f>0.4+0.336+0.227</f>
        <v>0.96299999999999997</v>
      </c>
      <c r="X7" s="6">
        <f>0.392+0.05+0.344</f>
        <v>0.78600000000000003</v>
      </c>
      <c r="Y7" s="6">
        <v>0.27700000000000002</v>
      </c>
      <c r="Z7" s="6">
        <f>0.271+0.186</f>
        <v>0.45700000000000002</v>
      </c>
      <c r="AA7" s="6">
        <f>1.387+0.54</f>
        <v>1.927</v>
      </c>
      <c r="AB7" s="6">
        <f>0.51+0.57</f>
        <v>1.08</v>
      </c>
      <c r="AC7" s="6"/>
      <c r="AD7" s="6">
        <v>0.25900000000000001</v>
      </c>
      <c r="AE7" s="6">
        <f>0.5+0.52+0.736</f>
        <v>1.756</v>
      </c>
      <c r="AF7" s="6">
        <f>0.91+0.6+0.494</f>
        <v>2.004</v>
      </c>
      <c r="AG7" s="6">
        <f t="shared" si="0"/>
        <v>28.525000000000002</v>
      </c>
      <c r="AH7" s="485">
        <f t="shared" si="1"/>
        <v>0.42097107438016529</v>
      </c>
    </row>
    <row r="8" spans="1:35">
      <c r="A8" s="497" t="s">
        <v>288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85">
        <f t="shared" si="1"/>
        <v>0</v>
      </c>
    </row>
    <row r="9" spans="1:35">
      <c r="A9" s="490" t="s">
        <v>289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85">
        <f t="shared" si="1"/>
        <v>0</v>
      </c>
    </row>
    <row r="10" spans="1:35">
      <c r="A10" s="490" t="s">
        <v>290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>
        <f t="shared" si="0"/>
        <v>0</v>
      </c>
      <c r="AH10" s="485">
        <f t="shared" si="1"/>
        <v>0</v>
      </c>
    </row>
    <row r="11" spans="1:35">
      <c r="A11" s="490" t="s">
        <v>291</v>
      </c>
      <c r="B11" s="6">
        <v>0.88400000000000001</v>
      </c>
      <c r="C11" s="6">
        <v>0.35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2.5299999999999998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f t="shared" si="0"/>
        <v>3.7639999999999998</v>
      </c>
      <c r="AH11" s="485">
        <f t="shared" si="1"/>
        <v>5.5548996458087363E-2</v>
      </c>
    </row>
    <row r="12" spans="1:35">
      <c r="A12" s="490" t="s">
        <v>292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>
        <v>0.65</v>
      </c>
      <c r="AG12" s="6">
        <f t="shared" si="0"/>
        <v>0.65</v>
      </c>
      <c r="AH12" s="485">
        <f t="shared" si="1"/>
        <v>9.5926800472255006E-3</v>
      </c>
    </row>
    <row r="13" spans="1:35">
      <c r="A13" s="490" t="s">
        <v>262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>
        <v>0.46400000000000002</v>
      </c>
      <c r="V13" s="6"/>
      <c r="W13" s="6"/>
      <c r="X13" s="6"/>
      <c r="Y13" s="6"/>
      <c r="Z13" s="6"/>
      <c r="AA13" s="6"/>
      <c r="AB13" s="6">
        <f>0.76+1</f>
        <v>1.76</v>
      </c>
      <c r="AC13" s="6"/>
      <c r="AD13" s="6"/>
      <c r="AE13" s="6"/>
      <c r="AF13" s="6"/>
      <c r="AG13" s="6">
        <f t="shared" si="0"/>
        <v>2.2240000000000002</v>
      </c>
      <c r="AH13" s="485">
        <f t="shared" si="1"/>
        <v>3.2821723730814642E-2</v>
      </c>
    </row>
    <row r="14" spans="1:35">
      <c r="A14" s="490" t="s">
        <v>293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85">
        <f t="shared" si="1"/>
        <v>0</v>
      </c>
    </row>
    <row r="15" spans="1:35">
      <c r="A15" s="490" t="s">
        <v>314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85">
        <f t="shared" si="1"/>
        <v>0</v>
      </c>
    </row>
    <row r="16" spans="1:35">
      <c r="A16" s="490" t="s">
        <v>294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</v>
      </c>
      <c r="AH16" s="485">
        <f t="shared" si="1"/>
        <v>0</v>
      </c>
    </row>
    <row r="17" spans="1:34">
      <c r="A17" s="490" t="s">
        <v>295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0</v>
      </c>
      <c r="AH17" s="485">
        <f t="shared" si="1"/>
        <v>0</v>
      </c>
    </row>
    <row r="18" spans="1:34">
      <c r="A18" s="490" t="s">
        <v>296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49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f t="shared" si="0"/>
        <v>0</v>
      </c>
      <c r="AH18" s="485">
        <f t="shared" si="1"/>
        <v>0</v>
      </c>
    </row>
    <row r="19" spans="1:34">
      <c r="A19" s="490" t="s">
        <v>297</v>
      </c>
      <c r="B19" s="6"/>
      <c r="C19" s="6">
        <v>1.2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1.2</v>
      </c>
      <c r="AH19" s="485">
        <f t="shared" si="1"/>
        <v>1.7709563164108617E-2</v>
      </c>
    </row>
    <row r="20" spans="1:34">
      <c r="A20" s="490" t="s">
        <v>414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0</v>
      </c>
      <c r="AH20" s="485">
        <f t="shared" si="1"/>
        <v>0</v>
      </c>
    </row>
    <row r="21" spans="1:34">
      <c r="A21" s="490" t="s">
        <v>298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85">
        <f t="shared" si="1"/>
        <v>0</v>
      </c>
    </row>
    <row r="22" spans="1:34">
      <c r="A22" s="490" t="s">
        <v>299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</v>
      </c>
      <c r="AH22" s="485">
        <f t="shared" si="1"/>
        <v>0</v>
      </c>
    </row>
    <row r="23" spans="1:34">
      <c r="A23" s="490" t="s">
        <v>300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85">
        <f t="shared" si="1"/>
        <v>0</v>
      </c>
    </row>
    <row r="24" spans="1:34">
      <c r="A24" s="490" t="s">
        <v>301</v>
      </c>
      <c r="B24" s="6">
        <v>0.32300000000000001</v>
      </c>
      <c r="C24" s="6">
        <v>0.58899999999999997</v>
      </c>
      <c r="D24" s="6">
        <v>0.15</v>
      </c>
      <c r="E24" s="6"/>
      <c r="F24" s="6"/>
      <c r="G24" s="6">
        <v>0.54300000000000004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0.5</v>
      </c>
      <c r="AF24" s="6"/>
      <c r="AG24" s="6">
        <f t="shared" si="0"/>
        <v>2.105</v>
      </c>
      <c r="AH24" s="485">
        <f t="shared" si="1"/>
        <v>3.1065525383707198E-2</v>
      </c>
    </row>
    <row r="25" spans="1:34">
      <c r="A25" s="490" t="s">
        <v>302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85">
        <f t="shared" si="1"/>
        <v>0</v>
      </c>
    </row>
    <row r="26" spans="1:34">
      <c r="A26" s="490" t="s">
        <v>420</v>
      </c>
      <c r="B26" s="6"/>
      <c r="C26" s="6"/>
      <c r="D26" s="6"/>
      <c r="E26" s="6"/>
      <c r="F26" s="6"/>
      <c r="G26" s="6">
        <v>2.0670000000000002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>
        <v>2.77</v>
      </c>
      <c r="AG26" s="6">
        <f t="shared" si="0"/>
        <v>4.8369999999999997</v>
      </c>
      <c r="AH26" s="485">
        <f t="shared" si="1"/>
        <v>7.1384297520661152E-2</v>
      </c>
    </row>
    <row r="27" spans="1:34">
      <c r="A27" s="490" t="s">
        <v>303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85">
        <f t="shared" si="1"/>
        <v>0</v>
      </c>
    </row>
    <row r="28" spans="1:34">
      <c r="A28" s="490" t="s">
        <v>304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85">
        <f t="shared" si="1"/>
        <v>0</v>
      </c>
    </row>
    <row r="29" spans="1:34">
      <c r="A29" s="490" t="s">
        <v>305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85">
        <f t="shared" si="1"/>
        <v>0</v>
      </c>
    </row>
    <row r="30" spans="1:34">
      <c r="A30" s="490" t="s">
        <v>306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85">
        <f t="shared" si="1"/>
        <v>0</v>
      </c>
    </row>
    <row r="31" spans="1:34">
      <c r="A31" s="490" t="s">
        <v>234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85">
        <f t="shared" si="1"/>
        <v>0</v>
      </c>
    </row>
    <row r="32" spans="1:34">
      <c r="A32" s="490" t="s">
        <v>307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85">
        <f t="shared" si="1"/>
        <v>0</v>
      </c>
    </row>
    <row r="33" spans="1:34">
      <c r="A33" s="490" t="s">
        <v>308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0</v>
      </c>
      <c r="AH33" s="485">
        <f t="shared" si="1"/>
        <v>0</v>
      </c>
    </row>
    <row r="34" spans="1:34">
      <c r="A34" s="498" t="s">
        <v>309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85">
        <f t="shared" si="1"/>
        <v>0</v>
      </c>
    </row>
    <row r="35" spans="1:34">
      <c r="A35" s="498" t="s">
        <v>310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85">
        <f t="shared" si="1"/>
        <v>0</v>
      </c>
    </row>
    <row r="36" spans="1:34">
      <c r="A36" s="498" t="s">
        <v>311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85">
        <f t="shared" si="1"/>
        <v>0</v>
      </c>
    </row>
    <row r="37" spans="1:34">
      <c r="A37" s="498" t="s">
        <v>312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0</v>
      </c>
      <c r="AH37" s="485">
        <f>+AG37/$AG$39</f>
        <v>0</v>
      </c>
    </row>
    <row r="38" spans="1:34">
      <c r="A38" s="499" t="s">
        <v>313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500">
        <f>+AG39/Efficiency1!$K$163</f>
        <v>3.3539298248396812E-2</v>
      </c>
    </row>
    <row r="39" spans="1:34">
      <c r="A39" s="498" t="s">
        <v>2</v>
      </c>
      <c r="B39" s="6">
        <f t="shared" ref="B39:AF39" si="2">SUM(B3:B37)</f>
        <v>9.0020000000000007</v>
      </c>
      <c r="C39" s="6">
        <f t="shared" si="2"/>
        <v>19.125999999999998</v>
      </c>
      <c r="D39" s="6">
        <f t="shared" si="2"/>
        <v>10.701000000000001</v>
      </c>
      <c r="E39" s="6">
        <f t="shared" si="2"/>
        <v>17.311999999999998</v>
      </c>
      <c r="F39" s="6">
        <f t="shared" si="2"/>
        <v>5.7839999999999998</v>
      </c>
      <c r="G39" s="6">
        <f t="shared" si="2"/>
        <v>9.8390000000000004</v>
      </c>
      <c r="H39" s="6">
        <f t="shared" si="2"/>
        <v>12.952</v>
      </c>
      <c r="I39" s="6">
        <f t="shared" si="2"/>
        <v>7.754999999999999</v>
      </c>
      <c r="J39" s="6">
        <f t="shared" si="2"/>
        <v>6.1530000000000005</v>
      </c>
      <c r="K39" s="6">
        <f t="shared" si="2"/>
        <v>6.3810000000000002</v>
      </c>
      <c r="L39" s="6">
        <f t="shared" si="2"/>
        <v>5.452</v>
      </c>
      <c r="M39" s="6">
        <f t="shared" si="2"/>
        <v>7.87</v>
      </c>
      <c r="N39" s="6">
        <f t="shared" si="2"/>
        <v>4.8730000000000002</v>
      </c>
      <c r="O39" s="7">
        <f t="shared" si="2"/>
        <v>3.2910000000000004</v>
      </c>
      <c r="P39" s="6">
        <f t="shared" si="2"/>
        <v>5.5239999999999991</v>
      </c>
      <c r="Q39" s="6">
        <f t="shared" si="2"/>
        <v>8.4559999999999995</v>
      </c>
      <c r="R39" s="6">
        <f t="shared" si="2"/>
        <v>7.2299999999999995</v>
      </c>
      <c r="S39" s="6">
        <f t="shared" si="2"/>
        <v>6.3959999999999999</v>
      </c>
      <c r="T39" s="6">
        <f t="shared" si="2"/>
        <v>6.7559999999999993</v>
      </c>
      <c r="U39" s="6">
        <f t="shared" si="2"/>
        <v>6.2740000000000009</v>
      </c>
      <c r="V39" s="6">
        <f t="shared" si="2"/>
        <v>9.5530000000000008</v>
      </c>
      <c r="W39" s="6">
        <f t="shared" si="2"/>
        <v>9.0539999999999985</v>
      </c>
      <c r="X39" s="6">
        <f t="shared" si="2"/>
        <v>7.0980000000000008</v>
      </c>
      <c r="Y39" s="6">
        <f t="shared" si="2"/>
        <v>7.7280000000000006</v>
      </c>
      <c r="Z39" s="6">
        <f t="shared" si="2"/>
        <v>11.284000000000001</v>
      </c>
      <c r="AA39" s="6">
        <f t="shared" si="2"/>
        <v>15.164</v>
      </c>
      <c r="AB39" s="6">
        <f t="shared" si="2"/>
        <v>12.12</v>
      </c>
      <c r="AC39" s="6">
        <f t="shared" si="2"/>
        <v>13.423</v>
      </c>
      <c r="AD39" s="6">
        <f t="shared" si="2"/>
        <v>4.8140000000000009</v>
      </c>
      <c r="AE39" s="6">
        <f t="shared" si="2"/>
        <v>5.5410000000000004</v>
      </c>
      <c r="AF39" s="6">
        <f t="shared" si="2"/>
        <v>21.866999999999997</v>
      </c>
      <c r="AG39" s="17">
        <f>SUM(AG6:AG38)</f>
        <v>67.760000000000005</v>
      </c>
      <c r="AH39" s="501">
        <f>SUM(AH6:AH37)</f>
        <v>0.99999999999999989</v>
      </c>
    </row>
  </sheetData>
  <mergeCells count="1">
    <mergeCell ref="AI3:AI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0"/>
  <sheetViews>
    <sheetView topLeftCell="A127" workbookViewId="0">
      <selection activeCell="C136" sqref="C136:F136"/>
    </sheetView>
  </sheetViews>
  <sheetFormatPr defaultRowHeight="12.75"/>
  <cols>
    <col min="4" max="4" width="52.42578125" bestFit="1" customWidth="1"/>
    <col min="5" max="5" width="18.85546875" bestFit="1" customWidth="1"/>
    <col min="6" max="6" width="17.28515625" bestFit="1" customWidth="1"/>
    <col min="8" max="8" width="27.7109375" bestFit="1" customWidth="1"/>
    <col min="15" max="15" width="52.42578125" bestFit="1" customWidth="1"/>
    <col min="16" max="16" width="18.85546875" bestFit="1" customWidth="1"/>
    <col min="17" max="17" width="17.28515625" bestFit="1" customWidth="1"/>
    <col min="19" max="19" width="27.7109375" bestFit="1" customWidth="1"/>
  </cols>
  <sheetData>
    <row r="1" spans="1:21" ht="45">
      <c r="A1" s="458" t="s">
        <v>150</v>
      </c>
      <c r="B1" s="481" t="s">
        <v>8</v>
      </c>
      <c r="C1" s="482" t="s">
        <v>269</v>
      </c>
      <c r="D1" s="483" t="s">
        <v>129</v>
      </c>
      <c r="E1" s="483" t="s">
        <v>270</v>
      </c>
      <c r="F1" s="483" t="s">
        <v>271</v>
      </c>
      <c r="H1" s="480" t="s">
        <v>272</v>
      </c>
      <c r="I1" s="472" t="s">
        <v>273</v>
      </c>
      <c r="J1" s="472" t="s">
        <v>274</v>
      </c>
      <c r="L1" s="458" t="s">
        <v>150</v>
      </c>
      <c r="M1" s="481" t="s">
        <v>8</v>
      </c>
      <c r="N1" s="482" t="s">
        <v>269</v>
      </c>
      <c r="O1" s="483" t="s">
        <v>129</v>
      </c>
      <c r="P1" s="483" t="s">
        <v>270</v>
      </c>
      <c r="Q1" s="483" t="s">
        <v>271</v>
      </c>
      <c r="S1" s="545" t="s">
        <v>272</v>
      </c>
      <c r="T1" s="472" t="s">
        <v>273</v>
      </c>
      <c r="U1" s="472" t="s">
        <v>274</v>
      </c>
    </row>
    <row r="2" spans="1:21">
      <c r="B2" s="346">
        <v>45931</v>
      </c>
      <c r="C2" s="4">
        <v>20</v>
      </c>
      <c r="D2" s="505" t="s">
        <v>280</v>
      </c>
      <c r="E2" t="s">
        <v>261</v>
      </c>
      <c r="F2" t="s">
        <v>258</v>
      </c>
      <c r="H2" s="6" t="s">
        <v>154</v>
      </c>
      <c r="I2" s="319">
        <f>+Efficiency1!Z163</f>
        <v>39.954000000000008</v>
      </c>
      <c r="J2" s="476">
        <f>I2/$I$8</f>
        <v>1.9776108651364321E-2</v>
      </c>
      <c r="M2" s="346">
        <v>45931</v>
      </c>
      <c r="N2" s="4">
        <v>20</v>
      </c>
      <c r="O2" s="505" t="s">
        <v>280</v>
      </c>
      <c r="P2" t="s">
        <v>261</v>
      </c>
      <c r="Q2" t="s">
        <v>258</v>
      </c>
      <c r="S2" s="6" t="s">
        <v>154</v>
      </c>
      <c r="T2" s="319">
        <f>+Efficiency2!Z163</f>
        <v>39.954000000000008</v>
      </c>
      <c r="U2" s="476">
        <f>T2/$T$8</f>
        <v>2.0218015709389879E-2</v>
      </c>
    </row>
    <row r="3" spans="1:21">
      <c r="B3" s="346"/>
      <c r="C3" s="4">
        <v>13</v>
      </c>
      <c r="D3" s="505" t="s">
        <v>456</v>
      </c>
      <c r="E3" t="s">
        <v>259</v>
      </c>
      <c r="F3" t="s">
        <v>258</v>
      </c>
      <c r="H3" s="6" t="s">
        <v>252</v>
      </c>
      <c r="I3" s="319">
        <f>+Efficiency1!AA163+Efficiency1!Y163</f>
        <v>53.338787605309783</v>
      </c>
      <c r="J3" s="476">
        <f>I3/$I$8</f>
        <v>2.640120285865372E-2</v>
      </c>
      <c r="M3" s="346"/>
      <c r="N3" s="4">
        <v>13</v>
      </c>
      <c r="O3" s="505" t="s">
        <v>456</v>
      </c>
      <c r="P3" t="s">
        <v>259</v>
      </c>
      <c r="Q3" t="s">
        <v>258</v>
      </c>
      <c r="S3" s="6" t="s">
        <v>252</v>
      </c>
      <c r="T3" s="319">
        <f>+Efficiency2!AA163+Efficiency2!Y163</f>
        <v>63.024765094616718</v>
      </c>
      <c r="U3" s="476">
        <f>T3/$T$8</f>
        <v>3.1892568723120775E-2</v>
      </c>
    </row>
    <row r="4" spans="1:21">
      <c r="B4" s="44"/>
      <c r="C4" s="4">
        <v>30</v>
      </c>
      <c r="D4" t="s">
        <v>422</v>
      </c>
      <c r="E4" t="s">
        <v>260</v>
      </c>
      <c r="F4" t="s">
        <v>258</v>
      </c>
      <c r="H4" s="6" t="s">
        <v>275</v>
      </c>
      <c r="I4" s="319">
        <f>+Efficiency1!AB163</f>
        <v>-9.8411810147873577</v>
      </c>
      <c r="J4" s="476">
        <f>I4/$I$8</f>
        <v>-4.8711083998142501E-3</v>
      </c>
      <c r="M4" s="44"/>
      <c r="N4" s="4">
        <v>30</v>
      </c>
      <c r="O4" t="s">
        <v>422</v>
      </c>
      <c r="P4" t="s">
        <v>260</v>
      </c>
      <c r="Q4" t="s">
        <v>258</v>
      </c>
      <c r="S4" s="6" t="s">
        <v>275</v>
      </c>
      <c r="T4" s="319">
        <f>+Efficiency2!AB163</f>
        <v>-5.2808468949666274</v>
      </c>
      <c r="U4" s="476">
        <f>T4/$T$8</f>
        <v>-2.6722792581798573E-3</v>
      </c>
    </row>
    <row r="5" spans="1:21">
      <c r="B5" s="44"/>
      <c r="C5" s="4">
        <v>10</v>
      </c>
      <c r="D5" t="s">
        <v>424</v>
      </c>
      <c r="E5" s="385" t="s">
        <v>204</v>
      </c>
      <c r="F5" s="385" t="s">
        <v>257</v>
      </c>
      <c r="H5" s="6" t="s">
        <v>255</v>
      </c>
      <c r="I5" s="319">
        <f>+Efficiency1!AC163</f>
        <v>105.8542985596835</v>
      </c>
      <c r="J5" s="476">
        <f>I5/$I$8</f>
        <v>5.2394906881169802E-2</v>
      </c>
      <c r="M5" s="44"/>
      <c r="N5" s="4">
        <v>10</v>
      </c>
      <c r="O5" t="s">
        <v>424</v>
      </c>
      <c r="P5" s="385" t="s">
        <v>204</v>
      </c>
      <c r="Q5" s="385" t="s">
        <v>257</v>
      </c>
      <c r="S5" s="6" t="s">
        <v>255</v>
      </c>
      <c r="T5" s="319">
        <f>+Efficiency2!AC163</f>
        <v>101.57103823055583</v>
      </c>
      <c r="U5" s="476">
        <f>T5/$T$8</f>
        <v>5.1398229127607178E-2</v>
      </c>
    </row>
    <row r="6" spans="1:21">
      <c r="B6" s="346"/>
      <c r="C6" s="4">
        <v>878</v>
      </c>
      <c r="D6" s="505" t="s">
        <v>461</v>
      </c>
      <c r="E6" s="505" t="s">
        <v>463</v>
      </c>
      <c r="F6" s="385" t="s">
        <v>339</v>
      </c>
      <c r="M6" s="346"/>
      <c r="N6" s="4">
        <v>223</v>
      </c>
      <c r="O6" s="505" t="s">
        <v>461</v>
      </c>
      <c r="P6" s="505" t="s">
        <v>463</v>
      </c>
      <c r="Q6" s="385" t="s">
        <v>339</v>
      </c>
    </row>
    <row r="7" spans="1:21">
      <c r="B7" s="346"/>
      <c r="C7" s="4">
        <v>120</v>
      </c>
      <c r="D7" t="s">
        <v>462</v>
      </c>
      <c r="E7" t="s">
        <v>464</v>
      </c>
      <c r="F7" s="385" t="s">
        <v>264</v>
      </c>
      <c r="M7" s="346"/>
      <c r="N7" s="4">
        <v>120</v>
      </c>
      <c r="O7" t="s">
        <v>462</v>
      </c>
      <c r="P7" t="s">
        <v>464</v>
      </c>
      <c r="Q7" s="385" t="s">
        <v>264</v>
      </c>
    </row>
    <row r="8" spans="1:21">
      <c r="B8" s="44"/>
      <c r="C8" s="4"/>
      <c r="H8" s="484" t="s">
        <v>276</v>
      </c>
      <c r="I8" s="7">
        <f>+Efficiency1!K163</f>
        <v>2020.3165700772809</v>
      </c>
      <c r="M8" s="44"/>
      <c r="N8" s="4"/>
      <c r="S8" s="484" t="s">
        <v>276</v>
      </c>
      <c r="T8" s="7">
        <f>+Efficiency2!K163</f>
        <v>1976.1583220772809</v>
      </c>
    </row>
    <row r="9" spans="1:21">
      <c r="B9" s="346">
        <v>45932</v>
      </c>
      <c r="C9" s="4">
        <v>30</v>
      </c>
      <c r="D9" t="s">
        <v>483</v>
      </c>
      <c r="E9" t="s">
        <v>261</v>
      </c>
      <c r="F9" t="s">
        <v>258</v>
      </c>
      <c r="H9" s="484" t="s">
        <v>277</v>
      </c>
      <c r="I9" s="7">
        <f>+Efficiency1!AD163</f>
        <v>4018</v>
      </c>
      <c r="M9" s="346">
        <v>45932</v>
      </c>
      <c r="N9" s="4">
        <v>30</v>
      </c>
      <c r="O9" t="s">
        <v>483</v>
      </c>
      <c r="P9" t="s">
        <v>261</v>
      </c>
      <c r="Q9" t="s">
        <v>258</v>
      </c>
      <c r="S9" s="484" t="s">
        <v>277</v>
      </c>
      <c r="T9" s="7">
        <f>+Efficiency2!AD163</f>
        <v>2736</v>
      </c>
    </row>
    <row r="10" spans="1:21">
      <c r="B10" s="346"/>
      <c r="C10" s="4">
        <v>1</v>
      </c>
      <c r="D10" t="s">
        <v>481</v>
      </c>
      <c r="E10" t="s">
        <v>259</v>
      </c>
      <c r="F10" t="s">
        <v>258</v>
      </c>
      <c r="H10" s="484" t="s">
        <v>279</v>
      </c>
      <c r="I10" s="7">
        <f>+Efficiency1!V163</f>
        <v>175.12666492707493</v>
      </c>
      <c r="M10" s="346"/>
      <c r="N10" s="4">
        <v>1</v>
      </c>
      <c r="O10" t="s">
        <v>481</v>
      </c>
      <c r="P10" t="s">
        <v>259</v>
      </c>
      <c r="Q10" t="s">
        <v>258</v>
      </c>
      <c r="S10" s="484" t="s">
        <v>279</v>
      </c>
      <c r="T10" s="7">
        <f>+Efficiency2!V163</f>
        <v>121.00536564707498</v>
      </c>
    </row>
    <row r="11" spans="1:21">
      <c r="B11" s="346"/>
      <c r="C11" s="4">
        <v>23</v>
      </c>
      <c r="D11" t="s">
        <v>484</v>
      </c>
      <c r="E11" t="s">
        <v>260</v>
      </c>
      <c r="F11" t="s">
        <v>258</v>
      </c>
      <c r="H11" s="484" t="s">
        <v>278</v>
      </c>
      <c r="I11" s="485">
        <f>I10/I8</f>
        <v>8.6682784035363336E-2</v>
      </c>
      <c r="M11" s="346"/>
      <c r="N11" s="4">
        <v>23</v>
      </c>
      <c r="O11" t="s">
        <v>484</v>
      </c>
      <c r="P11" t="s">
        <v>260</v>
      </c>
      <c r="Q11" t="s">
        <v>258</v>
      </c>
      <c r="S11" s="484" t="s">
        <v>278</v>
      </c>
      <c r="T11" s="485">
        <f>T10/T8</f>
        <v>6.1232627110502771E-2</v>
      </c>
    </row>
    <row r="12" spans="1:21">
      <c r="B12" s="44"/>
      <c r="C12" s="4">
        <v>14</v>
      </c>
      <c r="D12" t="s">
        <v>424</v>
      </c>
      <c r="E12" s="385" t="s">
        <v>204</v>
      </c>
      <c r="F12" s="385" t="s">
        <v>257</v>
      </c>
      <c r="M12" s="44"/>
      <c r="N12" s="4">
        <v>14</v>
      </c>
      <c r="O12" t="s">
        <v>424</v>
      </c>
      <c r="P12" s="385" t="s">
        <v>204</v>
      </c>
      <c r="Q12" s="385" t="s">
        <v>257</v>
      </c>
    </row>
    <row r="13" spans="1:21">
      <c r="B13" s="346"/>
      <c r="C13" s="4"/>
      <c r="D13" s="505"/>
      <c r="M13" s="346"/>
      <c r="N13" s="4"/>
      <c r="O13" s="505"/>
    </row>
    <row r="14" spans="1:21">
      <c r="B14" s="346">
        <v>45933</v>
      </c>
      <c r="C14" s="4">
        <v>0</v>
      </c>
      <c r="D14" s="505" t="s">
        <v>280</v>
      </c>
      <c r="E14" t="s">
        <v>261</v>
      </c>
      <c r="F14" t="s">
        <v>258</v>
      </c>
      <c r="M14" s="346">
        <v>45933</v>
      </c>
      <c r="N14" s="4">
        <v>0</v>
      </c>
      <c r="O14" s="505" t="s">
        <v>280</v>
      </c>
      <c r="P14" t="s">
        <v>261</v>
      </c>
      <c r="Q14" t="s">
        <v>258</v>
      </c>
    </row>
    <row r="15" spans="1:21">
      <c r="B15" s="346"/>
      <c r="C15" s="4">
        <v>0</v>
      </c>
      <c r="D15" t="s">
        <v>458</v>
      </c>
      <c r="E15" t="s">
        <v>259</v>
      </c>
      <c r="F15" t="s">
        <v>258</v>
      </c>
      <c r="M15" s="346"/>
      <c r="N15" s="4">
        <v>0</v>
      </c>
      <c r="O15" t="s">
        <v>458</v>
      </c>
      <c r="P15" t="s">
        <v>259</v>
      </c>
      <c r="Q15" t="s">
        <v>258</v>
      </c>
    </row>
    <row r="16" spans="1:21">
      <c r="B16" s="346"/>
      <c r="C16" s="4">
        <v>14</v>
      </c>
      <c r="D16" t="s">
        <v>505</v>
      </c>
      <c r="E16" t="s">
        <v>260</v>
      </c>
      <c r="F16" t="s">
        <v>258</v>
      </c>
      <c r="M16" s="346"/>
      <c r="N16" s="4">
        <v>14</v>
      </c>
      <c r="O16" t="s">
        <v>505</v>
      </c>
      <c r="P16" t="s">
        <v>260</v>
      </c>
      <c r="Q16" t="s">
        <v>258</v>
      </c>
    </row>
    <row r="17" spans="2:17">
      <c r="B17" s="346"/>
      <c r="C17" s="4">
        <v>10</v>
      </c>
      <c r="D17" t="s">
        <v>424</v>
      </c>
      <c r="E17" s="385" t="s">
        <v>204</v>
      </c>
      <c r="F17" s="385" t="s">
        <v>257</v>
      </c>
      <c r="M17" s="346"/>
      <c r="N17" s="4">
        <v>10</v>
      </c>
      <c r="O17" t="s">
        <v>424</v>
      </c>
      <c r="P17" s="385" t="s">
        <v>204</v>
      </c>
      <c r="Q17" s="385" t="s">
        <v>257</v>
      </c>
    </row>
    <row r="18" spans="2:17">
      <c r="B18" s="44"/>
      <c r="C18" s="4">
        <v>6</v>
      </c>
      <c r="D18" s="502" t="s">
        <v>500</v>
      </c>
      <c r="E18" s="502" t="s">
        <v>506</v>
      </c>
      <c r="F18" s="385" t="s">
        <v>266</v>
      </c>
      <c r="M18" s="44"/>
      <c r="N18" s="4">
        <v>6</v>
      </c>
      <c r="O18" s="502" t="s">
        <v>500</v>
      </c>
      <c r="P18" s="502" t="s">
        <v>506</v>
      </c>
      <c r="Q18" s="385" t="s">
        <v>266</v>
      </c>
    </row>
    <row r="19" spans="2:17">
      <c r="B19" s="346"/>
      <c r="C19" s="4"/>
      <c r="D19" s="502"/>
      <c r="M19" s="346"/>
      <c r="N19" s="4"/>
      <c r="O19" s="502"/>
    </row>
    <row r="20" spans="2:17">
      <c r="B20" s="346">
        <v>45934</v>
      </c>
      <c r="C20" s="4">
        <v>0</v>
      </c>
      <c r="D20" s="502" t="s">
        <v>280</v>
      </c>
      <c r="E20" t="s">
        <v>261</v>
      </c>
      <c r="F20" t="s">
        <v>258</v>
      </c>
      <c r="M20" s="346">
        <v>45934</v>
      </c>
      <c r="N20" s="4">
        <v>0</v>
      </c>
      <c r="O20" s="502" t="s">
        <v>280</v>
      </c>
      <c r="P20" t="s">
        <v>261</v>
      </c>
      <c r="Q20" t="s">
        <v>258</v>
      </c>
    </row>
    <row r="21" spans="2:17">
      <c r="B21" s="44"/>
      <c r="C21" s="4">
        <v>0</v>
      </c>
      <c r="D21" s="502" t="s">
        <v>458</v>
      </c>
      <c r="E21" t="s">
        <v>259</v>
      </c>
      <c r="F21" t="s">
        <v>258</v>
      </c>
      <c r="M21" s="44"/>
      <c r="N21" s="4">
        <v>0</v>
      </c>
      <c r="O21" s="502" t="s">
        <v>458</v>
      </c>
      <c r="P21" t="s">
        <v>259</v>
      </c>
      <c r="Q21" t="s">
        <v>258</v>
      </c>
    </row>
    <row r="22" spans="2:17">
      <c r="B22" s="346"/>
      <c r="C22" s="4">
        <v>19</v>
      </c>
      <c r="D22" s="502" t="s">
        <v>534</v>
      </c>
      <c r="E22" t="s">
        <v>260</v>
      </c>
      <c r="F22" t="s">
        <v>258</v>
      </c>
      <c r="M22" s="346"/>
      <c r="N22" s="4">
        <v>19</v>
      </c>
      <c r="O22" s="502" t="s">
        <v>534</v>
      </c>
      <c r="P22" t="s">
        <v>260</v>
      </c>
      <c r="Q22" t="s">
        <v>258</v>
      </c>
    </row>
    <row r="23" spans="2:17">
      <c r="B23" s="346"/>
      <c r="C23" s="4">
        <v>6</v>
      </c>
      <c r="D23" t="s">
        <v>518</v>
      </c>
      <c r="E23" s="502" t="s">
        <v>506</v>
      </c>
      <c r="F23" s="385" t="s">
        <v>266</v>
      </c>
      <c r="M23" s="346"/>
      <c r="N23" s="4">
        <v>6</v>
      </c>
      <c r="O23" t="s">
        <v>518</v>
      </c>
      <c r="P23" s="502" t="s">
        <v>506</v>
      </c>
      <c r="Q23" s="385" t="s">
        <v>266</v>
      </c>
    </row>
    <row r="24" spans="2:17">
      <c r="B24" s="44"/>
      <c r="C24" s="4"/>
      <c r="E24" s="385"/>
      <c r="F24" s="385"/>
      <c r="M24" s="44"/>
      <c r="N24" s="4"/>
      <c r="P24" s="385"/>
      <c r="Q24" s="385"/>
    </row>
    <row r="25" spans="2:17">
      <c r="B25" s="346">
        <v>45935</v>
      </c>
      <c r="C25" s="4">
        <v>0</v>
      </c>
      <c r="D25" t="s">
        <v>280</v>
      </c>
      <c r="E25" t="s">
        <v>261</v>
      </c>
      <c r="F25" t="s">
        <v>258</v>
      </c>
      <c r="M25" s="346">
        <v>45935</v>
      </c>
      <c r="N25" s="4">
        <v>0</v>
      </c>
      <c r="O25" t="s">
        <v>280</v>
      </c>
      <c r="P25" t="s">
        <v>261</v>
      </c>
      <c r="Q25" t="s">
        <v>258</v>
      </c>
    </row>
    <row r="26" spans="2:17">
      <c r="B26" s="44"/>
      <c r="C26" s="4">
        <v>0</v>
      </c>
      <c r="D26" t="s">
        <v>458</v>
      </c>
      <c r="E26" t="s">
        <v>259</v>
      </c>
      <c r="F26" t="s">
        <v>258</v>
      </c>
      <c r="M26" s="44"/>
      <c r="N26" s="4">
        <v>0</v>
      </c>
      <c r="O26" t="s">
        <v>458</v>
      </c>
      <c r="P26" t="s">
        <v>259</v>
      </c>
      <c r="Q26" t="s">
        <v>258</v>
      </c>
    </row>
    <row r="27" spans="2:17">
      <c r="B27" s="346"/>
      <c r="C27" s="4">
        <v>17</v>
      </c>
      <c r="D27" t="s">
        <v>505</v>
      </c>
      <c r="E27" t="s">
        <v>260</v>
      </c>
      <c r="F27" t="s">
        <v>258</v>
      </c>
      <c r="M27" s="346"/>
      <c r="N27" s="4">
        <v>17</v>
      </c>
      <c r="O27" t="s">
        <v>505</v>
      </c>
      <c r="P27" t="s">
        <v>260</v>
      </c>
      <c r="Q27" t="s">
        <v>258</v>
      </c>
    </row>
    <row r="28" spans="2:17">
      <c r="B28" s="44"/>
      <c r="C28" s="4"/>
      <c r="M28" s="44"/>
      <c r="N28" s="4"/>
    </row>
    <row r="29" spans="2:17">
      <c r="B29" s="346">
        <v>45936</v>
      </c>
      <c r="C29" s="4">
        <v>25</v>
      </c>
      <c r="D29" t="s">
        <v>547</v>
      </c>
      <c r="E29" t="s">
        <v>261</v>
      </c>
      <c r="F29" t="s">
        <v>258</v>
      </c>
      <c r="M29" s="346">
        <v>45936</v>
      </c>
      <c r="N29" s="4">
        <v>25</v>
      </c>
      <c r="O29" t="s">
        <v>547</v>
      </c>
      <c r="P29" t="s">
        <v>261</v>
      </c>
      <c r="Q29" t="s">
        <v>258</v>
      </c>
    </row>
    <row r="30" spans="2:17">
      <c r="B30" s="44"/>
      <c r="C30" s="4">
        <v>0</v>
      </c>
      <c r="D30" t="s">
        <v>458</v>
      </c>
      <c r="E30" t="s">
        <v>259</v>
      </c>
      <c r="F30" t="s">
        <v>258</v>
      </c>
      <c r="M30" s="44"/>
      <c r="N30" s="4">
        <v>0</v>
      </c>
      <c r="O30" t="s">
        <v>458</v>
      </c>
      <c r="P30" t="s">
        <v>259</v>
      </c>
      <c r="Q30" t="s">
        <v>258</v>
      </c>
    </row>
    <row r="31" spans="2:17">
      <c r="B31" s="346"/>
      <c r="C31" s="4">
        <v>31</v>
      </c>
      <c r="D31" t="s">
        <v>484</v>
      </c>
      <c r="E31" t="s">
        <v>260</v>
      </c>
      <c r="F31" t="s">
        <v>258</v>
      </c>
      <c r="M31" s="346"/>
      <c r="N31" s="4">
        <v>31</v>
      </c>
      <c r="O31" t="s">
        <v>484</v>
      </c>
      <c r="P31" t="s">
        <v>260</v>
      </c>
      <c r="Q31" t="s">
        <v>258</v>
      </c>
    </row>
    <row r="32" spans="2:17">
      <c r="B32" s="44"/>
      <c r="C32" s="4">
        <v>15</v>
      </c>
      <c r="D32" t="s">
        <v>424</v>
      </c>
      <c r="E32" s="385" t="s">
        <v>204</v>
      </c>
      <c r="F32" s="385" t="s">
        <v>257</v>
      </c>
      <c r="M32" s="44"/>
      <c r="N32" s="4">
        <v>15</v>
      </c>
      <c r="O32" t="s">
        <v>424</v>
      </c>
      <c r="P32" s="385" t="s">
        <v>204</v>
      </c>
      <c r="Q32" s="385" t="s">
        <v>257</v>
      </c>
    </row>
    <row r="33" spans="2:17">
      <c r="B33" s="346"/>
      <c r="C33" s="4"/>
      <c r="M33" s="346"/>
      <c r="N33" s="4"/>
    </row>
    <row r="34" spans="2:17">
      <c r="B34" s="44">
        <v>45937</v>
      </c>
      <c r="C34" s="4">
        <v>20</v>
      </c>
      <c r="D34" t="s">
        <v>540</v>
      </c>
      <c r="E34" t="s">
        <v>261</v>
      </c>
      <c r="F34" t="s">
        <v>258</v>
      </c>
      <c r="M34" s="44">
        <v>45937</v>
      </c>
      <c r="N34" s="4">
        <v>20</v>
      </c>
      <c r="O34" t="s">
        <v>540</v>
      </c>
      <c r="P34" t="s">
        <v>261</v>
      </c>
      <c r="Q34" t="s">
        <v>258</v>
      </c>
    </row>
    <row r="35" spans="2:17">
      <c r="B35" s="44"/>
      <c r="C35" s="4">
        <v>10</v>
      </c>
      <c r="D35" t="s">
        <v>570</v>
      </c>
      <c r="E35" t="s">
        <v>259</v>
      </c>
      <c r="F35" t="s">
        <v>258</v>
      </c>
      <c r="M35" s="44"/>
      <c r="N35" s="4">
        <v>10</v>
      </c>
      <c r="O35" t="s">
        <v>570</v>
      </c>
      <c r="P35" t="s">
        <v>259</v>
      </c>
      <c r="Q35" t="s">
        <v>258</v>
      </c>
    </row>
    <row r="36" spans="2:17">
      <c r="B36" s="346"/>
      <c r="C36" s="4">
        <v>30</v>
      </c>
      <c r="D36" t="s">
        <v>484</v>
      </c>
      <c r="E36" t="s">
        <v>260</v>
      </c>
      <c r="F36" t="s">
        <v>258</v>
      </c>
      <c r="M36" s="346"/>
      <c r="N36" s="4">
        <v>30</v>
      </c>
      <c r="O36" t="s">
        <v>484</v>
      </c>
      <c r="P36" t="s">
        <v>260</v>
      </c>
      <c r="Q36" t="s">
        <v>258</v>
      </c>
    </row>
    <row r="37" spans="2:17">
      <c r="B37" s="44"/>
      <c r="C37" s="4">
        <v>10</v>
      </c>
      <c r="D37" t="s">
        <v>424</v>
      </c>
      <c r="E37" s="385" t="s">
        <v>204</v>
      </c>
      <c r="F37" s="385" t="s">
        <v>257</v>
      </c>
      <c r="M37" s="44"/>
      <c r="N37" s="4">
        <v>10</v>
      </c>
      <c r="O37" t="s">
        <v>424</v>
      </c>
      <c r="P37" s="385" t="s">
        <v>204</v>
      </c>
      <c r="Q37" s="385" t="s">
        <v>257</v>
      </c>
    </row>
    <row r="38" spans="2:17">
      <c r="B38" s="346"/>
      <c r="C38" s="4"/>
      <c r="M38" s="346"/>
      <c r="N38" s="4"/>
    </row>
    <row r="39" spans="2:17">
      <c r="B39" s="346">
        <v>45938</v>
      </c>
      <c r="C39" s="4">
        <v>20</v>
      </c>
      <c r="D39" t="s">
        <v>540</v>
      </c>
      <c r="E39" t="s">
        <v>261</v>
      </c>
      <c r="F39" t="s">
        <v>258</v>
      </c>
      <c r="M39" s="346">
        <v>45938</v>
      </c>
      <c r="N39" s="4">
        <v>20</v>
      </c>
      <c r="O39" t="s">
        <v>540</v>
      </c>
      <c r="P39" t="s">
        <v>261</v>
      </c>
      <c r="Q39" t="s">
        <v>258</v>
      </c>
    </row>
    <row r="40" spans="2:17">
      <c r="B40" s="346"/>
      <c r="C40" s="4">
        <v>12</v>
      </c>
      <c r="D40" t="s">
        <v>588</v>
      </c>
      <c r="E40" t="s">
        <v>259</v>
      </c>
      <c r="F40" t="s">
        <v>258</v>
      </c>
      <c r="M40" s="346"/>
      <c r="N40" s="4">
        <v>12</v>
      </c>
      <c r="O40" t="s">
        <v>588</v>
      </c>
      <c r="P40" t="s">
        <v>259</v>
      </c>
      <c r="Q40" t="s">
        <v>258</v>
      </c>
    </row>
    <row r="41" spans="2:17">
      <c r="B41" s="346"/>
      <c r="C41" s="4">
        <v>30</v>
      </c>
      <c r="D41" t="s">
        <v>484</v>
      </c>
      <c r="E41" t="s">
        <v>260</v>
      </c>
      <c r="F41" t="s">
        <v>258</v>
      </c>
      <c r="M41" s="346"/>
      <c r="N41" s="4">
        <v>30</v>
      </c>
      <c r="O41" t="s">
        <v>484</v>
      </c>
      <c r="P41" t="s">
        <v>260</v>
      </c>
      <c r="Q41" t="s">
        <v>258</v>
      </c>
    </row>
    <row r="42" spans="2:17">
      <c r="B42" s="346"/>
      <c r="C42" s="4"/>
      <c r="M42" s="346"/>
      <c r="N42" s="4"/>
    </row>
    <row r="43" spans="2:17">
      <c r="B43" s="44">
        <v>45939</v>
      </c>
      <c r="C43" s="4">
        <v>20</v>
      </c>
      <c r="D43" t="s">
        <v>540</v>
      </c>
      <c r="E43" t="s">
        <v>261</v>
      </c>
      <c r="F43" t="s">
        <v>258</v>
      </c>
      <c r="M43" s="44">
        <v>45939</v>
      </c>
      <c r="N43" s="4">
        <v>20</v>
      </c>
      <c r="O43" t="s">
        <v>540</v>
      </c>
      <c r="P43" t="s">
        <v>261</v>
      </c>
      <c r="Q43" t="s">
        <v>258</v>
      </c>
    </row>
    <row r="44" spans="2:17">
      <c r="B44" s="44"/>
      <c r="C44" s="4">
        <v>16</v>
      </c>
      <c r="D44" t="s">
        <v>599</v>
      </c>
      <c r="E44" t="s">
        <v>259</v>
      </c>
      <c r="F44" t="s">
        <v>258</v>
      </c>
      <c r="M44" s="44"/>
      <c r="N44" s="4">
        <v>16</v>
      </c>
      <c r="O44" t="s">
        <v>599</v>
      </c>
      <c r="P44" t="s">
        <v>259</v>
      </c>
      <c r="Q44" t="s">
        <v>258</v>
      </c>
    </row>
    <row r="45" spans="2:17">
      <c r="B45" s="346"/>
      <c r="C45" s="4">
        <v>26</v>
      </c>
      <c r="D45" t="s">
        <v>600</v>
      </c>
      <c r="E45" t="s">
        <v>260</v>
      </c>
      <c r="F45" t="s">
        <v>258</v>
      </c>
      <c r="M45" s="346"/>
      <c r="N45" s="4">
        <v>26</v>
      </c>
      <c r="O45" t="s">
        <v>600</v>
      </c>
      <c r="P45" t="s">
        <v>260</v>
      </c>
      <c r="Q45" t="s">
        <v>258</v>
      </c>
    </row>
    <row r="46" spans="2:17">
      <c r="B46" s="346"/>
      <c r="C46" s="4">
        <v>8</v>
      </c>
      <c r="D46" t="s">
        <v>424</v>
      </c>
      <c r="E46" s="385" t="s">
        <v>204</v>
      </c>
      <c r="F46" s="385" t="s">
        <v>257</v>
      </c>
      <c r="M46" s="346"/>
      <c r="N46" s="4">
        <v>8</v>
      </c>
      <c r="O46" t="s">
        <v>424</v>
      </c>
      <c r="P46" s="385" t="s">
        <v>204</v>
      </c>
      <c r="Q46" s="385" t="s">
        <v>257</v>
      </c>
    </row>
    <row r="47" spans="2:17">
      <c r="B47" s="44"/>
      <c r="C47" s="4"/>
      <c r="M47" s="44"/>
      <c r="N47" s="4"/>
    </row>
    <row r="48" spans="2:17">
      <c r="B48" s="44">
        <v>45940</v>
      </c>
      <c r="C48" s="4">
        <v>55</v>
      </c>
      <c r="D48" t="s">
        <v>617</v>
      </c>
      <c r="E48" t="s">
        <v>261</v>
      </c>
      <c r="F48" t="s">
        <v>258</v>
      </c>
      <c r="M48" s="44">
        <v>45940</v>
      </c>
      <c r="N48" s="4">
        <v>55</v>
      </c>
      <c r="O48" t="s">
        <v>617</v>
      </c>
      <c r="P48" t="s">
        <v>261</v>
      </c>
      <c r="Q48" t="s">
        <v>258</v>
      </c>
    </row>
    <row r="49" spans="2:17">
      <c r="B49" s="346"/>
      <c r="C49" s="4">
        <v>16</v>
      </c>
      <c r="D49" t="s">
        <v>618</v>
      </c>
      <c r="E49" t="s">
        <v>259</v>
      </c>
      <c r="F49" t="s">
        <v>258</v>
      </c>
      <c r="M49" s="346"/>
      <c r="N49" s="4">
        <v>16</v>
      </c>
      <c r="O49" t="s">
        <v>618</v>
      </c>
      <c r="P49" t="s">
        <v>259</v>
      </c>
      <c r="Q49" t="s">
        <v>258</v>
      </c>
    </row>
    <row r="50" spans="2:17">
      <c r="B50" s="346"/>
      <c r="C50">
        <v>31</v>
      </c>
      <c r="D50" t="s">
        <v>619</v>
      </c>
      <c r="E50" t="s">
        <v>260</v>
      </c>
      <c r="F50" t="s">
        <v>258</v>
      </c>
      <c r="G50" s="526">
        <f>+summary!H42</f>
        <v>1.0000000000000002</v>
      </c>
      <c r="M50" s="346"/>
      <c r="N50">
        <v>31</v>
      </c>
      <c r="O50" t="s">
        <v>619</v>
      </c>
      <c r="P50" t="s">
        <v>260</v>
      </c>
      <c r="Q50" t="s">
        <v>258</v>
      </c>
    </row>
    <row r="51" spans="2:17">
      <c r="B51" s="44"/>
      <c r="M51" s="44"/>
    </row>
    <row r="52" spans="2:17">
      <c r="B52" s="346">
        <v>45941</v>
      </c>
      <c r="C52">
        <v>15</v>
      </c>
      <c r="D52" t="s">
        <v>614</v>
      </c>
      <c r="E52" t="s">
        <v>261</v>
      </c>
      <c r="F52" t="s">
        <v>258</v>
      </c>
      <c r="M52" s="346">
        <v>45941</v>
      </c>
      <c r="N52">
        <v>15</v>
      </c>
      <c r="O52" t="s">
        <v>614</v>
      </c>
      <c r="P52" t="s">
        <v>261</v>
      </c>
      <c r="Q52" t="s">
        <v>258</v>
      </c>
    </row>
    <row r="53" spans="2:17">
      <c r="B53" s="346"/>
      <c r="C53">
        <v>16</v>
      </c>
      <c r="D53" t="s">
        <v>639</v>
      </c>
      <c r="E53" t="s">
        <v>259</v>
      </c>
      <c r="F53" t="s">
        <v>258</v>
      </c>
      <c r="M53" s="346"/>
      <c r="N53">
        <v>16</v>
      </c>
      <c r="O53" t="s">
        <v>639</v>
      </c>
      <c r="P53" t="s">
        <v>259</v>
      </c>
      <c r="Q53" t="s">
        <v>258</v>
      </c>
    </row>
    <row r="54" spans="2:17">
      <c r="B54" s="44"/>
      <c r="C54">
        <v>26</v>
      </c>
      <c r="D54" t="s">
        <v>619</v>
      </c>
      <c r="E54" t="s">
        <v>260</v>
      </c>
      <c r="F54" t="s">
        <v>258</v>
      </c>
      <c r="M54" s="44"/>
      <c r="N54">
        <v>26</v>
      </c>
      <c r="O54" t="s">
        <v>619</v>
      </c>
      <c r="P54" t="s">
        <v>260</v>
      </c>
      <c r="Q54" t="s">
        <v>258</v>
      </c>
    </row>
    <row r="55" spans="2:17">
      <c r="B55" s="346"/>
      <c r="C55">
        <v>8</v>
      </c>
      <c r="D55" t="s">
        <v>424</v>
      </c>
      <c r="E55" s="385" t="s">
        <v>204</v>
      </c>
      <c r="F55" s="385" t="s">
        <v>257</v>
      </c>
      <c r="M55" s="346"/>
      <c r="N55">
        <v>8</v>
      </c>
      <c r="O55" t="s">
        <v>424</v>
      </c>
      <c r="P55" s="385" t="s">
        <v>204</v>
      </c>
      <c r="Q55" s="385" t="s">
        <v>257</v>
      </c>
    </row>
    <row r="56" spans="2:17">
      <c r="B56" s="346"/>
      <c r="M56" s="346"/>
    </row>
    <row r="57" spans="2:17">
      <c r="B57" s="44">
        <v>45942</v>
      </c>
      <c r="C57">
        <v>65</v>
      </c>
      <c r="D57" t="s">
        <v>643</v>
      </c>
      <c r="E57" t="s">
        <v>261</v>
      </c>
      <c r="F57" t="s">
        <v>258</v>
      </c>
      <c r="M57" s="44">
        <v>45942</v>
      </c>
      <c r="N57">
        <v>65</v>
      </c>
      <c r="O57" t="s">
        <v>643</v>
      </c>
      <c r="P57" t="s">
        <v>261</v>
      </c>
      <c r="Q57" t="s">
        <v>258</v>
      </c>
    </row>
    <row r="58" spans="2:17">
      <c r="B58" s="44"/>
      <c r="C58">
        <v>22</v>
      </c>
      <c r="D58" t="s">
        <v>644</v>
      </c>
      <c r="E58" t="s">
        <v>259</v>
      </c>
      <c r="F58" t="s">
        <v>258</v>
      </c>
      <c r="M58" s="44"/>
      <c r="N58">
        <v>22</v>
      </c>
      <c r="O58" t="s">
        <v>644</v>
      </c>
      <c r="P58" t="s">
        <v>259</v>
      </c>
      <c r="Q58" t="s">
        <v>258</v>
      </c>
    </row>
    <row r="59" spans="2:17">
      <c r="B59" s="346"/>
      <c r="C59">
        <v>30</v>
      </c>
      <c r="D59" t="s">
        <v>645</v>
      </c>
      <c r="E59" t="s">
        <v>260</v>
      </c>
      <c r="F59" t="s">
        <v>258</v>
      </c>
      <c r="M59" s="346"/>
      <c r="N59">
        <v>30</v>
      </c>
      <c r="O59" t="s">
        <v>645</v>
      </c>
      <c r="P59" t="s">
        <v>260</v>
      </c>
      <c r="Q59" t="s">
        <v>258</v>
      </c>
    </row>
    <row r="60" spans="2:17">
      <c r="B60" s="346"/>
      <c r="M60" s="346"/>
    </row>
    <row r="61" spans="2:17">
      <c r="B61" s="44">
        <v>45943</v>
      </c>
      <c r="C61">
        <v>65</v>
      </c>
      <c r="D61" t="s">
        <v>643</v>
      </c>
      <c r="E61" t="s">
        <v>261</v>
      </c>
      <c r="F61" t="s">
        <v>258</v>
      </c>
      <c r="M61" s="44">
        <v>45943</v>
      </c>
      <c r="N61">
        <v>65</v>
      </c>
      <c r="O61" t="s">
        <v>643</v>
      </c>
      <c r="P61" t="s">
        <v>261</v>
      </c>
      <c r="Q61" t="s">
        <v>258</v>
      </c>
    </row>
    <row r="62" spans="2:17">
      <c r="B62" s="346"/>
      <c r="C62">
        <v>15</v>
      </c>
      <c r="D62" t="s">
        <v>588</v>
      </c>
      <c r="E62" t="s">
        <v>259</v>
      </c>
      <c r="F62" t="s">
        <v>258</v>
      </c>
      <c r="M62" s="346"/>
      <c r="N62">
        <v>15</v>
      </c>
      <c r="O62" t="s">
        <v>588</v>
      </c>
      <c r="P62" t="s">
        <v>259</v>
      </c>
      <c r="Q62" t="s">
        <v>258</v>
      </c>
    </row>
    <row r="63" spans="2:17">
      <c r="B63" s="44"/>
      <c r="C63">
        <v>30</v>
      </c>
      <c r="D63" t="s">
        <v>600</v>
      </c>
      <c r="E63" t="s">
        <v>260</v>
      </c>
      <c r="F63" t="s">
        <v>258</v>
      </c>
      <c r="M63" s="44"/>
      <c r="N63">
        <v>30</v>
      </c>
      <c r="O63" t="s">
        <v>600</v>
      </c>
      <c r="P63" t="s">
        <v>260</v>
      </c>
      <c r="Q63" t="s">
        <v>258</v>
      </c>
    </row>
    <row r="64" spans="2:17">
      <c r="B64" s="346"/>
      <c r="M64" s="346"/>
    </row>
    <row r="65" spans="2:18">
      <c r="B65" s="346">
        <v>45944</v>
      </c>
      <c r="C65">
        <v>15</v>
      </c>
      <c r="D65" t="s">
        <v>614</v>
      </c>
      <c r="E65" t="s">
        <v>261</v>
      </c>
      <c r="F65" t="s">
        <v>258</v>
      </c>
      <c r="M65" s="346">
        <v>45944</v>
      </c>
      <c r="N65">
        <v>15</v>
      </c>
      <c r="O65" t="s">
        <v>614</v>
      </c>
      <c r="P65" t="s">
        <v>261</v>
      </c>
      <c r="Q65" t="s">
        <v>258</v>
      </c>
    </row>
    <row r="66" spans="2:18">
      <c r="B66" s="346"/>
      <c r="C66">
        <v>30</v>
      </c>
      <c r="D66" t="s">
        <v>665</v>
      </c>
      <c r="E66" t="s">
        <v>259</v>
      </c>
      <c r="F66" t="s">
        <v>258</v>
      </c>
      <c r="M66" s="346"/>
      <c r="N66">
        <v>30</v>
      </c>
      <c r="O66" t="s">
        <v>665</v>
      </c>
      <c r="P66" t="s">
        <v>259</v>
      </c>
      <c r="Q66" t="s">
        <v>258</v>
      </c>
    </row>
    <row r="67" spans="2:18">
      <c r="B67" s="44"/>
      <c r="C67">
        <v>35</v>
      </c>
      <c r="D67" t="s">
        <v>666</v>
      </c>
      <c r="E67" t="s">
        <v>260</v>
      </c>
      <c r="F67" t="s">
        <v>258</v>
      </c>
      <c r="M67" s="44"/>
      <c r="N67">
        <v>35</v>
      </c>
      <c r="O67" t="s">
        <v>666</v>
      </c>
      <c r="P67" t="s">
        <v>260</v>
      </c>
      <c r="Q67" t="s">
        <v>258</v>
      </c>
    </row>
    <row r="68" spans="2:18">
      <c r="B68" s="44"/>
      <c r="C68">
        <v>8</v>
      </c>
      <c r="D68" t="s">
        <v>424</v>
      </c>
      <c r="E68" s="385" t="s">
        <v>204</v>
      </c>
      <c r="F68" s="385" t="s">
        <v>257</v>
      </c>
      <c r="M68" s="44"/>
      <c r="N68">
        <v>8</v>
      </c>
      <c r="O68" t="s">
        <v>424</v>
      </c>
      <c r="P68" s="385" t="s">
        <v>204</v>
      </c>
      <c r="Q68" s="385" t="s">
        <v>257</v>
      </c>
    </row>
    <row r="69" spans="2:18">
      <c r="B69" s="346"/>
      <c r="M69" s="346"/>
    </row>
    <row r="70" spans="2:18">
      <c r="B70" s="346">
        <v>45945</v>
      </c>
      <c r="C70">
        <v>65</v>
      </c>
      <c r="D70" t="s">
        <v>643</v>
      </c>
      <c r="E70" t="s">
        <v>261</v>
      </c>
      <c r="F70" t="s">
        <v>258</v>
      </c>
      <c r="M70" s="346">
        <v>45945</v>
      </c>
      <c r="N70">
        <v>65</v>
      </c>
      <c r="O70" t="s">
        <v>643</v>
      </c>
      <c r="P70" t="s">
        <v>261</v>
      </c>
      <c r="Q70" t="s">
        <v>258</v>
      </c>
    </row>
    <row r="71" spans="2:18">
      <c r="B71" s="44"/>
      <c r="C71">
        <v>27</v>
      </c>
      <c r="D71" t="s">
        <v>671</v>
      </c>
      <c r="E71" t="s">
        <v>259</v>
      </c>
      <c r="F71" t="s">
        <v>258</v>
      </c>
      <c r="M71" s="44"/>
      <c r="N71">
        <v>27</v>
      </c>
      <c r="O71" t="s">
        <v>671</v>
      </c>
      <c r="P71" t="s">
        <v>259</v>
      </c>
      <c r="Q71" t="s">
        <v>258</v>
      </c>
      <c r="R71" s="526"/>
    </row>
    <row r="72" spans="2:18">
      <c r="B72" s="44"/>
      <c r="C72">
        <v>34</v>
      </c>
      <c r="D72" t="s">
        <v>666</v>
      </c>
      <c r="E72" t="s">
        <v>260</v>
      </c>
      <c r="F72" t="s">
        <v>258</v>
      </c>
      <c r="M72" s="44"/>
      <c r="N72">
        <v>34</v>
      </c>
      <c r="O72" t="s">
        <v>666</v>
      </c>
      <c r="P72" t="s">
        <v>260</v>
      </c>
      <c r="Q72" t="s">
        <v>258</v>
      </c>
    </row>
    <row r="73" spans="2:18">
      <c r="B73" s="346"/>
      <c r="M73" s="346"/>
    </row>
    <row r="74" spans="2:18">
      <c r="B74" s="346">
        <v>45946</v>
      </c>
      <c r="C74">
        <v>60</v>
      </c>
      <c r="D74" t="s">
        <v>679</v>
      </c>
      <c r="E74" t="s">
        <v>261</v>
      </c>
      <c r="F74" t="s">
        <v>258</v>
      </c>
      <c r="M74" s="346">
        <v>45946</v>
      </c>
      <c r="N74">
        <v>60</v>
      </c>
      <c r="O74" t="s">
        <v>679</v>
      </c>
      <c r="P74" t="s">
        <v>261</v>
      </c>
      <c r="Q74" t="s">
        <v>258</v>
      </c>
    </row>
    <row r="75" spans="2:18">
      <c r="B75" s="44"/>
      <c r="C75">
        <v>12</v>
      </c>
      <c r="D75" t="s">
        <v>618</v>
      </c>
      <c r="E75" t="s">
        <v>259</v>
      </c>
      <c r="F75" t="s">
        <v>258</v>
      </c>
      <c r="M75" s="44"/>
      <c r="N75">
        <v>12</v>
      </c>
      <c r="O75" t="s">
        <v>618</v>
      </c>
      <c r="P75" t="s">
        <v>259</v>
      </c>
      <c r="Q75" t="s">
        <v>258</v>
      </c>
    </row>
    <row r="76" spans="2:18">
      <c r="B76" s="44"/>
      <c r="C76">
        <v>30</v>
      </c>
      <c r="D76" t="s">
        <v>645</v>
      </c>
      <c r="E76" t="s">
        <v>260</v>
      </c>
      <c r="F76" t="s">
        <v>258</v>
      </c>
      <c r="M76" s="44"/>
      <c r="N76">
        <v>30</v>
      </c>
      <c r="O76" t="s">
        <v>645</v>
      </c>
      <c r="P76" t="s">
        <v>260</v>
      </c>
      <c r="Q76" t="s">
        <v>258</v>
      </c>
    </row>
    <row r="77" spans="2:18">
      <c r="B77" s="44"/>
      <c r="C77">
        <v>5</v>
      </c>
      <c r="D77" t="s">
        <v>424</v>
      </c>
      <c r="E77" s="385" t="s">
        <v>204</v>
      </c>
      <c r="F77" s="385" t="s">
        <v>257</v>
      </c>
      <c r="M77" s="44"/>
      <c r="N77">
        <v>5</v>
      </c>
      <c r="O77" t="s">
        <v>424</v>
      </c>
      <c r="P77" s="385" t="s">
        <v>204</v>
      </c>
      <c r="Q77" s="385" t="s">
        <v>257</v>
      </c>
    </row>
    <row r="78" spans="2:18">
      <c r="B78" s="346"/>
      <c r="C78">
        <v>15</v>
      </c>
      <c r="D78" t="s">
        <v>678</v>
      </c>
      <c r="E78" t="s">
        <v>681</v>
      </c>
      <c r="F78" t="s">
        <v>258</v>
      </c>
      <c r="M78" s="346"/>
      <c r="N78">
        <v>15</v>
      </c>
      <c r="O78" t="s">
        <v>678</v>
      </c>
      <c r="P78" t="s">
        <v>681</v>
      </c>
      <c r="Q78" t="s">
        <v>258</v>
      </c>
    </row>
    <row r="79" spans="2:18">
      <c r="B79" s="44"/>
      <c r="C79">
        <v>70</v>
      </c>
      <c r="D79" t="s">
        <v>680</v>
      </c>
      <c r="E79" t="s">
        <v>682</v>
      </c>
      <c r="F79" t="s">
        <v>266</v>
      </c>
      <c r="M79" s="44"/>
      <c r="N79">
        <v>70</v>
      </c>
      <c r="O79" t="s">
        <v>680</v>
      </c>
      <c r="P79" t="s">
        <v>682</v>
      </c>
      <c r="Q79" t="s">
        <v>266</v>
      </c>
    </row>
    <row r="80" spans="2:18">
      <c r="B80" s="346"/>
      <c r="M80" s="346"/>
    </row>
    <row r="81" spans="2:17">
      <c r="B81" s="44">
        <v>45947</v>
      </c>
      <c r="C81">
        <v>10</v>
      </c>
      <c r="D81" t="s">
        <v>571</v>
      </c>
      <c r="E81" t="s">
        <v>261</v>
      </c>
      <c r="F81" t="s">
        <v>258</v>
      </c>
      <c r="M81" s="44">
        <v>45947</v>
      </c>
      <c r="N81">
        <v>10</v>
      </c>
      <c r="O81" t="s">
        <v>571</v>
      </c>
      <c r="P81" t="s">
        <v>261</v>
      </c>
      <c r="Q81" t="s">
        <v>258</v>
      </c>
    </row>
    <row r="82" spans="2:17">
      <c r="B82" s="44"/>
      <c r="C82">
        <v>18</v>
      </c>
      <c r="D82" t="s">
        <v>618</v>
      </c>
      <c r="E82" t="s">
        <v>259</v>
      </c>
      <c r="F82" t="s">
        <v>258</v>
      </c>
      <c r="M82" s="44"/>
      <c r="N82">
        <v>18</v>
      </c>
      <c r="O82" t="s">
        <v>618</v>
      </c>
      <c r="P82" t="s">
        <v>259</v>
      </c>
      <c r="Q82" t="s">
        <v>258</v>
      </c>
    </row>
    <row r="83" spans="2:17">
      <c r="B83" s="346"/>
      <c r="C83">
        <v>26</v>
      </c>
      <c r="D83" t="s">
        <v>600</v>
      </c>
      <c r="E83" t="s">
        <v>260</v>
      </c>
      <c r="F83" t="s">
        <v>258</v>
      </c>
      <c r="M83" s="346"/>
      <c r="N83">
        <v>26</v>
      </c>
      <c r="O83" t="s">
        <v>600</v>
      </c>
      <c r="P83" t="s">
        <v>260</v>
      </c>
      <c r="Q83" t="s">
        <v>258</v>
      </c>
    </row>
    <row r="84" spans="2:17">
      <c r="B84" s="346"/>
      <c r="C84">
        <v>6</v>
      </c>
      <c r="D84" t="s">
        <v>424</v>
      </c>
      <c r="E84" s="385" t="s">
        <v>204</v>
      </c>
      <c r="F84" s="385" t="s">
        <v>257</v>
      </c>
      <c r="M84" s="346"/>
      <c r="N84">
        <v>6</v>
      </c>
      <c r="O84" t="s">
        <v>424</v>
      </c>
      <c r="P84" s="385" t="s">
        <v>204</v>
      </c>
      <c r="Q84" s="385" t="s">
        <v>257</v>
      </c>
    </row>
    <row r="85" spans="2:17">
      <c r="B85" s="44"/>
      <c r="C85">
        <v>6</v>
      </c>
      <c r="D85" t="s">
        <v>688</v>
      </c>
      <c r="E85" t="s">
        <v>694</v>
      </c>
      <c r="F85" t="s">
        <v>266</v>
      </c>
      <c r="M85" s="44"/>
      <c r="N85">
        <v>6</v>
      </c>
      <c r="O85" t="s">
        <v>688</v>
      </c>
      <c r="P85" t="s">
        <v>694</v>
      </c>
      <c r="Q85" t="s">
        <v>266</v>
      </c>
    </row>
    <row r="86" spans="2:17">
      <c r="B86" s="44"/>
      <c r="M86" s="44"/>
    </row>
    <row r="87" spans="2:17">
      <c r="B87" s="346">
        <v>45948</v>
      </c>
      <c r="C87">
        <v>0</v>
      </c>
      <c r="D87" t="s">
        <v>280</v>
      </c>
      <c r="E87" t="s">
        <v>261</v>
      </c>
      <c r="F87" t="s">
        <v>258</v>
      </c>
      <c r="M87" s="346">
        <v>45948</v>
      </c>
      <c r="N87">
        <v>0</v>
      </c>
      <c r="O87" t="s">
        <v>280</v>
      </c>
      <c r="P87" t="s">
        <v>261</v>
      </c>
      <c r="Q87" t="s">
        <v>258</v>
      </c>
    </row>
    <row r="88" spans="2:17">
      <c r="B88" s="346"/>
      <c r="C88">
        <v>21</v>
      </c>
      <c r="D88" t="s">
        <v>644</v>
      </c>
      <c r="E88" t="s">
        <v>259</v>
      </c>
      <c r="F88" t="s">
        <v>258</v>
      </c>
      <c r="M88" s="346"/>
      <c r="N88">
        <v>21</v>
      </c>
      <c r="O88" t="s">
        <v>644</v>
      </c>
      <c r="P88" t="s">
        <v>259</v>
      </c>
      <c r="Q88" t="s">
        <v>258</v>
      </c>
    </row>
    <row r="89" spans="2:17">
      <c r="B89" s="44"/>
      <c r="C89">
        <v>33</v>
      </c>
      <c r="D89" t="s">
        <v>703</v>
      </c>
      <c r="E89" t="s">
        <v>260</v>
      </c>
      <c r="F89" t="s">
        <v>258</v>
      </c>
      <c r="M89" s="44"/>
      <c r="N89">
        <v>33</v>
      </c>
      <c r="O89" t="s">
        <v>703</v>
      </c>
      <c r="P89" t="s">
        <v>260</v>
      </c>
      <c r="Q89" t="s">
        <v>258</v>
      </c>
    </row>
    <row r="90" spans="2:17">
      <c r="B90" s="44"/>
      <c r="C90">
        <v>8</v>
      </c>
      <c r="D90" t="s">
        <v>424</v>
      </c>
      <c r="E90" s="385" t="s">
        <v>204</v>
      </c>
      <c r="F90" s="385" t="s">
        <v>257</v>
      </c>
      <c r="M90" s="44"/>
      <c r="N90">
        <v>8</v>
      </c>
      <c r="O90" t="s">
        <v>424</v>
      </c>
      <c r="P90" s="385" t="s">
        <v>204</v>
      </c>
      <c r="Q90" s="385" t="s">
        <v>257</v>
      </c>
    </row>
    <row r="91" spans="2:17">
      <c r="B91" s="346"/>
      <c r="M91" s="346"/>
    </row>
    <row r="92" spans="2:17">
      <c r="B92" s="346">
        <v>45949</v>
      </c>
      <c r="C92">
        <v>45</v>
      </c>
      <c r="D92" t="s">
        <v>704</v>
      </c>
      <c r="E92" t="s">
        <v>261</v>
      </c>
      <c r="F92" t="s">
        <v>258</v>
      </c>
      <c r="M92" s="346">
        <v>45949</v>
      </c>
      <c r="N92">
        <v>45</v>
      </c>
      <c r="O92" t="s">
        <v>704</v>
      </c>
      <c r="P92" t="s">
        <v>261</v>
      </c>
      <c r="Q92" t="s">
        <v>258</v>
      </c>
    </row>
    <row r="93" spans="2:17">
      <c r="B93" s="44"/>
      <c r="C93">
        <v>19</v>
      </c>
      <c r="D93" t="s">
        <v>705</v>
      </c>
      <c r="E93" t="s">
        <v>259</v>
      </c>
      <c r="F93" t="s">
        <v>258</v>
      </c>
      <c r="M93" s="44"/>
      <c r="N93">
        <v>19</v>
      </c>
      <c r="O93" t="s">
        <v>705</v>
      </c>
      <c r="P93" t="s">
        <v>259</v>
      </c>
      <c r="Q93" t="s">
        <v>258</v>
      </c>
    </row>
    <row r="94" spans="2:17">
      <c r="B94" s="346"/>
      <c r="C94">
        <v>27</v>
      </c>
      <c r="D94" t="s">
        <v>706</v>
      </c>
      <c r="E94" t="s">
        <v>260</v>
      </c>
      <c r="F94" t="s">
        <v>258</v>
      </c>
      <c r="M94" s="346"/>
      <c r="N94">
        <v>27</v>
      </c>
      <c r="O94" t="s">
        <v>706</v>
      </c>
      <c r="P94" t="s">
        <v>260</v>
      </c>
      <c r="Q94" t="s">
        <v>258</v>
      </c>
    </row>
    <row r="95" spans="2:17">
      <c r="B95" s="44"/>
      <c r="M95" s="44"/>
      <c r="P95" s="385"/>
      <c r="Q95" s="385"/>
    </row>
    <row r="96" spans="2:17">
      <c r="B96" s="346">
        <v>45950</v>
      </c>
      <c r="C96">
        <v>17</v>
      </c>
      <c r="D96" t="s">
        <v>614</v>
      </c>
      <c r="E96" t="s">
        <v>261</v>
      </c>
      <c r="F96" t="s">
        <v>258</v>
      </c>
      <c r="M96" s="346">
        <v>45950</v>
      </c>
      <c r="N96">
        <v>17</v>
      </c>
      <c r="O96" t="s">
        <v>614</v>
      </c>
      <c r="P96" t="s">
        <v>261</v>
      </c>
      <c r="Q96" t="s">
        <v>258</v>
      </c>
    </row>
    <row r="97" spans="2:17">
      <c r="B97" s="44"/>
      <c r="C97">
        <v>18</v>
      </c>
      <c r="D97" t="s">
        <v>588</v>
      </c>
      <c r="E97" t="s">
        <v>259</v>
      </c>
      <c r="F97" t="s">
        <v>258</v>
      </c>
      <c r="M97" s="44"/>
      <c r="N97">
        <v>18</v>
      </c>
      <c r="O97" t="s">
        <v>588</v>
      </c>
      <c r="P97" t="s">
        <v>259</v>
      </c>
      <c r="Q97" t="s">
        <v>258</v>
      </c>
    </row>
    <row r="98" spans="2:17">
      <c r="B98" s="346"/>
      <c r="C98">
        <v>30</v>
      </c>
      <c r="D98" s="502" t="s">
        <v>619</v>
      </c>
      <c r="E98" t="s">
        <v>260</v>
      </c>
      <c r="F98" t="s">
        <v>258</v>
      </c>
      <c r="M98" s="346"/>
      <c r="N98">
        <v>30</v>
      </c>
      <c r="O98" s="502" t="s">
        <v>619</v>
      </c>
      <c r="P98" t="s">
        <v>260</v>
      </c>
      <c r="Q98" t="s">
        <v>258</v>
      </c>
    </row>
    <row r="99" spans="2:17">
      <c r="B99" s="44"/>
      <c r="M99" s="44"/>
    </row>
    <row r="100" spans="2:17">
      <c r="B100" s="44">
        <v>45951</v>
      </c>
      <c r="C100">
        <v>25</v>
      </c>
      <c r="D100" t="s">
        <v>547</v>
      </c>
      <c r="E100" t="s">
        <v>261</v>
      </c>
      <c r="F100" t="s">
        <v>258</v>
      </c>
      <c r="M100" s="44">
        <v>45951</v>
      </c>
      <c r="N100">
        <v>25</v>
      </c>
      <c r="O100" t="s">
        <v>547</v>
      </c>
      <c r="P100" t="s">
        <v>261</v>
      </c>
      <c r="Q100" t="s">
        <v>258</v>
      </c>
    </row>
    <row r="101" spans="2:17">
      <c r="B101" s="346"/>
      <c r="C101">
        <v>22</v>
      </c>
      <c r="D101" t="s">
        <v>639</v>
      </c>
      <c r="E101" t="s">
        <v>259</v>
      </c>
      <c r="F101" t="s">
        <v>258</v>
      </c>
      <c r="M101" s="346"/>
      <c r="N101">
        <v>22</v>
      </c>
      <c r="O101" t="s">
        <v>639</v>
      </c>
      <c r="P101" t="s">
        <v>259</v>
      </c>
      <c r="Q101" t="s">
        <v>258</v>
      </c>
    </row>
    <row r="102" spans="2:17">
      <c r="B102" s="44"/>
      <c r="C102">
        <v>30</v>
      </c>
      <c r="D102" t="s">
        <v>720</v>
      </c>
      <c r="E102" t="s">
        <v>260</v>
      </c>
      <c r="F102" t="s">
        <v>258</v>
      </c>
      <c r="M102" s="44"/>
      <c r="N102">
        <v>30</v>
      </c>
      <c r="O102" t="s">
        <v>720</v>
      </c>
      <c r="P102" t="s">
        <v>260</v>
      </c>
      <c r="Q102" t="s">
        <v>258</v>
      </c>
    </row>
    <row r="103" spans="2:17">
      <c r="B103" s="346"/>
      <c r="C103">
        <v>270</v>
      </c>
      <c r="D103" t="s">
        <v>711</v>
      </c>
      <c r="E103" t="s">
        <v>721</v>
      </c>
      <c r="F103" t="s">
        <v>250</v>
      </c>
      <c r="M103" s="346"/>
      <c r="N103">
        <v>0</v>
      </c>
      <c r="O103" t="s">
        <v>711</v>
      </c>
      <c r="P103" t="s">
        <v>721</v>
      </c>
      <c r="Q103" t="s">
        <v>250</v>
      </c>
    </row>
    <row r="104" spans="2:17">
      <c r="B104" s="44"/>
      <c r="M104" s="44"/>
    </row>
    <row r="105" spans="2:17">
      <c r="B105" s="346">
        <v>45952</v>
      </c>
      <c r="C105">
        <v>15</v>
      </c>
      <c r="D105" t="s">
        <v>614</v>
      </c>
      <c r="E105" t="s">
        <v>261</v>
      </c>
      <c r="F105" t="s">
        <v>258</v>
      </c>
      <c r="M105" s="346">
        <v>45952</v>
      </c>
      <c r="N105">
        <v>15</v>
      </c>
      <c r="O105" t="s">
        <v>614</v>
      </c>
      <c r="P105" t="s">
        <v>261</v>
      </c>
      <c r="Q105" t="s">
        <v>258</v>
      </c>
    </row>
    <row r="106" spans="2:17">
      <c r="B106" s="346"/>
      <c r="C106">
        <v>21</v>
      </c>
      <c r="D106" t="s">
        <v>730</v>
      </c>
      <c r="E106" t="s">
        <v>259</v>
      </c>
      <c r="F106" t="s">
        <v>258</v>
      </c>
      <c r="M106" s="346"/>
      <c r="N106">
        <v>21</v>
      </c>
      <c r="O106" t="s">
        <v>730</v>
      </c>
      <c r="P106" t="s">
        <v>259</v>
      </c>
      <c r="Q106" t="s">
        <v>258</v>
      </c>
    </row>
    <row r="107" spans="2:17">
      <c r="B107" s="346"/>
      <c r="C107">
        <v>28</v>
      </c>
      <c r="D107" t="s">
        <v>534</v>
      </c>
      <c r="E107" t="s">
        <v>260</v>
      </c>
      <c r="F107" t="s">
        <v>258</v>
      </c>
      <c r="M107" s="346"/>
      <c r="N107">
        <v>28</v>
      </c>
      <c r="O107" t="s">
        <v>534</v>
      </c>
      <c r="P107" t="s">
        <v>260</v>
      </c>
      <c r="Q107" t="s">
        <v>258</v>
      </c>
    </row>
    <row r="108" spans="2:17">
      <c r="B108" s="44"/>
      <c r="M108" s="44"/>
    </row>
    <row r="109" spans="2:17">
      <c r="B109" s="44">
        <v>45953</v>
      </c>
      <c r="C109">
        <v>5</v>
      </c>
      <c r="D109" t="s">
        <v>541</v>
      </c>
      <c r="E109" t="s">
        <v>261</v>
      </c>
      <c r="F109" t="s">
        <v>258</v>
      </c>
      <c r="M109" s="44">
        <v>45953</v>
      </c>
      <c r="N109">
        <v>5</v>
      </c>
      <c r="O109" t="s">
        <v>541</v>
      </c>
      <c r="P109" t="s">
        <v>261</v>
      </c>
      <c r="Q109" t="s">
        <v>258</v>
      </c>
    </row>
    <row r="110" spans="2:17">
      <c r="B110" s="346"/>
      <c r="C110">
        <v>18</v>
      </c>
      <c r="D110" t="s">
        <v>736</v>
      </c>
      <c r="E110" t="s">
        <v>259</v>
      </c>
      <c r="F110" t="s">
        <v>258</v>
      </c>
      <c r="M110" s="346"/>
      <c r="N110">
        <v>18</v>
      </c>
      <c r="O110" t="s">
        <v>736</v>
      </c>
      <c r="P110" t="s">
        <v>259</v>
      </c>
      <c r="Q110" t="s">
        <v>258</v>
      </c>
    </row>
    <row r="111" spans="2:17">
      <c r="B111" s="44"/>
      <c r="C111">
        <v>19</v>
      </c>
      <c r="D111" t="s">
        <v>737</v>
      </c>
      <c r="E111" t="s">
        <v>260</v>
      </c>
      <c r="F111" t="s">
        <v>258</v>
      </c>
      <c r="M111" s="44"/>
      <c r="N111">
        <v>19</v>
      </c>
      <c r="O111" t="s">
        <v>737</v>
      </c>
      <c r="P111" t="s">
        <v>260</v>
      </c>
      <c r="Q111" t="s">
        <v>258</v>
      </c>
    </row>
    <row r="112" spans="2:17">
      <c r="B112" s="346"/>
      <c r="M112" s="346"/>
    </row>
    <row r="113" spans="2:17">
      <c r="B113" s="44">
        <v>45954</v>
      </c>
      <c r="C113">
        <v>10</v>
      </c>
      <c r="D113" t="s">
        <v>571</v>
      </c>
      <c r="E113" t="s">
        <v>261</v>
      </c>
      <c r="F113" t="s">
        <v>258</v>
      </c>
      <c r="M113" s="44">
        <v>45954</v>
      </c>
      <c r="N113">
        <v>10</v>
      </c>
      <c r="O113" t="s">
        <v>571</v>
      </c>
      <c r="P113" t="s">
        <v>261</v>
      </c>
      <c r="Q113" t="s">
        <v>258</v>
      </c>
    </row>
    <row r="114" spans="2:17">
      <c r="B114" s="44"/>
      <c r="C114">
        <v>7</v>
      </c>
      <c r="D114" t="s">
        <v>719</v>
      </c>
      <c r="E114" t="s">
        <v>259</v>
      </c>
      <c r="F114" t="s">
        <v>258</v>
      </c>
      <c r="M114" s="44"/>
      <c r="N114">
        <v>7</v>
      </c>
      <c r="O114" t="s">
        <v>719</v>
      </c>
      <c r="P114" t="s">
        <v>259</v>
      </c>
      <c r="Q114" t="s">
        <v>258</v>
      </c>
    </row>
    <row r="115" spans="2:17">
      <c r="B115" s="44"/>
      <c r="C115">
        <v>20</v>
      </c>
      <c r="D115" t="s">
        <v>534</v>
      </c>
      <c r="E115" t="s">
        <v>260</v>
      </c>
      <c r="F115" t="s">
        <v>258</v>
      </c>
      <c r="M115" s="44"/>
      <c r="N115">
        <v>20</v>
      </c>
      <c r="O115" t="s">
        <v>534</v>
      </c>
      <c r="P115" t="s">
        <v>260</v>
      </c>
      <c r="Q115" t="s">
        <v>258</v>
      </c>
    </row>
    <row r="116" spans="2:17">
      <c r="B116" s="44"/>
      <c r="C116">
        <v>357</v>
      </c>
      <c r="D116" t="s">
        <v>752</v>
      </c>
      <c r="E116" t="s">
        <v>721</v>
      </c>
      <c r="F116" t="s">
        <v>250</v>
      </c>
      <c r="M116" s="44"/>
      <c r="N116">
        <v>0</v>
      </c>
      <c r="O116" t="s">
        <v>752</v>
      </c>
      <c r="P116" t="s">
        <v>721</v>
      </c>
      <c r="Q116" t="s">
        <v>250</v>
      </c>
    </row>
    <row r="117" spans="2:17">
      <c r="B117" s="44"/>
      <c r="C117">
        <v>35</v>
      </c>
      <c r="D117" t="s">
        <v>753</v>
      </c>
      <c r="E117" t="s">
        <v>464</v>
      </c>
      <c r="F117" t="s">
        <v>264</v>
      </c>
      <c r="M117" s="44"/>
      <c r="N117">
        <v>35</v>
      </c>
      <c r="O117" t="s">
        <v>753</v>
      </c>
      <c r="P117" t="s">
        <v>464</v>
      </c>
      <c r="Q117" t="s">
        <v>264</v>
      </c>
    </row>
    <row r="118" spans="2:17">
      <c r="B118" s="44"/>
      <c r="M118" s="44"/>
    </row>
    <row r="119" spans="2:17">
      <c r="B119" s="44">
        <v>45955</v>
      </c>
      <c r="C119">
        <v>15</v>
      </c>
      <c r="D119" t="s">
        <v>614</v>
      </c>
      <c r="E119" t="s">
        <v>261</v>
      </c>
      <c r="F119" t="s">
        <v>258</v>
      </c>
      <c r="M119" s="44">
        <v>45955</v>
      </c>
      <c r="N119">
        <v>15</v>
      </c>
      <c r="O119" t="s">
        <v>614</v>
      </c>
      <c r="P119" t="s">
        <v>261</v>
      </c>
      <c r="Q119" t="s">
        <v>258</v>
      </c>
    </row>
    <row r="120" spans="2:17">
      <c r="B120" s="44"/>
      <c r="C120">
        <v>11</v>
      </c>
      <c r="D120" t="s">
        <v>767</v>
      </c>
      <c r="E120" t="s">
        <v>259</v>
      </c>
      <c r="F120" t="s">
        <v>258</v>
      </c>
      <c r="M120" s="44"/>
      <c r="N120">
        <v>11</v>
      </c>
      <c r="O120" t="s">
        <v>767</v>
      </c>
      <c r="P120" t="s">
        <v>259</v>
      </c>
      <c r="Q120" t="s">
        <v>258</v>
      </c>
    </row>
    <row r="121" spans="2:17">
      <c r="B121" s="44"/>
      <c r="C121">
        <v>27</v>
      </c>
      <c r="D121" t="s">
        <v>768</v>
      </c>
      <c r="E121" t="s">
        <v>260</v>
      </c>
      <c r="F121" t="s">
        <v>258</v>
      </c>
      <c r="M121" s="44"/>
      <c r="N121">
        <v>27</v>
      </c>
      <c r="O121" t="s">
        <v>768</v>
      </c>
      <c r="P121" t="s">
        <v>260</v>
      </c>
      <c r="Q121" t="s">
        <v>258</v>
      </c>
    </row>
    <row r="122" spans="2:17">
      <c r="B122" s="44"/>
      <c r="C122">
        <v>5</v>
      </c>
      <c r="D122" t="s">
        <v>424</v>
      </c>
      <c r="E122" s="385" t="s">
        <v>204</v>
      </c>
      <c r="F122" s="385" t="s">
        <v>257</v>
      </c>
      <c r="M122" s="44"/>
      <c r="N122">
        <v>5</v>
      </c>
      <c r="O122" t="s">
        <v>424</v>
      </c>
      <c r="P122" s="385" t="s">
        <v>204</v>
      </c>
      <c r="Q122" s="385" t="s">
        <v>257</v>
      </c>
    </row>
    <row r="123" spans="2:17">
      <c r="B123" s="44"/>
      <c r="M123" s="44"/>
    </row>
    <row r="124" spans="2:17">
      <c r="B124" s="44">
        <v>45956</v>
      </c>
      <c r="C124">
        <v>5</v>
      </c>
      <c r="D124" t="s">
        <v>541</v>
      </c>
      <c r="E124" t="s">
        <v>261</v>
      </c>
      <c r="F124" t="s">
        <v>258</v>
      </c>
      <c r="M124" s="44">
        <v>45956</v>
      </c>
      <c r="N124">
        <v>5</v>
      </c>
      <c r="O124" t="s">
        <v>541</v>
      </c>
      <c r="P124" t="s">
        <v>261</v>
      </c>
      <c r="Q124" t="s">
        <v>258</v>
      </c>
    </row>
    <row r="125" spans="2:17">
      <c r="B125" s="44"/>
      <c r="C125">
        <v>10</v>
      </c>
      <c r="D125" t="s">
        <v>598</v>
      </c>
      <c r="E125" t="s">
        <v>259</v>
      </c>
      <c r="F125" t="s">
        <v>258</v>
      </c>
      <c r="M125" s="44"/>
      <c r="N125">
        <v>10</v>
      </c>
      <c r="O125" t="s">
        <v>598</v>
      </c>
      <c r="P125" t="s">
        <v>259</v>
      </c>
      <c r="Q125" t="s">
        <v>258</v>
      </c>
    </row>
    <row r="126" spans="2:17">
      <c r="B126" s="44"/>
      <c r="C126">
        <v>27</v>
      </c>
      <c r="D126" t="s">
        <v>505</v>
      </c>
      <c r="E126" t="s">
        <v>260</v>
      </c>
      <c r="F126" t="s">
        <v>258</v>
      </c>
      <c r="M126" s="44"/>
      <c r="N126">
        <v>27</v>
      </c>
      <c r="O126" t="s">
        <v>505</v>
      </c>
      <c r="P126" t="s">
        <v>260</v>
      </c>
      <c r="Q126" t="s">
        <v>258</v>
      </c>
    </row>
    <row r="127" spans="2:17">
      <c r="B127" s="44"/>
      <c r="C127">
        <v>60</v>
      </c>
      <c r="D127" t="s">
        <v>776</v>
      </c>
      <c r="E127" t="s">
        <v>777</v>
      </c>
      <c r="F127" t="s">
        <v>264</v>
      </c>
      <c r="M127" s="44"/>
      <c r="N127">
        <v>60</v>
      </c>
      <c r="O127" t="s">
        <v>776</v>
      </c>
      <c r="P127" t="s">
        <v>777</v>
      </c>
      <c r="Q127" t="s">
        <v>264</v>
      </c>
    </row>
    <row r="128" spans="2:17">
      <c r="B128" s="44"/>
      <c r="M128" s="44"/>
    </row>
    <row r="129" spans="2:17">
      <c r="B129" s="44">
        <v>45957</v>
      </c>
      <c r="C129">
        <v>30</v>
      </c>
      <c r="D129" t="s">
        <v>483</v>
      </c>
      <c r="E129" t="s">
        <v>261</v>
      </c>
      <c r="F129" t="s">
        <v>258</v>
      </c>
      <c r="M129" s="44">
        <v>45957</v>
      </c>
      <c r="N129">
        <v>30</v>
      </c>
      <c r="O129" t="s">
        <v>483</v>
      </c>
      <c r="P129" t="s">
        <v>261</v>
      </c>
      <c r="Q129" t="s">
        <v>258</v>
      </c>
    </row>
    <row r="130" spans="2:17">
      <c r="B130" s="44"/>
      <c r="C130">
        <v>6</v>
      </c>
      <c r="D130" t="s">
        <v>456</v>
      </c>
      <c r="E130" t="s">
        <v>259</v>
      </c>
      <c r="F130" t="s">
        <v>258</v>
      </c>
      <c r="M130" s="44"/>
      <c r="N130">
        <v>6</v>
      </c>
      <c r="O130" t="s">
        <v>456</v>
      </c>
      <c r="P130" t="s">
        <v>259</v>
      </c>
      <c r="Q130" t="s">
        <v>258</v>
      </c>
    </row>
    <row r="131" spans="2:17">
      <c r="B131" s="44"/>
      <c r="C131">
        <v>28</v>
      </c>
      <c r="D131" t="s">
        <v>645</v>
      </c>
      <c r="E131" t="s">
        <v>260</v>
      </c>
      <c r="F131" t="s">
        <v>258</v>
      </c>
      <c r="M131" s="44"/>
      <c r="N131">
        <v>28</v>
      </c>
      <c r="O131" t="s">
        <v>645</v>
      </c>
      <c r="P131" t="s">
        <v>260</v>
      </c>
      <c r="Q131" t="s">
        <v>258</v>
      </c>
    </row>
    <row r="132" spans="2:17">
      <c r="B132" s="44"/>
      <c r="M132" s="44"/>
    </row>
    <row r="133" spans="2:17">
      <c r="B133" s="44">
        <v>45958</v>
      </c>
      <c r="C133">
        <v>5</v>
      </c>
      <c r="D133" t="s">
        <v>541</v>
      </c>
      <c r="E133" t="s">
        <v>261</v>
      </c>
      <c r="F133" t="s">
        <v>258</v>
      </c>
      <c r="M133" s="44">
        <v>45958</v>
      </c>
      <c r="N133">
        <v>5</v>
      </c>
      <c r="O133" t="s">
        <v>541</v>
      </c>
      <c r="P133" t="s">
        <v>261</v>
      </c>
      <c r="Q133" t="s">
        <v>258</v>
      </c>
    </row>
    <row r="134" spans="2:17">
      <c r="B134" s="44"/>
      <c r="C134">
        <v>21</v>
      </c>
      <c r="D134" t="s">
        <v>804</v>
      </c>
      <c r="E134" t="s">
        <v>259</v>
      </c>
      <c r="F134" t="s">
        <v>258</v>
      </c>
      <c r="M134" s="44"/>
      <c r="N134">
        <v>21</v>
      </c>
      <c r="O134" t="s">
        <v>804</v>
      </c>
      <c r="P134" t="s">
        <v>259</v>
      </c>
      <c r="Q134" t="s">
        <v>258</v>
      </c>
    </row>
    <row r="135" spans="2:17">
      <c r="B135" s="44"/>
      <c r="C135">
        <v>30</v>
      </c>
      <c r="D135" t="s">
        <v>645</v>
      </c>
      <c r="E135" t="s">
        <v>260</v>
      </c>
      <c r="F135" t="s">
        <v>258</v>
      </c>
      <c r="M135" s="44"/>
      <c r="N135">
        <v>30</v>
      </c>
      <c r="O135" t="s">
        <v>645</v>
      </c>
      <c r="P135" t="s">
        <v>260</v>
      </c>
      <c r="Q135" t="s">
        <v>258</v>
      </c>
    </row>
    <row r="136" spans="2:17">
      <c r="B136" s="44"/>
      <c r="C136">
        <v>39</v>
      </c>
      <c r="D136" t="s">
        <v>805</v>
      </c>
      <c r="E136" t="s">
        <v>464</v>
      </c>
      <c r="F136" t="s">
        <v>264</v>
      </c>
      <c r="M136" s="44"/>
      <c r="N136">
        <v>39</v>
      </c>
      <c r="O136" t="s">
        <v>805</v>
      </c>
      <c r="P136" t="s">
        <v>464</v>
      </c>
      <c r="Q136" t="s">
        <v>264</v>
      </c>
    </row>
    <row r="137" spans="2:17">
      <c r="B137" s="44"/>
      <c r="M137" s="44"/>
    </row>
    <row r="138" spans="2:17">
      <c r="B138" s="44">
        <v>45959</v>
      </c>
      <c r="C138">
        <v>20</v>
      </c>
      <c r="D138" t="s">
        <v>540</v>
      </c>
      <c r="E138" t="s">
        <v>261</v>
      </c>
      <c r="F138" t="s">
        <v>258</v>
      </c>
      <c r="M138" s="44">
        <v>45959</v>
      </c>
      <c r="N138">
        <v>20</v>
      </c>
      <c r="O138" t="s">
        <v>540</v>
      </c>
      <c r="P138" t="s">
        <v>261</v>
      </c>
      <c r="Q138" t="s">
        <v>258</v>
      </c>
    </row>
    <row r="139" spans="2:17">
      <c r="B139" s="44"/>
      <c r="C139">
        <v>8</v>
      </c>
      <c r="D139" t="s">
        <v>570</v>
      </c>
      <c r="E139" t="s">
        <v>259</v>
      </c>
      <c r="F139" t="s">
        <v>258</v>
      </c>
      <c r="M139" s="44"/>
      <c r="N139">
        <v>8</v>
      </c>
      <c r="O139" t="s">
        <v>570</v>
      </c>
      <c r="P139" t="s">
        <v>259</v>
      </c>
      <c r="Q139" t="s">
        <v>258</v>
      </c>
    </row>
    <row r="140" spans="2:17">
      <c r="B140" s="44"/>
      <c r="C140">
        <v>30</v>
      </c>
      <c r="D140" t="s">
        <v>484</v>
      </c>
      <c r="E140" t="s">
        <v>260</v>
      </c>
      <c r="F140" t="s">
        <v>258</v>
      </c>
      <c r="M140" s="44"/>
      <c r="N140">
        <v>30</v>
      </c>
      <c r="O140" t="s">
        <v>484</v>
      </c>
      <c r="P140" t="s">
        <v>260</v>
      </c>
      <c r="Q140" t="s">
        <v>258</v>
      </c>
    </row>
    <row r="141" spans="2:17">
      <c r="B141" s="44"/>
      <c r="M141" s="44"/>
    </row>
    <row r="142" spans="2:17">
      <c r="B142" s="44">
        <v>45960</v>
      </c>
      <c r="C142">
        <v>45</v>
      </c>
      <c r="D142" t="s">
        <v>704</v>
      </c>
      <c r="E142" t="s">
        <v>261</v>
      </c>
      <c r="F142" t="s">
        <v>258</v>
      </c>
      <c r="M142" s="44">
        <v>45960</v>
      </c>
      <c r="N142">
        <v>45</v>
      </c>
      <c r="O142" t="s">
        <v>704</v>
      </c>
      <c r="P142" t="s">
        <v>261</v>
      </c>
      <c r="Q142" t="s">
        <v>258</v>
      </c>
    </row>
    <row r="143" spans="2:17">
      <c r="B143" s="44"/>
      <c r="C143">
        <v>5</v>
      </c>
      <c r="D143" t="s">
        <v>481</v>
      </c>
      <c r="E143" t="s">
        <v>259</v>
      </c>
      <c r="F143" t="s">
        <v>258</v>
      </c>
      <c r="M143" s="44"/>
      <c r="N143">
        <v>5</v>
      </c>
      <c r="O143" t="s">
        <v>481</v>
      </c>
      <c r="P143" t="s">
        <v>259</v>
      </c>
      <c r="Q143" t="s">
        <v>258</v>
      </c>
    </row>
    <row r="144" spans="2:17">
      <c r="B144" s="44"/>
      <c r="C144">
        <v>24</v>
      </c>
      <c r="D144" t="s">
        <v>706</v>
      </c>
      <c r="E144" t="s">
        <v>260</v>
      </c>
      <c r="F144" t="s">
        <v>258</v>
      </c>
      <c r="M144" s="44"/>
      <c r="N144">
        <v>24</v>
      </c>
      <c r="O144" t="s">
        <v>706</v>
      </c>
      <c r="P144" t="s">
        <v>260</v>
      </c>
      <c r="Q144" t="s">
        <v>258</v>
      </c>
    </row>
    <row r="145" spans="2:17">
      <c r="B145" s="44"/>
      <c r="C145">
        <v>15</v>
      </c>
      <c r="D145" t="s">
        <v>424</v>
      </c>
      <c r="E145" s="385" t="s">
        <v>204</v>
      </c>
      <c r="F145" s="385" t="s">
        <v>257</v>
      </c>
      <c r="M145" s="44"/>
      <c r="N145">
        <v>15</v>
      </c>
      <c r="O145" t="s">
        <v>424</v>
      </c>
      <c r="P145" s="385" t="s">
        <v>204</v>
      </c>
      <c r="Q145" s="385" t="s">
        <v>257</v>
      </c>
    </row>
    <row r="146" spans="2:17">
      <c r="B146" s="44"/>
      <c r="M146" s="44"/>
    </row>
    <row r="147" spans="2:17">
      <c r="B147" s="44"/>
      <c r="M147" s="44"/>
    </row>
    <row r="148" spans="2:17">
      <c r="B148" s="44">
        <v>45961</v>
      </c>
      <c r="C148">
        <v>81</v>
      </c>
      <c r="D148" t="s">
        <v>845</v>
      </c>
      <c r="E148" t="s">
        <v>261</v>
      </c>
      <c r="F148" t="s">
        <v>258</v>
      </c>
      <c r="M148" s="44">
        <v>45961</v>
      </c>
      <c r="N148">
        <v>81</v>
      </c>
      <c r="O148" t="s">
        <v>845</v>
      </c>
      <c r="P148" t="s">
        <v>261</v>
      </c>
      <c r="Q148" t="s">
        <v>258</v>
      </c>
    </row>
    <row r="149" spans="2:17">
      <c r="B149" s="44"/>
      <c r="C149">
        <v>0</v>
      </c>
      <c r="D149" t="s">
        <v>458</v>
      </c>
      <c r="E149" t="s">
        <v>259</v>
      </c>
      <c r="F149" t="s">
        <v>258</v>
      </c>
      <c r="M149" s="44"/>
      <c r="N149">
        <v>0</v>
      </c>
      <c r="O149" t="s">
        <v>458</v>
      </c>
      <c r="P149" t="s">
        <v>259</v>
      </c>
      <c r="Q149" t="s">
        <v>258</v>
      </c>
    </row>
    <row r="150" spans="2:17">
      <c r="B150" s="44"/>
      <c r="C150">
        <v>21</v>
      </c>
      <c r="D150" t="s">
        <v>505</v>
      </c>
      <c r="E150" t="s">
        <v>260</v>
      </c>
      <c r="F150" t="s">
        <v>258</v>
      </c>
      <c r="M150" s="44"/>
      <c r="N150">
        <v>21</v>
      </c>
      <c r="O150" t="s">
        <v>505</v>
      </c>
      <c r="P150" t="s">
        <v>260</v>
      </c>
      <c r="Q150" t="s">
        <v>258</v>
      </c>
    </row>
  </sheetData>
  <autoFilter ref="C1:F118"/>
  <conditionalFormatting sqref="G2:G11">
    <cfRule type="cellIs" dxfId="7" priority="2" operator="greaterThan">
      <formula>0</formula>
    </cfRule>
  </conditionalFormatting>
  <conditionalFormatting sqref="R2:R11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G1" workbookViewId="0">
      <selection activeCell="L35" sqref="L35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46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46" customWidth="1"/>
    <col min="13" max="17" width="13.5703125" customWidth="1"/>
  </cols>
  <sheetData>
    <row r="1" spans="1:17" ht="15">
      <c r="A1" s="458" t="s">
        <v>240</v>
      </c>
      <c r="E1" s="470"/>
      <c r="F1" s="1"/>
      <c r="J1" s="458" t="s">
        <v>405</v>
      </c>
      <c r="N1" s="470"/>
      <c r="O1" s="1"/>
    </row>
    <row r="2" spans="1:17" ht="30">
      <c r="A2" s="1002" t="s">
        <v>241</v>
      </c>
      <c r="B2" s="1002" t="s">
        <v>242</v>
      </c>
      <c r="C2" s="1004" t="s">
        <v>243</v>
      </c>
      <c r="D2" s="471" t="s">
        <v>244</v>
      </c>
      <c r="E2" s="472" t="s">
        <v>245</v>
      </c>
      <c r="F2" s="473" t="s">
        <v>246</v>
      </c>
      <c r="G2" s="472" t="s">
        <v>247</v>
      </c>
      <c r="H2" s="472" t="s">
        <v>248</v>
      </c>
      <c r="J2" s="1002" t="s">
        <v>241</v>
      </c>
      <c r="K2" s="1002" t="s">
        <v>242</v>
      </c>
      <c r="L2" s="1003" t="s">
        <v>243</v>
      </c>
      <c r="M2" s="471" t="s">
        <v>244</v>
      </c>
      <c r="N2" s="472" t="s">
        <v>245</v>
      </c>
      <c r="O2" s="473" t="s">
        <v>246</v>
      </c>
      <c r="P2" s="472" t="s">
        <v>247</v>
      </c>
      <c r="Q2" s="472" t="s">
        <v>248</v>
      </c>
    </row>
    <row r="3" spans="1:17" ht="15">
      <c r="A3" s="1002"/>
      <c r="B3" s="1002"/>
      <c r="C3" s="1005"/>
      <c r="D3" s="471" t="s">
        <v>437</v>
      </c>
      <c r="E3" s="471" t="str">
        <f>+D3</f>
        <v>OKTOBER</v>
      </c>
      <c r="F3" s="471" t="str">
        <f>+E3</f>
        <v>OKTOBER</v>
      </c>
      <c r="G3" s="471" t="str">
        <f>+F3</f>
        <v>OKTOBER</v>
      </c>
      <c r="H3" s="471" t="str">
        <f>+G3</f>
        <v>OKTOBER</v>
      </c>
      <c r="J3" s="1002"/>
      <c r="K3" s="1002"/>
      <c r="L3" s="1003"/>
      <c r="M3" s="471" t="str">
        <f>+H3</f>
        <v>OKTOBER</v>
      </c>
      <c r="N3" s="471" t="str">
        <f>+M3</f>
        <v>OKTOBER</v>
      </c>
      <c r="O3" s="471" t="str">
        <f>+N3</f>
        <v>OKTOBER</v>
      </c>
      <c r="P3" s="471" t="str">
        <f>+O3</f>
        <v>OKTOBER</v>
      </c>
      <c r="Q3" s="471" t="str">
        <f>+P3</f>
        <v>OKTOBER</v>
      </c>
    </row>
    <row r="4" spans="1:17" ht="15">
      <c r="A4" s="984" t="s">
        <v>249</v>
      </c>
      <c r="B4" s="544" t="s">
        <v>333</v>
      </c>
      <c r="C4" s="547"/>
      <c r="D4" s="7">
        <f>SUMIFS(Sheet1!$C$2:$C$180,Sheet1!$F$2:$F$180,B4,Sheet1!$E$2:$E$180,C4)</f>
        <v>0</v>
      </c>
      <c r="E4" s="7">
        <f>D4/Sheet1!$I$9*Sheet1!$I$10</f>
        <v>0</v>
      </c>
      <c r="F4" s="486">
        <f>D4/Sheet1!$I$9*Sheet1!$I$11</f>
        <v>0</v>
      </c>
      <c r="G4" s="479">
        <f>F4</f>
        <v>0</v>
      </c>
      <c r="H4" s="997">
        <f>SUM(G4:G11)</f>
        <v>3.2468290187461876E-2</v>
      </c>
      <c r="J4" s="984" t="s">
        <v>249</v>
      </c>
      <c r="K4" s="544" t="s">
        <v>333</v>
      </c>
      <c r="L4" s="547"/>
      <c r="M4" s="7">
        <f>SUMIFS(Sheet1!$N$2:$N$180,Sheet1!$Q$2:$Q$180,K4,Sheet1!$P$2:$P$180,L4)</f>
        <v>0</v>
      </c>
      <c r="N4" s="7">
        <f>M4/Sheet1!$T$9*Sheet1!$T$10</f>
        <v>0</v>
      </c>
      <c r="O4" s="486">
        <f>M4/Sheet1!$T$9*Sheet1!$T$11</f>
        <v>0</v>
      </c>
      <c r="P4" s="479">
        <f>O4</f>
        <v>0</v>
      </c>
      <c r="Q4" s="997">
        <f>SUM(P4:P11)</f>
        <v>4.9908171950446339E-3</v>
      </c>
    </row>
    <row r="5" spans="1:17" ht="15">
      <c r="A5" s="984"/>
      <c r="B5" s="544" t="s">
        <v>250</v>
      </c>
      <c r="C5" s="547" t="s">
        <v>721</v>
      </c>
      <c r="D5" s="7">
        <f>SUMIFS(Sheet1!$C$2:$C$180,Sheet1!$F$2:$F$180,B5,Sheet1!$E$2:$E$180,C5)</f>
        <v>627</v>
      </c>
      <c r="E5" s="7">
        <f>D5/Sheet1!$I$9*Sheet1!$I$10</f>
        <v>27.32812815064111</v>
      </c>
      <c r="F5" s="486">
        <f>D5/Sheet1!$I$9*Sheet1!$I$11</f>
        <v>1.352665644354724E-2</v>
      </c>
      <c r="G5" s="548">
        <f t="shared" ref="G5:G14" si="0">F5</f>
        <v>1.352665644354724E-2</v>
      </c>
      <c r="H5" s="984"/>
      <c r="J5" s="984"/>
      <c r="K5" s="544" t="s">
        <v>250</v>
      </c>
      <c r="L5" s="547" t="s">
        <v>721</v>
      </c>
      <c r="M5" s="7">
        <f>SUMIFS(Sheet1!$N$2:$N$180,Sheet1!$Q$2:$Q$180,K5,Sheet1!$P$2:$P$180,L5)</f>
        <v>0</v>
      </c>
      <c r="N5" s="7">
        <f>M5/Sheet1!$T$9*Sheet1!$T$10</f>
        <v>0</v>
      </c>
      <c r="O5" s="486">
        <f>M5/Sheet1!$T$9*Sheet1!$T$11</f>
        <v>0</v>
      </c>
      <c r="P5" s="548">
        <f t="shared" ref="P5:P14" si="1">O5</f>
        <v>0</v>
      </c>
      <c r="Q5" s="984"/>
    </row>
    <row r="6" spans="1:17" ht="15">
      <c r="A6" s="984"/>
      <c r="B6" s="992" t="s">
        <v>340</v>
      </c>
      <c r="C6" s="547"/>
      <c r="D6" s="7">
        <f>SUMIFS(Sheet1!$C$2:$C$180,Sheet1!$F$2:$F$180,B6,Sheet1!$E$2:$E$180,C6)</f>
        <v>0</v>
      </c>
      <c r="E6" s="7">
        <f>D6/Sheet1!$I$9*Sheet1!$I$10</f>
        <v>0</v>
      </c>
      <c r="F6" s="486">
        <f>D6/Sheet1!$I$9*Sheet1!$I$11</f>
        <v>0</v>
      </c>
      <c r="G6" s="548">
        <f t="shared" si="0"/>
        <v>0</v>
      </c>
      <c r="H6" s="984"/>
      <c r="J6" s="984"/>
      <c r="K6" s="992" t="s">
        <v>340</v>
      </c>
      <c r="L6" s="547"/>
      <c r="M6" s="7">
        <f>SUMIFS(Sheet1!$N$2:$N$180,Sheet1!$Q$2:$Q$180,K6,Sheet1!$P$2:$P$180,L6)</f>
        <v>0</v>
      </c>
      <c r="N6" s="7">
        <f>M6/Sheet1!$T$9*Sheet1!$T$10</f>
        <v>0</v>
      </c>
      <c r="O6" s="486">
        <f>M6/Sheet1!$T$9*Sheet1!$T$11</f>
        <v>0</v>
      </c>
      <c r="P6" s="548">
        <f t="shared" si="1"/>
        <v>0</v>
      </c>
      <c r="Q6" s="984"/>
    </row>
    <row r="7" spans="1:17" ht="15">
      <c r="A7" s="984"/>
      <c r="B7" s="994"/>
      <c r="C7" s="547"/>
      <c r="D7" s="7">
        <f>SUMIFS(Sheet1!$C$2:$C$180,Sheet1!$F$2:$F$180,B6,Sheet1!$E$2:$E$180,C7)</f>
        <v>0</v>
      </c>
      <c r="E7" s="7">
        <f>D7/Sheet1!$I$9*Sheet1!$I$10</f>
        <v>0</v>
      </c>
      <c r="F7" s="486">
        <f>D7/Sheet1!$I$9*Sheet1!$I$11</f>
        <v>0</v>
      </c>
      <c r="G7" s="548">
        <f t="shared" si="0"/>
        <v>0</v>
      </c>
      <c r="H7" s="984"/>
      <c r="J7" s="984"/>
      <c r="K7" s="994"/>
      <c r="L7" s="547"/>
      <c r="M7" s="7">
        <f>SUMIFS(Sheet1!$N$2:$N$180,Sheet1!$Q$2:$Q$180,K6,Sheet1!$P$2:$P$180,L7)</f>
        <v>0</v>
      </c>
      <c r="N7" s="7">
        <f>M7/Sheet1!$T$9*Sheet1!$T$10</f>
        <v>0</v>
      </c>
      <c r="O7" s="486">
        <f>M7/Sheet1!$T$9*Sheet1!$T$11</f>
        <v>0</v>
      </c>
      <c r="P7" s="548">
        <f t="shared" si="1"/>
        <v>0</v>
      </c>
      <c r="Q7" s="984"/>
    </row>
    <row r="8" spans="1:17">
      <c r="A8" s="984"/>
      <c r="B8" s="992" t="s">
        <v>339</v>
      </c>
      <c r="C8" s="546" t="s">
        <v>463</v>
      </c>
      <c r="D8" s="7">
        <f>SUMIFS(Sheet1!$C$2:$C$180,Sheet1!$F$2:$F$180,B8,Sheet1!$E$2:$E$180,C8)</f>
        <v>878</v>
      </c>
      <c r="E8" s="7">
        <f>D8/Sheet1!$I$9*Sheet1!$I$10</f>
        <v>38.268096517165702</v>
      </c>
      <c r="F8" s="486">
        <f>D8/Sheet1!$I$9*Sheet1!$I$11</f>
        <v>1.8941633743914638E-2</v>
      </c>
      <c r="G8" s="474">
        <f t="shared" si="0"/>
        <v>1.8941633743914638E-2</v>
      </c>
      <c r="H8" s="984"/>
      <c r="J8" s="984"/>
      <c r="K8" s="992" t="s">
        <v>339</v>
      </c>
      <c r="L8" s="546" t="s">
        <v>463</v>
      </c>
      <c r="M8" s="7">
        <f>SUMIFS(Sheet1!$N$2:$N$180,Sheet1!$Q$2:$Q$180,K8,Sheet1!$P$2:$P$180,L8)</f>
        <v>223</v>
      </c>
      <c r="N8" s="7">
        <f>M8/Sheet1!$T$9*Sheet1!$T$10</f>
        <v>9.8626449339538453</v>
      </c>
      <c r="O8" s="486">
        <f>M8/Sheet1!$T$9*Sheet1!$T$11</f>
        <v>4.9908171950446339E-3</v>
      </c>
      <c r="P8" s="474">
        <f t="shared" si="1"/>
        <v>4.9908171950446339E-3</v>
      </c>
      <c r="Q8" s="984"/>
    </row>
    <row r="9" spans="1:17">
      <c r="A9" s="984"/>
      <c r="B9" s="994"/>
      <c r="C9" s="547"/>
      <c r="D9" s="7">
        <f>SUMIFS(Sheet1!$C$2:$C$180,Sheet1!$F$2:$F$180,B8,Sheet1!$E$2:$E$180,C9)</f>
        <v>0</v>
      </c>
      <c r="E9" s="7">
        <f>D9/Sheet1!$I$9*Sheet1!$I$10</f>
        <v>0</v>
      </c>
      <c r="F9" s="486">
        <f>D9/Sheet1!$I$9*Sheet1!$I$11</f>
        <v>0</v>
      </c>
      <c r="G9" s="474">
        <f t="shared" si="0"/>
        <v>0</v>
      </c>
      <c r="H9" s="984"/>
      <c r="J9" s="984"/>
      <c r="K9" s="994"/>
      <c r="L9" s="547"/>
      <c r="M9" s="7">
        <f>SUMIFS(Sheet1!$N$2:$N$180,Sheet1!$Q$2:$Q$180,K8,Sheet1!$P$2:$P$180,L9)</f>
        <v>0</v>
      </c>
      <c r="N9" s="7">
        <f>M9/Sheet1!$T$9*Sheet1!$T$10</f>
        <v>0</v>
      </c>
      <c r="O9" s="486">
        <f>M9/Sheet1!$T$9*Sheet1!$T$11</f>
        <v>0</v>
      </c>
      <c r="P9" s="474">
        <f t="shared" si="1"/>
        <v>0</v>
      </c>
      <c r="Q9" s="984"/>
    </row>
    <row r="10" spans="1:17">
      <c r="A10" s="984"/>
      <c r="B10" s="992" t="s">
        <v>406</v>
      </c>
      <c r="C10" s="547"/>
      <c r="D10" s="7">
        <f>SUMIFS(Sheet1!$C$2:$C$180,Sheet1!$F$2:$F$180,B10,Sheet1!$E$2:$E$180,C10)</f>
        <v>0</v>
      </c>
      <c r="E10" s="7">
        <f>D10/Sheet1!$I$9*Sheet1!$I$10</f>
        <v>0</v>
      </c>
      <c r="F10" s="486">
        <f>D10/Sheet1!$I$9*Sheet1!$I$11</f>
        <v>0</v>
      </c>
      <c r="G10" s="474">
        <f t="shared" si="0"/>
        <v>0</v>
      </c>
      <c r="H10" s="984"/>
      <c r="J10" s="984"/>
      <c r="K10" s="992" t="s">
        <v>406</v>
      </c>
      <c r="L10" s="547"/>
      <c r="M10" s="7">
        <f>SUMIFS(Sheet1!$N$2:$N$180,Sheet1!$Q$2:$Q$180,K10,Sheet1!$P$2:$P$180,L10)</f>
        <v>0</v>
      </c>
      <c r="N10" s="7">
        <f>M10/Sheet1!$T$9*Sheet1!$T$10</f>
        <v>0</v>
      </c>
      <c r="O10" s="486">
        <f>M10/Sheet1!$T$9*Sheet1!$T$11</f>
        <v>0</v>
      </c>
      <c r="P10" s="474">
        <f t="shared" si="1"/>
        <v>0</v>
      </c>
      <c r="Q10" s="984"/>
    </row>
    <row r="11" spans="1:17">
      <c r="A11" s="984"/>
      <c r="B11" s="994"/>
      <c r="C11" s="547"/>
      <c r="D11" s="7">
        <f>SUMIFS(Sheet1!$C$2:$C$180,Sheet1!$F$2:$F$180,B10,Sheet1!$E$2:$E$180,C11)</f>
        <v>0</v>
      </c>
      <c r="E11" s="7">
        <f>D11/Sheet1!$I$9*Sheet1!$I$10</f>
        <v>0</v>
      </c>
      <c r="F11" s="486">
        <f>D11/Sheet1!$I$9*Sheet1!$I$11</f>
        <v>0</v>
      </c>
      <c r="G11" s="474">
        <f t="shared" si="0"/>
        <v>0</v>
      </c>
      <c r="H11" s="984"/>
      <c r="J11" s="984"/>
      <c r="K11" s="994"/>
      <c r="L11" s="547"/>
      <c r="M11" s="7">
        <f>SUMIFS(Sheet1!$N$2:$N$180,Sheet1!$Q$2:$Q$180,K10,Sheet1!$P$2:$P$180,L11)</f>
        <v>0</v>
      </c>
      <c r="N11" s="7">
        <f>M11/Sheet1!$T$9*Sheet1!$T$10</f>
        <v>0</v>
      </c>
      <c r="O11" s="486">
        <f>M11/Sheet1!$T$9*Sheet1!$T$11</f>
        <v>0</v>
      </c>
      <c r="P11" s="474">
        <f t="shared" si="1"/>
        <v>0</v>
      </c>
      <c r="Q11" s="984"/>
    </row>
    <row r="12" spans="1:17" ht="15">
      <c r="A12" s="984" t="s">
        <v>10</v>
      </c>
      <c r="B12" s="544" t="s">
        <v>154</v>
      </c>
      <c r="C12" s="547" t="s">
        <v>154</v>
      </c>
      <c r="D12" s="7"/>
      <c r="E12" s="7">
        <f>+Sheet1!I2</f>
        <v>39.954000000000008</v>
      </c>
      <c r="F12" s="486">
        <f>E12/Sheet1!$I$8</f>
        <v>1.9776108651364321E-2</v>
      </c>
      <c r="G12" s="548">
        <f t="shared" si="0"/>
        <v>1.9776108651364321E-2</v>
      </c>
      <c r="H12" s="985">
        <f>SUM(G12:G13)</f>
        <v>4.617731151001804E-2</v>
      </c>
      <c r="J12" s="984" t="s">
        <v>10</v>
      </c>
      <c r="K12" s="544" t="s">
        <v>154</v>
      </c>
      <c r="L12" s="547" t="s">
        <v>154</v>
      </c>
      <c r="M12" s="7"/>
      <c r="N12" s="7">
        <f>+Sheet1!T2</f>
        <v>39.954000000000008</v>
      </c>
      <c r="O12" s="486">
        <f>+Sheet1!U2</f>
        <v>2.0218015709389879E-2</v>
      </c>
      <c r="P12" s="548">
        <f t="shared" si="1"/>
        <v>2.0218015709389879E-2</v>
      </c>
      <c r="Q12" s="985">
        <f>SUM(P12:P13)</f>
        <v>5.2110584432510654E-2</v>
      </c>
    </row>
    <row r="13" spans="1:17" ht="15">
      <c r="A13" s="984"/>
      <c r="B13" s="544" t="s">
        <v>252</v>
      </c>
      <c r="C13" s="547" t="s">
        <v>253</v>
      </c>
      <c r="D13" s="7"/>
      <c r="E13" s="7">
        <f>+Sheet1!I3</f>
        <v>53.338787605309783</v>
      </c>
      <c r="F13" s="486">
        <f>E13/Sheet1!$I$8</f>
        <v>2.640120285865372E-2</v>
      </c>
      <c r="G13" s="548">
        <f t="shared" si="0"/>
        <v>2.640120285865372E-2</v>
      </c>
      <c r="H13" s="986"/>
      <c r="J13" s="984"/>
      <c r="K13" s="544" t="s">
        <v>252</v>
      </c>
      <c r="L13" s="547" t="s">
        <v>253</v>
      </c>
      <c r="M13" s="7"/>
      <c r="N13" s="7">
        <f>+Sheet1!T3</f>
        <v>63.024765094616718</v>
      </c>
      <c r="O13" s="486">
        <f>+Sheet1!U3</f>
        <v>3.1892568723120775E-2</v>
      </c>
      <c r="P13" s="548">
        <f t="shared" si="1"/>
        <v>3.1892568723120775E-2</v>
      </c>
      <c r="Q13" s="986"/>
    </row>
    <row r="14" spans="1:17" ht="15">
      <c r="A14" s="987" t="s">
        <v>12</v>
      </c>
      <c r="B14" s="544" t="s">
        <v>254</v>
      </c>
      <c r="C14" s="547" t="s">
        <v>254</v>
      </c>
      <c r="D14" s="7"/>
      <c r="E14" s="7">
        <f>+Sheet1!I4</f>
        <v>-9.8411810147873577</v>
      </c>
      <c r="F14" s="486">
        <f>E14/Sheet1!$I$8</f>
        <v>-4.8711083998142501E-3</v>
      </c>
      <c r="G14" s="548">
        <f t="shared" si="0"/>
        <v>-4.8711083998142501E-3</v>
      </c>
      <c r="H14" s="989">
        <f>SUM(G14:G23)</f>
        <v>9.4360116087322143E-2</v>
      </c>
      <c r="J14" s="987" t="s">
        <v>12</v>
      </c>
      <c r="K14" s="544" t="s">
        <v>254</v>
      </c>
      <c r="L14" s="547" t="s">
        <v>254</v>
      </c>
      <c r="M14" s="7"/>
      <c r="N14" s="7">
        <f>+Sheet1!T4</f>
        <v>-5.2808468949666274</v>
      </c>
      <c r="O14" s="486">
        <f>+Sheet1!U4</f>
        <v>-2.6722792581798573E-3</v>
      </c>
      <c r="P14" s="548">
        <f t="shared" si="1"/>
        <v>-2.6722792581798573E-3</v>
      </c>
      <c r="Q14" s="989">
        <f>SUM(P14:P23)</f>
        <v>9.7313681396072604E-2</v>
      </c>
    </row>
    <row r="15" spans="1:17" ht="15">
      <c r="A15" s="988"/>
      <c r="B15" s="544" t="s">
        <v>255</v>
      </c>
      <c r="C15" s="547" t="s">
        <v>255</v>
      </c>
      <c r="D15" s="7"/>
      <c r="E15" s="7">
        <f>+Sheet1!I5</f>
        <v>105.8542985596835</v>
      </c>
      <c r="F15" s="486">
        <f>E15/Sheet1!$I$8</f>
        <v>5.2394906881169802E-2</v>
      </c>
      <c r="G15" s="548">
        <f>F15</f>
        <v>5.2394906881169802E-2</v>
      </c>
      <c r="H15" s="989"/>
      <c r="J15" s="988"/>
      <c r="K15" s="544" t="s">
        <v>255</v>
      </c>
      <c r="L15" s="547" t="s">
        <v>255</v>
      </c>
      <c r="M15" s="7"/>
      <c r="N15" s="7">
        <f>+Sheet1!T5</f>
        <v>101.57103823055583</v>
      </c>
      <c r="O15" s="486">
        <f>+Sheet1!U5</f>
        <v>5.1398229127607178E-2</v>
      </c>
      <c r="P15" s="548">
        <f>O15</f>
        <v>5.1398229127607178E-2</v>
      </c>
      <c r="Q15" s="989"/>
    </row>
    <row r="16" spans="1:17">
      <c r="A16" s="988"/>
      <c r="B16" s="990" t="s">
        <v>256</v>
      </c>
      <c r="C16" s="547"/>
      <c r="D16" s="7">
        <f>SUMIFS(Sheet1!$C$2:$C$180,Sheet1!$F$2:$F$180,B16,Sheet1!$E$2:$E$180,C16)</f>
        <v>0</v>
      </c>
      <c r="E16" s="7">
        <f>D16/Sheet1!$I$9*Sheet1!$I$10</f>
        <v>0</v>
      </c>
      <c r="F16" s="486">
        <f>D16/Sheet1!$I$9*Sheet1!$I$11</f>
        <v>0</v>
      </c>
      <c r="G16" s="991">
        <f>SUM(F16:F17)</f>
        <v>0</v>
      </c>
      <c r="H16" s="989"/>
      <c r="J16" s="988"/>
      <c r="K16" s="990" t="s">
        <v>256</v>
      </c>
      <c r="L16" s="547"/>
      <c r="M16" s="7">
        <f>SUMIFS(Sheet1!$N$2:$N$180,Sheet1!$Q$2:$Q$180,K16,Sheet1!$P$2:$P$180,L16)</f>
        <v>0</v>
      </c>
      <c r="N16" s="7">
        <f>M16/Sheet1!$T$9*Sheet1!$T$10</f>
        <v>0</v>
      </c>
      <c r="O16" s="486">
        <f>M16/Sheet1!$T$9*Sheet1!$T$11</f>
        <v>0</v>
      </c>
      <c r="P16" s="991">
        <f>SUM(O16:O17)</f>
        <v>0</v>
      </c>
      <c r="Q16" s="989"/>
    </row>
    <row r="17" spans="1:17">
      <c r="A17" s="988"/>
      <c r="B17" s="990"/>
      <c r="C17" s="547"/>
      <c r="D17" s="7">
        <f>SUMIFS(Sheet1!$C$2:$C$180,Sheet1!$F$2:$F$180,B16,Sheet1!$E$2:$E$180,C17)</f>
        <v>0</v>
      </c>
      <c r="E17" s="7">
        <f>D17/Sheet1!$I$9*Sheet1!$I$10</f>
        <v>0</v>
      </c>
      <c r="F17" s="486">
        <f>D17/Sheet1!$I$9*Sheet1!$I$11</f>
        <v>0</v>
      </c>
      <c r="G17" s="991"/>
      <c r="H17" s="989"/>
      <c r="J17" s="988"/>
      <c r="K17" s="990"/>
      <c r="L17" s="547"/>
      <c r="M17" s="7">
        <f>SUMIFS(Sheet1!$N$2:$N$180,Sheet1!$Q$2:$Q$180,K16,Sheet1!$P$2:$P$180,L17)</f>
        <v>0</v>
      </c>
      <c r="N17" s="7">
        <f>M17/Sheet1!$T$9*Sheet1!$T$10</f>
        <v>0</v>
      </c>
      <c r="O17" s="486">
        <f>M17/Sheet1!$T$9*Sheet1!$T$11</f>
        <v>0</v>
      </c>
      <c r="P17" s="991"/>
      <c r="Q17" s="989"/>
    </row>
    <row r="18" spans="1:17" ht="15">
      <c r="A18" s="988"/>
      <c r="B18" s="544" t="s">
        <v>257</v>
      </c>
      <c r="C18" s="547" t="s">
        <v>204</v>
      </c>
      <c r="D18" s="7">
        <f>SUMIFS(Sheet1!$C$2:$C$180,Sheet1!$F$2:$F$180,B18,Sheet1!$E$2:$E$180,C18)</f>
        <v>122</v>
      </c>
      <c r="E18" s="7">
        <f>D18/Sheet1!$I$9*Sheet1!$I$10</f>
        <v>5.3174348235697213</v>
      </c>
      <c r="F18" s="486">
        <f>D18/Sheet1!$I$9*Sheet1!$I$11</f>
        <v>2.6319809985849494E-3</v>
      </c>
      <c r="G18" s="548">
        <f>F18</f>
        <v>2.6319809985849494E-3</v>
      </c>
      <c r="H18" s="989"/>
      <c r="J18" s="988"/>
      <c r="K18" s="544" t="s">
        <v>257</v>
      </c>
      <c r="L18" s="547" t="s">
        <v>204</v>
      </c>
      <c r="M18" s="7">
        <f>SUMIFS(Sheet1!$N$2:$N$180,Sheet1!$Q$2:$Q$180,K18,Sheet1!$P$2:$P$180,L18)</f>
        <v>122</v>
      </c>
      <c r="N18" s="7">
        <f>M18/Sheet1!$T$9*Sheet1!$T$10</f>
        <v>5.3957070939119687</v>
      </c>
      <c r="O18" s="486">
        <f>M18/Sheet1!$T$9*Sheet1!$T$11</f>
        <v>2.7304022322665708E-3</v>
      </c>
      <c r="P18" s="548">
        <f>O18</f>
        <v>2.7304022322665708E-3</v>
      </c>
      <c r="Q18" s="989"/>
    </row>
    <row r="19" spans="1:17">
      <c r="A19" s="988"/>
      <c r="B19" s="992" t="s">
        <v>258</v>
      </c>
      <c r="C19" s="547" t="s">
        <v>259</v>
      </c>
      <c r="D19" s="7">
        <f>SUMIFS(Sheet1!$C$2:$C$180,Sheet1!$F$2:$F$180,B19,Sheet1!$E$2:$E$180,C19)</f>
        <v>395</v>
      </c>
      <c r="E19" s="7">
        <f>D19/Sheet1!$I$9*Sheet1!$I$10</f>
        <v>17.216284879590493</v>
      </c>
      <c r="F19" s="486">
        <f>D19/Sheet1!$I$9*Sheet1!$I$11</f>
        <v>8.5215778232873365E-3</v>
      </c>
      <c r="G19" s="995">
        <f>SUM(F19:F23)</f>
        <v>4.4204336607381649E-2</v>
      </c>
      <c r="H19" s="989"/>
      <c r="J19" s="988"/>
      <c r="K19" s="992" t="s">
        <v>258</v>
      </c>
      <c r="L19" s="547" t="s">
        <v>259</v>
      </c>
      <c r="M19" s="7">
        <f>SUMIFS(Sheet1!$N$2:$N$180,Sheet1!$Q$2:$Q$180,$K$19,Sheet1!$P$2:$P$180,L19)</f>
        <v>395</v>
      </c>
      <c r="N19" s="7">
        <f>M19/Sheet1!$T$9*Sheet1!$T$10</f>
        <v>17.469707394223178</v>
      </c>
      <c r="O19" s="486">
        <f>M19/Sheet1!$T$9*Sheet1!$T$11</f>
        <v>8.8402367356171761E-3</v>
      </c>
      <c r="P19" s="995">
        <f>SUM(O19:O23)</f>
        <v>4.5857329294378718E-2</v>
      </c>
      <c r="Q19" s="989"/>
    </row>
    <row r="20" spans="1:17">
      <c r="A20" s="988"/>
      <c r="B20" s="993"/>
      <c r="C20" s="547" t="s">
        <v>260</v>
      </c>
      <c r="D20" s="7">
        <f>SUMIFS(Sheet1!$C$2:$C$180,Sheet1!$F$2:$F$180,B19,Sheet1!$E$2:$E$180,C20)</f>
        <v>836</v>
      </c>
      <c r="E20" s="7">
        <f>D20/Sheet1!$I$9*Sheet1!$I$10</f>
        <v>36.437504200854811</v>
      </c>
      <c r="F20" s="486">
        <f>D20/Sheet1!$I$9*Sheet1!$I$11</f>
        <v>1.8035541924729653E-2</v>
      </c>
      <c r="G20" s="998"/>
      <c r="H20" s="989"/>
      <c r="J20" s="988"/>
      <c r="K20" s="993"/>
      <c r="L20" s="547" t="s">
        <v>260</v>
      </c>
      <c r="M20" s="7">
        <f>SUMIFS(Sheet1!$N$2:$N$180,Sheet1!$Q$2:$Q$180,$K$19,Sheet1!$P$2:$P$180,L20)</f>
        <v>836</v>
      </c>
      <c r="N20" s="7">
        <f>M20/Sheet1!$T$9*Sheet1!$T$10</f>
        <v>36.973861725495134</v>
      </c>
      <c r="O20" s="486">
        <f>M20/Sheet1!$T$9*Sheet1!$T$11</f>
        <v>1.8709969394875847E-2</v>
      </c>
      <c r="P20" s="998"/>
      <c r="Q20" s="989"/>
    </row>
    <row r="21" spans="1:17">
      <c r="A21" s="988"/>
      <c r="B21" s="993"/>
      <c r="C21" s="547" t="s">
        <v>261</v>
      </c>
      <c r="D21" s="7">
        <f>SUMIFS(Sheet1!$C$2:$C$180,Sheet1!$F$2:$F$180,B19,Sheet1!$E$2:$E$180,C21)</f>
        <v>803</v>
      </c>
      <c r="E21" s="7">
        <f>D21/Sheet1!$I$9*Sheet1!$I$10</f>
        <v>34.999181666610539</v>
      </c>
      <c r="F21" s="486">
        <f>D21/Sheet1!$I$9*Sheet1!$I$11</f>
        <v>1.7323612638227168E-2</v>
      </c>
      <c r="G21" s="998"/>
      <c r="H21" s="989"/>
      <c r="J21" s="988"/>
      <c r="K21" s="993"/>
      <c r="L21" s="547" t="s">
        <v>261</v>
      </c>
      <c r="M21" s="7">
        <f>SUMIFS(Sheet1!$N$2:$N$180,Sheet1!$Q$2:$Q$180,$K$19,Sheet1!$P$2:$P$180,L21)</f>
        <v>803</v>
      </c>
      <c r="N21" s="7">
        <f>M21/Sheet1!$T$9*Sheet1!$T$10</f>
        <v>35.514367183699278</v>
      </c>
      <c r="O21" s="486">
        <f>M21/Sheet1!$T$9*Sheet1!$T$11</f>
        <v>1.7971417971393906E-2</v>
      </c>
      <c r="P21" s="998"/>
      <c r="Q21" s="989"/>
    </row>
    <row r="22" spans="1:17" ht="25.5">
      <c r="A22" s="988"/>
      <c r="B22" s="993"/>
      <c r="C22" s="547" t="s">
        <v>681</v>
      </c>
      <c r="D22" s="7">
        <f>SUMIFS(Sheet1!$C$2:$C$180,Sheet1!$F$2:$F$180,B19,Sheet1!$E$2:$E$180,C22)</f>
        <v>15</v>
      </c>
      <c r="E22" s="7">
        <f>D22/Sheet1!$I$9*Sheet1!$I$10</f>
        <v>0.65378297011103137</v>
      </c>
      <c r="F22" s="486">
        <f>D22/Sheet1!$I$9*Sheet1!$I$11</f>
        <v>3.236042211374938E-4</v>
      </c>
      <c r="G22" s="998"/>
      <c r="H22" s="989"/>
      <c r="J22" s="988"/>
      <c r="K22" s="993"/>
      <c r="L22" s="547" t="s">
        <v>681</v>
      </c>
      <c r="M22" s="7">
        <f>SUMIFS(Sheet1!$N$2:$N$180,Sheet1!$Q$2:$Q$180,$K$19,Sheet1!$P$2:$P$180,L22)</f>
        <v>15</v>
      </c>
      <c r="N22" s="7">
        <f>M22/Sheet1!$T$9*Sheet1!$T$10</f>
        <v>0.66340660990720934</v>
      </c>
      <c r="O22" s="486">
        <f>M22/Sheet1!$T$9*Sheet1!$T$11</f>
        <v>3.3570519249179149E-4</v>
      </c>
      <c r="P22" s="998"/>
      <c r="Q22" s="989"/>
    </row>
    <row r="23" spans="1:17">
      <c r="A23" s="988"/>
      <c r="B23" s="994"/>
      <c r="C23" s="547"/>
      <c r="D23" s="7">
        <f>SUMIFS(Sheet1!$C$2:$C$180,Sheet1!$F$2:$F$180,B19,Sheet1!$E$2:$E$180,C23)</f>
        <v>0</v>
      </c>
      <c r="E23" s="7">
        <f>D23/Sheet1!$I$9*Sheet1!$I$10</f>
        <v>0</v>
      </c>
      <c r="F23" s="486">
        <f>D23/Sheet1!$I$9*Sheet1!$I$11</f>
        <v>0</v>
      </c>
      <c r="G23" s="996"/>
      <c r="H23" s="989"/>
      <c r="J23" s="988"/>
      <c r="K23" s="994"/>
      <c r="L23" s="547"/>
      <c r="M23" s="7">
        <f>SUMIFS(Sheet1!$N$2:$N$180,Sheet1!$Q$2:$Q$180,$K$19,Sheet1!$P$2:$P$180,L23)</f>
        <v>0</v>
      </c>
      <c r="N23" s="7">
        <f>M23/Sheet1!$T$9*Sheet1!$T$10</f>
        <v>0</v>
      </c>
      <c r="O23" s="486">
        <f>M23/Sheet1!$T$9*Sheet1!$T$11</f>
        <v>0</v>
      </c>
      <c r="P23" s="996"/>
      <c r="Q23" s="989"/>
    </row>
    <row r="24" spans="1:17">
      <c r="A24" s="984" t="s">
        <v>263</v>
      </c>
      <c r="B24" s="990" t="s">
        <v>264</v>
      </c>
      <c r="C24" s="547" t="s">
        <v>464</v>
      </c>
      <c r="D24" s="7">
        <f>SUMIFS(Sheet1!$C$2:$C$180,Sheet1!$F$2:$F$180,B24,Sheet1!$E$2:$E$180,C24)</f>
        <v>194</v>
      </c>
      <c r="E24" s="7">
        <f>D24/Sheet1!$I$9*Sheet1!$I$10</f>
        <v>8.4555930801026715</v>
      </c>
      <c r="F24" s="486">
        <f>D24/Sheet1!$I$9*Sheet1!$I$11</f>
        <v>4.1852812600449195E-3</v>
      </c>
      <c r="G24" s="991">
        <f>SUM(F24:F30)</f>
        <v>5.4796981445948949E-3</v>
      </c>
      <c r="H24" s="989">
        <f>SUM(G24:G37)</f>
        <v>7.3781762419348586E-3</v>
      </c>
      <c r="J24" s="984" t="s">
        <v>263</v>
      </c>
      <c r="K24" s="990" t="s">
        <v>264</v>
      </c>
      <c r="L24" s="547" t="s">
        <v>464</v>
      </c>
      <c r="M24" s="7">
        <f>SUMIFS(Sheet1!$N$2:$N$180,Sheet1!$Q$2:$Q$180,$K$24,Sheet1!$P$2:$P$180,L24)</f>
        <v>194</v>
      </c>
      <c r="N24" s="7">
        <f>M24/Sheet1!$T$9*Sheet1!$T$10</f>
        <v>8.5800588214665741</v>
      </c>
      <c r="O24" s="486">
        <f>M24/Sheet1!$T$9*Sheet1!$T$11</f>
        <v>4.3417871562271707E-3</v>
      </c>
      <c r="P24" s="991">
        <f>SUM(O24:O30)</f>
        <v>5.6846079261943369E-3</v>
      </c>
      <c r="Q24" s="989">
        <f>SUM(P24:P37)</f>
        <v>7.6540783888128464E-3</v>
      </c>
    </row>
    <row r="25" spans="1:17" ht="25.5">
      <c r="A25" s="984"/>
      <c r="B25" s="990"/>
      <c r="C25" s="549" t="s">
        <v>777</v>
      </c>
      <c r="D25" s="7">
        <f>SUMIFS(Sheet1!$C$2:$C$180,Sheet1!$F$2:$F$180,B24,Sheet1!$E$2:$E$180,C25)</f>
        <v>60</v>
      </c>
      <c r="E25" s="7">
        <f>D25/Sheet1!$I$9*Sheet1!$I$10</f>
        <v>2.6151318804441255</v>
      </c>
      <c r="F25" s="486">
        <f>D25/Sheet1!$I$9*Sheet1!$I$11</f>
        <v>1.2944168845499752E-3</v>
      </c>
      <c r="G25" s="991"/>
      <c r="H25" s="989"/>
      <c r="J25" s="984"/>
      <c r="K25" s="990"/>
      <c r="L25" s="549" t="s">
        <v>777</v>
      </c>
      <c r="M25" s="7">
        <f>SUMIFS(Sheet1!$N$2:$N$180,Sheet1!$Q$2:$Q$180,$K$24,Sheet1!$P$2:$P$180,L25)</f>
        <v>60</v>
      </c>
      <c r="N25" s="7">
        <f>M25/Sheet1!$T$9*Sheet1!$T$10</f>
        <v>2.6536264396288374</v>
      </c>
      <c r="O25" s="486">
        <f>M25/Sheet1!$T$9*Sheet1!$T$11</f>
        <v>1.342820769967166E-3</v>
      </c>
      <c r="P25" s="991"/>
      <c r="Q25" s="989"/>
    </row>
    <row r="26" spans="1:17">
      <c r="A26" s="984"/>
      <c r="B26" s="990"/>
      <c r="C26" s="582"/>
      <c r="D26" s="7">
        <f>SUMIFS(Sheet1!$C$2:$C$180,Sheet1!$F$2:$F$180,B24,Sheet1!$E$2:$E$180,C26)</f>
        <v>0</v>
      </c>
      <c r="E26" s="7">
        <f>D26/Sheet1!$I$9*Sheet1!$I$10</f>
        <v>0</v>
      </c>
      <c r="F26" s="486">
        <f>D26/Sheet1!$I$9*Sheet1!$I$11</f>
        <v>0</v>
      </c>
      <c r="G26" s="991"/>
      <c r="H26" s="989"/>
      <c r="J26" s="984"/>
      <c r="K26" s="990"/>
      <c r="L26" s="582"/>
      <c r="M26" s="7">
        <f>SUMIFS(Sheet1!$N$2:$N$180,Sheet1!$Q$2:$Q$180,$K$24,Sheet1!$P$2:$P$180,L26)</f>
        <v>0</v>
      </c>
      <c r="N26" s="7">
        <f>M26/Sheet1!$T$9*Sheet1!$T$10</f>
        <v>0</v>
      </c>
      <c r="O26" s="486">
        <f>M26/Sheet1!$T$9*Sheet1!$T$11</f>
        <v>0</v>
      </c>
      <c r="P26" s="991"/>
      <c r="Q26" s="989"/>
    </row>
    <row r="27" spans="1:17">
      <c r="A27" s="984"/>
      <c r="B27" s="990"/>
      <c r="D27" s="7">
        <f>SUMIFS(Sheet1!$C$2:$C$180,Sheet1!$F$2:$F$180,B24,Sheet1!$E$2:$E$180,C27)</f>
        <v>0</v>
      </c>
      <c r="E27" s="7">
        <f>D27/Sheet1!$I$9*Sheet1!$I$10</f>
        <v>0</v>
      </c>
      <c r="F27" s="486">
        <f>D27/Sheet1!$I$9*Sheet1!$I$11</f>
        <v>0</v>
      </c>
      <c r="G27" s="991"/>
      <c r="H27" s="989"/>
      <c r="J27" s="984"/>
      <c r="K27" s="990"/>
      <c r="M27" s="7">
        <f>SUMIFS(Sheet1!$N$2:$N$180,Sheet1!$Q$2:$Q$180,$K$24,Sheet1!$P$2:$P$180,L27)</f>
        <v>0</v>
      </c>
      <c r="N27" s="7">
        <f>M27/Sheet1!$T$9*Sheet1!$T$10</f>
        <v>0</v>
      </c>
      <c r="O27" s="486">
        <f>M27/Sheet1!$T$9*Sheet1!$T$11</f>
        <v>0</v>
      </c>
      <c r="P27" s="991"/>
      <c r="Q27" s="989"/>
    </row>
    <row r="28" spans="1:17">
      <c r="A28" s="984"/>
      <c r="B28" s="990"/>
      <c r="C28" s="547"/>
      <c r="D28" s="7">
        <f>SUMIFS(Sheet1!$C$2:$C$180,Sheet1!$F$2:$F$180,B24,Sheet1!$E$2:$E$180,C28)</f>
        <v>0</v>
      </c>
      <c r="E28" s="7">
        <f>D28/Sheet1!$I$9*Sheet1!$I$10</f>
        <v>0</v>
      </c>
      <c r="F28" s="486">
        <f>D28/Sheet1!$I$9*Sheet1!$I$11</f>
        <v>0</v>
      </c>
      <c r="G28" s="991"/>
      <c r="H28" s="989"/>
      <c r="J28" s="984"/>
      <c r="K28" s="990"/>
      <c r="L28" s="547"/>
      <c r="M28" s="7">
        <f>SUMIFS(Sheet1!$N$2:$N$180,Sheet1!$Q$2:$Q$180,$K$24,Sheet1!$P$2:$P$180,L28)</f>
        <v>0</v>
      </c>
      <c r="N28" s="7">
        <f>M28/Sheet1!$T$9*Sheet1!$T$10</f>
        <v>0</v>
      </c>
      <c r="O28" s="486">
        <f>M28/Sheet1!$T$9*Sheet1!$T$11</f>
        <v>0</v>
      </c>
      <c r="P28" s="991"/>
      <c r="Q28" s="989"/>
    </row>
    <row r="29" spans="1:17">
      <c r="A29" s="984"/>
      <c r="B29" s="990"/>
      <c r="C29" s="547"/>
      <c r="D29" s="7">
        <f>SUMIFS(Sheet1!$C$2:$C$180,Sheet1!$F$2:$F$180,B24,Sheet1!$E$2:$E$180,C29)</f>
        <v>0</v>
      </c>
      <c r="E29" s="7">
        <f>D29/Sheet1!$I$9*Sheet1!$I$10</f>
        <v>0</v>
      </c>
      <c r="F29" s="486">
        <f>D29/Sheet1!$I$9*Sheet1!$I$11</f>
        <v>0</v>
      </c>
      <c r="G29" s="991"/>
      <c r="H29" s="989"/>
      <c r="J29" s="984"/>
      <c r="K29" s="990"/>
      <c r="L29" s="547"/>
      <c r="M29" s="7">
        <f>SUMIFS(Sheet1!$N$2:$N$180,Sheet1!$Q$2:$Q$180,$K$24,Sheet1!$P$2:$P$180,L29)</f>
        <v>0</v>
      </c>
      <c r="N29" s="7">
        <f>M29/Sheet1!$T$9*Sheet1!$T$10</f>
        <v>0</v>
      </c>
      <c r="O29" s="486">
        <f>M29/Sheet1!$T$9*Sheet1!$T$11</f>
        <v>0</v>
      </c>
      <c r="P29" s="991"/>
      <c r="Q29" s="989"/>
    </row>
    <row r="30" spans="1:17">
      <c r="A30" s="984"/>
      <c r="B30" s="990"/>
      <c r="C30" s="547"/>
      <c r="D30" s="7">
        <f>SUMIFS(Sheet1!$C$2:$C$180,Sheet1!$F$2:$F$180,B24,Sheet1!$E$2:$E$180,C30)</f>
        <v>0</v>
      </c>
      <c r="E30" s="7">
        <f>D30/Sheet1!$I$9*Sheet1!$I$10</f>
        <v>0</v>
      </c>
      <c r="F30" s="486">
        <f>D30/Sheet1!$I$9*Sheet1!$I$11</f>
        <v>0</v>
      </c>
      <c r="G30" s="991"/>
      <c r="H30" s="989"/>
      <c r="J30" s="984"/>
      <c r="K30" s="990"/>
      <c r="L30" s="547"/>
      <c r="M30" s="7">
        <f>SUMIFS(Sheet1!$N$2:$N$180,Sheet1!$Q$2:$Q$180,$K$24,Sheet1!$P$2:$P$180,L30)</f>
        <v>0</v>
      </c>
      <c r="N30" s="7">
        <f>M30/Sheet1!$T$9*Sheet1!$T$10</f>
        <v>0</v>
      </c>
      <c r="O30" s="486">
        <f>M30/Sheet1!$T$9*Sheet1!$T$11</f>
        <v>0</v>
      </c>
      <c r="P30" s="991"/>
      <c r="Q30" s="989"/>
    </row>
    <row r="31" spans="1:17">
      <c r="A31" s="984"/>
      <c r="B31" s="992" t="s">
        <v>265</v>
      </c>
      <c r="D31" s="7">
        <f>SUMIFS(Sheet1!$C$2:$C$180,Sheet1!$F$2:$F$180,B31,Sheet1!$E$2:$E$180,C31)</f>
        <v>0</v>
      </c>
      <c r="E31" s="7">
        <f>D31/Sheet1!$I$9*Sheet1!$I$10</f>
        <v>0</v>
      </c>
      <c r="F31" s="486">
        <f>D31/Sheet1!$I$9*Sheet1!$I$11</f>
        <v>0</v>
      </c>
      <c r="G31" s="995">
        <f>SUM(F31:F32)</f>
        <v>0</v>
      </c>
      <c r="H31" s="989"/>
      <c r="J31" s="984"/>
      <c r="K31" s="992" t="s">
        <v>265</v>
      </c>
      <c r="M31" s="7">
        <f>SUMIFS(Sheet1!$N$2:$N$180,Sheet1!$Q$2:$Q$180,$K$31,Sheet1!$P$2:$P$180,L31)</f>
        <v>0</v>
      </c>
      <c r="N31" s="7">
        <f>M31/Sheet1!$T$9*Sheet1!$T$10</f>
        <v>0</v>
      </c>
      <c r="O31" s="486">
        <f>M31/Sheet1!$T$9*Sheet1!$T$11</f>
        <v>0</v>
      </c>
      <c r="P31" s="995">
        <f>SUM(O31:O32)</f>
        <v>0</v>
      </c>
      <c r="Q31" s="989"/>
    </row>
    <row r="32" spans="1:17">
      <c r="A32" s="984"/>
      <c r="B32" s="994"/>
      <c r="C32" s="547"/>
      <c r="D32" s="7">
        <f>SUMIFS(Sheet1!$C$2:$C$180,Sheet1!$F$2:$F$180,B31,Sheet1!$E$2:$E$180,C32)</f>
        <v>0</v>
      </c>
      <c r="E32" s="7">
        <f>D32/Sheet1!$I$9*Sheet1!$I$10</f>
        <v>0</v>
      </c>
      <c r="F32" s="486">
        <f>D32/Sheet1!$I$9*Sheet1!$I$11</f>
        <v>0</v>
      </c>
      <c r="G32" s="996"/>
      <c r="H32" s="989"/>
      <c r="J32" s="984"/>
      <c r="K32" s="994"/>
      <c r="L32" s="547"/>
      <c r="M32" s="7">
        <f>SUMIFS(Sheet1!$N$2:$N$180,Sheet1!$Q$2:$Q$180,$K$31,Sheet1!$P$2:$P$180,L32)</f>
        <v>0</v>
      </c>
      <c r="N32" s="7">
        <f>M32/Sheet1!$T$9*Sheet1!$T$10</f>
        <v>0</v>
      </c>
      <c r="O32" s="486">
        <f>M32/Sheet1!$T$9*Sheet1!$T$11</f>
        <v>0</v>
      </c>
      <c r="P32" s="996"/>
      <c r="Q32" s="989"/>
    </row>
    <row r="33" spans="1:17">
      <c r="A33" s="984"/>
      <c r="B33" s="990" t="s">
        <v>266</v>
      </c>
      <c r="C33" s="547" t="s">
        <v>506</v>
      </c>
      <c r="D33" s="7">
        <f>SUMIFS(Sheet1!$C$2:$C$180,Sheet1!$F$2:$F$180,B33,Sheet1!$E$2:$E$180,C33)</f>
        <v>12</v>
      </c>
      <c r="E33" s="7">
        <f>D33/Sheet1!$I$9*Sheet1!$I$10</f>
        <v>0.52302637608882507</v>
      </c>
      <c r="F33" s="486">
        <f>D33/Sheet1!$I$9*Sheet1!$I$11</f>
        <v>2.5888337690999503E-4</v>
      </c>
      <c r="G33" s="991">
        <f>SUM(F33:F35)</f>
        <v>1.8984780973399637E-3</v>
      </c>
      <c r="H33" s="989"/>
      <c r="J33" s="984"/>
      <c r="K33" s="990" t="s">
        <v>266</v>
      </c>
      <c r="L33" s="547" t="s">
        <v>506</v>
      </c>
      <c r="M33" s="7">
        <f>SUMIFS(Sheet1!$N$2:$N$180,Sheet1!$Q$2:$Q$180,$K$33,Sheet1!$P$2:$P$180,L33)</f>
        <v>12</v>
      </c>
      <c r="N33" s="7">
        <f>M33/Sheet1!$T$9*Sheet1!$T$10</f>
        <v>0.53072528792576745</v>
      </c>
      <c r="O33" s="486">
        <f>M33/Sheet1!$T$9*Sheet1!$T$11</f>
        <v>2.6856415399343318E-4</v>
      </c>
      <c r="P33" s="991">
        <f>SUM(O33:O35)</f>
        <v>1.96947046261851E-3</v>
      </c>
      <c r="Q33" s="989"/>
    </row>
    <row r="34" spans="1:17" ht="25.5">
      <c r="A34" s="984"/>
      <c r="B34" s="990"/>
      <c r="C34" s="547" t="s">
        <v>682</v>
      </c>
      <c r="D34" s="7">
        <f>SUMIFS(Sheet1!$C$2:$C$180,Sheet1!$F$2:$F$180,B33,Sheet1!$E$2:$E$180,C34)</f>
        <v>70</v>
      </c>
      <c r="E34" s="7">
        <f>D34/Sheet1!$I$9*Sheet1!$I$10</f>
        <v>3.0509871938514794</v>
      </c>
      <c r="F34" s="486">
        <f>D34/Sheet1!$I$9*Sheet1!$I$11</f>
        <v>1.510153031974971E-3</v>
      </c>
      <c r="G34" s="991"/>
      <c r="H34" s="989"/>
      <c r="J34" s="984"/>
      <c r="K34" s="990"/>
      <c r="L34" s="547" t="s">
        <v>682</v>
      </c>
      <c r="M34" s="7">
        <f>SUMIFS(Sheet1!$N$2:$N$180,Sheet1!$Q$2:$Q$180,$K$33,Sheet1!$P$2:$P$180,L34)</f>
        <v>70</v>
      </c>
      <c r="N34" s="7">
        <f>M34/Sheet1!$T$9*Sheet1!$T$10</f>
        <v>3.0958975129003101</v>
      </c>
      <c r="O34" s="486">
        <f>M34/Sheet1!$T$9*Sheet1!$T$11</f>
        <v>1.5666242316283603E-3</v>
      </c>
      <c r="P34" s="991"/>
      <c r="Q34" s="989"/>
    </row>
    <row r="35" spans="1:17" ht="25.5">
      <c r="A35" s="984"/>
      <c r="B35" s="990"/>
      <c r="C35" s="547" t="s">
        <v>694</v>
      </c>
      <c r="D35" s="7">
        <f>SUMIFS(Sheet1!$C$2:$C$180,Sheet1!$F$2:$F$180,B33,Sheet1!$E$2:$E$180,C35)</f>
        <v>6</v>
      </c>
      <c r="E35" s="7">
        <f>D35/Sheet1!$I$9*Sheet1!$I$10</f>
        <v>0.26151318804441254</v>
      </c>
      <c r="F35" s="486">
        <f>D35/Sheet1!$I$9*Sheet1!$I$11</f>
        <v>1.2944168845499752E-4</v>
      </c>
      <c r="G35" s="991"/>
      <c r="H35" s="989"/>
      <c r="J35" s="984"/>
      <c r="K35" s="990"/>
      <c r="L35" s="547" t="s">
        <v>694</v>
      </c>
      <c r="M35" s="7">
        <f>SUMIFS(Sheet1!$N$2:$N$180,Sheet1!$Q$2:$Q$180,$K$33,Sheet1!$P$2:$P$180,L35)</f>
        <v>6</v>
      </c>
      <c r="N35" s="7">
        <f>M35/Sheet1!$T$9*Sheet1!$T$10</f>
        <v>0.26536264396288373</v>
      </c>
      <c r="O35" s="486">
        <f>M35/Sheet1!$T$9*Sheet1!$T$11</f>
        <v>1.3428207699671659E-4</v>
      </c>
      <c r="P35" s="991"/>
      <c r="Q35" s="989"/>
    </row>
    <row r="36" spans="1:17">
      <c r="A36" s="984"/>
      <c r="B36" s="992" t="s">
        <v>267</v>
      </c>
      <c r="C36" s="547"/>
      <c r="D36" s="7">
        <f>SUMIFS(Sheet1!$C$2:$C$180,Sheet1!$F$2:$F$180,B36,Sheet1!$E$2:$E$180,C36)</f>
        <v>0</v>
      </c>
      <c r="E36" s="7">
        <f>D36/Sheet1!$I$9*Sheet1!$I$10</f>
        <v>0</v>
      </c>
      <c r="F36" s="486">
        <f>D36/Sheet1!$I$9*Sheet1!$I$11</f>
        <v>0</v>
      </c>
      <c r="G36" s="995">
        <f>SUM(F36:F37)</f>
        <v>0</v>
      </c>
      <c r="H36" s="989"/>
      <c r="J36" s="984"/>
      <c r="K36" s="992" t="s">
        <v>267</v>
      </c>
      <c r="L36" s="547"/>
      <c r="M36" s="7">
        <f>SUMIFS(Sheet1!$N$2:$N$180,Sheet1!$Q$2:$Q$180,$K$36,Sheet1!$P$2:$P$180,L36)</f>
        <v>0</v>
      </c>
      <c r="N36" s="7">
        <f>M36/Sheet1!$T$9*Sheet1!$T$10</f>
        <v>0</v>
      </c>
      <c r="O36" s="486">
        <f>M36/Sheet1!$T$9*Sheet1!$T$11</f>
        <v>0</v>
      </c>
      <c r="P36" s="995">
        <f>SUM(O36:O37)</f>
        <v>0</v>
      </c>
      <c r="Q36" s="989"/>
    </row>
    <row r="37" spans="1:17">
      <c r="A37" s="984"/>
      <c r="B37" s="994"/>
      <c r="C37" s="547"/>
      <c r="D37" s="7">
        <f>SUMIFS(Sheet1!$C$2:$C$180,Sheet1!$F$2:$F$180,B36,Sheet1!$E$2:$E$180,C37)</f>
        <v>0</v>
      </c>
      <c r="E37" s="7">
        <f>D37/Sheet1!$I$9*Sheet1!$I$10</f>
        <v>0</v>
      </c>
      <c r="F37" s="486">
        <f>D37/Sheet1!$I$9*Sheet1!$I$11</f>
        <v>0</v>
      </c>
      <c r="G37" s="996"/>
      <c r="H37" s="989"/>
      <c r="J37" s="984"/>
      <c r="K37" s="994"/>
      <c r="L37" s="547"/>
      <c r="M37" s="7">
        <f>SUMIFS(Sheet1!$N$2:$N$180,Sheet1!$Q$2:$Q$180,$K$36,Sheet1!$P$2:$P$180,L37)</f>
        <v>0</v>
      </c>
      <c r="N37" s="7">
        <f>M37/Sheet1!$T$9*Sheet1!$T$10</f>
        <v>0</v>
      </c>
      <c r="O37" s="486">
        <f>M37/Sheet1!$T$9*Sheet1!$T$11</f>
        <v>0</v>
      </c>
      <c r="P37" s="996"/>
      <c r="Q37" s="989"/>
    </row>
    <row r="38" spans="1:17">
      <c r="A38" s="984" t="s">
        <v>431</v>
      </c>
      <c r="B38" s="992" t="s">
        <v>268</v>
      </c>
      <c r="C38" s="547"/>
      <c r="D38" s="7">
        <f>SUMIFS(Sheet1!$C$2:$C$180,Sheet1!$F$2:$F$180,B38,Sheet1!$E$2:$E$180,C38)</f>
        <v>0</v>
      </c>
      <c r="E38" s="7">
        <f>D38/Sheet1!$I$9*Sheet1!$I$10</f>
        <v>0</v>
      </c>
      <c r="F38" s="486">
        <f>D38/Sheet1!$I$9*Sheet1!$I$11</f>
        <v>0</v>
      </c>
      <c r="G38" s="995">
        <f>SUM(F38:F39)</f>
        <v>0</v>
      </c>
      <c r="H38" s="1000">
        <f>SUM(G38:G39)</f>
        <v>0</v>
      </c>
      <c r="J38" s="984" t="s">
        <v>431</v>
      </c>
      <c r="K38" s="992" t="s">
        <v>268</v>
      </c>
      <c r="L38" s="547"/>
      <c r="M38" s="7">
        <f>SUMIFS(Sheet1!$N$2:$N$180,Sheet1!$Q$2:$Q$180,K38,Sheet1!$P$2:$P$180,L38)</f>
        <v>0</v>
      </c>
      <c r="N38" s="7">
        <f>M38/Sheet1!$T$9*Sheet1!$T$10</f>
        <v>0</v>
      </c>
      <c r="O38" s="486">
        <f>M38/Sheet1!$T$9*Sheet1!$T$11</f>
        <v>0</v>
      </c>
      <c r="P38" s="995">
        <f>SUM(O38:O39)</f>
        <v>0</v>
      </c>
      <c r="Q38" s="1000">
        <f>SUM(P38:P39)</f>
        <v>0</v>
      </c>
    </row>
    <row r="39" spans="1:17">
      <c r="A39" s="984"/>
      <c r="B39" s="994"/>
      <c r="C39" s="549"/>
      <c r="D39" s="7">
        <f>SUMIFS(Sheet1!$C$2:$C$180,Sheet1!$F$2:$F$180,B38,Sheet1!$E$2:$E$180,C39)</f>
        <v>0</v>
      </c>
      <c r="E39" s="7">
        <f>D39/Sheet1!$I$9*Sheet1!$I$10</f>
        <v>0</v>
      </c>
      <c r="F39" s="486">
        <f>D39/Sheet1!$I$9*Sheet1!$I$11</f>
        <v>0</v>
      </c>
      <c r="G39" s="996"/>
      <c r="H39" s="1001"/>
      <c r="J39" s="984"/>
      <c r="K39" s="994"/>
      <c r="L39" s="549"/>
      <c r="M39" s="7">
        <f>SUMIFS(Sheet1!$N$2:$N$180,Sheet1!$Q$2:$Q$180,K38,Sheet1!$P$2:$P$180,L39)</f>
        <v>0</v>
      </c>
      <c r="N39" s="7">
        <f>M39/Sheet1!$T$9*Sheet1!$T$10</f>
        <v>0</v>
      </c>
      <c r="O39" s="486">
        <f>M39/Sheet1!$T$9*Sheet1!$T$11</f>
        <v>0</v>
      </c>
      <c r="P39" s="996"/>
      <c r="Q39" s="1001"/>
    </row>
    <row r="40" spans="1:17" ht="15">
      <c r="A40" s="475"/>
      <c r="B40" s="999" t="s">
        <v>2</v>
      </c>
      <c r="C40" s="999"/>
      <c r="D40" s="319">
        <f>SUM(D4:D39)</f>
        <v>4018</v>
      </c>
      <c r="E40" s="319">
        <f>SUM(E4:E39)</f>
        <v>364.43257007728084</v>
      </c>
      <c r="F40" s="476">
        <f>SUM(F4:F39)</f>
        <v>0.18038389402673688</v>
      </c>
      <c r="G40" s="476">
        <f>SUM(G4:G39)</f>
        <v>0.18038389402673691</v>
      </c>
      <c r="H40" s="476">
        <f>SUM(H4:H39)</f>
        <v>0.18038389402673691</v>
      </c>
      <c r="J40" s="475"/>
      <c r="K40" s="999" t="s">
        <v>2</v>
      </c>
      <c r="L40" s="999"/>
      <c r="M40" s="319">
        <f>SUM(M4:M39)</f>
        <v>2736</v>
      </c>
      <c r="N40" s="319">
        <f>SUM(N4:N39)</f>
        <v>320.27432207728094</v>
      </c>
      <c r="O40" s="476">
        <f>SUM(O4:O39)</f>
        <v>0.16206916141244079</v>
      </c>
      <c r="P40" s="476">
        <f>SUM(P4:P39)</f>
        <v>0.16206916141244071</v>
      </c>
      <c r="Q40" s="476">
        <f>SUM(Q4:Q39)</f>
        <v>0.16206916141244074</v>
      </c>
    </row>
    <row r="41" spans="1:17" ht="15">
      <c r="A41" s="475"/>
      <c r="B41" s="999" t="s">
        <v>1</v>
      </c>
      <c r="C41" s="999"/>
      <c r="D41" s="999"/>
      <c r="E41" s="999"/>
      <c r="F41" s="477">
        <f>+Efficiency1!X163</f>
        <v>0.81961610597326329</v>
      </c>
      <c r="G41" s="477">
        <f>+F41</f>
        <v>0.81961610597326329</v>
      </c>
      <c r="H41" s="477">
        <f>+G41</f>
        <v>0.81961610597326329</v>
      </c>
      <c r="J41" s="475"/>
      <c r="K41" s="999" t="s">
        <v>1</v>
      </c>
      <c r="L41" s="999"/>
      <c r="M41" s="999"/>
      <c r="N41" s="999"/>
      <c r="O41" s="477">
        <f>+Efficiency2!X163</f>
        <v>0.83793083858755946</v>
      </c>
      <c r="P41" s="477">
        <f>+O41</f>
        <v>0.83793083858755946</v>
      </c>
      <c r="Q41" s="477">
        <f>+P41</f>
        <v>0.83793083858755946</v>
      </c>
    </row>
    <row r="42" spans="1:17" ht="15">
      <c r="A42" s="475"/>
      <c r="B42" s="999" t="s">
        <v>58</v>
      </c>
      <c r="C42" s="999"/>
      <c r="D42" s="999"/>
      <c r="E42" s="999"/>
      <c r="F42" s="478">
        <f>SUM(F40:F41)</f>
        <v>1.0000000000000002</v>
      </c>
      <c r="G42" s="478">
        <f>SUM(G40:G41)</f>
        <v>1.0000000000000002</v>
      </c>
      <c r="H42" s="479">
        <f>SUM(H40:H41)</f>
        <v>1.0000000000000002</v>
      </c>
      <c r="J42" s="475"/>
      <c r="K42" s="999" t="s">
        <v>58</v>
      </c>
      <c r="L42" s="999"/>
      <c r="M42" s="999"/>
      <c r="N42" s="999"/>
      <c r="O42" s="478">
        <f>SUM(O40:O41)</f>
        <v>1.0000000000000002</v>
      </c>
      <c r="P42" s="478">
        <f>SUM(P40:P41)</f>
        <v>1.0000000000000002</v>
      </c>
      <c r="Q42" s="479">
        <f>SUM(Q40:Q41)</f>
        <v>1.0000000000000002</v>
      </c>
    </row>
  </sheetData>
  <mergeCells count="66">
    <mergeCell ref="A2:A3"/>
    <mergeCell ref="B2:B3"/>
    <mergeCell ref="C2:C3"/>
    <mergeCell ref="B24:B30"/>
    <mergeCell ref="A4:A11"/>
    <mergeCell ref="Q14:Q23"/>
    <mergeCell ref="K16:K17"/>
    <mergeCell ref="P16:P17"/>
    <mergeCell ref="K19:K23"/>
    <mergeCell ref="P19:P23"/>
    <mergeCell ref="K2:K3"/>
    <mergeCell ref="L2:L3"/>
    <mergeCell ref="J4:J11"/>
    <mergeCell ref="Q4:Q11"/>
    <mergeCell ref="K6:K7"/>
    <mergeCell ref="K8:K9"/>
    <mergeCell ref="K10:K11"/>
    <mergeCell ref="J2:J3"/>
    <mergeCell ref="J12:J13"/>
    <mergeCell ref="J24:J37"/>
    <mergeCell ref="J38:J39"/>
    <mergeCell ref="Q38:Q39"/>
    <mergeCell ref="K40:L40"/>
    <mergeCell ref="K24:K30"/>
    <mergeCell ref="P24:P30"/>
    <mergeCell ref="Q24:Q37"/>
    <mergeCell ref="K31:K32"/>
    <mergeCell ref="P31:P32"/>
    <mergeCell ref="K33:K35"/>
    <mergeCell ref="P33:P35"/>
    <mergeCell ref="K36:K37"/>
    <mergeCell ref="P36:P37"/>
    <mergeCell ref="Q12:Q13"/>
    <mergeCell ref="J14:J23"/>
    <mergeCell ref="B42:E42"/>
    <mergeCell ref="K38:K39"/>
    <mergeCell ref="P38:P39"/>
    <mergeCell ref="B38:B39"/>
    <mergeCell ref="G38:G39"/>
    <mergeCell ref="H38:H39"/>
    <mergeCell ref="B40:C40"/>
    <mergeCell ref="B41:E41"/>
    <mergeCell ref="K41:N41"/>
    <mergeCell ref="K42:N42"/>
    <mergeCell ref="H4:H11"/>
    <mergeCell ref="B6:B7"/>
    <mergeCell ref="B8:B9"/>
    <mergeCell ref="B10:B11"/>
    <mergeCell ref="A24:A37"/>
    <mergeCell ref="B31:B32"/>
    <mergeCell ref="G19:G23"/>
    <mergeCell ref="A38:A39"/>
    <mergeCell ref="A12:A13"/>
    <mergeCell ref="H12:H13"/>
    <mergeCell ref="A14:A23"/>
    <mergeCell ref="H14:H23"/>
    <mergeCell ref="B16:B17"/>
    <mergeCell ref="G16:G17"/>
    <mergeCell ref="B19:B23"/>
    <mergeCell ref="G33:G35"/>
    <mergeCell ref="B36:B37"/>
    <mergeCell ref="G36:G37"/>
    <mergeCell ref="H24:H37"/>
    <mergeCell ref="G31:G32"/>
    <mergeCell ref="B33:B35"/>
    <mergeCell ref="G24:G30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9370078740157483" right="0.31496062992125984" top="0.15748031496062992" bottom="0.15748031496062992" header="0.31496062992125984" footer="0.31496062992125984"/>
  <pageSetup paperSize="9" scale="33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13" zoomScale="80" zoomScaleNormal="80" workbookViewId="0">
      <selection activeCell="I38" sqref="I38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4.425781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31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152+203+227</f>
        <v>582</v>
      </c>
    </row>
    <row r="7" spans="1:18" ht="13.5" customHeight="1" thickBot="1">
      <c r="A7" s="1014" t="s">
        <v>486</v>
      </c>
      <c r="B7" s="227" t="s">
        <v>559</v>
      </c>
      <c r="C7" s="228">
        <f>13420+3035</f>
        <v>16455</v>
      </c>
      <c r="D7" s="229">
        <f>1110+600</f>
        <v>1710</v>
      </c>
      <c r="E7" s="230"/>
      <c r="F7" s="239">
        <v>20</v>
      </c>
      <c r="G7" s="240" t="s">
        <v>12</v>
      </c>
      <c r="H7" s="241" t="s">
        <v>540</v>
      </c>
      <c r="I7" s="1017" t="s">
        <v>538</v>
      </c>
      <c r="J7" s="226" t="str">
        <f>+'30'!J7</f>
        <v>F 13 VP OW</v>
      </c>
      <c r="K7" s="249"/>
      <c r="L7" s="253"/>
      <c r="M7" s="129">
        <f>+L7+'30'!M7+K7</f>
        <v>230127</v>
      </c>
    </row>
    <row r="8" spans="1:18" ht="13.5" thickBot="1">
      <c r="A8" s="1015"/>
      <c r="B8" s="227" t="s">
        <v>557</v>
      </c>
      <c r="C8" s="228">
        <v>1536</v>
      </c>
      <c r="D8" s="229"/>
      <c r="E8" s="231"/>
      <c r="F8" s="242"/>
      <c r="G8" s="243" t="s">
        <v>12</v>
      </c>
      <c r="H8" s="241" t="s">
        <v>458</v>
      </c>
      <c r="I8" s="1018"/>
      <c r="J8" s="226" t="str">
        <f>+'30'!J8</f>
        <v>F 10,3 VP OW</v>
      </c>
      <c r="K8" s="250"/>
      <c r="L8" s="250"/>
      <c r="M8" s="129">
        <f>+L8+'30'!M8+K8</f>
        <v>53369</v>
      </c>
      <c r="N8" s="161">
        <v>1150</v>
      </c>
      <c r="O8" s="161">
        <f>+N8-N8*0.0035</f>
        <v>1145.9749999999999</v>
      </c>
    </row>
    <row r="9" spans="1:18" ht="13.5" thickBot="1">
      <c r="A9" s="1015"/>
      <c r="B9" s="227" t="s">
        <v>556</v>
      </c>
      <c r="C9" s="228">
        <v>363</v>
      </c>
      <c r="D9" s="229">
        <f>360+380</f>
        <v>740</v>
      </c>
      <c r="E9" s="232"/>
      <c r="F9" s="239">
        <v>5</v>
      </c>
      <c r="G9" s="243" t="s">
        <v>12</v>
      </c>
      <c r="H9" s="598" t="s">
        <v>482</v>
      </c>
      <c r="I9" s="1018"/>
      <c r="J9" s="226" t="str">
        <f>+'30'!J9</f>
        <v>SN 15 VP OW</v>
      </c>
      <c r="K9" s="250"/>
      <c r="L9" s="250"/>
      <c r="M9" s="129">
        <f>+L9+'30'!M9+K9</f>
        <v>148317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836</v>
      </c>
      <c r="I10" s="1018"/>
      <c r="J10" s="226" t="str">
        <f>+'30'!J10</f>
        <v>MG 15,5 VP OW</v>
      </c>
      <c r="K10" s="250"/>
      <c r="L10" s="250"/>
      <c r="M10" s="129">
        <f>+L10+'30'!M10+K10</f>
        <v>87870</v>
      </c>
    </row>
    <row r="11" spans="1:18" ht="13.5" thickBot="1">
      <c r="A11" s="1015"/>
      <c r="B11" s="227"/>
      <c r="C11" s="228"/>
      <c r="D11" s="229"/>
      <c r="E11" s="231"/>
      <c r="F11" s="239"/>
      <c r="G11" s="243"/>
      <c r="H11" s="244"/>
      <c r="I11" s="1018"/>
      <c r="J11" s="226" t="str">
        <f>+'30'!J11</f>
        <v>MG 16,5 VP OW/HW</v>
      </c>
      <c r="K11" s="250">
        <f>+C7+C16+C17+C25</f>
        <v>49041</v>
      </c>
      <c r="L11" s="250"/>
      <c r="M11" s="129">
        <f>+L11+'30'!M11+K11</f>
        <v>86676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+'30'!J12</f>
        <v>MG 21 VP OW</v>
      </c>
      <c r="K12" s="250"/>
      <c r="L12" s="250"/>
      <c r="M12" s="129">
        <f>+L12+'30'!M12+K12</f>
        <v>206161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+'30'!J13</f>
        <v>MG 22 VP HW</v>
      </c>
      <c r="K13" s="250">
        <f>+C9</f>
        <v>363</v>
      </c>
      <c r="L13" s="250"/>
      <c r="M13" s="129">
        <f>+L13+'30'!M13+K13</f>
        <v>29982</v>
      </c>
    </row>
    <row r="14" spans="1:18" ht="13.5" thickBot="1">
      <c r="A14" s="1016"/>
      <c r="B14" s="177" t="s">
        <v>2</v>
      </c>
      <c r="C14" s="111">
        <f>SUM(C7:C13)</f>
        <v>18354</v>
      </c>
      <c r="D14" s="123">
        <f>SUM(D7:D13)</f>
        <v>2450</v>
      </c>
      <c r="E14" s="124">
        <f>SUM(E5:E13)</f>
        <v>0</v>
      </c>
      <c r="F14" s="128">
        <f>SUM(F7:F13)</f>
        <v>25</v>
      </c>
      <c r="G14" s="171"/>
      <c r="H14" s="178"/>
      <c r="I14" s="179"/>
      <c r="J14" s="226" t="str">
        <f>+'30'!J14</f>
        <v>MG 17 VP HW/OW</v>
      </c>
      <c r="K14" s="250">
        <f>+C8</f>
        <v>1536</v>
      </c>
      <c r="L14" s="250"/>
      <c r="M14" s="129">
        <f>+L14+'30'!M14+K14</f>
        <v>8911</v>
      </c>
    </row>
    <row r="15" spans="1:18" ht="13.5" customHeight="1" thickBot="1">
      <c r="A15" s="1014" t="s">
        <v>467</v>
      </c>
      <c r="B15" s="177"/>
      <c r="C15" s="125"/>
      <c r="D15" s="126"/>
      <c r="E15" s="127"/>
      <c r="F15" s="239">
        <v>46</v>
      </c>
      <c r="G15" s="240" t="s">
        <v>12</v>
      </c>
      <c r="H15" s="241" t="s">
        <v>614</v>
      </c>
      <c r="I15" s="1017" t="s">
        <v>841</v>
      </c>
      <c r="J15" s="226" t="str">
        <f>+'30'!J15</f>
        <v>MG 14 VP HW</v>
      </c>
      <c r="K15" s="250">
        <f>+C26</f>
        <v>10022</v>
      </c>
      <c r="L15" s="250"/>
      <c r="M15" s="129">
        <f>+L15+'30'!M15+K15</f>
        <v>57140</v>
      </c>
    </row>
    <row r="16" spans="1:18" ht="13.5" thickBot="1">
      <c r="A16" s="1020"/>
      <c r="B16" s="227" t="s">
        <v>559</v>
      </c>
      <c r="C16" s="233">
        <f>601+1581+4731</f>
        <v>6913</v>
      </c>
      <c r="D16" s="234">
        <v>631</v>
      </c>
      <c r="E16" s="235"/>
      <c r="F16" s="239"/>
      <c r="G16" s="243" t="s">
        <v>12</v>
      </c>
      <c r="H16" s="241" t="s">
        <v>458</v>
      </c>
      <c r="I16" s="1018"/>
      <c r="J16" s="226" t="str">
        <f>+'30'!J16</f>
        <v>F 12 VP OW</v>
      </c>
      <c r="K16" s="240"/>
      <c r="L16" s="240"/>
      <c r="M16" s="129">
        <f>+L16+'30'!M16+K16</f>
        <v>603222</v>
      </c>
      <c r="N16" s="161">
        <v>1150</v>
      </c>
      <c r="O16" s="161">
        <f>+N16-N16*0.0035</f>
        <v>1145.9749999999999</v>
      </c>
      <c r="P16" s="161">
        <f>60+9+480</f>
        <v>549</v>
      </c>
      <c r="Q16" s="161">
        <f>+N16*P16</f>
        <v>631350</v>
      </c>
      <c r="R16" s="161">
        <f>+O16*P16</f>
        <v>629140.27499999991</v>
      </c>
    </row>
    <row r="17" spans="1:18" ht="13.5" thickBot="1">
      <c r="A17" s="1020"/>
      <c r="B17" s="227" t="s">
        <v>557</v>
      </c>
      <c r="C17" s="228">
        <f>623+3458+8099</f>
        <v>12180</v>
      </c>
      <c r="D17" s="229">
        <v>310</v>
      </c>
      <c r="E17" s="236"/>
      <c r="F17" s="239">
        <v>14</v>
      </c>
      <c r="G17" s="243" t="s">
        <v>12</v>
      </c>
      <c r="H17" s="598" t="s">
        <v>482</v>
      </c>
      <c r="I17" s="1018"/>
      <c r="J17" s="226" t="str">
        <f>+'30'!J17</f>
        <v>F 10,5 VP OW</v>
      </c>
      <c r="K17" s="240"/>
      <c r="L17" s="240"/>
      <c r="M17" s="129">
        <f>+L17+'30'!M17+K17</f>
        <v>35511</v>
      </c>
      <c r="N17" s="161">
        <v>1180</v>
      </c>
      <c r="O17" s="161">
        <f>+N17-N17*0.0035</f>
        <v>1175.8699999999999</v>
      </c>
      <c r="P17" s="161">
        <f>411+93</f>
        <v>504</v>
      </c>
      <c r="Q17" s="161">
        <f>+N17*P17</f>
        <v>594720</v>
      </c>
      <c r="R17" s="161">
        <f>+O17*P17</f>
        <v>592638.48</v>
      </c>
    </row>
    <row r="18" spans="1:18" ht="13.5" thickBot="1">
      <c r="A18" s="1020"/>
      <c r="B18" s="227"/>
      <c r="C18" s="228"/>
      <c r="D18" s="229"/>
      <c r="E18" s="236"/>
      <c r="F18" s="239"/>
      <c r="G18" s="243"/>
      <c r="H18" s="598" t="s">
        <v>836</v>
      </c>
      <c r="I18" s="1018"/>
      <c r="J18" s="226" t="str">
        <f>+'30'!J18</f>
        <v>F 12,5 VP OW</v>
      </c>
      <c r="K18" s="250"/>
      <c r="L18" s="250"/>
      <c r="M18" s="129">
        <f>+L18+'30'!M18+K18</f>
        <v>16783</v>
      </c>
      <c r="P18" s="161">
        <f>SUM(P16:P17)</f>
        <v>1053</v>
      </c>
      <c r="Q18" s="161">
        <f>SUM(Q16:Q17)</f>
        <v>1226070</v>
      </c>
      <c r="R18" s="161">
        <f>SUM(R16:R17)</f>
        <v>1221778.7549999999</v>
      </c>
    </row>
    <row r="19" spans="1:18" ht="26.25" thickBot="1">
      <c r="A19" s="1020"/>
      <c r="B19" s="227"/>
      <c r="C19" s="228"/>
      <c r="D19" s="229"/>
      <c r="E19" s="236"/>
      <c r="F19" s="246"/>
      <c r="G19" s="243"/>
      <c r="H19" s="244" t="s">
        <v>837</v>
      </c>
      <c r="I19" s="1018"/>
      <c r="J19" s="226" t="str">
        <f>+'30'!J19</f>
        <v>F 13,5 VP OW</v>
      </c>
      <c r="K19" s="250"/>
      <c r="L19" s="250"/>
      <c r="M19" s="129">
        <f>+L19+'30'!M19+K19</f>
        <v>22253</v>
      </c>
      <c r="Q19" s="161">
        <f>+Q18/P18</f>
        <v>1164.3589743589744</v>
      </c>
      <c r="R19" s="161">
        <f>+R18/P18</f>
        <v>1160.2837179487178</v>
      </c>
    </row>
    <row r="20" spans="1:18" ht="13.5" thickBot="1">
      <c r="A20" s="1020"/>
      <c r="B20" s="227"/>
      <c r="C20" s="228"/>
      <c r="D20" s="229"/>
      <c r="E20" s="236"/>
      <c r="F20" s="239"/>
      <c r="G20" s="243"/>
      <c r="H20" s="244" t="s">
        <v>838</v>
      </c>
      <c r="I20" s="1018"/>
      <c r="J20" s="226" t="str">
        <f>+'30'!J20</f>
        <v>F 14 VP OW</v>
      </c>
      <c r="K20" s="251"/>
      <c r="L20" s="251"/>
      <c r="M20" s="129">
        <f>+L20+'30'!M20+K20</f>
        <v>69562</v>
      </c>
    </row>
    <row r="21" spans="1:18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+'30'!J21</f>
        <v>0</v>
      </c>
      <c r="K21" s="250"/>
      <c r="L21" s="250"/>
      <c r="M21" s="129">
        <f>+L21+'30'!M21+K21</f>
        <v>0</v>
      </c>
    </row>
    <row r="22" spans="1:18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+'30'!J22</f>
        <v>0</v>
      </c>
      <c r="K22" s="250"/>
      <c r="L22" s="250"/>
      <c r="M22" s="129">
        <f>+L22+'30'!M22+K22</f>
        <v>0</v>
      </c>
    </row>
    <row r="23" spans="1:18" ht="13.5" thickBot="1">
      <c r="A23" s="1021"/>
      <c r="B23" s="180" t="s">
        <v>2</v>
      </c>
      <c r="C23" s="112">
        <f>SUM(C16:C22)</f>
        <v>19093</v>
      </c>
      <c r="D23" s="123">
        <f>SUM(D16:D22)</f>
        <v>941</v>
      </c>
      <c r="E23" s="124">
        <f>SUM(E18:E22)</f>
        <v>0</v>
      </c>
      <c r="F23" s="128">
        <f>SUM(F15:F22)</f>
        <v>60</v>
      </c>
      <c r="G23" s="171"/>
      <c r="H23" s="178" t="s">
        <v>237</v>
      </c>
      <c r="I23" s="181"/>
      <c r="J23" s="226">
        <f>+'30'!J23</f>
        <v>0</v>
      </c>
      <c r="K23" s="250"/>
      <c r="L23" s="250"/>
      <c r="M23" s="129">
        <f>+L23+'30'!M23+K23</f>
        <v>0</v>
      </c>
    </row>
    <row r="24" spans="1:18" ht="13.5" customHeight="1" thickBot="1">
      <c r="A24" s="1014" t="s">
        <v>465</v>
      </c>
      <c r="B24" s="182"/>
      <c r="C24" s="125"/>
      <c r="D24" s="126"/>
      <c r="E24" s="127"/>
      <c r="F24" s="247">
        <v>15</v>
      </c>
      <c r="G24" s="240" t="s">
        <v>12</v>
      </c>
      <c r="H24" s="241" t="s">
        <v>614</v>
      </c>
      <c r="I24" s="1017" t="s">
        <v>842</v>
      </c>
      <c r="J24" s="226">
        <f>+'30'!J24</f>
        <v>0</v>
      </c>
      <c r="K24" s="250"/>
      <c r="L24" s="250"/>
      <c r="M24" s="129">
        <f>+L24+'30'!M24+K24</f>
        <v>0</v>
      </c>
    </row>
    <row r="25" spans="1:18" ht="13.5" thickBot="1">
      <c r="A25" s="1020"/>
      <c r="B25" s="227" t="s">
        <v>557</v>
      </c>
      <c r="C25" s="237">
        <f>699+3543+9251</f>
        <v>13493</v>
      </c>
      <c r="D25" s="229">
        <v>260</v>
      </c>
      <c r="E25" s="236"/>
      <c r="F25" s="242">
        <v>0</v>
      </c>
      <c r="G25" s="243" t="s">
        <v>12</v>
      </c>
      <c r="H25" s="241" t="s">
        <v>458</v>
      </c>
      <c r="I25" s="1018"/>
      <c r="J25" s="226">
        <f>+'30'!J25</f>
        <v>0</v>
      </c>
      <c r="K25" s="250"/>
      <c r="L25" s="250"/>
      <c r="M25" s="129">
        <f>+L25+'30'!M25+K25</f>
        <v>0</v>
      </c>
    </row>
    <row r="26" spans="1:18" ht="13.5" thickBot="1">
      <c r="A26" s="1020"/>
      <c r="B26" s="227" t="s">
        <v>558</v>
      </c>
      <c r="C26" s="237">
        <f>3051+6971</f>
        <v>10022</v>
      </c>
      <c r="D26" s="229">
        <v>118</v>
      </c>
      <c r="E26" s="238"/>
      <c r="F26" s="242">
        <v>2</v>
      </c>
      <c r="G26" s="243" t="s">
        <v>12</v>
      </c>
      <c r="H26" s="598" t="s">
        <v>482</v>
      </c>
      <c r="I26" s="1018"/>
      <c r="J26" s="226">
        <f>+'30'!J26</f>
        <v>0</v>
      </c>
      <c r="K26" s="250"/>
      <c r="L26" s="250"/>
      <c r="M26" s="129">
        <f>+L26+'30'!M26+K26</f>
        <v>0</v>
      </c>
      <c r="N26" s="161">
        <v>1150</v>
      </c>
      <c r="O26" s="161">
        <f>+N26-N26*0.0035</f>
        <v>1145.9749999999999</v>
      </c>
      <c r="P26" s="161">
        <f>60+33</f>
        <v>93</v>
      </c>
      <c r="Q26" s="161">
        <f>+N26*P26</f>
        <v>106950</v>
      </c>
      <c r="R26" s="161">
        <f>+O26*P26</f>
        <v>106575.67499999999</v>
      </c>
    </row>
    <row r="27" spans="1:18" ht="13.5" thickBot="1">
      <c r="A27" s="1020"/>
      <c r="B27" s="227"/>
      <c r="C27" s="228"/>
      <c r="D27" s="229"/>
      <c r="E27" s="236"/>
      <c r="F27" s="242"/>
      <c r="G27" s="243"/>
      <c r="H27" s="598" t="s">
        <v>836</v>
      </c>
      <c r="I27" s="1018"/>
      <c r="J27" s="226">
        <f>+'30'!J27</f>
        <v>0</v>
      </c>
      <c r="K27" s="250"/>
      <c r="L27" s="250"/>
      <c r="M27" s="129">
        <f>+L27+'30'!M27+K27</f>
        <v>0</v>
      </c>
      <c r="N27" s="161">
        <v>1280</v>
      </c>
      <c r="O27" s="161">
        <f>+N27-N27*0.0035</f>
        <v>1275.52</v>
      </c>
      <c r="P27" s="161">
        <f>480-P26</f>
        <v>387</v>
      </c>
      <c r="Q27" s="161">
        <f>+N27*P27</f>
        <v>495360</v>
      </c>
      <c r="R27" s="161">
        <f>+O27*P27</f>
        <v>493626.24</v>
      </c>
    </row>
    <row r="28" spans="1:18" ht="13.5" thickBot="1">
      <c r="A28" s="1020"/>
      <c r="B28" s="227"/>
      <c r="C28" s="228"/>
      <c r="D28" s="229"/>
      <c r="E28" s="236"/>
      <c r="F28" s="242"/>
      <c r="G28" s="243"/>
      <c r="H28" s="244" t="s">
        <v>839</v>
      </c>
      <c r="I28" s="1018"/>
      <c r="J28" s="226">
        <f>+'30'!J28</f>
        <v>0</v>
      </c>
      <c r="K28" s="250"/>
      <c r="L28" s="250"/>
      <c r="M28" s="129">
        <f>+L28+'30'!M28+K28</f>
        <v>0</v>
      </c>
      <c r="P28" s="161">
        <f>SUM(P26:P27)</f>
        <v>480</v>
      </c>
      <c r="Q28" s="161">
        <f>SUM(Q26:Q27)</f>
        <v>602310</v>
      </c>
      <c r="R28" s="161">
        <f>SUM(R26:R27)</f>
        <v>600201.91500000004</v>
      </c>
    </row>
    <row r="29" spans="1:18" ht="13.5" thickBot="1">
      <c r="A29" s="1020"/>
      <c r="B29" s="227"/>
      <c r="C29" s="228"/>
      <c r="D29" s="229"/>
      <c r="E29" s="236"/>
      <c r="F29" s="247"/>
      <c r="G29" s="243"/>
      <c r="H29" s="244" t="s">
        <v>840</v>
      </c>
      <c r="I29" s="1018"/>
      <c r="J29" s="226">
        <f>+'30'!J29</f>
        <v>0</v>
      </c>
      <c r="K29" s="250"/>
      <c r="L29" s="250"/>
      <c r="M29" s="129">
        <f>+L29+'30'!M29+K29</f>
        <v>0</v>
      </c>
      <c r="Q29" s="161">
        <f>+Q28/P28</f>
        <v>1254.8125</v>
      </c>
      <c r="R29" s="161">
        <f>+R28/P28</f>
        <v>1250.4206562500001</v>
      </c>
    </row>
    <row r="30" spans="1:18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+'30'!J30</f>
        <v>0</v>
      </c>
      <c r="K30" s="250"/>
      <c r="L30" s="250"/>
      <c r="M30" s="129">
        <f>+L30+'30'!M30+K30</f>
        <v>0</v>
      </c>
      <c r="N30" s="167"/>
    </row>
    <row r="31" spans="1:18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+'30'!J31</f>
        <v>0</v>
      </c>
      <c r="K31" s="250"/>
      <c r="L31" s="250"/>
      <c r="M31" s="129">
        <f>+L31+'30'!M31+K31</f>
        <v>0</v>
      </c>
    </row>
    <row r="32" spans="1:18" ht="13.5" thickBot="1">
      <c r="A32" s="1021"/>
      <c r="B32" s="177" t="s">
        <v>2</v>
      </c>
      <c r="C32" s="111">
        <f>SUM(C25:C31)</f>
        <v>23515</v>
      </c>
      <c r="D32" s="112">
        <f>SUM(D25:D31)</f>
        <v>378</v>
      </c>
      <c r="E32" s="113">
        <f>SUM(E25:E31)</f>
        <v>0</v>
      </c>
      <c r="F32" s="114">
        <f>SUM(F24:F31)</f>
        <v>17</v>
      </c>
      <c r="G32" s="183"/>
      <c r="H32" s="184"/>
      <c r="I32" s="181"/>
      <c r="J32" s="226">
        <f>+'30'!J32</f>
        <v>0</v>
      </c>
      <c r="K32" s="252"/>
      <c r="L32" s="254"/>
      <c r="M32" s="129">
        <f>+L32+'30'!M32+K32</f>
        <v>0</v>
      </c>
    </row>
    <row r="33" spans="1:14" ht="13.5" thickBot="1">
      <c r="A33" s="185"/>
      <c r="B33" s="186"/>
      <c r="C33" s="115">
        <f>C32/($C$32+$D$32+$E$32)</f>
        <v>0.98417946678943624</v>
      </c>
      <c r="D33" s="116">
        <f>D32/($C$32+$D$32+$E$32)</f>
        <v>1.5820533210563762E-2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60962</v>
      </c>
      <c r="D34" s="119">
        <f>D14+D23+D32</f>
        <v>3769</v>
      </c>
      <c r="E34" s="119">
        <f>E14+E23+E32</f>
        <v>0</v>
      </c>
      <c r="F34" s="120">
        <f>F14+F23+F32</f>
        <v>102</v>
      </c>
      <c r="H34" s="190"/>
      <c r="I34" s="190"/>
      <c r="J34" s="135" t="s">
        <v>28</v>
      </c>
      <c r="K34" s="136">
        <f>SUM(K7:K32)</f>
        <v>60962</v>
      </c>
      <c r="L34" s="224">
        <f>SUM(L7:L32)</f>
        <v>0</v>
      </c>
      <c r="M34" s="132">
        <f>SUM(M7:M32)</f>
        <v>1655884</v>
      </c>
      <c r="N34" s="167"/>
    </row>
    <row r="35" spans="1:14" ht="13.5" thickBot="1">
      <c r="A35" s="191"/>
      <c r="B35" s="192"/>
      <c r="C35" s="116">
        <f>C34/($C$34+$D$34+$E$34)</f>
        <v>0.94177442029321345</v>
      </c>
      <c r="D35" s="116">
        <f>D34/($C$34+$D$34+$E$34)</f>
        <v>5.8225579706786545E-2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(16.5*1053+14*387)/1440*G42*2.77*1440/1000000</f>
        <v>75.088159418868756</v>
      </c>
      <c r="J37" s="137">
        <f>+I37+'30'!J37</f>
        <v>1905.5679448270866</v>
      </c>
      <c r="K37" s="138" t="s">
        <v>64</v>
      </c>
      <c r="L37" s="167">
        <f>+I38-L38</f>
        <v>50.610999999999997</v>
      </c>
    </row>
    <row r="38" spans="1:14" ht="17.45" customHeight="1">
      <c r="A38" s="1012" t="s">
        <v>12</v>
      </c>
      <c r="B38" s="1013"/>
      <c r="C38" s="176">
        <f>SUMIF($G$7:$G$31,"Process",$F$7:$F$31)</f>
        <v>102</v>
      </c>
      <c r="D38" s="130">
        <f>+C38+'30'!D38</f>
        <v>2133</v>
      </c>
      <c r="E38" s="155">
        <f t="shared" ref="E38:E51" si="0">D38/60</f>
        <v>35.549999999999997</v>
      </c>
      <c r="F38" s="340">
        <v>1150</v>
      </c>
      <c r="G38" s="340">
        <v>1145.9749999999999</v>
      </c>
      <c r="H38" s="199" t="s">
        <v>65</v>
      </c>
      <c r="I38" s="256">
        <f>21.086+23.04+21.835</f>
        <v>65.960999999999999</v>
      </c>
      <c r="J38" s="139">
        <f>+I38+'30'!J38</f>
        <v>1762.4719999999998</v>
      </c>
      <c r="K38" s="140" t="s">
        <v>64</v>
      </c>
      <c r="L38" s="161">
        <f>21.835-3.119-3.366</f>
        <v>15.350000000000001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+C39+'30'!D39</f>
        <v>0</v>
      </c>
      <c r="E39" s="155">
        <f t="shared" si="0"/>
        <v>0</v>
      </c>
      <c r="F39" s="340">
        <v>1175.6875</v>
      </c>
      <c r="G39" s="340">
        <v>1171.5725937499999</v>
      </c>
      <c r="H39" s="199" t="s">
        <v>66</v>
      </c>
      <c r="I39" s="154"/>
      <c r="J39" s="141">
        <f>J37/G4</f>
        <v>61.469933704099567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+C40+'30'!D40</f>
        <v>0</v>
      </c>
      <c r="E40" s="155">
        <f t="shared" si="0"/>
        <v>0</v>
      </c>
      <c r="F40" s="340">
        <v>1254.8125</v>
      </c>
      <c r="G40" s="340">
        <v>1250.4206562500001</v>
      </c>
      <c r="H40" s="199" t="s">
        <v>68</v>
      </c>
      <c r="I40" s="130">
        <f>(K34+L34)/1000</f>
        <v>60.962000000000003</v>
      </c>
      <c r="J40" s="143">
        <f>+I40+'30'!J40</f>
        <v>1655.8839999999998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+C41+'30'!D41</f>
        <v>336</v>
      </c>
      <c r="E41" s="155">
        <f t="shared" si="0"/>
        <v>5.6</v>
      </c>
      <c r="F41" s="340"/>
      <c r="G41" s="340"/>
      <c r="H41" s="199" t="s">
        <v>70</v>
      </c>
      <c r="I41" s="154"/>
      <c r="J41" s="141">
        <f>J40/G4</f>
        <v>53.415612903225799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+C42+'30'!D42</f>
        <v>0</v>
      </c>
      <c r="E42" s="155">
        <f t="shared" si="0"/>
        <v>0</v>
      </c>
      <c r="F42" s="340">
        <f>+(F38*480+F39*480+F40*480)/1440</f>
        <v>1193.5</v>
      </c>
      <c r="G42" s="340">
        <f>+(G38*480+G39*480+G40*480)/1440</f>
        <v>1189.32275</v>
      </c>
      <c r="H42" s="199" t="s">
        <v>71</v>
      </c>
      <c r="I42" s="257" t="s">
        <v>843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+C43+'30'!D43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+Report1!T39</f>
        <v>155.137</v>
      </c>
      <c r="J43" s="145">
        <f>+I43+'30'!J43</f>
        <v>3941.0309999999999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+C44+'30'!D44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2.3519503949303378</v>
      </c>
      <c r="J44" s="146">
        <f>J43/J38</f>
        <v>2.2360814810107623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+C45+'30'!D45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2.5448148026639545</v>
      </c>
      <c r="J45" s="146">
        <f>J43/J40</f>
        <v>2.3800163538025614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+C46+'30'!D46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+SUMIF(Listrik!AR38,"&gt;0")</f>
        <v>55279.980000000323</v>
      </c>
      <c r="J46" s="147">
        <f>+I46+'30'!J46</f>
        <v>1634730.3999999994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+C47+'30'!D47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838.07067812798959</v>
      </c>
      <c r="J47" s="147">
        <f>J46/J38</f>
        <v>927.52134501994908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+C48+'30'!D48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906.79406843608024</v>
      </c>
      <c r="J48" s="147">
        <f>J46/J40</f>
        <v>987.22519210282826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+C49+'30'!D49</f>
        <v>1505</v>
      </c>
      <c r="E49" s="155">
        <f t="shared" si="0"/>
        <v>25.083333333333332</v>
      </c>
      <c r="F49" s="197"/>
      <c r="H49" s="200" t="s">
        <v>83</v>
      </c>
      <c r="I49" s="130">
        <v>0</v>
      </c>
      <c r="J49" s="147">
        <f>+I49+'30'!J49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+C50+'30'!D50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+C51+'30'!D51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102</v>
      </c>
      <c r="D52" s="156">
        <f>SUM(D38:D51)</f>
        <v>3974</v>
      </c>
      <c r="E52" s="157">
        <f>SUM(E38:E51)</f>
        <v>66.233333333333334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7.0833333333333331E-2</v>
      </c>
      <c r="D53" s="158">
        <f>D52/(24*60*G4)</f>
        <v>8.9023297491039433E-2</v>
      </c>
      <c r="E53" s="159">
        <f>E52/(G4*24)</f>
        <v>8.9023297491039433E-2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+D34+'30'!J56</f>
        <v>39954</v>
      </c>
      <c r="K56" s="213">
        <f>J56/(J40+J56/1000)/1000</f>
        <v>2.3560033446591012E-2</v>
      </c>
    </row>
    <row r="57" spans="1:11">
      <c r="A57" s="188"/>
      <c r="I57" s="211" t="s">
        <v>90</v>
      </c>
      <c r="J57" s="212">
        <f>+E34+'30'!J57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1"/>
  <sheetViews>
    <sheetView topLeftCell="C4" zoomScale="80" zoomScaleNormal="80" workbookViewId="0">
      <selection activeCell="O29" sqref="O29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7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30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170+174+261</f>
        <v>605</v>
      </c>
    </row>
    <row r="7" spans="1:18" ht="13.5" customHeight="1" thickBot="1">
      <c r="A7" s="1014" t="s">
        <v>486</v>
      </c>
      <c r="B7" s="227" t="s">
        <v>460</v>
      </c>
      <c r="C7" s="228">
        <f>8391+502</f>
        <v>8893</v>
      </c>
      <c r="D7" s="229">
        <v>279</v>
      </c>
      <c r="E7" s="230"/>
      <c r="F7" s="239">
        <v>20</v>
      </c>
      <c r="G7" s="240" t="s">
        <v>12</v>
      </c>
      <c r="H7" s="241" t="s">
        <v>540</v>
      </c>
      <c r="I7" s="1017" t="s">
        <v>820</v>
      </c>
      <c r="J7" s="226" t="str">
        <f>+'29'!J7</f>
        <v>F 13 VP OW</v>
      </c>
      <c r="K7" s="249">
        <f>+C7</f>
        <v>8893</v>
      </c>
      <c r="L7" s="253"/>
      <c r="M7" s="129">
        <f>+K7+'29'!M7+L7</f>
        <v>230127</v>
      </c>
    </row>
    <row r="8" spans="1:18" ht="13.5" thickBot="1">
      <c r="A8" s="1015"/>
      <c r="B8" s="227" t="s">
        <v>487</v>
      </c>
      <c r="C8" s="228">
        <f>1835+2639</f>
        <v>4474</v>
      </c>
      <c r="D8" s="229">
        <v>297</v>
      </c>
      <c r="E8" s="231"/>
      <c r="F8" s="242">
        <v>5</v>
      </c>
      <c r="G8" s="243" t="s">
        <v>12</v>
      </c>
      <c r="H8" s="241" t="s">
        <v>481</v>
      </c>
      <c r="I8" s="1018"/>
      <c r="J8" s="226" t="str">
        <f>+'29'!J8</f>
        <v>F 10,3 VP OW</v>
      </c>
      <c r="K8" s="250"/>
      <c r="L8" s="250"/>
      <c r="M8" s="129">
        <f>+K8+'29'!M8+L8</f>
        <v>53369</v>
      </c>
      <c r="N8" s="161">
        <v>1550</v>
      </c>
      <c r="O8" s="161">
        <f>+N8-N8*0.24</f>
        <v>1178</v>
      </c>
      <c r="P8" s="161">
        <v>120</v>
      </c>
      <c r="Q8" s="161">
        <f>+N8*P8</f>
        <v>186000</v>
      </c>
      <c r="R8" s="161">
        <f>+O8*P8</f>
        <v>141360</v>
      </c>
    </row>
    <row r="9" spans="1:18" ht="13.5" thickBot="1">
      <c r="A9" s="1015"/>
      <c r="B9" s="227"/>
      <c r="C9" s="228"/>
      <c r="D9" s="229"/>
      <c r="E9" s="232"/>
      <c r="F9" s="239">
        <v>8</v>
      </c>
      <c r="G9" s="243" t="s">
        <v>12</v>
      </c>
      <c r="H9" s="598" t="s">
        <v>482</v>
      </c>
      <c r="I9" s="1018"/>
      <c r="J9" s="226" t="str">
        <f>+'29'!J9</f>
        <v>SN 15 VP OW</v>
      </c>
      <c r="K9" s="250"/>
      <c r="L9" s="250"/>
      <c r="M9" s="129">
        <f>+K9+'29'!M9+L9</f>
        <v>148317</v>
      </c>
      <c r="N9" s="161">
        <v>1260</v>
      </c>
      <c r="O9" s="161">
        <f>+N9-N9*0.0035</f>
        <v>1255.5899999999999</v>
      </c>
      <c r="P9" s="161">
        <v>360</v>
      </c>
      <c r="Q9" s="161">
        <f>+N9*P9</f>
        <v>453600</v>
      </c>
      <c r="R9" s="161">
        <f>+O9*P9</f>
        <v>452012.39999999997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807</v>
      </c>
      <c r="I10" s="1018"/>
      <c r="J10" s="226" t="str">
        <f>+'29'!J10</f>
        <v>MG 15,5 VP OW</v>
      </c>
      <c r="K10" s="250">
        <f>+C8+C16</f>
        <v>25365</v>
      </c>
      <c r="L10" s="250"/>
      <c r="M10" s="129">
        <f>+K10+'29'!M10+L10</f>
        <v>87870</v>
      </c>
      <c r="P10" s="161">
        <f>SUM(P8:P9)</f>
        <v>480</v>
      </c>
      <c r="Q10" s="161">
        <f>SUM(Q8:Q9)</f>
        <v>639600</v>
      </c>
      <c r="R10" s="161">
        <f>SUM(R8:R9)</f>
        <v>593372.39999999991</v>
      </c>
    </row>
    <row r="11" spans="1:18" ht="13.5" thickBot="1">
      <c r="A11" s="1015"/>
      <c r="B11" s="227"/>
      <c r="C11" s="228"/>
      <c r="D11" s="229"/>
      <c r="E11" s="231"/>
      <c r="F11" s="239"/>
      <c r="G11" s="243"/>
      <c r="H11" s="244" t="s">
        <v>813</v>
      </c>
      <c r="I11" s="1018"/>
      <c r="J11" s="226" t="s">
        <v>844</v>
      </c>
      <c r="K11" s="250"/>
      <c r="L11" s="250"/>
      <c r="M11" s="129">
        <f>+K11+'29'!M11+L11</f>
        <v>37635</v>
      </c>
      <c r="Q11" s="161">
        <f>+Q10/P10</f>
        <v>1332.5</v>
      </c>
      <c r="R11" s="161">
        <f>+R10/P10</f>
        <v>1236.1924999999999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+'29'!J12</f>
        <v>MG 21 VP OW</v>
      </c>
      <c r="K12" s="250"/>
      <c r="L12" s="250"/>
      <c r="M12" s="129">
        <f>+K12+'29'!M12+L12</f>
        <v>206161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+'29'!J13</f>
        <v>MG 22 VP HW</v>
      </c>
      <c r="K13" s="250">
        <f>+C25</f>
        <v>19489</v>
      </c>
      <c r="L13" s="250"/>
      <c r="M13" s="129">
        <f>+K13+'29'!M13+L13</f>
        <v>29619</v>
      </c>
    </row>
    <row r="14" spans="1:18" ht="13.5" thickBot="1">
      <c r="A14" s="1016"/>
      <c r="B14" s="177" t="s">
        <v>2</v>
      </c>
      <c r="C14" s="111">
        <f>SUM(C7:C13)</f>
        <v>13367</v>
      </c>
      <c r="D14" s="123">
        <f>SUM(D7:D13)</f>
        <v>576</v>
      </c>
      <c r="E14" s="124">
        <f>SUM(E5:E13)</f>
        <v>0</v>
      </c>
      <c r="F14" s="128">
        <f>SUM(F7:F13)</f>
        <v>33</v>
      </c>
      <c r="G14" s="171"/>
      <c r="H14" s="178"/>
      <c r="I14" s="179"/>
      <c r="J14" s="226" t="str">
        <f>+'29'!J14</f>
        <v>MG 17 VP HW/OW</v>
      </c>
      <c r="K14" s="250">
        <f>+C26</f>
        <v>0</v>
      </c>
      <c r="L14" s="250"/>
      <c r="M14" s="129">
        <f>+K14+'29'!M14+L14</f>
        <v>7375</v>
      </c>
    </row>
    <row r="15" spans="1:18" ht="13.5" customHeight="1" thickBot="1">
      <c r="A15" s="1014" t="s">
        <v>467</v>
      </c>
      <c r="B15" s="177"/>
      <c r="C15" s="125">
        <f>C14/($C$23+$D$23+$E$23)</f>
        <v>0.63984490929108229</v>
      </c>
      <c r="D15" s="126">
        <f>D14/($C$23+$D$23+$E$23)</f>
        <v>2.7571681585371693E-2</v>
      </c>
      <c r="E15" s="127">
        <f>E14/($C$23+$D$23+$E$23)</f>
        <v>0</v>
      </c>
      <c r="F15" s="239">
        <v>10</v>
      </c>
      <c r="G15" s="240" t="s">
        <v>12</v>
      </c>
      <c r="H15" s="241" t="s">
        <v>571</v>
      </c>
      <c r="I15" s="1017" t="s">
        <v>824</v>
      </c>
      <c r="J15" s="226" t="str">
        <f>+'29'!J15</f>
        <v>MG 14 VP HW</v>
      </c>
      <c r="K15" s="250"/>
      <c r="L15" s="250"/>
      <c r="M15" s="129">
        <f>+K15+'29'!M15+L15</f>
        <v>47118</v>
      </c>
    </row>
    <row r="16" spans="1:18" ht="13.5" thickBot="1">
      <c r="A16" s="1020"/>
      <c r="B16" s="227" t="s">
        <v>487</v>
      </c>
      <c r="C16" s="233">
        <v>20891</v>
      </c>
      <c r="D16" s="234"/>
      <c r="E16" s="235"/>
      <c r="F16" s="239"/>
      <c r="G16" s="243" t="s">
        <v>12</v>
      </c>
      <c r="H16" s="241" t="s">
        <v>458</v>
      </c>
      <c r="I16" s="1018"/>
      <c r="J16" s="226" t="str">
        <f>+'29'!J16</f>
        <v>F 12 VP OW</v>
      </c>
      <c r="K16" s="240"/>
      <c r="L16" s="240"/>
      <c r="M16" s="129">
        <f>+K16+'29'!M16+L16</f>
        <v>603222</v>
      </c>
    </row>
    <row r="17" spans="1:24" ht="13.5" thickBot="1">
      <c r="A17" s="1020"/>
      <c r="B17" s="227"/>
      <c r="C17" s="228"/>
      <c r="D17" s="229"/>
      <c r="E17" s="236"/>
      <c r="F17" s="239">
        <v>9</v>
      </c>
      <c r="G17" s="243" t="s">
        <v>12</v>
      </c>
      <c r="H17" s="598" t="s">
        <v>613</v>
      </c>
      <c r="I17" s="1018"/>
      <c r="J17" s="226" t="str">
        <f>+'29'!J17</f>
        <v>F 10,5 VP OW</v>
      </c>
      <c r="K17" s="240"/>
      <c r="L17" s="240"/>
      <c r="M17" s="129">
        <f>+K17+'29'!M17+L17</f>
        <v>35511</v>
      </c>
      <c r="N17" s="161">
        <v>1260</v>
      </c>
      <c r="O17" s="161">
        <f>+N17-N17*0.0035</f>
        <v>1255.5899999999999</v>
      </c>
      <c r="P17" s="161">
        <f>180+20</f>
        <v>200</v>
      </c>
      <c r="Q17" s="161">
        <f>+N17*P17</f>
        <v>252000</v>
      </c>
      <c r="R17" s="161">
        <f>+O17*P17</f>
        <v>251117.99999999997</v>
      </c>
      <c r="T17" s="161" t="s">
        <v>832</v>
      </c>
    </row>
    <row r="18" spans="1:24" ht="13.5" thickBot="1">
      <c r="A18" s="1020"/>
      <c r="B18" s="227"/>
      <c r="C18" s="228"/>
      <c r="D18" s="229"/>
      <c r="E18" s="236"/>
      <c r="F18" s="239"/>
      <c r="G18" s="243"/>
      <c r="H18" s="598" t="s">
        <v>819</v>
      </c>
      <c r="I18" s="1018"/>
      <c r="J18" s="226" t="str">
        <f>+'29'!J18</f>
        <v>F 12,5 VP OW</v>
      </c>
      <c r="K18" s="250"/>
      <c r="L18" s="250"/>
      <c r="M18" s="129">
        <f>+K18+'29'!M18+L18</f>
        <v>16783</v>
      </c>
      <c r="N18" s="161">
        <v>900</v>
      </c>
      <c r="O18" s="161">
        <f>+N18-N18*0.0035</f>
        <v>896.85</v>
      </c>
      <c r="P18" s="161">
        <f>40+50+30</f>
        <v>120</v>
      </c>
      <c r="Q18" s="161">
        <f>+N18*P18</f>
        <v>108000</v>
      </c>
      <c r="R18" s="161">
        <f>+O18*P18</f>
        <v>107622</v>
      </c>
      <c r="T18" s="161">
        <v>900</v>
      </c>
      <c r="U18" s="161">
        <f>+T18-T18*0.0035</f>
        <v>896.85</v>
      </c>
      <c r="V18" s="161">
        <f>40+50+30</f>
        <v>120</v>
      </c>
      <c r="W18" s="161">
        <f>+T18*V18</f>
        <v>108000</v>
      </c>
      <c r="X18" s="161">
        <f>+U18*V18</f>
        <v>107622</v>
      </c>
    </row>
    <row r="19" spans="1:24" ht="13.5" thickBot="1">
      <c r="A19" s="1020"/>
      <c r="B19" s="227"/>
      <c r="C19" s="228"/>
      <c r="D19" s="229"/>
      <c r="E19" s="236"/>
      <c r="F19" s="246">
        <v>15</v>
      </c>
      <c r="G19" s="243" t="s">
        <v>12</v>
      </c>
      <c r="H19" s="244" t="s">
        <v>833</v>
      </c>
      <c r="I19" s="1018"/>
      <c r="J19" s="226" t="str">
        <f>+'29'!J19</f>
        <v>F 13,5 VP OW</v>
      </c>
      <c r="K19" s="250"/>
      <c r="L19" s="250"/>
      <c r="M19" s="129">
        <f>+K19+'29'!M19+L19</f>
        <v>22253</v>
      </c>
      <c r="N19" s="161">
        <v>880</v>
      </c>
      <c r="O19" s="161">
        <f>+N19-N19*0.0035</f>
        <v>876.92</v>
      </c>
      <c r="P19" s="161">
        <f>10+30</f>
        <v>40</v>
      </c>
      <c r="Q19" s="161">
        <f>+N19*P19</f>
        <v>35200</v>
      </c>
      <c r="R19" s="161">
        <f>+O19*P19</f>
        <v>35076.799999999996</v>
      </c>
      <c r="T19" s="161">
        <v>880</v>
      </c>
      <c r="U19" s="161">
        <f>+T19-T19*0.0035</f>
        <v>876.92</v>
      </c>
      <c r="V19" s="161">
        <f>10+30</f>
        <v>40</v>
      </c>
      <c r="W19" s="161">
        <f>+T19*V19</f>
        <v>35200</v>
      </c>
      <c r="X19" s="161">
        <f>+U19*V19</f>
        <v>35076.799999999996</v>
      </c>
    </row>
    <row r="20" spans="1:24" ht="13.5" thickBot="1">
      <c r="A20" s="1020"/>
      <c r="B20" s="227"/>
      <c r="C20" s="228"/>
      <c r="D20" s="229"/>
      <c r="E20" s="236"/>
      <c r="F20" s="239"/>
      <c r="G20" s="243"/>
      <c r="H20" s="244" t="s">
        <v>834</v>
      </c>
      <c r="I20" s="1018"/>
      <c r="J20" s="226" t="str">
        <f>+'29'!J20</f>
        <v>F 14 VP OW</v>
      </c>
      <c r="K20" s="251"/>
      <c r="L20" s="251"/>
      <c r="M20" s="129">
        <f>+K20+'29'!M20+L20</f>
        <v>69562</v>
      </c>
      <c r="N20" s="161">
        <v>860</v>
      </c>
      <c r="O20" s="161">
        <f>+N20-N20*0.0035</f>
        <v>856.99</v>
      </c>
      <c r="P20" s="161">
        <v>120</v>
      </c>
      <c r="Q20" s="161">
        <f>+N20*P20</f>
        <v>103200</v>
      </c>
      <c r="R20" s="161">
        <f>+O20*P20</f>
        <v>102838.8</v>
      </c>
      <c r="T20" s="161">
        <v>860</v>
      </c>
      <c r="U20" s="161">
        <f>+T20-T20*0.0035</f>
        <v>856.99</v>
      </c>
      <c r="V20" s="161">
        <f>120+317</f>
        <v>437</v>
      </c>
      <c r="W20" s="161">
        <f>+T20*V20</f>
        <v>375820</v>
      </c>
      <c r="X20" s="161">
        <f>+U20*V20</f>
        <v>374504.63</v>
      </c>
    </row>
    <row r="21" spans="1:24" ht="26.25" thickBot="1">
      <c r="A21" s="1020"/>
      <c r="B21" s="227"/>
      <c r="C21" s="228"/>
      <c r="D21" s="229"/>
      <c r="E21" s="236"/>
      <c r="F21" s="242"/>
      <c r="G21" s="243"/>
      <c r="H21" s="244" t="s">
        <v>814</v>
      </c>
      <c r="I21" s="1018"/>
      <c r="J21" s="226">
        <f>+'29'!J21</f>
        <v>0</v>
      </c>
      <c r="K21" s="250"/>
      <c r="L21" s="250"/>
      <c r="M21" s="129">
        <f>+K21+'29'!M21+L21</f>
        <v>0</v>
      </c>
      <c r="P21" s="161">
        <f>SUM(P17:P20)</f>
        <v>480</v>
      </c>
      <c r="Q21" s="161">
        <f>SUM(Q17:Q20)</f>
        <v>498400</v>
      </c>
      <c r="R21" s="161">
        <f>SUM(R17:R20)</f>
        <v>496655.6</v>
      </c>
      <c r="V21" s="161">
        <f>SUM(V17:V20)</f>
        <v>597</v>
      </c>
      <c r="W21" s="161">
        <f>SUM(W17:W20)</f>
        <v>519020</v>
      </c>
      <c r="X21" s="161">
        <f>SUM(X17:X20)</f>
        <v>517203.43</v>
      </c>
    </row>
    <row r="22" spans="1:24" ht="26.25" thickBot="1">
      <c r="A22" s="1020"/>
      <c r="B22" s="227"/>
      <c r="C22" s="228"/>
      <c r="D22" s="229"/>
      <c r="E22" s="236"/>
      <c r="F22" s="247"/>
      <c r="G22" s="243"/>
      <c r="H22" s="244" t="s">
        <v>815</v>
      </c>
      <c r="I22" s="1019"/>
      <c r="J22" s="226">
        <f>+'29'!J22</f>
        <v>0</v>
      </c>
      <c r="K22" s="250"/>
      <c r="L22" s="250"/>
      <c r="M22" s="129">
        <f>+K22+'29'!M22+L22</f>
        <v>0</v>
      </c>
      <c r="Q22" s="161">
        <f>+Q21/P21</f>
        <v>1038.3333333333333</v>
      </c>
      <c r="R22" s="161">
        <f>+R21/P21</f>
        <v>1034.6991666666665</v>
      </c>
      <c r="W22" s="161">
        <f>+W21/V21</f>
        <v>869.38023450586263</v>
      </c>
      <c r="X22" s="161">
        <f>+X21/V21</f>
        <v>866.33740368509211</v>
      </c>
    </row>
    <row r="23" spans="1:24" ht="13.5" thickBot="1">
      <c r="A23" s="1021"/>
      <c r="B23" s="180" t="s">
        <v>2</v>
      </c>
      <c r="C23" s="112">
        <f>SUM(C16:C22)</f>
        <v>20891</v>
      </c>
      <c r="D23" s="123">
        <f>SUM(D16:D22)</f>
        <v>0</v>
      </c>
      <c r="E23" s="124">
        <f>SUM(E18:E22)</f>
        <v>0</v>
      </c>
      <c r="F23" s="128">
        <f>SUM(F15:F22)</f>
        <v>34</v>
      </c>
      <c r="G23" s="171"/>
      <c r="H23" s="178"/>
      <c r="I23" s="181"/>
      <c r="J23" s="226">
        <f>+'29'!J23</f>
        <v>0</v>
      </c>
      <c r="K23" s="250"/>
      <c r="L23" s="250"/>
      <c r="M23" s="129">
        <f>+K23+'29'!M23+L23</f>
        <v>0</v>
      </c>
    </row>
    <row r="24" spans="1:24" ht="13.5" customHeight="1" thickBot="1">
      <c r="A24" s="1014" t="s">
        <v>465</v>
      </c>
      <c r="B24" s="182"/>
      <c r="C24" s="125">
        <f>C23/($C$23+$D$23+$E$23)</f>
        <v>1</v>
      </c>
      <c r="D24" s="126">
        <f>D23/($C$23+$D$23+$E$23)</f>
        <v>0</v>
      </c>
      <c r="E24" s="127">
        <f>E23/($C$23+$D$23+$E$23)</f>
        <v>0</v>
      </c>
      <c r="F24" s="247">
        <v>15</v>
      </c>
      <c r="G24" s="240" t="s">
        <v>12</v>
      </c>
      <c r="H24" s="241" t="s">
        <v>614</v>
      </c>
      <c r="I24" s="1017" t="s">
        <v>822</v>
      </c>
      <c r="J24" s="226">
        <f>+'29'!J24</f>
        <v>0</v>
      </c>
      <c r="K24" s="250"/>
      <c r="L24" s="250"/>
      <c r="M24" s="129">
        <f>+K24+'29'!M24+L24</f>
        <v>0</v>
      </c>
    </row>
    <row r="25" spans="1:24" ht="13.5" thickBot="1">
      <c r="A25" s="1020"/>
      <c r="B25" s="227" t="s">
        <v>826</v>
      </c>
      <c r="C25" s="237">
        <v>19489</v>
      </c>
      <c r="D25" s="229">
        <v>2935</v>
      </c>
      <c r="E25" s="236"/>
      <c r="F25" s="242"/>
      <c r="G25" s="243" t="s">
        <v>12</v>
      </c>
      <c r="H25" s="241" t="s">
        <v>458</v>
      </c>
      <c r="I25" s="1018"/>
      <c r="J25" s="226">
        <f>+'29'!J25</f>
        <v>0</v>
      </c>
      <c r="K25" s="250"/>
      <c r="L25" s="250"/>
      <c r="M25" s="129">
        <f>+K25+'29'!M25+L25</f>
        <v>0</v>
      </c>
      <c r="N25" s="161">
        <v>860</v>
      </c>
      <c r="O25" s="161">
        <f>+N25-N25*0.0035</f>
        <v>856.99</v>
      </c>
      <c r="P25" s="161">
        <v>317</v>
      </c>
      <c r="Q25" s="161">
        <f>+N25*P25</f>
        <v>272620</v>
      </c>
      <c r="R25" s="161">
        <f>+O25*P25</f>
        <v>271665.83</v>
      </c>
    </row>
    <row r="26" spans="1:24" ht="13.5" thickBot="1">
      <c r="A26" s="1020"/>
      <c r="B26" s="227" t="s">
        <v>567</v>
      </c>
      <c r="C26" s="237"/>
      <c r="D26" s="229"/>
      <c r="E26" s="238"/>
      <c r="F26" s="242">
        <v>7</v>
      </c>
      <c r="G26" s="243" t="s">
        <v>12</v>
      </c>
      <c r="H26" s="598" t="s">
        <v>482</v>
      </c>
      <c r="I26" s="1018"/>
      <c r="J26" s="226">
        <f>+'29'!J26</f>
        <v>0</v>
      </c>
      <c r="K26" s="250"/>
      <c r="L26" s="250"/>
      <c r="M26" s="129">
        <f>+K26+'29'!M26+L26</f>
        <v>0</v>
      </c>
      <c r="N26" s="161">
        <v>1150</v>
      </c>
      <c r="O26" s="161">
        <f>+N26-N26*0.0035</f>
        <v>1145.9749999999999</v>
      </c>
      <c r="P26" s="161">
        <v>43</v>
      </c>
      <c r="Q26" s="161">
        <f>+N26*P26</f>
        <v>49450</v>
      </c>
      <c r="R26" s="161">
        <f>+O26*P26</f>
        <v>49276.924999999996</v>
      </c>
    </row>
    <row r="27" spans="1:24" ht="13.5" thickBot="1">
      <c r="A27" s="1020"/>
      <c r="B27" s="227" t="s">
        <v>559</v>
      </c>
      <c r="C27" s="228"/>
      <c r="D27" s="229"/>
      <c r="E27" s="236"/>
      <c r="F27" s="242"/>
      <c r="G27" s="243"/>
      <c r="H27" s="598" t="s">
        <v>835</v>
      </c>
      <c r="I27" s="1018"/>
      <c r="J27" s="226">
        <f>+'29'!J27</f>
        <v>0</v>
      </c>
      <c r="K27" s="250"/>
      <c r="L27" s="250"/>
      <c r="M27" s="129">
        <f>+K27+'29'!M27+L27</f>
        <v>0</v>
      </c>
      <c r="N27" s="161">
        <v>1150</v>
      </c>
      <c r="O27" s="161">
        <f>+N27-N27*0.0035</f>
        <v>1145.9749999999999</v>
      </c>
      <c r="P27" s="161">
        <v>120</v>
      </c>
      <c r="Q27" s="161">
        <f>+N27*P27</f>
        <v>138000</v>
      </c>
      <c r="R27" s="161">
        <f>+O27*P27</f>
        <v>137517</v>
      </c>
    </row>
    <row r="28" spans="1:24" ht="13.5" thickBot="1">
      <c r="A28" s="1020"/>
      <c r="B28" s="227"/>
      <c r="C28" s="228"/>
      <c r="D28" s="229"/>
      <c r="E28" s="236"/>
      <c r="F28" s="242"/>
      <c r="G28" s="243"/>
      <c r="H28" s="244" t="s">
        <v>817</v>
      </c>
      <c r="I28" s="1018"/>
      <c r="J28" s="226">
        <f>+'29'!J28</f>
        <v>0</v>
      </c>
      <c r="K28" s="250"/>
      <c r="L28" s="250"/>
      <c r="M28" s="129">
        <f>+K28+'29'!M28+L28</f>
        <v>0</v>
      </c>
      <c r="P28" s="161">
        <f>SUM(P25:P27)</f>
        <v>480</v>
      </c>
      <c r="Q28" s="161">
        <f>SUM(Q25:Q27)</f>
        <v>460070</v>
      </c>
      <c r="R28" s="161">
        <f>SUM(R25:R27)</f>
        <v>458459.755</v>
      </c>
    </row>
    <row r="29" spans="1:24" ht="13.5" thickBot="1">
      <c r="A29" s="1020"/>
      <c r="B29" s="227"/>
      <c r="C29" s="228"/>
      <c r="D29" s="229"/>
      <c r="E29" s="236"/>
      <c r="F29" s="247"/>
      <c r="G29" s="243"/>
      <c r="H29" s="244" t="s">
        <v>816</v>
      </c>
      <c r="I29" s="1018"/>
      <c r="J29" s="226">
        <f>+'29'!J29</f>
        <v>0</v>
      </c>
      <c r="K29" s="250"/>
      <c r="L29" s="250"/>
      <c r="M29" s="129">
        <f>+K29+'29'!M29+L29</f>
        <v>0</v>
      </c>
      <c r="Q29" s="161">
        <f>+Q28/P28</f>
        <v>958.47916666666663</v>
      </c>
      <c r="R29" s="161">
        <f>+R28/P28</f>
        <v>955.12448958333334</v>
      </c>
    </row>
    <row r="30" spans="1:24" ht="26.25" thickBot="1">
      <c r="A30" s="1020"/>
      <c r="B30" s="227"/>
      <c r="C30" s="237"/>
      <c r="D30" s="229"/>
      <c r="E30" s="236"/>
      <c r="F30" s="247"/>
      <c r="G30" s="243"/>
      <c r="H30" s="244" t="s">
        <v>821</v>
      </c>
      <c r="I30" s="1018"/>
      <c r="J30" s="226">
        <f>+'29'!J30</f>
        <v>0</v>
      </c>
      <c r="K30" s="250"/>
      <c r="L30" s="250"/>
      <c r="M30" s="129">
        <f>+K30+'29'!M30+L30</f>
        <v>0</v>
      </c>
      <c r="N30" s="167"/>
    </row>
    <row r="31" spans="1:24" ht="13.5" thickBot="1">
      <c r="A31" s="1020"/>
      <c r="B31" s="227"/>
      <c r="C31" s="237"/>
      <c r="D31" s="229"/>
      <c r="E31" s="236"/>
      <c r="F31" s="247"/>
      <c r="G31" s="248"/>
      <c r="H31" s="466" t="s">
        <v>818</v>
      </c>
      <c r="I31" s="1019"/>
      <c r="J31" s="226">
        <f>+'29'!J31</f>
        <v>0</v>
      </c>
      <c r="K31" s="250"/>
      <c r="L31" s="250"/>
      <c r="M31" s="129">
        <f>+K31+'29'!M31+L31</f>
        <v>0</v>
      </c>
    </row>
    <row r="32" spans="1:24" ht="13.5" thickBot="1">
      <c r="A32" s="1021"/>
      <c r="B32" s="177" t="s">
        <v>2</v>
      </c>
      <c r="C32" s="111">
        <f>SUM(C25:C31)</f>
        <v>19489</v>
      </c>
      <c r="D32" s="112">
        <f>SUM(D25:D31)</f>
        <v>2935</v>
      </c>
      <c r="E32" s="113">
        <f>SUM(E25:E31)</f>
        <v>0</v>
      </c>
      <c r="F32" s="114">
        <f>SUM(F24:F31)</f>
        <v>22</v>
      </c>
      <c r="G32" s="183"/>
      <c r="H32" s="184"/>
      <c r="I32" s="181"/>
      <c r="J32" s="226">
        <f>+'29'!J32</f>
        <v>0</v>
      </c>
      <c r="K32" s="252"/>
      <c r="L32" s="254"/>
      <c r="M32" s="129">
        <f>+K32+'29'!M32+L32</f>
        <v>0</v>
      </c>
    </row>
    <row r="33" spans="1:14" ht="13.5" thickBot="1">
      <c r="A33" s="185"/>
      <c r="B33" s="186"/>
      <c r="C33" s="115">
        <f>C32/($C$32+$D$32+$E$32)</f>
        <v>0.86911344987513384</v>
      </c>
      <c r="D33" s="116">
        <f>D32/($C$32+$D$32+$E$32)</f>
        <v>0.13088655012486622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53747</v>
      </c>
      <c r="D34" s="119">
        <f>D14+D23+D32</f>
        <v>3511</v>
      </c>
      <c r="E34" s="119">
        <f>E14+E23+E32</f>
        <v>0</v>
      </c>
      <c r="F34" s="120">
        <f>F14+F23+F32</f>
        <v>89</v>
      </c>
      <c r="H34" s="190"/>
      <c r="I34" s="190"/>
      <c r="J34" s="135" t="s">
        <v>28</v>
      </c>
      <c r="K34" s="136">
        <f>SUM(K7:K32)</f>
        <v>53747</v>
      </c>
      <c r="L34" s="224">
        <f>SUM(L7:L32)</f>
        <v>0</v>
      </c>
      <c r="M34" s="132">
        <f>SUM(M7:M32)</f>
        <v>1594922</v>
      </c>
      <c r="N34" s="167"/>
    </row>
    <row r="35" spans="1:14" ht="13.5" thickBot="1">
      <c r="A35" s="191"/>
      <c r="B35" s="192"/>
      <c r="C35" s="116">
        <f>C34/($C$34+$D$34+$E$34)</f>
        <v>0.93868105766879739</v>
      </c>
      <c r="D35" s="116">
        <f>D34/($C$34+$D$34+$E$34)</f>
        <v>6.1318942331202629E-2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(13*120+15.5*560+21.5*597+17*43+16.5*120)/1440*G42*2.77*1440/1000000</f>
        <v>76.809944582799844</v>
      </c>
      <c r="J37" s="137">
        <f>+I37+'29'!J37</f>
        <v>1830.4797854082178</v>
      </c>
      <c r="K37" s="138" t="s">
        <v>64</v>
      </c>
      <c r="L37" s="161">
        <f>2.541+2.545</f>
        <v>5.0860000000000003</v>
      </c>
    </row>
    <row r="38" spans="1:14" ht="17.45" customHeight="1">
      <c r="A38" s="1012" t="s">
        <v>12</v>
      </c>
      <c r="B38" s="1013"/>
      <c r="C38" s="176">
        <f>SUMIF($G$7:$G$31,"Process",$F$7:$F$31)</f>
        <v>89</v>
      </c>
      <c r="D38" s="130">
        <f>+C38+'29'!D38</f>
        <v>2031</v>
      </c>
      <c r="E38" s="155">
        <f t="shared" ref="E38:E51" si="0">D38/60</f>
        <v>33.85</v>
      </c>
      <c r="F38" s="340">
        <v>1332.5</v>
      </c>
      <c r="G38" s="340">
        <v>1236.1924999999999</v>
      </c>
      <c r="H38" s="199" t="s">
        <v>65</v>
      </c>
      <c r="I38" s="256">
        <f>19.023+24.336+21.611</f>
        <v>64.97</v>
      </c>
      <c r="J38" s="139">
        <f>+I38+'29'!J38</f>
        <v>1696.5109999999997</v>
      </c>
      <c r="K38" s="140" t="s">
        <v>64</v>
      </c>
      <c r="L38" s="161">
        <v>27.064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+C39+'29'!D39</f>
        <v>0</v>
      </c>
      <c r="E39" s="155">
        <f t="shared" si="0"/>
        <v>0</v>
      </c>
      <c r="F39" s="340">
        <v>1038.3333333333333</v>
      </c>
      <c r="G39" s="340">
        <v>1034.6991666666665</v>
      </c>
      <c r="H39" s="199" t="s">
        <v>66</v>
      </c>
      <c r="I39" s="154"/>
      <c r="J39" s="141">
        <f>J37/G4</f>
        <v>61.015992846940591</v>
      </c>
      <c r="K39" s="142" t="s">
        <v>64</v>
      </c>
      <c r="L39" s="167">
        <f>+I38-L37-L38-L40-L41</f>
        <v>25.919000000000004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+C40+'29'!D40</f>
        <v>0</v>
      </c>
      <c r="E40" s="155">
        <f t="shared" si="0"/>
        <v>0</v>
      </c>
      <c r="F40" s="340">
        <v>958.47916666666663</v>
      </c>
      <c r="G40" s="340">
        <v>955.12448958333334</v>
      </c>
      <c r="H40" s="199" t="s">
        <v>68</v>
      </c>
      <c r="I40" s="130">
        <f>(K34+L34)/1000</f>
        <v>53.747</v>
      </c>
      <c r="J40" s="143">
        <f>+I40+'29'!J40</f>
        <v>1594.9219999999998</v>
      </c>
      <c r="K40" s="142" t="s">
        <v>64</v>
      </c>
      <c r="L40" s="161">
        <v>1.202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+C41+'29'!D41</f>
        <v>336</v>
      </c>
      <c r="E41" s="155">
        <f t="shared" si="0"/>
        <v>5.6</v>
      </c>
      <c r="F41" s="340"/>
      <c r="G41" s="340"/>
      <c r="H41" s="199" t="s">
        <v>70</v>
      </c>
      <c r="I41" s="154"/>
      <c r="J41" s="141">
        <f>J40/G4</f>
        <v>53.164066666666663</v>
      </c>
      <c r="K41" s="142" t="s">
        <v>64</v>
      </c>
      <c r="L41" s="161">
        <f>2.333+3.366</f>
        <v>5.6989999999999998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+C42+'29'!D42</f>
        <v>0</v>
      </c>
      <c r="E42" s="155">
        <f t="shared" si="0"/>
        <v>0</v>
      </c>
      <c r="F42" s="340">
        <f>+(F38*480+F39*480+F40*480)/1440</f>
        <v>1109.7708333333333</v>
      </c>
      <c r="G42" s="340">
        <f>+(G38*480+G39*480+G40*480)/1440</f>
        <v>1075.33871875</v>
      </c>
      <c r="H42" s="199" t="s">
        <v>71</v>
      </c>
      <c r="I42" s="257" t="s">
        <v>823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+C43+'29'!D43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+Report1!T38</f>
        <v>145.49299999999999</v>
      </c>
      <c r="J43" s="145">
        <f>+I43+'29'!J43</f>
        <v>3785.8939999999998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+C44+'29'!D44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2.2393874095736495</v>
      </c>
      <c r="J44" s="146">
        <f>J43/J38</f>
        <v>2.2315764530851849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+C45+'29'!D45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2.7069975998660389</v>
      </c>
      <c r="J45" s="146">
        <f>J43/J40</f>
        <v>2.3737173353932044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+C46+'29'!D46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+SUMIF(Listrik!AR37,"&gt;0")</f>
        <v>50199.939999999522</v>
      </c>
      <c r="J46" s="147">
        <f>+I46+'29'!J46</f>
        <v>1579450.4199999992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+C47+'29'!D47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772.66338309988487</v>
      </c>
      <c r="J47" s="147">
        <f>J46/J38</f>
        <v>930.99922134309736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+C48+'29'!D48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934.00450257687908</v>
      </c>
      <c r="J48" s="147">
        <f>J46/J40</f>
        <v>990.29947546024164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+C49+'29'!D49</f>
        <v>1505</v>
      </c>
      <c r="E49" s="155">
        <f t="shared" si="0"/>
        <v>25.083333333333332</v>
      </c>
      <c r="F49" s="197"/>
      <c r="H49" s="200" t="s">
        <v>83</v>
      </c>
      <c r="I49" s="130">
        <v>0</v>
      </c>
      <c r="J49" s="147">
        <f>+I49+'29'!J49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+C50+'29'!D50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+C51+'29'!D51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89</v>
      </c>
      <c r="D52" s="156">
        <f>SUM(D38:D51)</f>
        <v>3872</v>
      </c>
      <c r="E52" s="157">
        <f>SUM(E38:E51)</f>
        <v>64.533333333333331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6.1805555555555558E-2</v>
      </c>
      <c r="D53" s="158">
        <f>D52/(24*60*G4)</f>
        <v>8.9629629629629629E-2</v>
      </c>
      <c r="E53" s="159">
        <f>E52/(G4*24)</f>
        <v>8.9629629629629629E-2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+D34+'29'!J56</f>
        <v>36185</v>
      </c>
      <c r="K56" s="213">
        <f>J56/(J40+J56/1000)/1000</f>
        <v>2.2184320219335706E-2</v>
      </c>
    </row>
    <row r="57" spans="1:11">
      <c r="A57" s="188"/>
      <c r="I57" s="211" t="s">
        <v>90</v>
      </c>
      <c r="J57" s="212">
        <f>+E34+'29'!J57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zoomScale="80" zoomScaleNormal="80" workbookViewId="0">
      <selection activeCell="D17" sqref="D17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4.1406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29</v>
      </c>
      <c r="H4" s="166" t="str">
        <f>+'1'!H4</f>
        <v>.10.25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163+172+175</f>
        <v>510</v>
      </c>
    </row>
    <row r="7" spans="1:15" ht="13.5" customHeight="1" thickBot="1">
      <c r="A7" s="1014" t="s">
        <v>486</v>
      </c>
      <c r="B7" s="227" t="s">
        <v>460</v>
      </c>
      <c r="C7" s="228">
        <f>15677+1006+4887</f>
        <v>21570</v>
      </c>
      <c r="D7" s="229">
        <v>327</v>
      </c>
      <c r="E7" s="230"/>
      <c r="F7" s="239">
        <v>10</v>
      </c>
      <c r="G7" s="240" t="s">
        <v>12</v>
      </c>
      <c r="H7" s="241" t="s">
        <v>571</v>
      </c>
      <c r="I7" s="1017" t="s">
        <v>810</v>
      </c>
      <c r="J7" s="226" t="str">
        <f>+'28'!J7</f>
        <v>F 13 VP OW</v>
      </c>
      <c r="K7" s="249">
        <f>+C7+C16+C25</f>
        <v>61749</v>
      </c>
      <c r="L7" s="253"/>
      <c r="M7" s="129">
        <f>+K7+'28'!M7+L7</f>
        <v>221234</v>
      </c>
    </row>
    <row r="8" spans="1:15" ht="13.5" thickBot="1">
      <c r="A8" s="1015"/>
      <c r="B8" s="227"/>
      <c r="C8" s="228"/>
      <c r="D8" s="229"/>
      <c r="E8" s="231"/>
      <c r="F8" s="242">
        <v>0</v>
      </c>
      <c r="G8" s="243" t="s">
        <v>12</v>
      </c>
      <c r="H8" s="241" t="s">
        <v>458</v>
      </c>
      <c r="I8" s="1018"/>
      <c r="J8" s="226" t="str">
        <f>+'28'!J8</f>
        <v>F 10,3 VP OW</v>
      </c>
      <c r="K8" s="250"/>
      <c r="L8" s="250"/>
      <c r="M8" s="129">
        <f>+K8+'28'!M8+L8</f>
        <v>53369</v>
      </c>
      <c r="N8" s="161">
        <v>1550</v>
      </c>
      <c r="O8" s="161">
        <f>+N8-N8*0.24</f>
        <v>1178</v>
      </c>
    </row>
    <row r="9" spans="1:15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482</v>
      </c>
      <c r="I9" s="1018"/>
      <c r="J9" s="226" t="str">
        <f>+'28'!J9</f>
        <v>SN 15 VP OW</v>
      </c>
      <c r="K9" s="250"/>
      <c r="L9" s="250"/>
      <c r="M9" s="129">
        <f>+K9+'28'!M9+L9</f>
        <v>148317</v>
      </c>
    </row>
    <row r="10" spans="1:15" ht="13.5" thickBot="1">
      <c r="A10" s="1015"/>
      <c r="B10" s="227"/>
      <c r="C10" s="228"/>
      <c r="D10" s="229"/>
      <c r="E10" s="231"/>
      <c r="F10" s="239"/>
      <c r="G10" s="243"/>
      <c r="H10" s="598" t="s">
        <v>807</v>
      </c>
      <c r="I10" s="1018"/>
      <c r="J10" s="226" t="str">
        <f>+'28'!J10</f>
        <v>MG 15,5 VP OW</v>
      </c>
      <c r="K10" s="250"/>
      <c r="L10" s="250"/>
      <c r="M10" s="129">
        <f>+K10+'28'!M10+L10</f>
        <v>62505</v>
      </c>
    </row>
    <row r="11" spans="1:15" ht="13.5" thickBot="1">
      <c r="A11" s="1015"/>
      <c r="B11" s="227"/>
      <c r="C11" s="228"/>
      <c r="D11" s="229"/>
      <c r="E11" s="231"/>
      <c r="F11" s="239"/>
      <c r="G11" s="243"/>
      <c r="H11" s="244"/>
      <c r="I11" s="1018"/>
      <c r="J11" s="226" t="str">
        <f>+'28'!J11</f>
        <v>MG 16,5 VP OW</v>
      </c>
      <c r="K11" s="250"/>
      <c r="L11" s="250"/>
      <c r="M11" s="129">
        <f>+K11+'28'!M11+L11</f>
        <v>37635</v>
      </c>
    </row>
    <row r="12" spans="1:15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+'28'!J12</f>
        <v>MG 21 VP OW</v>
      </c>
      <c r="K12" s="250"/>
      <c r="L12" s="250"/>
      <c r="M12" s="129">
        <f>+K12+'28'!M12+L12</f>
        <v>206161</v>
      </c>
    </row>
    <row r="13" spans="1:15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+'28'!J13</f>
        <v>MG 22 VP HW</v>
      </c>
      <c r="K13" s="250"/>
      <c r="L13" s="250"/>
      <c r="M13" s="129">
        <f>+K13+'28'!M13+L13</f>
        <v>10130</v>
      </c>
    </row>
    <row r="14" spans="1:15" ht="13.5" thickBot="1">
      <c r="A14" s="1016"/>
      <c r="B14" s="177" t="s">
        <v>2</v>
      </c>
      <c r="C14" s="111">
        <f>SUM(C7:C13)</f>
        <v>21570</v>
      </c>
      <c r="D14" s="123">
        <f>SUM(D7:D13)</f>
        <v>327</v>
      </c>
      <c r="E14" s="124">
        <f>SUM(E5:E13)</f>
        <v>0</v>
      </c>
      <c r="F14" s="128">
        <f>SUM(F7:F13)</f>
        <v>20</v>
      </c>
      <c r="G14" s="171"/>
      <c r="H14" s="178"/>
      <c r="I14" s="179"/>
      <c r="J14" s="226" t="str">
        <f>+'28'!J14</f>
        <v>MG 17 VP HW/OW</v>
      </c>
      <c r="K14" s="250"/>
      <c r="L14" s="250"/>
      <c r="M14" s="129">
        <f>+K14+'28'!M14+L14</f>
        <v>7375</v>
      </c>
    </row>
    <row r="15" spans="1:15" ht="13.5" customHeight="1" thickBot="1">
      <c r="A15" s="1014" t="s">
        <v>466</v>
      </c>
      <c r="B15" s="177"/>
      <c r="C15" s="125"/>
      <c r="D15" s="126"/>
      <c r="E15" s="127"/>
      <c r="F15" s="239">
        <v>10</v>
      </c>
      <c r="G15" s="240" t="s">
        <v>12</v>
      </c>
      <c r="H15" s="241" t="s">
        <v>571</v>
      </c>
      <c r="I15" s="1017" t="s">
        <v>810</v>
      </c>
      <c r="J15" s="226" t="str">
        <f>+'28'!J15</f>
        <v>MG 14 VP HW</v>
      </c>
      <c r="K15" s="250"/>
      <c r="L15" s="250"/>
      <c r="M15" s="129">
        <f>+K15+'28'!M15+L15</f>
        <v>47118</v>
      </c>
    </row>
    <row r="16" spans="1:15" ht="13.5" thickBot="1">
      <c r="A16" s="1020"/>
      <c r="B16" s="227" t="s">
        <v>460</v>
      </c>
      <c r="C16" s="233">
        <v>18975</v>
      </c>
      <c r="D16" s="234">
        <v>259</v>
      </c>
      <c r="E16" s="235"/>
      <c r="F16" s="239">
        <v>4</v>
      </c>
      <c r="G16" s="243" t="s">
        <v>12</v>
      </c>
      <c r="H16" s="241" t="s">
        <v>677</v>
      </c>
      <c r="I16" s="1018"/>
      <c r="J16" s="226" t="str">
        <f>+'28'!J16</f>
        <v>F 12 VP OW</v>
      </c>
      <c r="K16" s="240"/>
      <c r="L16" s="240"/>
      <c r="M16" s="129">
        <f>+K16+'28'!M16+L16</f>
        <v>603222</v>
      </c>
    </row>
    <row r="17" spans="1:14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435</v>
      </c>
      <c r="I17" s="1018"/>
      <c r="J17" s="226" t="str">
        <f>+'28'!J17</f>
        <v>F 10,5 VP OW</v>
      </c>
      <c r="K17" s="240"/>
      <c r="L17" s="240"/>
      <c r="M17" s="129">
        <f>+K17+'28'!M17+L17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807</v>
      </c>
      <c r="I18" s="1018"/>
      <c r="J18" s="226" t="str">
        <f>+'28'!J18</f>
        <v>F 12,5 VP OW</v>
      </c>
      <c r="K18" s="250"/>
      <c r="L18" s="250"/>
      <c r="M18" s="129">
        <f>+K18+'28'!M18+L18</f>
        <v>16783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 t="s">
        <v>808</v>
      </c>
      <c r="I19" s="1018"/>
      <c r="J19" s="226" t="str">
        <f>+'28'!J19</f>
        <v>F 13,5 VP OW</v>
      </c>
      <c r="K19" s="250"/>
      <c r="L19" s="250"/>
      <c r="M19" s="129">
        <f>+K19+'28'!M19+L19</f>
        <v>22253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 t="str">
        <f>+'28'!J20</f>
        <v>F 14 VP OW</v>
      </c>
      <c r="K20" s="251"/>
      <c r="L20" s="251"/>
      <c r="M20" s="129">
        <f>+K20+'28'!M20+L20</f>
        <v>69562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+'28'!J21</f>
        <v>0</v>
      </c>
      <c r="K21" s="250"/>
      <c r="L21" s="250"/>
      <c r="M21" s="129">
        <f>+K21+'28'!M21+L21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+'28'!J22</f>
        <v>0</v>
      </c>
      <c r="K22" s="250"/>
      <c r="L22" s="250"/>
      <c r="M22" s="129">
        <f>+K22+'28'!M22+L22</f>
        <v>0</v>
      </c>
    </row>
    <row r="23" spans="1:14" ht="13.5" thickBot="1">
      <c r="A23" s="1021"/>
      <c r="B23" s="180" t="s">
        <v>2</v>
      </c>
      <c r="C23" s="112">
        <f>SUM(C16:C22)</f>
        <v>18975</v>
      </c>
      <c r="D23" s="123">
        <f>SUM(D16:D22)</f>
        <v>259</v>
      </c>
      <c r="E23" s="124">
        <f>SUM(E18:E22)</f>
        <v>0</v>
      </c>
      <c r="F23" s="128">
        <f>SUM(F15:F22)</f>
        <v>24</v>
      </c>
      <c r="G23" s="171"/>
      <c r="H23" s="178" t="s">
        <v>237</v>
      </c>
      <c r="I23" s="181"/>
      <c r="J23" s="226">
        <f>+'28'!J23</f>
        <v>0</v>
      </c>
      <c r="K23" s="250"/>
      <c r="L23" s="250"/>
      <c r="M23" s="129">
        <f>+K23+'28'!M23+L23</f>
        <v>0</v>
      </c>
    </row>
    <row r="24" spans="1:14" ht="13.5" customHeight="1" thickBot="1">
      <c r="A24" s="1014" t="s">
        <v>465</v>
      </c>
      <c r="B24" s="182"/>
      <c r="C24" s="125"/>
      <c r="D24" s="126"/>
      <c r="E24" s="127"/>
      <c r="F24" s="247"/>
      <c r="G24" s="240" t="s">
        <v>12</v>
      </c>
      <c r="H24" s="241" t="s">
        <v>280</v>
      </c>
      <c r="I24" s="1017" t="s">
        <v>810</v>
      </c>
      <c r="J24" s="226">
        <f>+'28'!J24</f>
        <v>0</v>
      </c>
      <c r="K24" s="250"/>
      <c r="L24" s="250"/>
      <c r="M24" s="129">
        <f>+K24+'28'!M24+L24</f>
        <v>0</v>
      </c>
    </row>
    <row r="25" spans="1:14" ht="13.5" customHeight="1" thickBot="1">
      <c r="A25" s="1020"/>
      <c r="B25" s="227" t="s">
        <v>460</v>
      </c>
      <c r="C25" s="237">
        <v>21204</v>
      </c>
      <c r="D25" s="229"/>
      <c r="E25" s="236"/>
      <c r="F25" s="242">
        <v>4</v>
      </c>
      <c r="G25" s="243" t="s">
        <v>12</v>
      </c>
      <c r="H25" s="241" t="s">
        <v>587</v>
      </c>
      <c r="I25" s="1018"/>
      <c r="J25" s="226">
        <f>+'28'!J25</f>
        <v>0</v>
      </c>
      <c r="K25" s="250"/>
      <c r="L25" s="250"/>
      <c r="M25" s="129">
        <f>+K25+'28'!M25+L25</f>
        <v>0</v>
      </c>
    </row>
    <row r="26" spans="1:14" ht="13.5" customHeight="1" thickBot="1">
      <c r="A26" s="1020"/>
      <c r="B26" s="227"/>
      <c r="C26" s="237"/>
      <c r="D26" s="229"/>
      <c r="E26" s="238"/>
      <c r="F26" s="242">
        <v>10</v>
      </c>
      <c r="G26" s="243" t="s">
        <v>12</v>
      </c>
      <c r="H26" s="598" t="s">
        <v>435</v>
      </c>
      <c r="I26" s="1018"/>
      <c r="J26" s="226">
        <f>+'28'!J26</f>
        <v>0</v>
      </c>
      <c r="K26" s="250"/>
      <c r="L26" s="250"/>
      <c r="M26" s="129">
        <f>+K26+'28'!M26+L26</f>
        <v>0</v>
      </c>
    </row>
    <row r="27" spans="1:14" ht="13.5" customHeight="1" thickBot="1">
      <c r="A27" s="1020"/>
      <c r="B27" s="227"/>
      <c r="C27" s="228"/>
      <c r="D27" s="229"/>
      <c r="E27" s="236"/>
      <c r="F27" s="242"/>
      <c r="G27" s="243"/>
      <c r="H27" s="598" t="s">
        <v>807</v>
      </c>
      <c r="I27" s="1018"/>
      <c r="J27" s="226">
        <f>+'28'!J27</f>
        <v>0</v>
      </c>
      <c r="K27" s="250"/>
      <c r="L27" s="250"/>
      <c r="M27" s="129">
        <f>+K27+'28'!M27+L27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 t="s">
        <v>809</v>
      </c>
      <c r="I28" s="1018"/>
      <c r="J28" s="226">
        <f>+'28'!J28</f>
        <v>0</v>
      </c>
      <c r="K28" s="250"/>
      <c r="L28" s="250"/>
      <c r="M28" s="129">
        <f>+K28+'28'!M28+L28</f>
        <v>0</v>
      </c>
    </row>
    <row r="29" spans="1:14" ht="13.5" customHeight="1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+'28'!J29</f>
        <v>0</v>
      </c>
      <c r="K29" s="250"/>
      <c r="L29" s="250"/>
      <c r="M29" s="129">
        <f>+K29+'28'!M29+L29</f>
        <v>0</v>
      </c>
    </row>
    <row r="30" spans="1:14" ht="13.5" customHeight="1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+'28'!J30</f>
        <v>0</v>
      </c>
      <c r="K30" s="250"/>
      <c r="L30" s="250"/>
      <c r="M30" s="129">
        <f>+K30+'28'!M30+L30</f>
        <v>0</v>
      </c>
      <c r="N30" s="167"/>
    </row>
    <row r="31" spans="1:14" ht="13.5" customHeight="1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+'28'!J31</f>
        <v>0</v>
      </c>
      <c r="K31" s="250"/>
      <c r="L31" s="250"/>
      <c r="M31" s="129">
        <f>+K31+'28'!M31+L31</f>
        <v>0</v>
      </c>
    </row>
    <row r="32" spans="1:14" ht="13.5" customHeight="1" thickBot="1">
      <c r="A32" s="1021"/>
      <c r="B32" s="177" t="s">
        <v>2</v>
      </c>
      <c r="C32" s="111">
        <f>SUM(C25:C31)</f>
        <v>21204</v>
      </c>
      <c r="D32" s="112">
        <f>SUM(D25:D31)</f>
        <v>0</v>
      </c>
      <c r="E32" s="113">
        <f>SUM(E25:E31)</f>
        <v>0</v>
      </c>
      <c r="F32" s="114">
        <f>SUM(F24:F31)</f>
        <v>14</v>
      </c>
      <c r="G32" s="183"/>
      <c r="H32" s="184"/>
      <c r="I32" s="181"/>
      <c r="J32" s="226">
        <f>+'28'!J32</f>
        <v>0</v>
      </c>
      <c r="K32" s="252"/>
      <c r="L32" s="254"/>
      <c r="M32" s="129">
        <f>+K32+'28'!M32+L32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61749</v>
      </c>
      <c r="D34" s="119">
        <f>D14+D23+D32</f>
        <v>586</v>
      </c>
      <c r="E34" s="119">
        <f>E14+E23+E32</f>
        <v>0</v>
      </c>
      <c r="F34" s="120">
        <f>F14+F23+F32</f>
        <v>58</v>
      </c>
      <c r="H34" s="190"/>
      <c r="I34" s="190"/>
      <c r="J34" s="135" t="s">
        <v>28</v>
      </c>
      <c r="K34" s="136">
        <f>SUM(K7:K32)</f>
        <v>61749</v>
      </c>
      <c r="L34" s="224">
        <f>SUM(L7:L32)</f>
        <v>0</v>
      </c>
      <c r="M34" s="132">
        <f>SUM(M7:M32)</f>
        <v>1541175</v>
      </c>
      <c r="N34" s="167"/>
    </row>
    <row r="35" spans="1:14" ht="13.5" thickBot="1">
      <c r="A35" s="191"/>
      <c r="B35" s="192"/>
      <c r="C35" s="116">
        <f>C34/($C$34+$D$34+$E$34)</f>
        <v>0.9905991818400578</v>
      </c>
      <c r="D35" s="116">
        <f>D34/($C$34+$D$34+$E$34)</f>
        <v>9.400818159942247E-3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(13*1440)/1440*G42*2.77*1440/1000000</f>
        <v>61.084483199999994</v>
      </c>
      <c r="J37" s="137">
        <f>+I37+'28'!J37</f>
        <v>1753.6698408254181</v>
      </c>
      <c r="K37" s="138" t="s">
        <v>64</v>
      </c>
      <c r="L37" s="587"/>
    </row>
    <row r="38" spans="1:14" ht="17.45" customHeight="1">
      <c r="A38" s="1012" t="s">
        <v>12</v>
      </c>
      <c r="B38" s="1013"/>
      <c r="C38" s="176">
        <f>SUMIF($G$7:$G$31,"Process",$F$7:$F$31)</f>
        <v>58</v>
      </c>
      <c r="D38" s="130">
        <f>+C38+'28'!D38</f>
        <v>1942</v>
      </c>
      <c r="E38" s="155">
        <f t="shared" ref="E38:E51" si="0">D38/60</f>
        <v>32.366666666666667</v>
      </c>
      <c r="F38" s="340">
        <v>1550</v>
      </c>
      <c r="G38" s="340">
        <f>+F38-F38*0.24</f>
        <v>1178</v>
      </c>
      <c r="H38" s="199" t="s">
        <v>65</v>
      </c>
      <c r="I38" s="553">
        <f>19.374+19.163+19.411</f>
        <v>57.948</v>
      </c>
      <c r="J38" s="139">
        <f>+I38+'28'!J38</f>
        <v>1631.5409999999997</v>
      </c>
      <c r="K38" s="140" t="s">
        <v>64</v>
      </c>
      <c r="L38" s="566"/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+C39+'28'!D39</f>
        <v>0</v>
      </c>
      <c r="E39" s="155">
        <f t="shared" si="0"/>
        <v>0</v>
      </c>
      <c r="F39" s="340">
        <v>1550</v>
      </c>
      <c r="G39" s="340">
        <f>+F39-F39*0.24</f>
        <v>1178</v>
      </c>
      <c r="H39" s="199" t="s">
        <v>66</v>
      </c>
      <c r="I39" s="154"/>
      <c r="J39" s="141">
        <f>J37/G4</f>
        <v>60.471373821566139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+C40+'28'!D40</f>
        <v>0</v>
      </c>
      <c r="E40" s="155">
        <f t="shared" si="0"/>
        <v>0</v>
      </c>
      <c r="F40" s="340">
        <v>1550</v>
      </c>
      <c r="G40" s="340">
        <f>+F40-F40*0.24</f>
        <v>1178</v>
      </c>
      <c r="H40" s="199" t="s">
        <v>68</v>
      </c>
      <c r="I40" s="130">
        <f>(K34+L34)/1000</f>
        <v>61.749000000000002</v>
      </c>
      <c r="J40" s="143">
        <f>+I40+'28'!J40</f>
        <v>1541.1749999999997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+C41+'28'!D41</f>
        <v>336</v>
      </c>
      <c r="E41" s="155">
        <f t="shared" si="0"/>
        <v>5.6</v>
      </c>
      <c r="F41" s="340"/>
      <c r="G41" s="340"/>
      <c r="H41" s="199" t="s">
        <v>70</v>
      </c>
      <c r="I41" s="154"/>
      <c r="J41" s="141">
        <f>J40/G4</f>
        <v>53.143965517241369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+C42+'28'!D42</f>
        <v>0</v>
      </c>
      <c r="E42" s="155">
        <f t="shared" si="0"/>
        <v>0</v>
      </c>
      <c r="F42" s="340">
        <f>+(F38*480+F39*480+F40*480)/1440</f>
        <v>1550</v>
      </c>
      <c r="G42" s="340">
        <f>+(G38*480+G39*480+G40*480)/1440</f>
        <v>1178</v>
      </c>
      <c r="H42" s="199" t="s">
        <v>71</v>
      </c>
      <c r="I42" s="257" t="s">
        <v>811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+C43+'28'!D43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+Report1!T37</f>
        <v>129.49100000000001</v>
      </c>
      <c r="J43" s="145">
        <f>+I43+'28'!J43</f>
        <v>3640.4009999999998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+C44+'28'!D44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2.2346068889349073</v>
      </c>
      <c r="J44" s="146">
        <f>J43/J38</f>
        <v>2.2312654110439154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+C45+'28'!D45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2.0970542033069361</v>
      </c>
      <c r="J45" s="146">
        <f>J43/J40</f>
        <v>2.3620945058153686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+C46+'28'!D46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+SUMIF(Listrik!AR36,"&gt;0")</f>
        <v>53119.819999999068</v>
      </c>
      <c r="J46" s="147">
        <f>+I46+'28'!J46</f>
        <v>1529250.4799999997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+C47+'28'!D47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916.68081728444588</v>
      </c>
      <c r="J47" s="147">
        <f>J46/J38</f>
        <v>937.30435214315787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+C48+'28'!D48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860.25393123773767</v>
      </c>
      <c r="J48" s="147">
        <f>J46/J40</f>
        <v>992.26270864762273</v>
      </c>
      <c r="K48" s="142" t="s">
        <v>24</v>
      </c>
    </row>
    <row r="49" spans="1:11" ht="17.45" customHeight="1">
      <c r="A49" s="1026" t="s">
        <v>20</v>
      </c>
      <c r="B49" s="1009"/>
      <c r="C49" s="176">
        <f>SUMIF($G$7:$G$31,"Others",$F$7:$F$31)</f>
        <v>0</v>
      </c>
      <c r="D49" s="130">
        <f>+C49+'28'!D49</f>
        <v>1505</v>
      </c>
      <c r="E49" s="155">
        <f t="shared" si="0"/>
        <v>25.083333333333332</v>
      </c>
      <c r="F49" s="197"/>
      <c r="H49" s="200" t="s">
        <v>83</v>
      </c>
      <c r="I49" s="130">
        <v>0</v>
      </c>
      <c r="J49" s="147">
        <f>+I49+'28'!J49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+C50+'28'!D50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+C51+'28'!D51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58</v>
      </c>
      <c r="D52" s="156">
        <f>SUM(D38:D51)</f>
        <v>3783</v>
      </c>
      <c r="E52" s="157">
        <f>SUM(E38:E51)</f>
        <v>63.05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4.027777777777778E-2</v>
      </c>
      <c r="D53" s="158">
        <f>D52/(24*60*G4)</f>
        <v>9.0589080459770113E-2</v>
      </c>
      <c r="E53" s="159">
        <f>E52/(G4*24)</f>
        <v>9.0589080459770113E-2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+D34+'28'!J56</f>
        <v>32674</v>
      </c>
      <c r="K56" s="213">
        <f>J56/(J40+J56/1000)/1000</f>
        <v>2.0760568517055961E-2</v>
      </c>
    </row>
    <row r="57" spans="1:11">
      <c r="A57" s="188"/>
      <c r="I57" s="211" t="s">
        <v>90</v>
      </c>
      <c r="J57" s="212">
        <f>+E34+'28'!J57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5.425781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28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142+177+161</f>
        <v>480</v>
      </c>
    </row>
    <row r="7" spans="1:18" ht="13.5" customHeight="1" thickBot="1">
      <c r="A7" s="1014" t="s">
        <v>486</v>
      </c>
      <c r="B7" s="227" t="s">
        <v>772</v>
      </c>
      <c r="C7" s="228">
        <v>5024</v>
      </c>
      <c r="D7" s="229"/>
      <c r="E7" s="230"/>
      <c r="F7" s="239"/>
      <c r="G7" s="240" t="s">
        <v>12</v>
      </c>
      <c r="H7" s="241" t="s">
        <v>280</v>
      </c>
      <c r="I7" s="1017" t="s">
        <v>797</v>
      </c>
      <c r="J7" s="226" t="str">
        <f>+'27'!J7</f>
        <v>F 13 VP OW</v>
      </c>
      <c r="K7" s="249">
        <f>+C8+C16+C25</f>
        <v>43366</v>
      </c>
      <c r="L7" s="253"/>
      <c r="M7" s="129">
        <f>+K7+'27'!M7+L7</f>
        <v>159485</v>
      </c>
    </row>
    <row r="8" spans="1:18" ht="13.5" thickBot="1">
      <c r="A8" s="1015"/>
      <c r="B8" s="227" t="s">
        <v>460</v>
      </c>
      <c r="C8" s="228">
        <f>7620+5521+479</f>
        <v>13620</v>
      </c>
      <c r="D8" s="229"/>
      <c r="E8" s="231"/>
      <c r="F8" s="242">
        <v>8</v>
      </c>
      <c r="G8" s="243" t="s">
        <v>12</v>
      </c>
      <c r="H8" s="241" t="s">
        <v>598</v>
      </c>
      <c r="I8" s="1018"/>
      <c r="J8" s="226" t="str">
        <f>+'27'!J8</f>
        <v>F 10,3 VP OW</v>
      </c>
      <c r="K8" s="250"/>
      <c r="L8" s="250"/>
      <c r="M8" s="129">
        <f>+K8+'27'!M8+L8</f>
        <v>53369</v>
      </c>
      <c r="N8" s="161">
        <v>1490</v>
      </c>
      <c r="O8" s="161">
        <f>+N8-N8*0.24</f>
        <v>1132.4000000000001</v>
      </c>
      <c r="P8" s="161">
        <f>120+30</f>
        <v>150</v>
      </c>
      <c r="Q8" s="161">
        <f>+N8*P8</f>
        <v>223500</v>
      </c>
      <c r="R8" s="161">
        <f>+O8*P8</f>
        <v>169860</v>
      </c>
    </row>
    <row r="9" spans="1:18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435</v>
      </c>
      <c r="I9" s="1018"/>
      <c r="J9" s="226" t="str">
        <f>+'27'!J9</f>
        <v>SN 15 VP OW</v>
      </c>
      <c r="K9" s="250"/>
      <c r="L9" s="250"/>
      <c r="M9" s="129">
        <f>+K9+'27'!M9+L9</f>
        <v>148317</v>
      </c>
      <c r="N9" s="161">
        <v>1550</v>
      </c>
      <c r="O9" s="161">
        <f>+N9-N9*0.24</f>
        <v>1178</v>
      </c>
      <c r="P9" s="161">
        <f>30+300</f>
        <v>330</v>
      </c>
      <c r="Q9" s="161">
        <f>+N9*P9</f>
        <v>511500</v>
      </c>
      <c r="R9" s="161">
        <f>+O9*P9</f>
        <v>388740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788</v>
      </c>
      <c r="I10" s="1018"/>
      <c r="J10" s="226" t="str">
        <f>+'27'!J10</f>
        <v>MG 15,5 VP OW</v>
      </c>
      <c r="K10" s="250"/>
      <c r="L10" s="250"/>
      <c r="M10" s="129">
        <f>+K10+'27'!M10+L10</f>
        <v>62505</v>
      </c>
      <c r="P10" s="161">
        <f>SUM(P8:P9)</f>
        <v>480</v>
      </c>
      <c r="Q10" s="161">
        <f>SUM(Q8:Q9)</f>
        <v>735000</v>
      </c>
      <c r="R10" s="161">
        <f>SUM(R8:R9)</f>
        <v>558600</v>
      </c>
    </row>
    <row r="11" spans="1:18" ht="13.5" thickBot="1">
      <c r="A11" s="1015"/>
      <c r="B11" s="227"/>
      <c r="C11" s="228"/>
      <c r="D11" s="229"/>
      <c r="E11" s="231"/>
      <c r="F11" s="239"/>
      <c r="G11" s="243"/>
      <c r="H11" s="244" t="s">
        <v>800</v>
      </c>
      <c r="I11" s="1018"/>
      <c r="J11" s="226" t="str">
        <f>+'27'!J11</f>
        <v>MG 16,5 VP OW</v>
      </c>
      <c r="K11" s="250"/>
      <c r="L11" s="250"/>
      <c r="M11" s="129">
        <f>+K11+'27'!M11+L11</f>
        <v>37635</v>
      </c>
      <c r="Q11" s="161">
        <f>+Q10/P10</f>
        <v>1531.25</v>
      </c>
      <c r="R11" s="161">
        <f>+R10/P10</f>
        <v>1163.75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+'27'!J12</f>
        <v>MG 21 VP OW</v>
      </c>
      <c r="K12" s="250"/>
      <c r="L12" s="250"/>
      <c r="M12" s="129">
        <f>+K12+'27'!M12+L12</f>
        <v>206161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+'27'!J13</f>
        <v>MG 22 VP HW</v>
      </c>
      <c r="K13" s="250"/>
      <c r="L13" s="250"/>
      <c r="M13" s="129">
        <f>+K13+'27'!M13+L13</f>
        <v>10130</v>
      </c>
    </row>
    <row r="14" spans="1:18" ht="13.5" thickBot="1">
      <c r="A14" s="1016"/>
      <c r="B14" s="177" t="s">
        <v>2</v>
      </c>
      <c r="C14" s="111">
        <f>SUM(C7:C13)</f>
        <v>18644</v>
      </c>
      <c r="D14" s="123">
        <f>SUM(D7:D13)</f>
        <v>0</v>
      </c>
      <c r="E14" s="124">
        <f>SUM(E5:E13)</f>
        <v>0</v>
      </c>
      <c r="F14" s="128">
        <f>SUM(F7:F13)</f>
        <v>18</v>
      </c>
      <c r="G14" s="171"/>
      <c r="H14" s="178"/>
      <c r="I14" s="179"/>
      <c r="J14" s="226" t="str">
        <f>+'27'!J14</f>
        <v>MG 17 VP HW/OW</v>
      </c>
      <c r="K14" s="250"/>
      <c r="L14" s="250"/>
      <c r="M14" s="129">
        <f>+K14+'27'!M14+L14</f>
        <v>7375</v>
      </c>
    </row>
    <row r="15" spans="1:18" ht="13.5" customHeight="1" thickBot="1">
      <c r="A15" s="1014" t="s">
        <v>466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 t="s">
        <v>798</v>
      </c>
      <c r="J15" s="226" t="str">
        <f>+'27'!J15</f>
        <v>MG 14 VP HW</v>
      </c>
      <c r="K15" s="250"/>
      <c r="L15" s="250"/>
      <c r="M15" s="129">
        <f>+K15+'27'!M15+L15</f>
        <v>47118</v>
      </c>
    </row>
    <row r="16" spans="1:18" ht="13.5" thickBot="1">
      <c r="A16" s="1020"/>
      <c r="B16" s="227" t="s">
        <v>460</v>
      </c>
      <c r="C16" s="233">
        <v>21369</v>
      </c>
      <c r="D16" s="234"/>
      <c r="E16" s="235"/>
      <c r="F16" s="239">
        <v>7</v>
      </c>
      <c r="G16" s="243" t="s">
        <v>12</v>
      </c>
      <c r="H16" s="241" t="s">
        <v>586</v>
      </c>
      <c r="I16" s="1018"/>
      <c r="J16" s="226" t="str">
        <f>+'27'!J16</f>
        <v>F 12 VP OW</v>
      </c>
      <c r="K16" s="240"/>
      <c r="L16" s="240"/>
      <c r="M16" s="129">
        <f>+K16+'27'!M16+L16</f>
        <v>603222</v>
      </c>
      <c r="N16" s="161">
        <v>1550</v>
      </c>
      <c r="O16" s="161">
        <f>+N16-N16*0.24</f>
        <v>1178</v>
      </c>
      <c r="P16" s="161">
        <f>30+300</f>
        <v>330</v>
      </c>
      <c r="Q16" s="161">
        <f>+N16*P16</f>
        <v>511500</v>
      </c>
      <c r="R16" s="161">
        <f>+O16*P16</f>
        <v>388740</v>
      </c>
    </row>
    <row r="17" spans="1:18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613</v>
      </c>
      <c r="I17" s="1018"/>
      <c r="J17" s="226" t="str">
        <f>+'27'!J17</f>
        <v>F 10,5 VP OW</v>
      </c>
      <c r="K17" s="240"/>
      <c r="L17" s="240"/>
      <c r="M17" s="129">
        <f>+K17+'27'!M17+L17</f>
        <v>35511</v>
      </c>
      <c r="N17" s="161">
        <v>1580</v>
      </c>
      <c r="O17" s="161">
        <f>+N17-N17*0.24</f>
        <v>1200.8</v>
      </c>
      <c r="P17" s="161">
        <v>480</v>
      </c>
      <c r="Q17" s="161">
        <f>+N17*P17</f>
        <v>758400</v>
      </c>
      <c r="R17" s="161">
        <f>+O17*P17</f>
        <v>576384</v>
      </c>
    </row>
    <row r="18" spans="1:18" ht="13.5" thickBot="1">
      <c r="A18" s="1020"/>
      <c r="B18" s="227"/>
      <c r="C18" s="228"/>
      <c r="D18" s="229"/>
      <c r="E18" s="236"/>
      <c r="F18" s="239"/>
      <c r="G18" s="243"/>
      <c r="H18" s="598" t="s">
        <v>799</v>
      </c>
      <c r="I18" s="1018"/>
      <c r="J18" s="226" t="str">
        <f>+'27'!J18</f>
        <v>F 12,5 VP OW</v>
      </c>
      <c r="K18" s="250"/>
      <c r="L18" s="250"/>
      <c r="M18" s="129">
        <f>+K18+'27'!M18+L18</f>
        <v>16783</v>
      </c>
      <c r="N18" s="161">
        <v>1590</v>
      </c>
      <c r="O18" s="161">
        <f>+N18-N18*0.24</f>
        <v>1208.4000000000001</v>
      </c>
      <c r="P18" s="161">
        <f>480-39</f>
        <v>441</v>
      </c>
      <c r="Q18" s="161">
        <f>+N18*P18</f>
        <v>701190</v>
      </c>
      <c r="R18" s="161">
        <f>+O18*P18</f>
        <v>532904.4</v>
      </c>
    </row>
    <row r="19" spans="1:18" ht="13.5" thickBot="1">
      <c r="A19" s="1020"/>
      <c r="B19" s="227"/>
      <c r="C19" s="228"/>
      <c r="D19" s="229"/>
      <c r="E19" s="236"/>
      <c r="F19" s="246"/>
      <c r="G19" s="243"/>
      <c r="H19" s="244"/>
      <c r="I19" s="1018"/>
      <c r="J19" s="226" t="str">
        <f>+'27'!J19</f>
        <v>F 13,5 VP OW</v>
      </c>
      <c r="K19" s="250"/>
      <c r="L19" s="250"/>
      <c r="M19" s="129">
        <f>+K19+'27'!M19+L19</f>
        <v>22253</v>
      </c>
      <c r="P19" s="161">
        <f>SUM(P16:P18)</f>
        <v>1251</v>
      </c>
      <c r="Q19" s="161">
        <f>SUM(Q16:Q18)</f>
        <v>1971090</v>
      </c>
      <c r="R19" s="161">
        <f>SUM(R16:R18)</f>
        <v>1498028.4</v>
      </c>
    </row>
    <row r="20" spans="1:18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 t="str">
        <f>+'27'!J20</f>
        <v>F 14 VP OW</v>
      </c>
      <c r="K20" s="251">
        <f>+C7</f>
        <v>5024</v>
      </c>
      <c r="L20" s="251"/>
      <c r="M20" s="129">
        <f>+K20+'27'!M20+L20</f>
        <v>69562</v>
      </c>
      <c r="Q20" s="161">
        <f>+Q19/P19</f>
        <v>1575.611510791367</v>
      </c>
      <c r="R20" s="161">
        <f>+R19/P19</f>
        <v>1197.4647482014389</v>
      </c>
    </row>
    <row r="21" spans="1:18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+'27'!J21</f>
        <v>0</v>
      </c>
      <c r="K21" s="250"/>
      <c r="L21" s="250"/>
      <c r="M21" s="129">
        <f>+K21+'27'!M21+L21</f>
        <v>0</v>
      </c>
    </row>
    <row r="22" spans="1:18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+'27'!J22</f>
        <v>0</v>
      </c>
      <c r="K22" s="250"/>
      <c r="L22" s="250"/>
      <c r="M22" s="129">
        <f>+K22+'27'!M22+L22</f>
        <v>0</v>
      </c>
    </row>
    <row r="23" spans="1:18" ht="13.5" thickBot="1">
      <c r="A23" s="1021"/>
      <c r="B23" s="180" t="s">
        <v>2</v>
      </c>
      <c r="C23" s="112">
        <f>SUM(C16:C22)</f>
        <v>21369</v>
      </c>
      <c r="D23" s="123">
        <f>SUM(D16:D22)</f>
        <v>0</v>
      </c>
      <c r="E23" s="124">
        <f>SUM(E18:E22)</f>
        <v>0</v>
      </c>
      <c r="F23" s="128">
        <f>SUM(F15:F22)</f>
        <v>17</v>
      </c>
      <c r="G23" s="171"/>
      <c r="H23" s="178" t="s">
        <v>237</v>
      </c>
      <c r="I23" s="181"/>
      <c r="J23" s="226">
        <f>+'27'!J23</f>
        <v>0</v>
      </c>
      <c r="K23" s="250"/>
      <c r="L23" s="250"/>
      <c r="M23" s="129">
        <f>+K23+'27'!M23+L23</f>
        <v>0</v>
      </c>
    </row>
    <row r="24" spans="1:18" ht="13.5" customHeight="1" thickBot="1">
      <c r="A24" s="1014" t="s">
        <v>465</v>
      </c>
      <c r="B24" s="182"/>
      <c r="C24" s="125"/>
      <c r="D24" s="126"/>
      <c r="E24" s="127"/>
      <c r="F24" s="247">
        <v>5</v>
      </c>
      <c r="G24" s="240" t="s">
        <v>12</v>
      </c>
      <c r="H24" s="241" t="s">
        <v>541</v>
      </c>
      <c r="I24" s="1017" t="s">
        <v>802</v>
      </c>
      <c r="J24" s="226">
        <f>+'27'!J24</f>
        <v>0</v>
      </c>
      <c r="K24" s="250"/>
      <c r="L24" s="250"/>
      <c r="M24" s="129">
        <f>+K24+'27'!M24+L24</f>
        <v>0</v>
      </c>
    </row>
    <row r="25" spans="1:18" ht="13.5" customHeight="1" thickBot="1">
      <c r="A25" s="1020"/>
      <c r="B25" s="227" t="s">
        <v>460</v>
      </c>
      <c r="C25" s="237">
        <f>6117+346+1914</f>
        <v>8377</v>
      </c>
      <c r="D25" s="229"/>
      <c r="E25" s="236"/>
      <c r="F25" s="242">
        <v>6</v>
      </c>
      <c r="G25" s="243" t="s">
        <v>12</v>
      </c>
      <c r="H25" s="241" t="s">
        <v>456</v>
      </c>
      <c r="I25" s="1018"/>
      <c r="J25" s="226">
        <f>+'27'!J25</f>
        <v>0</v>
      </c>
      <c r="K25" s="250"/>
      <c r="L25" s="250"/>
      <c r="M25" s="129">
        <f>+K25+'27'!M25+L25</f>
        <v>0</v>
      </c>
    </row>
    <row r="26" spans="1:18" ht="13.5" customHeight="1" thickBot="1">
      <c r="A26" s="1020"/>
      <c r="B26" s="227"/>
      <c r="C26" s="237"/>
      <c r="D26" s="229"/>
      <c r="E26" s="238"/>
      <c r="F26" s="242">
        <v>10</v>
      </c>
      <c r="G26" s="243" t="s">
        <v>12</v>
      </c>
      <c r="H26" s="598" t="s">
        <v>435</v>
      </c>
      <c r="I26" s="1018"/>
      <c r="J26" s="226">
        <f>+'27'!J26</f>
        <v>0</v>
      </c>
      <c r="K26" s="250"/>
      <c r="L26" s="250"/>
      <c r="M26" s="129">
        <f>+K26+'27'!M26+L26</f>
        <v>0</v>
      </c>
      <c r="N26" s="161">
        <v>1590</v>
      </c>
      <c r="O26" s="161">
        <f>+N26-N26*0.24</f>
        <v>1208.4000000000001</v>
      </c>
      <c r="P26" s="161">
        <f>480-39</f>
        <v>441</v>
      </c>
    </row>
    <row r="27" spans="1:18" ht="13.5" customHeight="1" thickBot="1">
      <c r="A27" s="1020"/>
      <c r="B27" s="227"/>
      <c r="C27" s="228"/>
      <c r="D27" s="229"/>
      <c r="E27" s="236"/>
      <c r="F27" s="242"/>
      <c r="G27" s="243"/>
      <c r="H27" s="598" t="s">
        <v>801</v>
      </c>
      <c r="I27" s="1018"/>
      <c r="J27" s="226">
        <f>+'27'!J27</f>
        <v>0</v>
      </c>
      <c r="K27" s="250"/>
      <c r="L27" s="250"/>
      <c r="M27" s="129">
        <f>+K27+'27'!M27+L27</f>
        <v>0</v>
      </c>
    </row>
    <row r="28" spans="1:18" ht="13.5" customHeight="1" thickBot="1">
      <c r="A28" s="1020"/>
      <c r="B28" s="227"/>
      <c r="C28" s="228"/>
      <c r="D28" s="229"/>
      <c r="E28" s="236"/>
      <c r="F28" s="242"/>
      <c r="G28" s="243"/>
      <c r="H28" s="244" t="s">
        <v>794</v>
      </c>
      <c r="I28" s="1018"/>
      <c r="J28" s="226">
        <f>+'27'!J28</f>
        <v>0</v>
      </c>
      <c r="K28" s="250"/>
      <c r="L28" s="250"/>
      <c r="M28" s="129">
        <f>+K28+'27'!M28+L28</f>
        <v>0</v>
      </c>
    </row>
    <row r="29" spans="1:18" ht="26.25" thickBot="1">
      <c r="A29" s="1020"/>
      <c r="B29" s="227"/>
      <c r="C29" s="228"/>
      <c r="D29" s="229"/>
      <c r="E29" s="236" t="s">
        <v>715</v>
      </c>
      <c r="F29" s="242">
        <f>61-22</f>
        <v>39</v>
      </c>
      <c r="G29" s="243" t="s">
        <v>69</v>
      </c>
      <c r="H29" s="244" t="s">
        <v>795</v>
      </c>
      <c r="I29" s="1018"/>
      <c r="J29" s="226">
        <f>+'27'!J29</f>
        <v>0</v>
      </c>
      <c r="K29" s="250"/>
      <c r="L29" s="250"/>
      <c r="M29" s="129">
        <f>+K29+'27'!M29+L29</f>
        <v>0</v>
      </c>
    </row>
    <row r="30" spans="1:18" ht="39" thickBot="1">
      <c r="A30" s="1020"/>
      <c r="B30" s="227"/>
      <c r="C30" s="237"/>
      <c r="D30" s="229"/>
      <c r="E30" s="236"/>
      <c r="F30" s="247"/>
      <c r="G30" s="243"/>
      <c r="H30" s="244" t="s">
        <v>796</v>
      </c>
      <c r="I30" s="1018"/>
      <c r="J30" s="226">
        <f>+'27'!J30</f>
        <v>0</v>
      </c>
      <c r="K30" s="250"/>
      <c r="L30" s="250"/>
      <c r="M30" s="129">
        <f>+K30+'27'!M30+L30</f>
        <v>0</v>
      </c>
    </row>
    <row r="31" spans="1:18" ht="13.5" customHeight="1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+'27'!J31</f>
        <v>0</v>
      </c>
      <c r="K31" s="250"/>
      <c r="L31" s="250"/>
      <c r="M31" s="129">
        <f>+K31+'27'!M31+L31</f>
        <v>0</v>
      </c>
      <c r="N31" s="167"/>
    </row>
    <row r="32" spans="1:18" ht="13.5" customHeight="1" thickBot="1">
      <c r="A32" s="1021"/>
      <c r="B32" s="177" t="s">
        <v>2</v>
      </c>
      <c r="C32" s="111">
        <f>SUM(C25:C31)</f>
        <v>8377</v>
      </c>
      <c r="D32" s="112">
        <f>SUM(D25:D31)</f>
        <v>0</v>
      </c>
      <c r="E32" s="113">
        <f>SUM(E25:E31)</f>
        <v>0</v>
      </c>
      <c r="F32" s="114">
        <f>SUM(F24:F31)</f>
        <v>60</v>
      </c>
      <c r="G32" s="183"/>
      <c r="H32" s="184"/>
      <c r="I32" s="181"/>
      <c r="J32" s="226">
        <f>+'27'!J32</f>
        <v>0</v>
      </c>
      <c r="K32" s="252"/>
      <c r="L32" s="254"/>
      <c r="M32" s="129">
        <f>+K32+'27'!M32+L32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48390</v>
      </c>
      <c r="D34" s="119">
        <f>D14+D23+D32</f>
        <v>0</v>
      </c>
      <c r="E34" s="119">
        <f>E14+E23+E32</f>
        <v>0</v>
      </c>
      <c r="F34" s="120">
        <f>F14+F23+F32</f>
        <v>95</v>
      </c>
      <c r="H34" s="190"/>
      <c r="I34" s="190"/>
      <c r="J34" s="135" t="s">
        <v>28</v>
      </c>
      <c r="K34" s="136">
        <f>SUM(K7:K32)</f>
        <v>48390</v>
      </c>
      <c r="L34" s="224">
        <f>SUM(L7:L32)</f>
        <v>0</v>
      </c>
      <c r="M34" s="132">
        <f>SUM(M7:M32)</f>
        <v>1479426</v>
      </c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(14*150+13*1251)/1401*G42*2.77*1401/1000000</f>
        <v>60.555313411194852</v>
      </c>
      <c r="J37" s="137">
        <f>+I37+'27'!J37</f>
        <v>1692.5853576254181</v>
      </c>
      <c r="K37" s="138" t="s">
        <v>64</v>
      </c>
      <c r="L37" s="161">
        <f>2.668+2.556</f>
        <v>5.2240000000000002</v>
      </c>
    </row>
    <row r="38" spans="1:14" ht="17.45" customHeight="1">
      <c r="A38" s="1012" t="s">
        <v>12</v>
      </c>
      <c r="B38" s="1013"/>
      <c r="C38" s="176">
        <f>SUMIF($G$7:$G$31,"Process",$F$7:$F$31)</f>
        <v>56</v>
      </c>
      <c r="D38" s="130">
        <f>+C38+'27'!D38</f>
        <v>1884</v>
      </c>
      <c r="E38" s="155">
        <f t="shared" ref="E38:E51" si="0">D38/60</f>
        <v>31.4</v>
      </c>
      <c r="F38" s="340">
        <v>1531.25</v>
      </c>
      <c r="G38" s="340">
        <v>1163.75</v>
      </c>
      <c r="H38" s="199" t="s">
        <v>65</v>
      </c>
      <c r="I38" s="553">
        <f>19.753+19.433+16.28</f>
        <v>55.466000000000001</v>
      </c>
      <c r="J38" s="139">
        <f>+I38+'27'!J38</f>
        <v>1573.5929999999996</v>
      </c>
      <c r="K38" s="140" t="s">
        <v>64</v>
      </c>
      <c r="L38" s="566">
        <f>+I38-L37</f>
        <v>50.242000000000004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+C39+'27'!D39</f>
        <v>0</v>
      </c>
      <c r="E39" s="155">
        <f t="shared" si="0"/>
        <v>0</v>
      </c>
      <c r="F39" s="340">
        <v>1580</v>
      </c>
      <c r="G39" s="340">
        <f>+F39-F39*0.24</f>
        <v>1200.8</v>
      </c>
      <c r="H39" s="199" t="s">
        <v>66</v>
      </c>
      <c r="I39" s="154"/>
      <c r="J39" s="141">
        <f>J37/G4</f>
        <v>60.449477058050647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+C40+'27'!D40</f>
        <v>0</v>
      </c>
      <c r="E40" s="155">
        <f t="shared" si="0"/>
        <v>0</v>
      </c>
      <c r="F40" s="340">
        <v>1590</v>
      </c>
      <c r="G40" s="340">
        <f>+F40-F40*0.24</f>
        <v>1208.4000000000001</v>
      </c>
      <c r="H40" s="199" t="s">
        <v>68</v>
      </c>
      <c r="I40" s="130">
        <f>(K34+L34)/1000</f>
        <v>48.39</v>
      </c>
      <c r="J40" s="143">
        <f>+I40+'27'!J40</f>
        <v>1479.4259999999997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39</v>
      </c>
      <c r="D41" s="130">
        <f>+C41+'27'!D41</f>
        <v>336</v>
      </c>
      <c r="E41" s="155">
        <f t="shared" si="0"/>
        <v>5.6</v>
      </c>
      <c r="F41" s="340"/>
      <c r="G41" s="340"/>
      <c r="H41" s="199" t="s">
        <v>70</v>
      </c>
      <c r="I41" s="154"/>
      <c r="J41" s="141">
        <f>J40/G4</f>
        <v>52.836642857142849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+C42+'27'!D42</f>
        <v>0</v>
      </c>
      <c r="E42" s="155">
        <f t="shared" si="0"/>
        <v>0</v>
      </c>
      <c r="F42" s="340">
        <f>+(F38*480+F39*480+F40*441)/1401</f>
        <v>1566.4453961456102</v>
      </c>
      <c r="G42" s="340">
        <f>+(G38*480+G39*480+G40*441)/1401</f>
        <v>1190.4985010706637</v>
      </c>
      <c r="H42" s="199" t="s">
        <v>71</v>
      </c>
      <c r="I42" s="257" t="s">
        <v>803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+C43+'27'!D43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+Report1!T36</f>
        <v>128.74299999999999</v>
      </c>
      <c r="J43" s="145">
        <f>+I43+'27'!J43</f>
        <v>3510.91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+C44+'27'!D44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2.3211156384091152</v>
      </c>
      <c r="J44" s="146">
        <f>J43/J38</f>
        <v>2.2311423601909772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+C45+'27'!D45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2.6605290349245712</v>
      </c>
      <c r="J45" s="146">
        <f>J43/J40</f>
        <v>2.3731568865222057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+C46+'27'!D46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+SUMIF(Listrik!AR35,"&gt;0")</f>
        <v>44638.78000000232</v>
      </c>
      <c r="J46" s="147">
        <f>+I46+'27'!J46</f>
        <v>1476130.6600000006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+C47+'27'!D47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804.7953701367021</v>
      </c>
      <c r="J47" s="147">
        <f>J46/J38</f>
        <v>938.0638195518161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+C48+'27'!D48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922.47943790044053</v>
      </c>
      <c r="J48" s="147">
        <f>J46/J40</f>
        <v>997.77255503147899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+C49+'27'!D49</f>
        <v>1505</v>
      </c>
      <c r="E49" s="155">
        <f t="shared" si="0"/>
        <v>25.083333333333332</v>
      </c>
      <c r="F49" s="197"/>
      <c r="H49" s="200" t="s">
        <v>83</v>
      </c>
      <c r="I49" s="130">
        <v>0</v>
      </c>
      <c r="J49" s="147">
        <f>+I49+'27'!J49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+C50+'27'!D50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+C51+'27'!D51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95</v>
      </c>
      <c r="D52" s="156">
        <f>SUM(D38:D51)</f>
        <v>3725</v>
      </c>
      <c r="E52" s="157">
        <f>SUM(E38:E51)</f>
        <v>62.083333333333329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6.5972222222222224E-2</v>
      </c>
      <c r="D53" s="158">
        <f>D52/(24*60*G4)</f>
        <v>9.2385912698412703E-2</v>
      </c>
      <c r="E53" s="159">
        <f>E52/(G4*24)</f>
        <v>9.2385912698412689E-2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+D34+'27'!J56</f>
        <v>32088</v>
      </c>
      <c r="K56" s="213">
        <f>J56/(J40+J56/1000)/1000</f>
        <v>2.1229045844100691E-2</v>
      </c>
    </row>
    <row r="57" spans="1:11">
      <c r="A57" s="188"/>
      <c r="I57" s="211" t="s">
        <v>90</v>
      </c>
      <c r="J57" s="212">
        <f>+E34+'27'!J57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zoomScale="80" zoomScaleNormal="80" workbookViewId="0">
      <selection activeCell="D26" sqref="D26"/>
    </sheetView>
  </sheetViews>
  <sheetFormatPr defaultColWidth="9.140625" defaultRowHeight="12.75"/>
  <cols>
    <col min="1" max="1" width="8" style="161" customWidth="1"/>
    <col min="2" max="2" width="10.7109375" style="16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8.42578125" style="161" customWidth="1"/>
    <col min="11" max="11" width="12.5703125" style="161" bestFit="1" customWidth="1"/>
    <col min="12" max="12" width="8.28515625" style="161" customWidth="1"/>
    <col min="13" max="13" width="14.28515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27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210+190+199</f>
        <v>599</v>
      </c>
    </row>
    <row r="7" spans="1:18" ht="13.5" customHeight="1" thickBot="1">
      <c r="A7" s="1014" t="s">
        <v>486</v>
      </c>
      <c r="B7" s="227" t="s">
        <v>772</v>
      </c>
      <c r="C7" s="228">
        <v>13626</v>
      </c>
      <c r="D7" s="229">
        <v>780</v>
      </c>
      <c r="E7" s="230"/>
      <c r="F7" s="239">
        <v>30</v>
      </c>
      <c r="G7" s="240" t="s">
        <v>12</v>
      </c>
      <c r="H7" s="241" t="s">
        <v>483</v>
      </c>
      <c r="I7" s="1017" t="s">
        <v>791</v>
      </c>
      <c r="J7" s="226" t="str">
        <f>+'26'!J7</f>
        <v>F 13 VP OW</v>
      </c>
      <c r="K7" s="249"/>
      <c r="L7" s="253"/>
      <c r="M7" s="129">
        <f>+K7+'26'!M7+L7</f>
        <v>116119</v>
      </c>
    </row>
    <row r="8" spans="1:18" ht="13.5" thickBot="1">
      <c r="A8" s="1015"/>
      <c r="B8" s="227"/>
      <c r="C8" s="228"/>
      <c r="D8" s="229"/>
      <c r="E8" s="231"/>
      <c r="F8" s="242"/>
      <c r="G8" s="243" t="s">
        <v>12</v>
      </c>
      <c r="H8" s="241" t="s">
        <v>458</v>
      </c>
      <c r="I8" s="1018"/>
      <c r="J8" s="226" t="str">
        <f>+'26'!J8</f>
        <v>F 10,3 VP OW</v>
      </c>
      <c r="K8" s="250"/>
      <c r="L8" s="250"/>
      <c r="M8" s="129">
        <f>+K8+'26'!M8+L8</f>
        <v>53369</v>
      </c>
      <c r="N8" s="161">
        <v>1490</v>
      </c>
      <c r="O8" s="161">
        <f>+N8-N8*0.24</f>
        <v>1132.4000000000001</v>
      </c>
      <c r="Q8" s="161">
        <f>+N8*P8</f>
        <v>0</v>
      </c>
      <c r="R8" s="161">
        <f>+O8*P8</f>
        <v>0</v>
      </c>
    </row>
    <row r="9" spans="1:18" ht="13.5" thickBot="1">
      <c r="A9" s="1015"/>
      <c r="B9" s="227"/>
      <c r="C9" s="228"/>
      <c r="D9" s="229"/>
      <c r="E9" s="232"/>
      <c r="F9" s="239">
        <v>8</v>
      </c>
      <c r="G9" s="243" t="s">
        <v>12</v>
      </c>
      <c r="H9" s="598" t="s">
        <v>504</v>
      </c>
      <c r="I9" s="1018"/>
      <c r="J9" s="226" t="str">
        <f>+'26'!J9</f>
        <v>SN 15 VP OW</v>
      </c>
      <c r="K9" s="250"/>
      <c r="L9" s="250"/>
      <c r="M9" s="129">
        <f>+K9+'26'!M9+L9</f>
        <v>148317</v>
      </c>
      <c r="Q9" s="161">
        <f>+N9*P9</f>
        <v>0</v>
      </c>
      <c r="R9" s="161">
        <f>+O9*P9</f>
        <v>0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788</v>
      </c>
      <c r="I10" s="1018"/>
      <c r="J10" s="226" t="str">
        <f>+'26'!J10</f>
        <v>MG 15,5 VP OW</v>
      </c>
      <c r="K10" s="250"/>
      <c r="L10" s="250"/>
      <c r="M10" s="129">
        <f>+K10+'26'!M10+L10</f>
        <v>62505</v>
      </c>
      <c r="Q10" s="161">
        <f>+Q8+Q9</f>
        <v>0</v>
      </c>
      <c r="R10" s="161">
        <f>+R8+R9</f>
        <v>0</v>
      </c>
    </row>
    <row r="11" spans="1:18" ht="13.5" thickBot="1">
      <c r="A11" s="1015"/>
      <c r="B11" s="227"/>
      <c r="C11" s="228"/>
      <c r="D11" s="229"/>
      <c r="E11" s="231"/>
      <c r="F11" s="239"/>
      <c r="G11" s="243"/>
      <c r="H11" s="244" t="s">
        <v>786</v>
      </c>
      <c r="I11" s="1018"/>
      <c r="J11" s="226" t="str">
        <f>+'26'!J11</f>
        <v>MG 16,5 VP OW</v>
      </c>
      <c r="K11" s="250"/>
      <c r="L11" s="250"/>
      <c r="M11" s="129">
        <f>+K11+'26'!M11+L11</f>
        <v>37635</v>
      </c>
      <c r="Q11" s="161" t="e">
        <f>+Q10/P10</f>
        <v>#DIV/0!</v>
      </c>
      <c r="R11" s="161" t="e">
        <f>+R10/P10</f>
        <v>#DIV/0!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244" t="s">
        <v>787</v>
      </c>
      <c r="I12" s="1018"/>
      <c r="J12" s="226" t="str">
        <f>+'26'!J12</f>
        <v>MG 21 VP OW</v>
      </c>
      <c r="K12" s="250"/>
      <c r="L12" s="250"/>
      <c r="M12" s="129">
        <f>+K12+'26'!M12+L12</f>
        <v>206161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+'26'!J13</f>
        <v>MG 22 VP HW</v>
      </c>
      <c r="K13" s="250"/>
      <c r="L13" s="250"/>
      <c r="M13" s="129">
        <f>+K13+'26'!M13+L13</f>
        <v>10130</v>
      </c>
    </row>
    <row r="14" spans="1:18" ht="13.5" thickBot="1">
      <c r="A14" s="1016"/>
      <c r="B14" s="177" t="s">
        <v>2</v>
      </c>
      <c r="C14" s="111">
        <f>SUM(C7:C13)</f>
        <v>13626</v>
      </c>
      <c r="D14" s="123">
        <f>SUM(D7:D13)</f>
        <v>780</v>
      </c>
      <c r="E14" s="124">
        <f>SUM(E5:E13)</f>
        <v>0</v>
      </c>
      <c r="F14" s="128">
        <f>SUM(F7:F13)</f>
        <v>38</v>
      </c>
      <c r="G14" s="171"/>
      <c r="H14" s="178"/>
      <c r="I14" s="179"/>
      <c r="J14" s="226" t="str">
        <f>+'26'!J14</f>
        <v>MG 17 VP HW/OW</v>
      </c>
      <c r="K14" s="250"/>
      <c r="L14" s="250"/>
      <c r="M14" s="129">
        <f>+K14+'26'!M14+L14</f>
        <v>7375</v>
      </c>
    </row>
    <row r="15" spans="1:18" ht="13.5" customHeight="1" thickBot="1">
      <c r="A15" s="1014" t="s">
        <v>466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 t="s">
        <v>791</v>
      </c>
      <c r="J15" s="226" t="str">
        <f>+'26'!J15</f>
        <v>MG 14 VP HW</v>
      </c>
      <c r="K15" s="250"/>
      <c r="L15" s="250"/>
      <c r="M15" s="129">
        <f>+K15+'26'!M15+L15</f>
        <v>47118</v>
      </c>
    </row>
    <row r="16" spans="1:18" ht="13.5" thickBot="1">
      <c r="A16" s="1020"/>
      <c r="B16" s="227" t="s">
        <v>772</v>
      </c>
      <c r="C16" s="233">
        <v>21664</v>
      </c>
      <c r="D16" s="234">
        <v>510</v>
      </c>
      <c r="E16" s="235"/>
      <c r="F16" s="239">
        <v>1</v>
      </c>
      <c r="G16" s="243" t="s">
        <v>12</v>
      </c>
      <c r="H16" s="241" t="s">
        <v>481</v>
      </c>
      <c r="I16" s="1027"/>
      <c r="J16" s="226" t="str">
        <f>+'26'!J16</f>
        <v>F 12 VP OW</v>
      </c>
      <c r="K16" s="250"/>
      <c r="L16" s="240"/>
      <c r="M16" s="129">
        <f>+K16+'26'!M16+L16</f>
        <v>603222</v>
      </c>
    </row>
    <row r="17" spans="1:14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422</v>
      </c>
      <c r="I17" s="1027"/>
      <c r="J17" s="226" t="str">
        <f>+'26'!J17</f>
        <v>F 10,5 VP OW</v>
      </c>
      <c r="K17" s="250"/>
      <c r="L17" s="240"/>
      <c r="M17" s="129">
        <f>+K17+'26'!M17+L17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788</v>
      </c>
      <c r="I18" s="1027"/>
      <c r="J18" s="226" t="str">
        <f>+'26'!J18</f>
        <v>F 12,5 VP OW</v>
      </c>
      <c r="K18" s="250"/>
      <c r="L18" s="250"/>
      <c r="M18" s="129">
        <f>+K18+'26'!M18+L18</f>
        <v>16783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/>
      <c r="I19" s="1027"/>
      <c r="J19" s="226" t="str">
        <f>+'26'!J19</f>
        <v>F 13,5 VP OW</v>
      </c>
      <c r="K19" s="250"/>
      <c r="L19" s="250"/>
      <c r="M19" s="129">
        <f>+K19+'26'!M19+L19</f>
        <v>22253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/>
      <c r="I20" s="1027"/>
      <c r="J20" s="226" t="str">
        <f>+'26'!J20</f>
        <v>F 14 VP OW</v>
      </c>
      <c r="K20" s="250">
        <f>+C34</f>
        <v>51004</v>
      </c>
      <c r="L20" s="251"/>
      <c r="M20" s="129">
        <f>+K20+'26'!M20+L20</f>
        <v>64538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/>
      <c r="I21" s="1027"/>
      <c r="J21" s="226">
        <f>+'26'!J21</f>
        <v>0</v>
      </c>
      <c r="K21" s="250"/>
      <c r="L21" s="250"/>
      <c r="M21" s="129">
        <f>+K21+'26'!M21+L21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28"/>
      <c r="J22" s="226">
        <f>+'26'!J22</f>
        <v>0</v>
      </c>
      <c r="K22" s="250"/>
      <c r="L22" s="250"/>
      <c r="M22" s="129">
        <f>+K22+'26'!M22+L22</f>
        <v>0</v>
      </c>
    </row>
    <row r="23" spans="1:14" ht="13.5" thickBot="1">
      <c r="A23" s="1021"/>
      <c r="B23" s="180" t="s">
        <v>2</v>
      </c>
      <c r="C23" s="112">
        <f>SUM(C16:C22)</f>
        <v>21664</v>
      </c>
      <c r="D23" s="123">
        <f>SUM(D16:D22)</f>
        <v>510</v>
      </c>
      <c r="E23" s="124">
        <f>SUM(E18:E22)</f>
        <v>0</v>
      </c>
      <c r="F23" s="128">
        <f>SUM(F15:F22)</f>
        <v>11</v>
      </c>
      <c r="G23" s="171"/>
      <c r="H23" s="178" t="s">
        <v>237</v>
      </c>
      <c r="I23" s="181"/>
      <c r="J23" s="226">
        <f>+'26'!J23</f>
        <v>0</v>
      </c>
      <c r="K23" s="250"/>
      <c r="L23" s="250"/>
      <c r="M23" s="129">
        <f>+K23+'26'!M23+L23</f>
        <v>0</v>
      </c>
    </row>
    <row r="24" spans="1:14" ht="13.5" customHeight="1" thickBot="1">
      <c r="A24" s="1014" t="s">
        <v>542</v>
      </c>
      <c r="B24" s="182"/>
      <c r="C24" s="125"/>
      <c r="D24" s="126"/>
      <c r="E24" s="127"/>
      <c r="F24" s="247"/>
      <c r="G24" s="240" t="s">
        <v>12</v>
      </c>
      <c r="H24" s="241" t="s">
        <v>280</v>
      </c>
      <c r="I24" s="1017" t="s">
        <v>791</v>
      </c>
      <c r="J24" s="226">
        <f>+'26'!J24</f>
        <v>0</v>
      </c>
      <c r="K24" s="250"/>
      <c r="L24" s="250"/>
      <c r="M24" s="129">
        <f>+K24+'26'!M24+L24</f>
        <v>0</v>
      </c>
    </row>
    <row r="25" spans="1:14" ht="13.5" thickBot="1">
      <c r="A25" s="1020"/>
      <c r="B25" s="227" t="s">
        <v>772</v>
      </c>
      <c r="C25" s="237">
        <v>15714</v>
      </c>
      <c r="D25" s="229">
        <v>570</v>
      </c>
      <c r="E25" s="236"/>
      <c r="F25" s="242">
        <v>5</v>
      </c>
      <c r="G25" s="243" t="s">
        <v>12</v>
      </c>
      <c r="H25" s="241" t="s">
        <v>570</v>
      </c>
      <c r="I25" s="1027"/>
      <c r="J25" s="226">
        <f>+'26'!J25</f>
        <v>0</v>
      </c>
      <c r="K25" s="250"/>
      <c r="L25" s="250"/>
      <c r="M25" s="129">
        <f>+K25+'26'!M25+L25</f>
        <v>0</v>
      </c>
    </row>
    <row r="26" spans="1:14" ht="13.5" thickBot="1">
      <c r="A26" s="1020"/>
      <c r="B26" s="227"/>
      <c r="C26" s="237"/>
      <c r="D26" s="229"/>
      <c r="E26" s="238"/>
      <c r="F26" s="242">
        <v>10</v>
      </c>
      <c r="G26" s="243" t="s">
        <v>12</v>
      </c>
      <c r="H26" s="598" t="s">
        <v>664</v>
      </c>
      <c r="I26" s="1027"/>
      <c r="J26" s="226">
        <f>+'26'!J26</f>
        <v>0</v>
      </c>
      <c r="K26" s="250"/>
      <c r="L26" s="250"/>
      <c r="M26" s="129">
        <f>+K26+'26'!M26+L26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788</v>
      </c>
      <c r="I27" s="1027"/>
      <c r="J27" s="226">
        <f>+'26'!J27</f>
        <v>0</v>
      </c>
      <c r="K27" s="250"/>
      <c r="L27" s="250"/>
      <c r="M27" s="129">
        <f>+K27+'26'!M27+L27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 t="s">
        <v>754</v>
      </c>
      <c r="I28" s="1027"/>
      <c r="J28" s="226">
        <f>+'26'!J28</f>
        <v>0</v>
      </c>
      <c r="K28" s="250"/>
      <c r="L28" s="250"/>
      <c r="M28" s="129">
        <f>+K28+'26'!M28+L28</f>
        <v>0</v>
      </c>
    </row>
    <row r="29" spans="1:14" ht="13.5" customHeight="1" thickBot="1">
      <c r="A29" s="1020"/>
      <c r="B29" s="227"/>
      <c r="C29" s="228"/>
      <c r="D29" s="229"/>
      <c r="E29" s="236"/>
      <c r="F29" s="247"/>
      <c r="G29" s="243"/>
      <c r="H29" s="244" t="s">
        <v>789</v>
      </c>
      <c r="I29" s="1027"/>
      <c r="J29" s="226">
        <f>+'26'!J29</f>
        <v>0</v>
      </c>
      <c r="K29" s="250"/>
      <c r="L29" s="250"/>
      <c r="M29" s="129">
        <f>+K29+'26'!M29+L29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 t="s">
        <v>790</v>
      </c>
      <c r="I30" s="1027"/>
      <c r="J30" s="226">
        <f>+'26'!J30</f>
        <v>0</v>
      </c>
      <c r="K30" s="250"/>
      <c r="L30" s="250"/>
      <c r="M30" s="129">
        <f>+K30+'26'!M30+L30</f>
        <v>0</v>
      </c>
      <c r="N30" s="167"/>
    </row>
    <row r="31" spans="1:14" ht="13.5" thickBot="1">
      <c r="A31" s="1020"/>
      <c r="B31" s="227"/>
      <c r="C31" s="237"/>
      <c r="D31" s="229"/>
      <c r="E31" s="236"/>
      <c r="F31" s="247"/>
      <c r="G31" s="248"/>
      <c r="H31" s="245"/>
      <c r="I31" s="1028"/>
      <c r="J31" s="226">
        <f>+'26'!J31</f>
        <v>0</v>
      </c>
      <c r="K31" s="250"/>
      <c r="L31" s="250"/>
      <c r="M31" s="129">
        <f>+K31+'26'!M31+L31</f>
        <v>0</v>
      </c>
    </row>
    <row r="32" spans="1:14" ht="13.5" thickBot="1">
      <c r="A32" s="1021"/>
      <c r="B32" s="177" t="s">
        <v>2</v>
      </c>
      <c r="C32" s="111">
        <f>SUM(C25:C31)</f>
        <v>15714</v>
      </c>
      <c r="D32" s="112">
        <f>SUM(D25:D31)</f>
        <v>570</v>
      </c>
      <c r="E32" s="113">
        <f>SUM(E25:E31)</f>
        <v>0</v>
      </c>
      <c r="F32" s="114">
        <f>SUM(F24:F31)</f>
        <v>15</v>
      </c>
      <c r="G32" s="183"/>
      <c r="H32" s="184"/>
      <c r="I32" s="181"/>
      <c r="J32" s="226">
        <f>+'26'!J32</f>
        <v>0</v>
      </c>
      <c r="K32" s="252"/>
      <c r="L32" s="254"/>
      <c r="M32" s="129">
        <f>+K32+'26'!M32+L32</f>
        <v>0</v>
      </c>
    </row>
    <row r="33" spans="1:14" ht="13.5" thickBot="1">
      <c r="A33" s="185"/>
      <c r="B33" s="186"/>
      <c r="C33" s="115">
        <f>C32/($C$32+$D$32+$E$32)</f>
        <v>0.96499631540162123</v>
      </c>
      <c r="D33" s="116">
        <f>D32/($C$32+$D$32+$E$32)</f>
        <v>3.5003684598378777E-2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51004</v>
      </c>
      <c r="D34" s="119">
        <f>D14+D23+D32</f>
        <v>1860</v>
      </c>
      <c r="E34" s="119">
        <f>E14+E23+E32</f>
        <v>0</v>
      </c>
      <c r="F34" s="120">
        <f>F14+F23+F32</f>
        <v>64</v>
      </c>
      <c r="H34" s="190"/>
      <c r="I34" s="190"/>
      <c r="J34" s="135" t="s">
        <v>28</v>
      </c>
      <c r="K34" s="136">
        <f>SUM(K7:K32)</f>
        <v>51004</v>
      </c>
      <c r="L34" s="224">
        <f>SUM(L7:L32)</f>
        <v>0</v>
      </c>
      <c r="M34" s="132">
        <f>SUM(M7:M32)</f>
        <v>1431036</v>
      </c>
      <c r="N34" s="167"/>
    </row>
    <row r="35" spans="1:14" ht="13.5" thickBot="1">
      <c r="A35" s="191"/>
      <c r="B35" s="192"/>
      <c r="C35" s="116">
        <f>C34/($C$34+$D$34+$E$34)</f>
        <v>0.96481537530266348</v>
      </c>
      <c r="D35" s="116">
        <f>D34/($C$34+$D$34+$E$34)</f>
        <v>3.5184624697336561E-2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9"/>
      <c r="G37" s="342"/>
      <c r="H37" s="198" t="s">
        <v>63</v>
      </c>
      <c r="I37" s="255">
        <f>(14*1440)/1440*G42*2.77*1440/1000000</f>
        <v>63.236839680000017</v>
      </c>
      <c r="J37" s="137">
        <f>+I37+'26'!J37</f>
        <v>1632.0300442142232</v>
      </c>
      <c r="K37" s="138" t="s">
        <v>64</v>
      </c>
    </row>
    <row r="38" spans="1:14" ht="17.45" customHeight="1">
      <c r="A38" s="1012" t="s">
        <v>12</v>
      </c>
      <c r="B38" s="1013"/>
      <c r="C38" s="176">
        <f>SUMIF($G$7:$G$31,"Process",$F$7:$F$31)</f>
        <v>64</v>
      </c>
      <c r="D38" s="130">
        <f>+C38+'26'!D38</f>
        <v>1828</v>
      </c>
      <c r="E38" s="155">
        <f t="shared" ref="E38:E51" si="0">D38/60</f>
        <v>30.466666666666665</v>
      </c>
      <c r="F38" s="340">
        <v>1490</v>
      </c>
      <c r="G38" s="340">
        <f>+F38-F38*0.24</f>
        <v>1132.4000000000001</v>
      </c>
      <c r="H38" s="199" t="s">
        <v>65</v>
      </c>
      <c r="I38" s="553">
        <f>17.039+20.24+19.971</f>
        <v>57.25</v>
      </c>
      <c r="J38" s="139">
        <f>+I38+'26'!J38</f>
        <v>1518.1269999999997</v>
      </c>
      <c r="K38" s="140" t="s">
        <v>64</v>
      </c>
      <c r="L38" s="566"/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+C39+'26'!D39</f>
        <v>0</v>
      </c>
      <c r="E39" s="155">
        <f t="shared" si="0"/>
        <v>0</v>
      </c>
      <c r="F39" s="340">
        <v>1490</v>
      </c>
      <c r="G39" s="340">
        <f>+F39-F39*0.24</f>
        <v>1132.4000000000001</v>
      </c>
      <c r="H39" s="199" t="s">
        <v>66</v>
      </c>
      <c r="I39" s="154"/>
      <c r="J39" s="141">
        <f>J37/G4</f>
        <v>60.445557193119377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+C40+'26'!D40</f>
        <v>0</v>
      </c>
      <c r="E40" s="155">
        <f t="shared" si="0"/>
        <v>0</v>
      </c>
      <c r="F40" s="340">
        <v>1490</v>
      </c>
      <c r="G40" s="340">
        <f>+F40-F40*0.24</f>
        <v>1132.4000000000001</v>
      </c>
      <c r="H40" s="199" t="s">
        <v>68</v>
      </c>
      <c r="I40" s="130">
        <f>(K34+L34)/1000</f>
        <v>51.003999999999998</v>
      </c>
      <c r="J40" s="143">
        <f>+I40+'26'!J40</f>
        <v>1431.0359999999996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+C41+'26'!D41</f>
        <v>297</v>
      </c>
      <c r="E41" s="155">
        <f t="shared" si="0"/>
        <v>4.95</v>
      </c>
      <c r="F41" s="340"/>
      <c r="G41" s="340"/>
      <c r="H41" s="199" t="s">
        <v>70</v>
      </c>
      <c r="I41" s="154"/>
      <c r="J41" s="141">
        <f>J40/G4</f>
        <v>53.001333333333321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+C42+'26'!D42</f>
        <v>0</v>
      </c>
      <c r="E42" s="155">
        <f t="shared" si="0"/>
        <v>0</v>
      </c>
      <c r="F42" s="340">
        <f>+(F38*480+F39*480+F40*480)/1440</f>
        <v>1490</v>
      </c>
      <c r="G42" s="340">
        <f>+(G38*480+G39*480+G40*480)/1440</f>
        <v>1132.4000000000001</v>
      </c>
      <c r="H42" s="199" t="s">
        <v>71</v>
      </c>
      <c r="I42" s="257" t="s">
        <v>791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+C43+'26'!D43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+Report1!T35</f>
        <v>135.22399999999999</v>
      </c>
      <c r="J43" s="145">
        <f>+I43+'26'!J43</f>
        <v>3382.1669999999999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+C44+'26'!D44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2.3619912663755458</v>
      </c>
      <c r="J44" s="146">
        <f>J43/J38</f>
        <v>2.2278551135708677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+C45+'26'!D45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2.6512430397615874</v>
      </c>
      <c r="J45" s="146">
        <f>J43/J40</f>
        <v>2.3634394941846333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+C46+'26'!D46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+SUMIF(Listrik!AR34,"&gt;0")</f>
        <v>49741.819999996878</v>
      </c>
      <c r="J46" s="147">
        <f>+I46+'26'!J46</f>
        <v>1431491.8799999983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+C47+'26'!D47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868.85275109164854</v>
      </c>
      <c r="J47" s="147">
        <f>J46/J38</f>
        <v>942.93289033130861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+C48+'26'!D48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975.25331346554935</v>
      </c>
      <c r="J48" s="147">
        <f>J46/J40</f>
        <v>1000.3185664092299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+C49+'26'!D49</f>
        <v>1505</v>
      </c>
      <c r="E49" s="155">
        <f t="shared" si="0"/>
        <v>25.083333333333332</v>
      </c>
      <c r="F49" s="197"/>
      <c r="H49" s="200" t="s">
        <v>83</v>
      </c>
      <c r="I49" s="130">
        <v>0</v>
      </c>
      <c r="J49" s="147">
        <f>+I49+'26'!J49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+C50+'26'!D50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+C51+'26'!D51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64</v>
      </c>
      <c r="D52" s="156">
        <f>SUM(D38:D51)</f>
        <v>3630</v>
      </c>
      <c r="E52" s="157">
        <f>SUM(E38:E51)</f>
        <v>60.5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4.4444444444444446E-2</v>
      </c>
      <c r="D53" s="158">
        <f>D52/(24*60*G4)</f>
        <v>9.3364197530864196E-2</v>
      </c>
      <c r="E53" s="159">
        <f>E52/(G4*24)</f>
        <v>9.3364197530864196E-2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+D34+'26'!J56</f>
        <v>32088</v>
      </c>
      <c r="K56" s="213">
        <f>J56/(J40+J56/1000)/1000</f>
        <v>2.1931155527487763E-2</v>
      </c>
    </row>
    <row r="57" spans="1:11">
      <c r="A57" s="188"/>
      <c r="I57" s="211" t="s">
        <v>90</v>
      </c>
      <c r="J57" s="212">
        <f>+E34+'26'!J57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5.140625" style="161" bestFit="1" customWidth="1"/>
    <col min="8" max="8" width="64.85546875" style="161" customWidth="1"/>
    <col min="9" max="9" width="14.7109375" style="161" bestFit="1" customWidth="1"/>
    <col min="10" max="10" width="18.42578125" style="161" customWidth="1"/>
    <col min="11" max="11" width="14" style="161" bestFit="1" customWidth="1"/>
    <col min="12" max="12" width="8.28515625" style="161" customWidth="1"/>
    <col min="13" max="13" width="17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26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170+165+156</f>
        <v>491</v>
      </c>
    </row>
    <row r="7" spans="1:18" ht="13.5" customHeight="1" thickBot="1">
      <c r="A7" s="1014" t="s">
        <v>486</v>
      </c>
      <c r="B7" s="227" t="s">
        <v>568</v>
      </c>
      <c r="C7" s="228">
        <f>5241+4254</f>
        <v>9495</v>
      </c>
      <c r="D7" s="229"/>
      <c r="E7" s="230"/>
      <c r="F7" s="239">
        <v>5</v>
      </c>
      <c r="G7" s="240" t="s">
        <v>12</v>
      </c>
      <c r="H7" s="241" t="s">
        <v>541</v>
      </c>
      <c r="I7" s="1017" t="s">
        <v>769</v>
      </c>
      <c r="J7" s="226" t="str">
        <f>+'25'!J7</f>
        <v>F 13 VP OW</v>
      </c>
      <c r="K7" s="249">
        <f>+C8+C17+C25</f>
        <v>16537</v>
      </c>
      <c r="L7" s="253"/>
      <c r="M7" s="129">
        <f>+K7+'25'!M7+L7</f>
        <v>116119</v>
      </c>
    </row>
    <row r="8" spans="1:18" ht="13.5" thickBot="1">
      <c r="A8" s="1015"/>
      <c r="B8" s="227" t="s">
        <v>460</v>
      </c>
      <c r="C8" s="228">
        <v>194</v>
      </c>
      <c r="D8" s="229"/>
      <c r="E8" s="231"/>
      <c r="F8" s="242">
        <v>5</v>
      </c>
      <c r="G8" s="243" t="s">
        <v>12</v>
      </c>
      <c r="H8" s="241" t="s">
        <v>586</v>
      </c>
      <c r="I8" s="1018"/>
      <c r="J8" s="226" t="str">
        <f>+'25'!J8</f>
        <v>F 10,3 VP OW</v>
      </c>
      <c r="K8" s="250"/>
      <c r="L8" s="250"/>
      <c r="M8" s="129">
        <f>+K8+'25'!M8+L8</f>
        <v>53369</v>
      </c>
    </row>
    <row r="9" spans="1:18" ht="13.5" thickBot="1">
      <c r="A9" s="1015"/>
      <c r="B9" s="227" t="s">
        <v>773</v>
      </c>
      <c r="C9" s="228">
        <v>921</v>
      </c>
      <c r="D9" s="229"/>
      <c r="E9" s="232"/>
      <c r="F9" s="239">
        <v>10</v>
      </c>
      <c r="G9" s="243" t="s">
        <v>12</v>
      </c>
      <c r="H9" s="598" t="s">
        <v>482</v>
      </c>
      <c r="I9" s="1018"/>
      <c r="J9" s="226" t="str">
        <f>+'25'!J9</f>
        <v>SN 15 VP OW</v>
      </c>
      <c r="K9" s="250"/>
      <c r="L9" s="250"/>
      <c r="M9" s="129">
        <f>+K9+'25'!M9+L9</f>
        <v>148317</v>
      </c>
      <c r="N9" s="161">
        <v>1400</v>
      </c>
      <c r="O9" s="161">
        <f>+N9-N9*0.24</f>
        <v>1064</v>
      </c>
      <c r="P9" s="161">
        <f>465-60</f>
        <v>405</v>
      </c>
      <c r="Q9" s="161">
        <f>+N9*P9</f>
        <v>567000</v>
      </c>
      <c r="R9" s="161">
        <f>+O9*P9</f>
        <v>430920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758</v>
      </c>
      <c r="I10" s="1018"/>
      <c r="J10" s="226" t="str">
        <f>+'25'!J10</f>
        <v>MG 15,5 VP OW</v>
      </c>
      <c r="K10" s="250"/>
      <c r="L10" s="250"/>
      <c r="M10" s="129">
        <f>+K10+'25'!M10+L10</f>
        <v>62505</v>
      </c>
      <c r="N10" s="161">
        <v>1400</v>
      </c>
      <c r="O10" s="161">
        <f>+N10-N10*0.24</f>
        <v>1064</v>
      </c>
      <c r="P10" s="161">
        <v>15</v>
      </c>
      <c r="Q10" s="161">
        <f>+N10*P10</f>
        <v>21000</v>
      </c>
      <c r="R10" s="161">
        <f>+O10*P10</f>
        <v>15960</v>
      </c>
    </row>
    <row r="11" spans="1:18" ht="13.5" thickBot="1">
      <c r="A11" s="1015"/>
      <c r="B11" s="227"/>
      <c r="C11" s="228"/>
      <c r="D11" s="229"/>
      <c r="E11" s="231"/>
      <c r="F11" s="239"/>
      <c r="G11" s="243"/>
      <c r="H11" s="244" t="s">
        <v>770</v>
      </c>
      <c r="I11" s="1018"/>
      <c r="J11" s="226" t="str">
        <f>+'25'!J11</f>
        <v>MG 16,5 VP OW</v>
      </c>
      <c r="K11" s="250"/>
      <c r="L11" s="250"/>
      <c r="M11" s="129">
        <f>+K11+'25'!M11+L11</f>
        <v>37635</v>
      </c>
      <c r="P11" s="161">
        <f>SUM(P9:P10)</f>
        <v>420</v>
      </c>
      <c r="Q11" s="161">
        <f>SUM(Q9:Q10)</f>
        <v>588000</v>
      </c>
      <c r="R11" s="161">
        <f>SUM(R9:R10)</f>
        <v>446880</v>
      </c>
    </row>
    <row r="12" spans="1:18" ht="26.25" thickBot="1">
      <c r="A12" s="1015"/>
      <c r="B12" s="227"/>
      <c r="C12" s="228"/>
      <c r="D12" s="229"/>
      <c r="E12" s="231"/>
      <c r="F12" s="239">
        <v>60</v>
      </c>
      <c r="G12" s="243" t="s">
        <v>69</v>
      </c>
      <c r="H12" s="244" t="s">
        <v>775</v>
      </c>
      <c r="I12" s="1018"/>
      <c r="J12" s="226" t="str">
        <f>+'25'!J12</f>
        <v>MG 21 VP OW</v>
      </c>
      <c r="K12" s="250"/>
      <c r="L12" s="250"/>
      <c r="M12" s="129">
        <f>+K12+'25'!M12+L12</f>
        <v>206161</v>
      </c>
      <c r="Q12" s="161">
        <f>+Q11/P11</f>
        <v>1400</v>
      </c>
      <c r="R12" s="161">
        <f>+R11/P11</f>
        <v>1064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 t="s">
        <v>774</v>
      </c>
      <c r="I13" s="1019"/>
      <c r="J13" s="226" t="str">
        <f>+'25'!J13</f>
        <v>MG 22 VP HW</v>
      </c>
      <c r="K13" s="250"/>
      <c r="L13" s="250"/>
      <c r="M13" s="129">
        <f>+K13+'25'!M13+L13</f>
        <v>10130</v>
      </c>
    </row>
    <row r="14" spans="1:18" ht="13.5" thickBot="1">
      <c r="A14" s="1016"/>
      <c r="B14" s="177" t="s">
        <v>2</v>
      </c>
      <c r="C14" s="111">
        <f>SUM(C7:C13)</f>
        <v>10610</v>
      </c>
      <c r="D14" s="123">
        <f>SUM(D7:D13)</f>
        <v>0</v>
      </c>
      <c r="E14" s="124">
        <f>SUM(E5:E13)</f>
        <v>0</v>
      </c>
      <c r="F14" s="128">
        <f>SUM(F7:F13)</f>
        <v>80</v>
      </c>
      <c r="G14" s="171"/>
      <c r="H14" s="178"/>
      <c r="I14" s="179"/>
      <c r="J14" s="226" t="str">
        <f>+'25'!J14</f>
        <v>MG 17 VP HW/OW</v>
      </c>
      <c r="K14" s="250"/>
      <c r="L14" s="250"/>
      <c r="M14" s="129">
        <f>+K14+'25'!M14+L14</f>
        <v>7375</v>
      </c>
    </row>
    <row r="15" spans="1:18" ht="13.5" customHeight="1" thickBot="1">
      <c r="A15" s="1014" t="s">
        <v>466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 t="s">
        <v>769</v>
      </c>
      <c r="J15" s="226" t="str">
        <f>+'25'!J15</f>
        <v>MG 14 VP HW</v>
      </c>
      <c r="K15" s="250"/>
      <c r="L15" s="250"/>
      <c r="M15" s="129">
        <f>+K15+'25'!M15+L15</f>
        <v>47118</v>
      </c>
    </row>
    <row r="16" spans="1:18" ht="13.5" thickBot="1">
      <c r="A16" s="1020"/>
      <c r="B16" s="227" t="s">
        <v>568</v>
      </c>
      <c r="C16" s="233">
        <f>1522+1742</f>
        <v>3264</v>
      </c>
      <c r="D16" s="234">
        <v>586</v>
      </c>
      <c r="E16" s="235"/>
      <c r="F16" s="239">
        <v>2</v>
      </c>
      <c r="G16" s="243" t="s">
        <v>12</v>
      </c>
      <c r="H16" s="241" t="s">
        <v>481</v>
      </c>
      <c r="I16" s="1018"/>
      <c r="J16" s="226" t="str">
        <f>+'25'!J16</f>
        <v>F 12 VP OW</v>
      </c>
      <c r="K16" s="250">
        <f>+C7+C16</f>
        <v>12759</v>
      </c>
      <c r="L16" s="240"/>
      <c r="M16" s="129">
        <f>+K16+'25'!M16+L16</f>
        <v>603222</v>
      </c>
    </row>
    <row r="17" spans="1:14" ht="13.5" thickBot="1">
      <c r="A17" s="1020"/>
      <c r="B17" s="227" t="s">
        <v>460</v>
      </c>
      <c r="C17" s="228">
        <v>6956</v>
      </c>
      <c r="D17" s="229"/>
      <c r="E17" s="236"/>
      <c r="F17" s="239">
        <v>10</v>
      </c>
      <c r="G17" s="243" t="s">
        <v>12</v>
      </c>
      <c r="H17" s="598" t="s">
        <v>504</v>
      </c>
      <c r="I17" s="1018"/>
      <c r="J17" s="226" t="str">
        <f>+'25'!J17</f>
        <v>F 10,5 VP OW</v>
      </c>
      <c r="K17" s="250"/>
      <c r="L17" s="240"/>
      <c r="M17" s="129">
        <f>+K17+'25'!M17+L17</f>
        <v>35511</v>
      </c>
    </row>
    <row r="18" spans="1:14" ht="13.5" thickBot="1">
      <c r="A18" s="1020"/>
      <c r="B18" s="227" t="s">
        <v>772</v>
      </c>
      <c r="C18" s="228">
        <v>5531</v>
      </c>
      <c r="D18" s="229">
        <v>801</v>
      </c>
      <c r="E18" s="236"/>
      <c r="F18" s="239"/>
      <c r="G18" s="243"/>
      <c r="H18" s="598" t="s">
        <v>771</v>
      </c>
      <c r="I18" s="1018"/>
      <c r="J18" s="226" t="str">
        <f>+'25'!J18</f>
        <v>F 12,5 VP OW</v>
      </c>
      <c r="K18" s="250"/>
      <c r="L18" s="250"/>
      <c r="M18" s="129">
        <f>+K18+'25'!M18+L18</f>
        <v>16783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/>
      <c r="I19" s="1018"/>
      <c r="J19" s="226" t="str">
        <f>+'25'!J19</f>
        <v>F 13,5 VP OW</v>
      </c>
      <c r="K19" s="250">
        <f>+C9</f>
        <v>921</v>
      </c>
      <c r="L19" s="250"/>
      <c r="M19" s="129">
        <f>+K19+'25'!M19+L19</f>
        <v>22253</v>
      </c>
    </row>
    <row r="20" spans="1:14" ht="13.5" customHeight="1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 t="s">
        <v>772</v>
      </c>
      <c r="K20" s="250">
        <f>+C26+C18</f>
        <v>13534</v>
      </c>
      <c r="L20" s="251"/>
      <c r="M20" s="129">
        <f>+K20+'25'!M20+L20</f>
        <v>13534</v>
      </c>
    </row>
    <row r="21" spans="1:14" ht="13.5" customHeight="1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+'25'!J21</f>
        <v>0</v>
      </c>
      <c r="K21" s="250"/>
      <c r="L21" s="250"/>
      <c r="M21" s="129">
        <f>+K21+'25'!M21+L21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+'25'!J22</f>
        <v>0</v>
      </c>
      <c r="K22" s="250"/>
      <c r="L22" s="250"/>
      <c r="M22" s="129">
        <f>+K22+'25'!M22+L22</f>
        <v>0</v>
      </c>
    </row>
    <row r="23" spans="1:14" ht="13.5" thickBot="1">
      <c r="A23" s="1021"/>
      <c r="B23" s="180" t="s">
        <v>2</v>
      </c>
      <c r="C23" s="112">
        <f>SUM(C16:C22)</f>
        <v>15751</v>
      </c>
      <c r="D23" s="123">
        <f>SUM(D16:D22)</f>
        <v>1387</v>
      </c>
      <c r="E23" s="124">
        <f>SUM(E18:E22)</f>
        <v>0</v>
      </c>
      <c r="F23" s="128">
        <f>SUM(F15:F22)</f>
        <v>12</v>
      </c>
      <c r="G23" s="171"/>
      <c r="H23" s="178" t="s">
        <v>237</v>
      </c>
      <c r="I23" s="181"/>
      <c r="J23" s="226">
        <f>+'25'!J23</f>
        <v>0</v>
      </c>
      <c r="K23" s="250"/>
      <c r="L23" s="250"/>
      <c r="M23" s="129">
        <f>+K23+'25'!M23+L23</f>
        <v>0</v>
      </c>
    </row>
    <row r="24" spans="1:14" ht="13.5" customHeight="1" thickBot="1">
      <c r="A24" s="1014" t="s">
        <v>542</v>
      </c>
      <c r="B24" s="182"/>
      <c r="C24" s="125"/>
      <c r="D24" s="126"/>
      <c r="E24" s="127"/>
      <c r="F24" s="247"/>
      <c r="G24" s="240" t="s">
        <v>12</v>
      </c>
      <c r="H24" s="241" t="s">
        <v>280</v>
      </c>
      <c r="I24" s="1017" t="s">
        <v>769</v>
      </c>
      <c r="J24" s="226">
        <f>+'25'!J24</f>
        <v>0</v>
      </c>
      <c r="K24" s="250"/>
      <c r="L24" s="250"/>
      <c r="M24" s="129">
        <f>+K24+'25'!M24+L24</f>
        <v>0</v>
      </c>
    </row>
    <row r="25" spans="1:14" ht="13.5" thickBot="1">
      <c r="A25" s="1020"/>
      <c r="B25" s="227" t="s">
        <v>460</v>
      </c>
      <c r="C25" s="237">
        <v>9387</v>
      </c>
      <c r="D25" s="229"/>
      <c r="E25" s="236"/>
      <c r="F25" s="242">
        <v>3</v>
      </c>
      <c r="G25" s="243" t="s">
        <v>12</v>
      </c>
      <c r="H25" s="241" t="s">
        <v>587</v>
      </c>
      <c r="I25" s="1018"/>
      <c r="J25" s="226">
        <f>+'25'!J25</f>
        <v>0</v>
      </c>
      <c r="K25" s="250"/>
      <c r="L25" s="250"/>
      <c r="M25" s="129">
        <f>+K25+'25'!M25+L25</f>
        <v>0</v>
      </c>
    </row>
    <row r="26" spans="1:14" ht="13.5" thickBot="1">
      <c r="A26" s="1020"/>
      <c r="B26" s="227" t="s">
        <v>772</v>
      </c>
      <c r="C26" s="237">
        <v>8003</v>
      </c>
      <c r="D26" s="229">
        <v>520</v>
      </c>
      <c r="E26" s="238"/>
      <c r="F26" s="242">
        <v>7</v>
      </c>
      <c r="G26" s="243" t="s">
        <v>12</v>
      </c>
      <c r="H26" s="598" t="s">
        <v>435</v>
      </c>
      <c r="I26" s="1018"/>
      <c r="J26" s="226">
        <f>+'25'!J26</f>
        <v>0</v>
      </c>
      <c r="K26" s="250"/>
      <c r="L26" s="250"/>
      <c r="M26" s="129">
        <f>+K26+'25'!M26+L26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771</v>
      </c>
      <c r="I27" s="1018"/>
      <c r="J27" s="226">
        <f>+'25'!J27</f>
        <v>0</v>
      </c>
      <c r="K27" s="250"/>
      <c r="L27" s="250"/>
      <c r="M27" s="129">
        <f>+K27+'25'!M27+L27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 t="s">
        <v>754</v>
      </c>
      <c r="I28" s="1018"/>
      <c r="J28" s="226">
        <f>+'25'!J28</f>
        <v>0</v>
      </c>
      <c r="K28" s="250"/>
      <c r="L28" s="250"/>
      <c r="M28" s="129">
        <f>+K28+'25'!M28+L28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+'25'!J29</f>
        <v>0</v>
      </c>
      <c r="K29" s="250"/>
      <c r="L29" s="250"/>
      <c r="M29" s="129">
        <f>+K29+'25'!M29+L29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+'25'!J30</f>
        <v>0</v>
      </c>
      <c r="K30" s="250"/>
      <c r="L30" s="250"/>
      <c r="M30" s="129">
        <f>+K30+'25'!M30+L30</f>
        <v>0</v>
      </c>
      <c r="N30" s="167"/>
    </row>
    <row r="31" spans="1:14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+'25'!J31</f>
        <v>0</v>
      </c>
      <c r="K31" s="250"/>
      <c r="L31" s="250"/>
      <c r="M31" s="129">
        <f>+K31+'25'!M31+L31</f>
        <v>0</v>
      </c>
    </row>
    <row r="32" spans="1:14" ht="13.5" thickBot="1">
      <c r="A32" s="1021"/>
      <c r="B32" s="177" t="s">
        <v>2</v>
      </c>
      <c r="C32" s="111">
        <f>SUM(C25:C31)</f>
        <v>17390</v>
      </c>
      <c r="D32" s="112">
        <f>SUM(D25:D31)</f>
        <v>520</v>
      </c>
      <c r="E32" s="113">
        <f>SUM(E25:E31)</f>
        <v>0</v>
      </c>
      <c r="F32" s="114">
        <f>SUM(F24:F31)</f>
        <v>10</v>
      </c>
      <c r="G32" s="183"/>
      <c r="H32" s="184"/>
      <c r="I32" s="181"/>
      <c r="J32" s="226">
        <f>+'25'!J32</f>
        <v>0</v>
      </c>
      <c r="K32" s="252"/>
      <c r="L32" s="254"/>
      <c r="M32" s="129">
        <f>+K32+'25'!M32+L32</f>
        <v>0</v>
      </c>
    </row>
    <row r="33" spans="1:14" ht="13.5" thickBot="1">
      <c r="A33" s="185"/>
      <c r="B33" s="186"/>
      <c r="C33" s="115">
        <f>C32/($C$32+$D$32+$E$32)</f>
        <v>0.97096594081518706</v>
      </c>
      <c r="D33" s="116">
        <f>D32/($C$32+$D$32+$E$32)</f>
        <v>2.9034059184812954E-2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43751</v>
      </c>
      <c r="D34" s="119">
        <f>D14+D23+D32</f>
        <v>1907</v>
      </c>
      <c r="E34" s="119">
        <f>E14+E23+E32</f>
        <v>0</v>
      </c>
      <c r="F34" s="120">
        <f>F14+F23+F32</f>
        <v>102</v>
      </c>
      <c r="H34" s="190"/>
      <c r="I34" s="190"/>
      <c r="J34" s="135" t="s">
        <v>28</v>
      </c>
      <c r="K34" s="136">
        <f>SUM(K7:K32)</f>
        <v>43751</v>
      </c>
      <c r="L34" s="224">
        <f>SUM(L7:L32)</f>
        <v>0</v>
      </c>
      <c r="M34" s="132">
        <f>SUM(M7:M32)</f>
        <v>1380032</v>
      </c>
      <c r="N34" s="167"/>
    </row>
    <row r="35" spans="1:14" ht="13.5" thickBot="1">
      <c r="A35" s="191"/>
      <c r="B35" s="192"/>
      <c r="C35" s="116">
        <f>C34/($C$34+$D$34+$E$34)</f>
        <v>0.95823294931884884</v>
      </c>
      <c r="D35" s="116">
        <f>D34/($C$34+$D$34+$E$34)</f>
        <v>4.176705068115117E-2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(12*405+14*975)/1380*G42*2.77*1380/1000000</f>
        <v>54.554152799999997</v>
      </c>
      <c r="J37" s="137">
        <f>+I37+'25'!J37</f>
        <v>1568.7932045342232</v>
      </c>
      <c r="K37" s="138" t="s">
        <v>64</v>
      </c>
      <c r="L37" s="161">
        <v>15.25</v>
      </c>
    </row>
    <row r="38" spans="1:14" ht="17.45" customHeight="1">
      <c r="A38" s="1012" t="s">
        <v>12</v>
      </c>
      <c r="B38" s="1013"/>
      <c r="C38" s="176">
        <f>SUMIF($G$7:$G$31,"Process",$F$7:$F$31)</f>
        <v>42</v>
      </c>
      <c r="D38" s="130">
        <f>+C38+'25'!D38</f>
        <v>1764</v>
      </c>
      <c r="E38" s="155">
        <f t="shared" ref="E38:E51" si="0">D38/60</f>
        <v>29.4</v>
      </c>
      <c r="F38" s="340">
        <v>1400</v>
      </c>
      <c r="G38" s="340">
        <v>1064</v>
      </c>
      <c r="H38" s="199" t="s">
        <v>65</v>
      </c>
      <c r="I38" s="553">
        <f>15.25+18.565+19.878</f>
        <v>53.692999999999998</v>
      </c>
      <c r="J38" s="139">
        <f>+I38+'25'!J38</f>
        <v>1460.8769999999997</v>
      </c>
      <c r="K38" s="140" t="s">
        <v>64</v>
      </c>
      <c r="L38" s="566">
        <f>+I38-L37</f>
        <v>38.442999999999998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+C39+'25'!D39</f>
        <v>0</v>
      </c>
      <c r="E39" s="155">
        <f t="shared" si="0"/>
        <v>0</v>
      </c>
      <c r="F39" s="340">
        <v>1400</v>
      </c>
      <c r="G39" s="340">
        <v>1064</v>
      </c>
      <c r="H39" s="199" t="s">
        <v>66</v>
      </c>
      <c r="I39" s="154"/>
      <c r="J39" s="141">
        <f>J37/G4</f>
        <v>60.338200174393201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+C40+'25'!D40</f>
        <v>0</v>
      </c>
      <c r="E40" s="155">
        <f t="shared" si="0"/>
        <v>0</v>
      </c>
      <c r="F40" s="340">
        <v>1400</v>
      </c>
      <c r="G40" s="340">
        <v>1064</v>
      </c>
      <c r="H40" s="199" t="s">
        <v>68</v>
      </c>
      <c r="I40" s="130">
        <f>(K34+L34)/1000</f>
        <v>43.750999999999998</v>
      </c>
      <c r="J40" s="143">
        <f>+I40+'25'!J40</f>
        <v>1380.0319999999997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60</v>
      </c>
      <c r="D41" s="130">
        <f>+C41+'25'!D41</f>
        <v>297</v>
      </c>
      <c r="E41" s="155">
        <f t="shared" si="0"/>
        <v>4.95</v>
      </c>
      <c r="F41" s="340"/>
      <c r="G41" s="340"/>
      <c r="H41" s="199" t="s">
        <v>70</v>
      </c>
      <c r="I41" s="154"/>
      <c r="J41" s="141">
        <f>J40/G4</f>
        <v>53.078153846153832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+C42+'25'!D42</f>
        <v>0</v>
      </c>
      <c r="E42" s="155">
        <f t="shared" si="0"/>
        <v>0</v>
      </c>
      <c r="F42" s="340">
        <f>+(F38*420+F39*480+F40*480)/1380</f>
        <v>1400</v>
      </c>
      <c r="G42" s="340">
        <f>+(G38*420+G39*480+G40*480)/1380</f>
        <v>1064</v>
      </c>
      <c r="H42" s="199" t="s">
        <v>71</v>
      </c>
      <c r="I42" s="257" t="s">
        <v>769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+C43+'25'!D43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+Report1!T34</f>
        <v>125.026</v>
      </c>
      <c r="J43" s="145">
        <f>+I43+'25'!J43</f>
        <v>3246.9429999999998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+C44+'25'!D44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2.3285344458309276</v>
      </c>
      <c r="J44" s="146">
        <f>J43/J38</f>
        <v>2.222598480227973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+C45+'25'!D45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2.857671824644008</v>
      </c>
      <c r="J45" s="146">
        <f>J43/J40</f>
        <v>2.3528026886333073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+C46+'25'!D46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+SUMIF(Listrik!AR33,"&gt;0")</f>
        <v>44930.220000003756</v>
      </c>
      <c r="J46" s="147">
        <f>+I46+'25'!J46</f>
        <v>1381750.0600000015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+C47+'25'!D47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836.79846534937064</v>
      </c>
      <c r="J47" s="147">
        <f>J46/J38</f>
        <v>945.83600125130431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+C48+'25'!D48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1026.9529839318818</v>
      </c>
      <c r="J48" s="147">
        <f>J46/J40</f>
        <v>1001.2449421462703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+C49+'25'!D49</f>
        <v>1505</v>
      </c>
      <c r="E49" s="155">
        <f t="shared" si="0"/>
        <v>25.083333333333332</v>
      </c>
      <c r="F49" s="197"/>
      <c r="H49" s="200" t="s">
        <v>83</v>
      </c>
      <c r="I49" s="130">
        <v>0</v>
      </c>
      <c r="J49" s="147">
        <f>+I49+'25'!J49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+C50+'25'!D50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+C51+'25'!D51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102</v>
      </c>
      <c r="D52" s="156">
        <f>SUM(D38:D51)</f>
        <v>3566</v>
      </c>
      <c r="E52" s="157">
        <f>SUM(E38:E51)</f>
        <v>59.433333333333337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7.0833333333333331E-2</v>
      </c>
      <c r="D53" s="158">
        <f>D52/(24*60*G4)</f>
        <v>9.524572649572649E-2</v>
      </c>
      <c r="E53" s="159">
        <f>E52/(G4*24)</f>
        <v>9.5245726495726504E-2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+D34+'25'!J56</f>
        <v>30228</v>
      </c>
      <c r="K56" s="213">
        <f>J56/(J40+J56/1000)/1000</f>
        <v>2.1434345439847974E-2</v>
      </c>
    </row>
    <row r="57" spans="1:11">
      <c r="A57" s="188"/>
      <c r="I57" s="211" t="s">
        <v>90</v>
      </c>
      <c r="J57" s="212">
        <f>+E34+'25'!J57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"/>
  <sheetViews>
    <sheetView topLeftCell="A4" zoomScale="80" zoomScaleNormal="80" workbookViewId="0">
      <selection activeCell="K19" sqref="K19"/>
    </sheetView>
  </sheetViews>
  <sheetFormatPr defaultColWidth="9.140625" defaultRowHeight="12.75"/>
  <cols>
    <col min="1" max="1" width="8" style="161" customWidth="1"/>
    <col min="2" max="2" width="8.28515625" style="16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4.42578125" style="161" bestFit="1" customWidth="1"/>
    <col min="14" max="16384" width="9.140625" style="161"/>
  </cols>
  <sheetData>
    <row r="1" spans="1:24" ht="15.75">
      <c r="A1" s="160"/>
    </row>
    <row r="2" spans="1:24" ht="15.75">
      <c r="A2" s="160" t="s">
        <v>149</v>
      </c>
    </row>
    <row r="3" spans="1:24" ht="15">
      <c r="A3" s="162"/>
    </row>
    <row r="4" spans="1:24" ht="20.25">
      <c r="A4" s="163" t="s">
        <v>3</v>
      </c>
      <c r="B4" s="164"/>
      <c r="F4" s="165" t="s">
        <v>30</v>
      </c>
      <c r="G4" s="166">
        <v>25</v>
      </c>
      <c r="H4" s="166" t="str">
        <f>+'1'!H4</f>
        <v>.10.25</v>
      </c>
    </row>
    <row r="5" spans="1:24" ht="13.5" thickBot="1">
      <c r="C5" s="167"/>
      <c r="D5" s="167"/>
    </row>
    <row r="6" spans="1:24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169+45.58+186</f>
        <v>400.58</v>
      </c>
    </row>
    <row r="7" spans="1:24" ht="13.5" customHeight="1" thickBot="1">
      <c r="A7" s="1014" t="s">
        <v>648</v>
      </c>
      <c r="B7" s="227" t="s">
        <v>568</v>
      </c>
      <c r="C7" s="228">
        <v>11380</v>
      </c>
      <c r="D7" s="229">
        <v>299</v>
      </c>
      <c r="E7" s="230"/>
      <c r="F7" s="239">
        <v>5</v>
      </c>
      <c r="G7" s="240" t="s">
        <v>12</v>
      </c>
      <c r="H7" s="241" t="s">
        <v>541</v>
      </c>
      <c r="I7" s="1017" t="s">
        <v>759</v>
      </c>
      <c r="J7" s="226" t="str">
        <f>+'24'!J7</f>
        <v>F 13 VP OW</v>
      </c>
      <c r="K7" s="249">
        <f>+C8+C16+C25</f>
        <v>13093</v>
      </c>
      <c r="L7" s="253"/>
      <c r="M7" s="129">
        <f>+K7+'24'!M7+L7</f>
        <v>99582</v>
      </c>
    </row>
    <row r="8" spans="1:24" ht="13.5" thickBot="1">
      <c r="A8" s="1015"/>
      <c r="B8" s="227" t="s">
        <v>460</v>
      </c>
      <c r="C8" s="228">
        <f>1484+84</f>
        <v>1568</v>
      </c>
      <c r="D8" s="229"/>
      <c r="E8" s="231"/>
      <c r="F8" s="242">
        <v>3</v>
      </c>
      <c r="G8" s="243" t="s">
        <v>12</v>
      </c>
      <c r="H8" s="241" t="s">
        <v>677</v>
      </c>
      <c r="I8" s="1018"/>
      <c r="J8" s="226" t="str">
        <f>+'24'!J8</f>
        <v>F 10,3 VP OW</v>
      </c>
      <c r="K8" s="250"/>
      <c r="L8" s="250"/>
      <c r="M8" s="129">
        <f>+K8+'24'!M8+L8</f>
        <v>53369</v>
      </c>
      <c r="N8" s="161">
        <v>1340</v>
      </c>
      <c r="O8" s="161">
        <f>+N8-N8*0.24</f>
        <v>1018.4000000000001</v>
      </c>
      <c r="P8" s="161">
        <f>240+40</f>
        <v>280</v>
      </c>
      <c r="Q8" s="161">
        <f>+N8*P8</f>
        <v>375200</v>
      </c>
      <c r="R8" s="161">
        <f>+O8*P8</f>
        <v>285152</v>
      </c>
    </row>
    <row r="9" spans="1:24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613</v>
      </c>
      <c r="I9" s="1018"/>
      <c r="J9" s="226" t="str">
        <f>+'24'!J9</f>
        <v>SN 15 VP OW</v>
      </c>
      <c r="K9" s="250"/>
      <c r="L9" s="250"/>
      <c r="M9" s="129">
        <f>+K9+'24'!M9+L9</f>
        <v>148317</v>
      </c>
      <c r="N9" s="161">
        <v>1430</v>
      </c>
      <c r="O9" s="161">
        <f>+N9-N9*0.24</f>
        <v>1086.8</v>
      </c>
      <c r="P9" s="161">
        <f>20+180</f>
        <v>200</v>
      </c>
      <c r="Q9" s="161">
        <f>+N9*P9</f>
        <v>286000</v>
      </c>
      <c r="R9" s="161">
        <f>+O9*P9</f>
        <v>217360</v>
      </c>
    </row>
    <row r="10" spans="1:24" ht="13.5" thickBot="1">
      <c r="A10" s="1015"/>
      <c r="B10" s="227"/>
      <c r="C10" s="228"/>
      <c r="D10" s="229"/>
      <c r="E10" s="231"/>
      <c r="F10" s="239"/>
      <c r="G10" s="243"/>
      <c r="H10" s="598" t="s">
        <v>747</v>
      </c>
      <c r="I10" s="1018"/>
      <c r="J10" s="226" t="str">
        <f>+'24'!J10</f>
        <v>MG 15,5 VP OW</v>
      </c>
      <c r="K10" s="250"/>
      <c r="L10" s="250"/>
      <c r="M10" s="129">
        <f>+K10+'24'!M10+L10</f>
        <v>62505</v>
      </c>
      <c r="P10" s="161">
        <f>SUM(P8:P9)</f>
        <v>480</v>
      </c>
      <c r="Q10" s="161">
        <f>SUM(Q8:Q9)</f>
        <v>661200</v>
      </c>
      <c r="R10" s="161">
        <f>SUM(R8:R9)</f>
        <v>502512</v>
      </c>
      <c r="T10" s="161" t="s">
        <v>577</v>
      </c>
    </row>
    <row r="11" spans="1:24" ht="13.5" thickBot="1">
      <c r="A11" s="1015"/>
      <c r="B11" s="227"/>
      <c r="C11" s="228"/>
      <c r="D11" s="229"/>
      <c r="E11" s="231"/>
      <c r="F11" s="239"/>
      <c r="G11" s="243"/>
      <c r="H11" s="244" t="s">
        <v>756</v>
      </c>
      <c r="I11" s="1018"/>
      <c r="J11" s="226" t="str">
        <f>+'24'!J11</f>
        <v>MG 16,5 VP OW</v>
      </c>
      <c r="K11" s="250"/>
      <c r="L11" s="250"/>
      <c r="M11" s="129">
        <f>+K11+'24'!M11+L11</f>
        <v>37635</v>
      </c>
      <c r="Q11" s="161">
        <f>+Q10/P10</f>
        <v>1377.5</v>
      </c>
      <c r="R11" s="161">
        <f>+R10/P10</f>
        <v>1046.9000000000001</v>
      </c>
      <c r="T11" s="161">
        <v>1340</v>
      </c>
      <c r="U11" s="161">
        <v>1018.4000000000001</v>
      </c>
      <c r="V11" s="161">
        <v>280</v>
      </c>
      <c r="W11" s="161">
        <f>+T11*V11</f>
        <v>375200</v>
      </c>
      <c r="X11" s="161">
        <f>+U11*V11</f>
        <v>285152</v>
      </c>
    </row>
    <row r="12" spans="1:24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+'24'!J12</f>
        <v>MG 21 VP OW</v>
      </c>
      <c r="K12" s="250"/>
      <c r="L12" s="250"/>
      <c r="M12" s="129">
        <f>+K12+'24'!M12+L12</f>
        <v>206161</v>
      </c>
      <c r="T12" s="161">
        <v>1480</v>
      </c>
      <c r="U12" s="161">
        <v>1124.8</v>
      </c>
      <c r="V12" s="161">
        <v>30</v>
      </c>
      <c r="W12" s="161">
        <f>+T12*V12</f>
        <v>44400</v>
      </c>
      <c r="X12" s="161">
        <f>+U12*V12</f>
        <v>33744</v>
      </c>
    </row>
    <row r="13" spans="1:24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+'24'!J13</f>
        <v>MG 22 VP HW</v>
      </c>
      <c r="K13" s="250"/>
      <c r="L13" s="250"/>
      <c r="M13" s="129">
        <f>+K13+'24'!M13+L13</f>
        <v>10130</v>
      </c>
      <c r="T13" s="161">
        <v>1400</v>
      </c>
      <c r="U13" s="161">
        <v>1064</v>
      </c>
      <c r="V13" s="161">
        <v>60</v>
      </c>
      <c r="W13" s="161">
        <f>+T13*V13</f>
        <v>84000</v>
      </c>
      <c r="X13" s="161">
        <f>+U13*V13</f>
        <v>63840</v>
      </c>
    </row>
    <row r="14" spans="1:24" ht="13.5" thickBot="1">
      <c r="A14" s="1016"/>
      <c r="B14" s="177" t="s">
        <v>2</v>
      </c>
      <c r="C14" s="111">
        <f>SUM(C7:C13)</f>
        <v>12948</v>
      </c>
      <c r="D14" s="123">
        <f>SUM(D7:D13)</f>
        <v>299</v>
      </c>
      <c r="E14" s="124">
        <f>SUM(E5:E13)</f>
        <v>0</v>
      </c>
      <c r="F14" s="128">
        <f>SUM(F7:F13)</f>
        <v>18</v>
      </c>
      <c r="G14" s="171"/>
      <c r="H14" s="178"/>
      <c r="I14" s="179"/>
      <c r="J14" s="226" t="str">
        <f>+'24'!J14</f>
        <v>MG 17 VP HW/OW</v>
      </c>
      <c r="K14" s="250"/>
      <c r="L14" s="250"/>
      <c r="M14" s="129">
        <f>+K14+'24'!M14+L14</f>
        <v>7375</v>
      </c>
      <c r="V14" s="161">
        <f>SUM(V11:V13)</f>
        <v>370</v>
      </c>
      <c r="W14" s="161">
        <f>SUM(W11:W13)</f>
        <v>503600</v>
      </c>
      <c r="X14" s="161">
        <f>SUM(X11:X13)</f>
        <v>382736</v>
      </c>
    </row>
    <row r="15" spans="1:24" ht="13.5" customHeight="1" thickBot="1">
      <c r="A15" s="1014" t="s">
        <v>466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>
        <v>14401135</v>
      </c>
      <c r="J15" s="226" t="str">
        <f>+'24'!J15</f>
        <v>MG 14 VP HW</v>
      </c>
      <c r="K15" s="250"/>
      <c r="L15" s="250"/>
      <c r="M15" s="129">
        <f>+K15+'24'!M15+L15</f>
        <v>47118</v>
      </c>
      <c r="W15" s="161">
        <f>+W14/V14</f>
        <v>1361.081081081081</v>
      </c>
      <c r="X15" s="161">
        <f>+X14/V14</f>
        <v>1034.4216216216216</v>
      </c>
    </row>
    <row r="16" spans="1:24" ht="13.5" thickBot="1">
      <c r="A16" s="1020"/>
      <c r="B16" s="227" t="s">
        <v>460</v>
      </c>
      <c r="C16" s="233">
        <f>9337+564</f>
        <v>9901</v>
      </c>
      <c r="D16" s="234">
        <v>270</v>
      </c>
      <c r="E16" s="235"/>
      <c r="F16" s="239">
        <v>3</v>
      </c>
      <c r="G16" s="243" t="s">
        <v>12</v>
      </c>
      <c r="H16" s="241" t="s">
        <v>587</v>
      </c>
      <c r="I16" s="1018"/>
      <c r="J16" s="226" t="str">
        <f>+'24'!J16</f>
        <v>F 12 VP OW</v>
      </c>
      <c r="K16" s="240">
        <f>+C7</f>
        <v>11380</v>
      </c>
      <c r="L16" s="240"/>
      <c r="M16" s="129">
        <f>+K16+'24'!M16+L16</f>
        <v>590463</v>
      </c>
      <c r="N16" s="161">
        <v>1440</v>
      </c>
      <c r="O16" s="161">
        <f>+N16-N16*0.24</f>
        <v>1094.4000000000001</v>
      </c>
      <c r="P16" s="161">
        <f>120+15</f>
        <v>135</v>
      </c>
      <c r="Q16" s="161">
        <f>+N16*P16</f>
        <v>194400</v>
      </c>
      <c r="R16" s="161">
        <f>+O16*P16</f>
        <v>147744</v>
      </c>
    </row>
    <row r="17" spans="1:24" ht="13.5" thickBot="1">
      <c r="A17" s="1020"/>
      <c r="B17" s="227" t="s">
        <v>773</v>
      </c>
      <c r="C17" s="228">
        <v>6520</v>
      </c>
      <c r="D17" s="229"/>
      <c r="E17" s="236"/>
      <c r="F17" s="239">
        <v>5</v>
      </c>
      <c r="G17" s="243" t="s">
        <v>12</v>
      </c>
      <c r="H17" s="598" t="s">
        <v>482</v>
      </c>
      <c r="I17" s="1018"/>
      <c r="J17" s="226" t="str">
        <f>+'24'!J17</f>
        <v>F 10,5 VP OW</v>
      </c>
      <c r="K17" s="240"/>
      <c r="L17" s="240"/>
      <c r="M17" s="129">
        <f>+K17+'24'!M17+L17</f>
        <v>35511</v>
      </c>
      <c r="N17" s="161">
        <v>1440</v>
      </c>
      <c r="O17" s="161">
        <f>+N17-N17*0.2</f>
        <v>1152</v>
      </c>
      <c r="P17" s="161">
        <f>45+300</f>
        <v>345</v>
      </c>
      <c r="Q17" s="161">
        <f>+N17*P17</f>
        <v>496800</v>
      </c>
      <c r="R17" s="161">
        <f>+O17*P17</f>
        <v>397440</v>
      </c>
      <c r="T17" s="161" t="s">
        <v>469</v>
      </c>
    </row>
    <row r="18" spans="1:24" ht="13.5" thickBot="1">
      <c r="A18" s="1020"/>
      <c r="B18" s="227"/>
      <c r="C18" s="228"/>
      <c r="D18" s="229"/>
      <c r="E18" s="236"/>
      <c r="F18" s="239"/>
      <c r="G18" s="243"/>
      <c r="H18" s="598" t="s">
        <v>757</v>
      </c>
      <c r="I18" s="1018"/>
      <c r="J18" s="226" t="str">
        <f>+'24'!J18</f>
        <v>F 12,5 VP OW</v>
      </c>
      <c r="K18" s="250"/>
      <c r="L18" s="250"/>
      <c r="M18" s="129">
        <f>+K18+'24'!M18+L18</f>
        <v>16783</v>
      </c>
      <c r="P18" s="161">
        <f>SUM(P16:P17)</f>
        <v>480</v>
      </c>
      <c r="Q18" s="161">
        <f>SUM(Q16:Q17)</f>
        <v>691200</v>
      </c>
      <c r="R18" s="161">
        <f>SUM(R16:R17)</f>
        <v>545184</v>
      </c>
      <c r="T18" s="161">
        <v>1430</v>
      </c>
      <c r="U18" s="161">
        <v>1086.8</v>
      </c>
      <c r="V18" s="161">
        <v>200</v>
      </c>
      <c r="W18" s="161">
        <f>+T18*V18</f>
        <v>286000</v>
      </c>
      <c r="X18" s="161">
        <f>+U18*V18</f>
        <v>217360</v>
      </c>
    </row>
    <row r="19" spans="1:24" ht="13.5" thickBot="1">
      <c r="A19" s="1020"/>
      <c r="B19" s="227"/>
      <c r="C19" s="228"/>
      <c r="D19" s="229"/>
      <c r="E19" s="236"/>
      <c r="F19" s="246">
        <v>5</v>
      </c>
      <c r="G19" s="243" t="s">
        <v>12</v>
      </c>
      <c r="H19" s="244" t="s">
        <v>765</v>
      </c>
      <c r="I19" s="1018"/>
      <c r="J19" s="226" t="s">
        <v>773</v>
      </c>
      <c r="K19" s="250">
        <f>+C17+C26</f>
        <v>21332</v>
      </c>
      <c r="L19" s="250"/>
      <c r="M19" s="129">
        <f>+K19+'24'!M19+L19</f>
        <v>21332</v>
      </c>
      <c r="Q19" s="161">
        <f>+Q18/P18</f>
        <v>1440</v>
      </c>
      <c r="R19" s="161">
        <f>+R18/P18</f>
        <v>1135.8</v>
      </c>
      <c r="T19" s="161">
        <v>1440</v>
      </c>
      <c r="U19" s="161">
        <v>1094.4000000000001</v>
      </c>
      <c r="V19" s="161">
        <v>135</v>
      </c>
      <c r="W19" s="161">
        <f>+T19*V19</f>
        <v>194400</v>
      </c>
      <c r="X19" s="161">
        <f>+U19*V19</f>
        <v>147744</v>
      </c>
    </row>
    <row r="20" spans="1:2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+'24'!J20</f>
        <v>0</v>
      </c>
      <c r="K20" s="251"/>
      <c r="L20" s="251"/>
      <c r="M20" s="129">
        <f>+K20+'24'!M20+L20</f>
        <v>0</v>
      </c>
      <c r="V20" s="161">
        <f>SUM(V18:V19)</f>
        <v>335</v>
      </c>
      <c r="W20" s="161">
        <f>SUM(W18:W19)</f>
        <v>480400</v>
      </c>
      <c r="X20" s="161">
        <f>SUM(X18:X19)</f>
        <v>365104</v>
      </c>
    </row>
    <row r="21" spans="1:2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+'24'!J21</f>
        <v>0</v>
      </c>
      <c r="K21" s="250"/>
      <c r="L21" s="250"/>
      <c r="M21" s="129">
        <f>+K21+'24'!M21+L21</f>
        <v>0</v>
      </c>
      <c r="W21" s="161">
        <f>+W20/V20</f>
        <v>1434.0298507462687</v>
      </c>
      <c r="X21" s="161">
        <f>+X20/V20</f>
        <v>1089.8626865671642</v>
      </c>
    </row>
    <row r="22" spans="1:2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+'24'!J22</f>
        <v>0</v>
      </c>
      <c r="K22" s="250"/>
      <c r="L22" s="250"/>
      <c r="M22" s="129">
        <f>+K22+'24'!M22+L22</f>
        <v>0</v>
      </c>
    </row>
    <row r="23" spans="1:24" ht="13.5" thickBot="1">
      <c r="A23" s="1021"/>
      <c r="B23" s="180" t="s">
        <v>2</v>
      </c>
      <c r="C23" s="112">
        <f>SUM(C16:C22)</f>
        <v>16421</v>
      </c>
      <c r="D23" s="123">
        <f>SUM(D16:D22)</f>
        <v>270</v>
      </c>
      <c r="E23" s="124">
        <f>SUM(E18:E22)</f>
        <v>0</v>
      </c>
      <c r="F23" s="128">
        <f>SUM(F15:F22)</f>
        <v>13</v>
      </c>
      <c r="G23" s="171"/>
      <c r="H23" s="178" t="s">
        <v>237</v>
      </c>
      <c r="I23" s="181"/>
      <c r="J23" s="226">
        <f>+'24'!J23</f>
        <v>0</v>
      </c>
      <c r="K23" s="250"/>
      <c r="L23" s="250"/>
      <c r="M23" s="129">
        <f>+K23+'24'!M23+L23</f>
        <v>0</v>
      </c>
    </row>
    <row r="24" spans="1:24" ht="13.5" customHeight="1" thickBot="1">
      <c r="A24" s="1014" t="s">
        <v>542</v>
      </c>
      <c r="B24" s="182"/>
      <c r="C24" s="125"/>
      <c r="D24" s="126"/>
      <c r="E24" s="127"/>
      <c r="F24" s="247">
        <v>10</v>
      </c>
      <c r="G24" s="240" t="s">
        <v>12</v>
      </c>
      <c r="H24" s="241" t="s">
        <v>571</v>
      </c>
      <c r="I24" s="1017" t="s">
        <v>763</v>
      </c>
      <c r="J24" s="226">
        <f>+'24'!J24</f>
        <v>0</v>
      </c>
      <c r="K24" s="250"/>
      <c r="L24" s="250"/>
      <c r="M24" s="129">
        <f>+K24+'24'!M24+L24</f>
        <v>0</v>
      </c>
      <c r="T24" s="161" t="s">
        <v>766</v>
      </c>
    </row>
    <row r="25" spans="1:24" ht="13.5" thickBot="1">
      <c r="A25" s="1020"/>
      <c r="B25" s="227" t="s">
        <v>460</v>
      </c>
      <c r="C25" s="237">
        <v>1624</v>
      </c>
      <c r="D25" s="229">
        <v>180</v>
      </c>
      <c r="E25" s="236"/>
      <c r="F25" s="242">
        <v>5</v>
      </c>
      <c r="G25" s="243" t="s">
        <v>12</v>
      </c>
      <c r="H25" s="241" t="s">
        <v>586</v>
      </c>
      <c r="I25" s="1018"/>
      <c r="J25" s="226">
        <f>+'24'!J25</f>
        <v>0</v>
      </c>
      <c r="K25" s="250"/>
      <c r="L25" s="250"/>
      <c r="M25" s="129">
        <f>+K25+'24'!M25+L25</f>
        <v>0</v>
      </c>
      <c r="N25" s="161">
        <v>1480</v>
      </c>
      <c r="O25" s="161">
        <f>+N25-N25*0.2</f>
        <v>1184</v>
      </c>
      <c r="P25" s="161">
        <f>360+30</f>
        <v>390</v>
      </c>
      <c r="Q25" s="161">
        <f>+N25*P25</f>
        <v>577200</v>
      </c>
      <c r="R25" s="161">
        <f>+O25*P25</f>
        <v>461760</v>
      </c>
      <c r="T25" s="161">
        <v>1440</v>
      </c>
      <c r="U25" s="161">
        <v>1152</v>
      </c>
      <c r="V25" s="161">
        <v>345</v>
      </c>
      <c r="W25" s="161">
        <f>+T25*V25</f>
        <v>496800</v>
      </c>
      <c r="X25" s="161">
        <f>+U25*V25</f>
        <v>397440</v>
      </c>
    </row>
    <row r="26" spans="1:24" ht="13.5" thickBot="1">
      <c r="A26" s="1020"/>
      <c r="B26" s="227" t="s">
        <v>773</v>
      </c>
      <c r="C26" s="237">
        <f>6154+8658</f>
        <v>14812</v>
      </c>
      <c r="D26" s="229"/>
      <c r="E26" s="238"/>
      <c r="F26" s="242">
        <v>12</v>
      </c>
      <c r="G26" s="243" t="s">
        <v>12</v>
      </c>
      <c r="H26" s="598" t="s">
        <v>664</v>
      </c>
      <c r="I26" s="1018"/>
      <c r="J26" s="226">
        <f>+'24'!J26</f>
        <v>0</v>
      </c>
      <c r="K26" s="250"/>
      <c r="L26" s="250"/>
      <c r="M26" s="129">
        <f>+K26+'24'!M26+L26</f>
        <v>0</v>
      </c>
      <c r="N26" s="161">
        <v>1480</v>
      </c>
      <c r="O26" s="161">
        <f>+N26-N26*0.24</f>
        <v>1124.8</v>
      </c>
      <c r="P26" s="161">
        <v>30</v>
      </c>
      <c r="Q26" s="161">
        <f>+N26*P26</f>
        <v>44400</v>
      </c>
      <c r="R26" s="161">
        <f>+O26*P26</f>
        <v>33744</v>
      </c>
      <c r="T26" s="161">
        <v>1480</v>
      </c>
      <c r="U26" s="161">
        <f>+T26-T26*0.2</f>
        <v>1184</v>
      </c>
      <c r="V26" s="161">
        <v>390</v>
      </c>
      <c r="W26" s="161">
        <f>+T26*V26</f>
        <v>577200</v>
      </c>
      <c r="X26" s="161">
        <f>+U26*V26</f>
        <v>461760</v>
      </c>
    </row>
    <row r="27" spans="1:24" ht="13.5" thickBot="1">
      <c r="A27" s="1020"/>
      <c r="B27" s="227"/>
      <c r="C27" s="228"/>
      <c r="D27" s="229"/>
      <c r="E27" s="236"/>
      <c r="F27" s="242"/>
      <c r="G27" s="243"/>
      <c r="H27" s="598" t="s">
        <v>761</v>
      </c>
      <c r="I27" s="1018"/>
      <c r="J27" s="226">
        <f>+'24'!J27</f>
        <v>0</v>
      </c>
      <c r="K27" s="250"/>
      <c r="L27" s="250"/>
      <c r="M27" s="129">
        <f>+K27+'24'!M27+L27</f>
        <v>0</v>
      </c>
      <c r="N27" s="161">
        <v>1400</v>
      </c>
      <c r="O27" s="161">
        <f>+N27-N27*0.24</f>
        <v>1064</v>
      </c>
      <c r="P27" s="161">
        <v>60</v>
      </c>
      <c r="Q27" s="161">
        <f>+N27*P27</f>
        <v>84000</v>
      </c>
      <c r="R27" s="161">
        <f>+O27*P27</f>
        <v>63840</v>
      </c>
      <c r="V27" s="161">
        <f>SUM(V25:V26)</f>
        <v>735</v>
      </c>
      <c r="W27" s="161">
        <f>SUM(W25:W26)</f>
        <v>1074000</v>
      </c>
      <c r="X27" s="161">
        <f>SUM(X25:X26)</f>
        <v>859200</v>
      </c>
    </row>
    <row r="28" spans="1:24" ht="13.5" thickBot="1">
      <c r="A28" s="1020"/>
      <c r="B28" s="227"/>
      <c r="C28" s="228"/>
      <c r="D28" s="229"/>
      <c r="E28" s="236"/>
      <c r="F28" s="242"/>
      <c r="G28" s="243"/>
      <c r="H28" s="244" t="s">
        <v>760</v>
      </c>
      <c r="I28" s="1018"/>
      <c r="J28" s="226">
        <f>+'24'!J28</f>
        <v>0</v>
      </c>
      <c r="K28" s="250"/>
      <c r="L28" s="250"/>
      <c r="M28" s="129">
        <f>+K28+'24'!M28+L28</f>
        <v>0</v>
      </c>
      <c r="P28" s="161">
        <f>SUM(P25:P27)</f>
        <v>480</v>
      </c>
      <c r="Q28" s="161">
        <f>SUM(Q25:Q27)</f>
        <v>705600</v>
      </c>
      <c r="R28" s="161">
        <f>SUM(R25:R27)</f>
        <v>559344</v>
      </c>
      <c r="W28" s="161">
        <f>+W27/V27</f>
        <v>1461.2244897959183</v>
      </c>
      <c r="X28" s="161">
        <f>+X27/V27</f>
        <v>1168.9795918367347</v>
      </c>
    </row>
    <row r="29" spans="1:24" ht="13.5" thickBot="1">
      <c r="A29" s="1020"/>
      <c r="B29" s="227"/>
      <c r="C29" s="228"/>
      <c r="D29" s="229"/>
      <c r="E29" s="236"/>
      <c r="F29" s="247"/>
      <c r="G29" s="243"/>
      <c r="H29" s="244" t="s">
        <v>754</v>
      </c>
      <c r="I29" s="1018"/>
      <c r="J29" s="226">
        <f>+'24'!J29</f>
        <v>0</v>
      </c>
      <c r="K29" s="250"/>
      <c r="L29" s="250"/>
      <c r="M29" s="129">
        <f>+K29+'24'!M29+L29</f>
        <v>0</v>
      </c>
      <c r="Q29" s="161">
        <f>+Q28/P28</f>
        <v>1470</v>
      </c>
      <c r="R29" s="161">
        <f>+R28/P28</f>
        <v>1165.3</v>
      </c>
    </row>
    <row r="30" spans="1:24" ht="13.5" thickBot="1">
      <c r="A30" s="1020"/>
      <c r="B30" s="227"/>
      <c r="C30" s="237"/>
      <c r="D30" s="229"/>
      <c r="E30" s="236"/>
      <c r="F30" s="247"/>
      <c r="G30" s="243"/>
      <c r="H30" s="244" t="s">
        <v>755</v>
      </c>
      <c r="I30" s="1018"/>
      <c r="J30" s="226">
        <f>+'24'!J30</f>
        <v>0</v>
      </c>
      <c r="K30" s="250"/>
      <c r="L30" s="250"/>
      <c r="M30" s="129">
        <f>+K30+'24'!M30+L30</f>
        <v>0</v>
      </c>
    </row>
    <row r="31" spans="1:24" ht="26.25" thickBot="1">
      <c r="A31" s="1020"/>
      <c r="B31" s="227"/>
      <c r="C31" s="237"/>
      <c r="D31" s="229"/>
      <c r="E31" s="236"/>
      <c r="F31" s="247"/>
      <c r="G31" s="248"/>
      <c r="H31" s="466" t="s">
        <v>762</v>
      </c>
      <c r="I31" s="1019"/>
      <c r="J31" s="226">
        <f>+'24'!J31</f>
        <v>0</v>
      </c>
      <c r="K31" s="250"/>
      <c r="L31" s="250"/>
      <c r="M31" s="129">
        <f>+K31+'24'!M31+L31</f>
        <v>0</v>
      </c>
    </row>
    <row r="32" spans="1:24" ht="13.5" thickBot="1">
      <c r="A32" s="1021"/>
      <c r="B32" s="177" t="s">
        <v>2</v>
      </c>
      <c r="C32" s="111">
        <f>SUM(C25:C31)</f>
        <v>16436</v>
      </c>
      <c r="D32" s="112">
        <f>SUM(D25:D31)</f>
        <v>180</v>
      </c>
      <c r="E32" s="113">
        <f>SUM(E25:E31)</f>
        <v>0</v>
      </c>
      <c r="F32" s="114">
        <f>SUM(F24:F31)</f>
        <v>27</v>
      </c>
      <c r="G32" s="183"/>
      <c r="H32" s="184"/>
      <c r="I32" s="181"/>
      <c r="J32" s="226">
        <f>+'24'!J32</f>
        <v>0</v>
      </c>
      <c r="K32" s="252"/>
      <c r="L32" s="254"/>
      <c r="M32" s="129">
        <f>+K32+'24'!M32+L32</f>
        <v>0</v>
      </c>
    </row>
    <row r="33" spans="1:14" ht="13.5" thickBot="1">
      <c r="A33" s="185"/>
      <c r="B33" s="186"/>
      <c r="C33" s="115">
        <f>C32/($C$32+$D$32+$E$32)</f>
        <v>0.98916706788637454</v>
      </c>
      <c r="D33" s="116">
        <f>D32/($C$32+$D$32+$E$32)</f>
        <v>1.0832932113625422E-2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45805</v>
      </c>
      <c r="D34" s="119">
        <f>D14+D23+D32</f>
        <v>749</v>
      </c>
      <c r="E34" s="119">
        <f>E14+E23+E32</f>
        <v>0</v>
      </c>
      <c r="F34" s="120">
        <f>F14+F23+F32</f>
        <v>58</v>
      </c>
      <c r="H34" s="190"/>
      <c r="I34" s="190"/>
      <c r="J34" s="135" t="s">
        <v>28</v>
      </c>
      <c r="K34" s="136">
        <f>SUM(K7:K32)</f>
        <v>45805</v>
      </c>
      <c r="L34" s="224">
        <f>SUM(L7:L32)</f>
        <v>0</v>
      </c>
      <c r="M34" s="132">
        <f>SUM(M7:M32)</f>
        <v>1336281</v>
      </c>
      <c r="N34" s="167"/>
    </row>
    <row r="35" spans="1:14" ht="13.5" thickBot="1">
      <c r="A35" s="191"/>
      <c r="B35" s="192"/>
      <c r="C35" s="116">
        <f>C34/($C$34+$D$34+$E$34)</f>
        <v>0.98391115693603126</v>
      </c>
      <c r="D35" s="116">
        <f>D34/($C$34+$D$34+$E$34)</f>
        <v>1.6088843063968725E-2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(12*370+13*335+13.5*735)/1440*G42*2.77*1440/1000000</f>
        <v>57.030494250833343</v>
      </c>
      <c r="J37" s="137">
        <f>+I37+'24'!J37</f>
        <v>1514.239051734223</v>
      </c>
      <c r="K37" s="138" t="s">
        <v>64</v>
      </c>
      <c r="L37" s="587">
        <v>12.489999999999998</v>
      </c>
    </row>
    <row r="38" spans="1:14" ht="17.45" customHeight="1">
      <c r="A38" s="1012" t="s">
        <v>12</v>
      </c>
      <c r="B38" s="1013"/>
      <c r="C38" s="176">
        <f>SUMIF($G$7:$G$31,"Process",$F$7:$F$31)</f>
        <v>58</v>
      </c>
      <c r="D38" s="130">
        <f>+C38+'24'!D38</f>
        <v>1722</v>
      </c>
      <c r="E38" s="155">
        <f t="shared" ref="E38:E51" si="0">D38/60</f>
        <v>28.7</v>
      </c>
      <c r="F38" s="340">
        <v>1377.5</v>
      </c>
      <c r="G38" s="340">
        <v>1046.9000000000001</v>
      </c>
      <c r="H38" s="199" t="s">
        <v>65</v>
      </c>
      <c r="I38" s="553">
        <f>16.496+20.201+17.16</f>
        <v>53.856999999999999</v>
      </c>
      <c r="J38" s="139">
        <f>+I38+'24'!J38</f>
        <v>1407.1839999999997</v>
      </c>
      <c r="K38" s="140" t="s">
        <v>64</v>
      </c>
      <c r="L38" s="161">
        <f>1.697+2.298+2.439+2.45+2.05+2.121</f>
        <v>13.055000000000001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+C39+'24'!D39</f>
        <v>0</v>
      </c>
      <c r="E39" s="155">
        <f t="shared" si="0"/>
        <v>0</v>
      </c>
      <c r="F39" s="340">
        <v>1440</v>
      </c>
      <c r="G39" s="340">
        <v>1135.8</v>
      </c>
      <c r="H39" s="199" t="s">
        <v>66</v>
      </c>
      <c r="I39" s="154"/>
      <c r="J39" s="141">
        <f>J37/G4</f>
        <v>60.569562069368921</v>
      </c>
      <c r="K39" s="142" t="s">
        <v>64</v>
      </c>
      <c r="L39" s="587">
        <f>+I38-L37-L38</f>
        <v>28.312000000000005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+C40+'24'!D40</f>
        <v>0</v>
      </c>
      <c r="E40" s="155">
        <f t="shared" si="0"/>
        <v>0</v>
      </c>
      <c r="F40" s="340">
        <v>1470</v>
      </c>
      <c r="G40" s="340">
        <v>1117.2</v>
      </c>
      <c r="H40" s="199" t="s">
        <v>68</v>
      </c>
      <c r="I40" s="130">
        <f>(K34+L34)/1000</f>
        <v>45.805</v>
      </c>
      <c r="J40" s="143">
        <f>+I40+'24'!J40</f>
        <v>1336.2809999999997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+C41+'24'!D41</f>
        <v>237</v>
      </c>
      <c r="E41" s="155">
        <f t="shared" si="0"/>
        <v>3.95</v>
      </c>
      <c r="F41" s="340"/>
      <c r="G41" s="340"/>
      <c r="H41" s="199" t="s">
        <v>70</v>
      </c>
      <c r="I41" s="154"/>
      <c r="J41" s="141">
        <f>J40/G4</f>
        <v>53.451239999999991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+C42+'24'!D42</f>
        <v>0</v>
      </c>
      <c r="E42" s="155">
        <f t="shared" si="0"/>
        <v>0</v>
      </c>
      <c r="F42" s="340">
        <f>+(F38*480+F39*480+F40*480)/1440</f>
        <v>1429.1666666666667</v>
      </c>
      <c r="G42" s="340">
        <f>+(G38*480+G39*480+G40*480)/1440</f>
        <v>1099.9666666666667</v>
      </c>
      <c r="H42" s="199" t="s">
        <v>71</v>
      </c>
      <c r="I42" s="257" t="s">
        <v>764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+C43+'24'!D43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+Report1!T33</f>
        <v>136.93700000000001</v>
      </c>
      <c r="J43" s="145">
        <f>+I43+'24'!J43</f>
        <v>3121.9169999999999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+C44+'24'!D44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2.5426035612826561</v>
      </c>
      <c r="J44" s="146">
        <f>J43/J38</f>
        <v>2.2185563508396915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+C45+'24'!D45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2.9895644580285996</v>
      </c>
      <c r="J45" s="146">
        <f>J43/J40</f>
        <v>2.3362728348303992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+C46+'24'!D46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+SUMIF(Listrik!AR32,"&gt;0")</f>
        <v>47270.639999998544</v>
      </c>
      <c r="J46" s="147">
        <f>+I46+'24'!J46</f>
        <v>1336819.8399999978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+C47+'24'!D47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877.70651911540835</v>
      </c>
      <c r="J47" s="147">
        <f>J46/J38</f>
        <v>949.99647522996145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+C48+'24'!D48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1031.9973801986364</v>
      </c>
      <c r="J48" s="147">
        <f>J46/J40</f>
        <v>1000.4032385403954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+C49+'24'!D49</f>
        <v>1505</v>
      </c>
      <c r="E49" s="155">
        <f t="shared" si="0"/>
        <v>25.083333333333332</v>
      </c>
      <c r="F49" s="197"/>
      <c r="H49" s="200" t="s">
        <v>83</v>
      </c>
      <c r="I49" s="130">
        <v>0</v>
      </c>
      <c r="J49" s="147">
        <f>+I49+'24'!J49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+C50+'24'!D50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+C51+'24'!D51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58</v>
      </c>
      <c r="D52" s="156">
        <f>SUM(D38:D51)</f>
        <v>3464</v>
      </c>
      <c r="E52" s="157">
        <f>SUM(E38:E51)</f>
        <v>57.733333333333334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4.027777777777778E-2</v>
      </c>
      <c r="D53" s="158">
        <f>D52/(24*60*G4)</f>
        <v>9.6222222222222223E-2</v>
      </c>
      <c r="E53" s="159">
        <f>E52/(G4*24)</f>
        <v>9.6222222222222223E-2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+D34+'24'!J56</f>
        <v>28321</v>
      </c>
      <c r="K56" s="213">
        <f>J56/(J40+J56/1000)/1000</f>
        <v>2.0754036708139082E-2</v>
      </c>
    </row>
    <row r="57" spans="1:11">
      <c r="A57" s="188"/>
      <c r="I57" s="211" t="s">
        <v>90</v>
      </c>
      <c r="J57" s="212">
        <f>+E34+'24'!J57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3.5703125" style="161" customWidth="1"/>
    <col min="14" max="16384" width="9.140625" style="161"/>
  </cols>
  <sheetData>
    <row r="1" spans="1:16" ht="15.75">
      <c r="A1" s="160"/>
    </row>
    <row r="2" spans="1:16" ht="15.75">
      <c r="A2" s="160" t="s">
        <v>149</v>
      </c>
    </row>
    <row r="3" spans="1:16" ht="15">
      <c r="A3" s="162"/>
    </row>
    <row r="4" spans="1:16" ht="20.25">
      <c r="A4" s="163" t="s">
        <v>3</v>
      </c>
      <c r="B4" s="164"/>
      <c r="F4" s="165" t="s">
        <v>30</v>
      </c>
      <c r="G4" s="166">
        <v>24</v>
      </c>
      <c r="H4" s="166" t="str">
        <f>+'1'!H4</f>
        <v>.10.25</v>
      </c>
    </row>
    <row r="5" spans="1:16" ht="13.5" thickBot="1">
      <c r="C5" s="167"/>
      <c r="D5" s="167"/>
    </row>
    <row r="6" spans="1:16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0+189+157</f>
        <v>346</v>
      </c>
    </row>
    <row r="7" spans="1:16" ht="13.5" customHeight="1" thickBot="1">
      <c r="A7" s="1014" t="s">
        <v>648</v>
      </c>
      <c r="B7" s="227" t="s">
        <v>468</v>
      </c>
      <c r="C7" s="228">
        <v>5723</v>
      </c>
      <c r="D7" s="229">
        <v>56</v>
      </c>
      <c r="E7" s="230"/>
      <c r="F7" s="239"/>
      <c r="G7" s="240" t="s">
        <v>12</v>
      </c>
      <c r="H7" s="241" t="s">
        <v>280</v>
      </c>
      <c r="I7" s="1017" t="s">
        <v>743</v>
      </c>
      <c r="J7" s="226" t="str">
        <f>+'23'!J7</f>
        <v>F 13 VP OW</v>
      </c>
      <c r="K7" s="249"/>
      <c r="L7" s="253"/>
      <c r="M7" s="129">
        <f>+K7+'23'!M7+L7</f>
        <v>86489</v>
      </c>
    </row>
    <row r="8" spans="1:16" ht="13.5" thickBot="1">
      <c r="A8" s="1015"/>
      <c r="B8" s="227"/>
      <c r="C8" s="228"/>
      <c r="D8" s="229"/>
      <c r="E8" s="231"/>
      <c r="F8" s="242">
        <v>2</v>
      </c>
      <c r="G8" s="243" t="s">
        <v>12</v>
      </c>
      <c r="H8" s="241" t="s">
        <v>677</v>
      </c>
      <c r="I8" s="1018"/>
      <c r="J8" s="226" t="str">
        <f>+'23'!J8</f>
        <v>F 10,3 VP OW</v>
      </c>
      <c r="K8" s="250"/>
      <c r="L8" s="250"/>
      <c r="M8" s="129">
        <f>+K8+'23'!M8+L8</f>
        <v>53369</v>
      </c>
    </row>
    <row r="9" spans="1:16" ht="13.5" thickBot="1">
      <c r="A9" s="1015"/>
      <c r="B9" s="227"/>
      <c r="C9" s="228"/>
      <c r="D9" s="229"/>
      <c r="E9" s="232"/>
      <c r="F9" s="239">
        <v>2</v>
      </c>
      <c r="G9" s="243" t="s">
        <v>12</v>
      </c>
      <c r="H9" s="598" t="s">
        <v>749</v>
      </c>
      <c r="I9" s="1018"/>
      <c r="J9" s="226" t="str">
        <f>+'23'!J9</f>
        <v>SN 15 VP OW</v>
      </c>
      <c r="K9" s="250">
        <f>+C17+C7</f>
        <v>6895</v>
      </c>
      <c r="L9" s="250"/>
      <c r="M9" s="129">
        <f>+K9+'23'!M9+L9</f>
        <v>148317</v>
      </c>
    </row>
    <row r="10" spans="1:16" ht="39" thickBot="1">
      <c r="A10" s="1015"/>
      <c r="B10" s="227"/>
      <c r="C10" s="228"/>
      <c r="D10" s="229"/>
      <c r="E10" s="231"/>
      <c r="F10" s="239">
        <v>357</v>
      </c>
      <c r="G10" s="243" t="s">
        <v>20</v>
      </c>
      <c r="H10" s="598" t="s">
        <v>738</v>
      </c>
      <c r="I10" s="1018"/>
      <c r="J10" s="226" t="str">
        <f>+'23'!J10</f>
        <v>MG 15,5 VP OW</v>
      </c>
      <c r="K10" s="250"/>
      <c r="L10" s="250"/>
      <c r="M10" s="129">
        <f>+K10+'23'!M10+L10</f>
        <v>62505</v>
      </c>
    </row>
    <row r="11" spans="1:16" ht="26.25" thickBot="1">
      <c r="A11" s="1015"/>
      <c r="B11" s="227"/>
      <c r="C11" s="228"/>
      <c r="D11" s="229"/>
      <c r="E11" s="231"/>
      <c r="F11" s="239">
        <v>35</v>
      </c>
      <c r="G11" s="243" t="s">
        <v>69</v>
      </c>
      <c r="H11" s="244" t="s">
        <v>744</v>
      </c>
      <c r="I11" s="1018"/>
      <c r="J11" s="226" t="str">
        <f>+'23'!J11</f>
        <v>MG 16,5 VP OW</v>
      </c>
      <c r="K11" s="250"/>
      <c r="L11" s="250"/>
      <c r="M11" s="129">
        <f>+K11+'23'!M11+L11</f>
        <v>37635</v>
      </c>
    </row>
    <row r="12" spans="1:16" ht="13.5" thickBot="1">
      <c r="A12" s="1015"/>
      <c r="B12" s="227"/>
      <c r="C12" s="228"/>
      <c r="D12" s="229"/>
      <c r="E12" s="231"/>
      <c r="F12" s="239"/>
      <c r="G12" s="243"/>
      <c r="H12" s="244" t="s">
        <v>739</v>
      </c>
      <c r="I12" s="1018"/>
      <c r="J12" s="226" t="str">
        <f>+'23'!J12</f>
        <v>MG 21 VP OW</v>
      </c>
      <c r="K12" s="250"/>
      <c r="L12" s="250"/>
      <c r="M12" s="129">
        <f>+K12+'23'!M12+L12</f>
        <v>206161</v>
      </c>
    </row>
    <row r="13" spans="1:16" ht="13.5" thickBot="1">
      <c r="A13" s="1015"/>
      <c r="B13" s="227"/>
      <c r="C13" s="228"/>
      <c r="D13" s="228"/>
      <c r="E13" s="231"/>
      <c r="F13" s="239"/>
      <c r="G13" s="243"/>
      <c r="H13" s="244" t="s">
        <v>746</v>
      </c>
      <c r="I13" s="1019"/>
      <c r="J13" s="226" t="str">
        <f>+'23'!J13</f>
        <v>MG 22 VP HW</v>
      </c>
      <c r="K13" s="250"/>
      <c r="L13" s="250"/>
      <c r="M13" s="129">
        <f>+K13+'23'!M13+L13</f>
        <v>10130</v>
      </c>
      <c r="N13" s="161">
        <v>1130</v>
      </c>
      <c r="O13" s="161">
        <f>+N13-N13*0.24</f>
        <v>858.8</v>
      </c>
      <c r="P13" s="161">
        <f>3+48+37</f>
        <v>88</v>
      </c>
    </row>
    <row r="14" spans="1:16" ht="13.5" thickBot="1">
      <c r="A14" s="1016"/>
      <c r="B14" s="177" t="s">
        <v>2</v>
      </c>
      <c r="C14" s="111">
        <f>SUM(C7:C13)</f>
        <v>5723</v>
      </c>
      <c r="D14" s="123">
        <f>SUM(D7:D13)</f>
        <v>56</v>
      </c>
      <c r="E14" s="124">
        <f>SUM(E5:E13)</f>
        <v>0</v>
      </c>
      <c r="F14" s="128">
        <f>SUM(F7:F13)</f>
        <v>396</v>
      </c>
      <c r="G14" s="171"/>
      <c r="H14" s="178"/>
      <c r="I14" s="179"/>
      <c r="J14" s="226" t="str">
        <f>+'23'!J14</f>
        <v>MG 17 VP HW/OW</v>
      </c>
      <c r="K14" s="250"/>
      <c r="L14" s="250"/>
      <c r="M14" s="129">
        <f>+K14+'23'!M14+L14</f>
        <v>7375</v>
      </c>
      <c r="N14" s="161">
        <v>1300</v>
      </c>
      <c r="O14" s="161">
        <f>+N14-N14*0.24</f>
        <v>988</v>
      </c>
      <c r="P14" s="161">
        <v>480</v>
      </c>
    </row>
    <row r="15" spans="1:16" ht="13.5" customHeight="1" thickBot="1">
      <c r="A15" s="1014" t="s">
        <v>466</v>
      </c>
      <c r="B15" s="177"/>
      <c r="C15" s="125"/>
      <c r="D15" s="126"/>
      <c r="E15" s="127"/>
      <c r="F15" s="239">
        <v>10</v>
      </c>
      <c r="G15" s="240" t="s">
        <v>12</v>
      </c>
      <c r="H15" s="241" t="s">
        <v>571</v>
      </c>
      <c r="I15" s="1017" t="s">
        <v>750</v>
      </c>
      <c r="J15" s="226" t="str">
        <f>+'23'!J15</f>
        <v>MG 14 VP HW</v>
      </c>
      <c r="K15" s="250"/>
      <c r="L15" s="250"/>
      <c r="M15" s="129">
        <f>+K15+'23'!M15+L15</f>
        <v>47118</v>
      </c>
      <c r="N15" s="161">
        <v>1260</v>
      </c>
      <c r="O15" s="161">
        <f>+N15-N15*0.24</f>
        <v>957.6</v>
      </c>
      <c r="P15" s="161">
        <v>480</v>
      </c>
    </row>
    <row r="16" spans="1:16" ht="13.5" thickBot="1">
      <c r="A16" s="1020"/>
      <c r="B16" s="227" t="s">
        <v>568</v>
      </c>
      <c r="C16" s="233">
        <v>8341</v>
      </c>
      <c r="D16" s="234">
        <v>277</v>
      </c>
      <c r="E16" s="235"/>
      <c r="F16" s="239">
        <v>2</v>
      </c>
      <c r="G16" s="243" t="s">
        <v>12</v>
      </c>
      <c r="H16" s="241" t="s">
        <v>677</v>
      </c>
      <c r="I16" s="1018"/>
      <c r="J16" s="226" t="str">
        <f>+'23'!J16</f>
        <v>F 12 VP OW</v>
      </c>
      <c r="K16" s="250">
        <f>+C16+C25</f>
        <v>22355</v>
      </c>
      <c r="L16" s="250"/>
      <c r="M16" s="129">
        <f>+K16+'23'!M16+L16</f>
        <v>579083</v>
      </c>
      <c r="P16" s="161">
        <f>SUM(P13:P15)</f>
        <v>1048</v>
      </c>
    </row>
    <row r="17" spans="1:14" ht="13.5" thickBot="1">
      <c r="A17" s="1020"/>
      <c r="B17" s="227" t="s">
        <v>468</v>
      </c>
      <c r="C17" s="228">
        <f>461+711</f>
        <v>1172</v>
      </c>
      <c r="D17" s="229"/>
      <c r="E17" s="236"/>
      <c r="F17" s="239">
        <v>10</v>
      </c>
      <c r="G17" s="243" t="s">
        <v>12</v>
      </c>
      <c r="H17" s="598" t="s">
        <v>482</v>
      </c>
      <c r="I17" s="1018"/>
      <c r="J17" s="226" t="str">
        <f>+'23'!J17</f>
        <v>F 10,5 VP OW</v>
      </c>
      <c r="K17" s="250"/>
      <c r="L17" s="250"/>
      <c r="M17" s="129">
        <f>+K17+'23'!M17+L17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745</v>
      </c>
      <c r="I18" s="1018"/>
      <c r="J18" s="226" t="str">
        <f>+'23'!J18</f>
        <v>F 12,5 VP OW</v>
      </c>
      <c r="K18" s="250"/>
      <c r="L18" s="250"/>
      <c r="M18" s="129">
        <f>+K18+'23'!M18+L18</f>
        <v>16783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 t="s">
        <v>742</v>
      </c>
      <c r="I19" s="1018"/>
      <c r="J19" s="226">
        <f>+'23'!J19</f>
        <v>0</v>
      </c>
      <c r="K19" s="250"/>
      <c r="L19" s="250"/>
      <c r="M19" s="129">
        <f>+K19+'23'!M19+L19</f>
        <v>0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+'23'!J20</f>
        <v>0</v>
      </c>
      <c r="K20" s="250"/>
      <c r="L20" s="250"/>
      <c r="M20" s="129">
        <f>+K20+'23'!M20+L20</f>
        <v>0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+'23'!J21</f>
        <v>0</v>
      </c>
      <c r="K21" s="250"/>
      <c r="L21" s="250"/>
      <c r="M21" s="129">
        <f>+K21+'23'!M21+L21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+'23'!J22</f>
        <v>0</v>
      </c>
      <c r="K22" s="250"/>
      <c r="L22" s="250"/>
      <c r="M22" s="129">
        <f>+K22+'23'!M22+L22</f>
        <v>0</v>
      </c>
    </row>
    <row r="23" spans="1:14" ht="13.5" thickBot="1">
      <c r="A23" s="1021"/>
      <c r="B23" s="180" t="s">
        <v>2</v>
      </c>
      <c r="C23" s="112">
        <f>SUM(C16:C22)</f>
        <v>9513</v>
      </c>
      <c r="D23" s="123">
        <f>SUM(D16:D22)</f>
        <v>277</v>
      </c>
      <c r="E23" s="124">
        <f>SUM(E18:E22)</f>
        <v>0</v>
      </c>
      <c r="F23" s="128">
        <f>SUM(F15:F22)</f>
        <v>22</v>
      </c>
      <c r="G23" s="171"/>
      <c r="H23" s="178" t="s">
        <v>237</v>
      </c>
      <c r="I23" s="181"/>
      <c r="J23" s="226">
        <f>+'23'!J23</f>
        <v>0</v>
      </c>
      <c r="K23" s="250"/>
      <c r="L23" s="250"/>
      <c r="M23" s="129">
        <f>+K23+'23'!M23+L23</f>
        <v>0</v>
      </c>
    </row>
    <row r="24" spans="1:14" ht="13.5" customHeight="1" thickBot="1">
      <c r="A24" s="1014" t="s">
        <v>542</v>
      </c>
      <c r="B24" s="182"/>
      <c r="C24" s="125"/>
      <c r="D24" s="126"/>
      <c r="E24" s="127"/>
      <c r="F24" s="247"/>
      <c r="G24" s="240" t="s">
        <v>12</v>
      </c>
      <c r="H24" s="241" t="s">
        <v>280</v>
      </c>
      <c r="I24" s="1017" t="s">
        <v>751</v>
      </c>
      <c r="J24" s="226">
        <f>+'23'!J24</f>
        <v>0</v>
      </c>
      <c r="K24" s="250"/>
      <c r="L24" s="250"/>
      <c r="M24" s="129">
        <f>+K24+'23'!M24+L24</f>
        <v>0</v>
      </c>
    </row>
    <row r="25" spans="1:14" ht="13.5" thickBot="1">
      <c r="A25" s="1020"/>
      <c r="B25" s="227" t="s">
        <v>568</v>
      </c>
      <c r="C25" s="237">
        <v>14014</v>
      </c>
      <c r="D25" s="229"/>
      <c r="E25" s="236"/>
      <c r="F25" s="242">
        <v>3</v>
      </c>
      <c r="G25" s="243" t="s">
        <v>12</v>
      </c>
      <c r="H25" s="241" t="s">
        <v>587</v>
      </c>
      <c r="I25" s="1018"/>
      <c r="J25" s="226">
        <f>+'23'!J25</f>
        <v>0</v>
      </c>
      <c r="K25" s="250"/>
      <c r="L25" s="250"/>
      <c r="M25" s="129">
        <f>+K25+'23'!M25+L25</f>
        <v>0</v>
      </c>
    </row>
    <row r="26" spans="1:14" ht="13.5" thickBot="1">
      <c r="A26" s="1020"/>
      <c r="B26" s="227"/>
      <c r="C26" s="237"/>
      <c r="D26" s="229"/>
      <c r="E26" s="238"/>
      <c r="F26" s="242">
        <v>8</v>
      </c>
      <c r="G26" s="243" t="s">
        <v>12</v>
      </c>
      <c r="H26" s="598" t="s">
        <v>613</v>
      </c>
      <c r="I26" s="1018"/>
      <c r="J26" s="226">
        <f>+'23'!J26</f>
        <v>0</v>
      </c>
      <c r="K26" s="250"/>
      <c r="L26" s="250"/>
      <c r="M26" s="129">
        <f>+K26+'23'!M26+L26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747</v>
      </c>
      <c r="I27" s="1018"/>
      <c r="J27" s="226">
        <f>+'23'!J27</f>
        <v>0</v>
      </c>
      <c r="K27" s="250"/>
      <c r="L27" s="250"/>
      <c r="M27" s="129">
        <f>+K27+'23'!M27+L27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 t="s">
        <v>740</v>
      </c>
      <c r="I28" s="1018"/>
      <c r="J28" s="226">
        <f>+'23'!J28</f>
        <v>0</v>
      </c>
      <c r="K28" s="250"/>
      <c r="L28" s="250"/>
      <c r="M28" s="129">
        <f>+K28+'23'!M28+L28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 t="s">
        <v>741</v>
      </c>
      <c r="I29" s="1018"/>
      <c r="J29" s="226">
        <f>+'23'!J29</f>
        <v>0</v>
      </c>
      <c r="K29" s="250"/>
      <c r="L29" s="250"/>
      <c r="M29" s="129">
        <f>+K29+'23'!M29+L29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+'23'!J30</f>
        <v>0</v>
      </c>
      <c r="K30" s="250"/>
      <c r="L30" s="250"/>
      <c r="M30" s="129">
        <f>+K30+'23'!M30+L30</f>
        <v>0</v>
      </c>
      <c r="N30" s="167"/>
    </row>
    <row r="31" spans="1:14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+'23'!J31</f>
        <v>0</v>
      </c>
      <c r="K31" s="250"/>
      <c r="L31" s="250"/>
      <c r="M31" s="129">
        <f>+K31+'23'!M31+L31</f>
        <v>0</v>
      </c>
    </row>
    <row r="32" spans="1:14" ht="13.5" thickBot="1">
      <c r="A32" s="1021"/>
      <c r="B32" s="177" t="s">
        <v>2</v>
      </c>
      <c r="C32" s="111">
        <f>SUM(C25:C31)</f>
        <v>14014</v>
      </c>
      <c r="D32" s="112">
        <f>SUM(D25:D31)</f>
        <v>0</v>
      </c>
      <c r="E32" s="113">
        <f>SUM(E25:E31)</f>
        <v>0</v>
      </c>
      <c r="F32" s="114">
        <f>SUM(F24:F31)</f>
        <v>11</v>
      </c>
      <c r="G32" s="183"/>
      <c r="H32" s="184"/>
      <c r="I32" s="181"/>
      <c r="J32" s="226">
        <f>+'23'!J32</f>
        <v>0</v>
      </c>
      <c r="K32" s="252"/>
      <c r="L32" s="254"/>
      <c r="M32" s="129">
        <f>+K32+'23'!M32+L32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29250</v>
      </c>
      <c r="D34" s="119">
        <f>D14+D23+D32</f>
        <v>333</v>
      </c>
      <c r="E34" s="119">
        <f>E14+E23+E32</f>
        <v>0</v>
      </c>
      <c r="F34" s="120">
        <f>F14+F23+F32</f>
        <v>429</v>
      </c>
      <c r="H34" s="190"/>
      <c r="I34" s="190"/>
      <c r="J34" s="135" t="s">
        <v>28</v>
      </c>
      <c r="K34" s="136">
        <f>SUM(K7:K32)</f>
        <v>29250</v>
      </c>
      <c r="L34" s="224">
        <f>SUM(L7:L32)</f>
        <v>0</v>
      </c>
      <c r="M34" s="132">
        <f>SUM(M7:M32)</f>
        <v>1290476</v>
      </c>
      <c r="N34" s="167"/>
    </row>
    <row r="35" spans="1:14" ht="13.5" thickBot="1">
      <c r="A35" s="191"/>
      <c r="B35" s="192"/>
      <c r="C35" s="116">
        <f>C34/($C$34+$D$34+$E$34)</f>
        <v>0.98874353513842406</v>
      </c>
      <c r="D35" s="116">
        <f>D34/($C$34+$D$34+$E$34)</f>
        <v>1.1256464861575905E-2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(12*1048)/1048*G42*2.77*1048/1000000</f>
        <v>33.554530176</v>
      </c>
      <c r="J37" s="137">
        <f>+I37+'23'!J37</f>
        <v>1457.2085574833898</v>
      </c>
      <c r="K37" s="138" t="s">
        <v>64</v>
      </c>
    </row>
    <row r="38" spans="1:14" ht="17.45" customHeight="1">
      <c r="A38" s="1012" t="s">
        <v>12</v>
      </c>
      <c r="B38" s="1013"/>
      <c r="C38" s="176">
        <f>SUMIF($G$7:$G$31,"Process",$F$7:$F$31)</f>
        <v>37</v>
      </c>
      <c r="D38" s="130">
        <f>+C38+'23'!D38</f>
        <v>1664</v>
      </c>
      <c r="E38" s="155">
        <f t="shared" ref="E38:E51" si="0">D38/60</f>
        <v>27.733333333333334</v>
      </c>
      <c r="F38" s="340">
        <v>1130</v>
      </c>
      <c r="G38" s="340">
        <f>+F38-F38*0.24</f>
        <v>858.8</v>
      </c>
      <c r="H38" s="199" t="s">
        <v>65</v>
      </c>
      <c r="I38" s="553">
        <f>1.34+13.085+15.602</f>
        <v>30.027000000000001</v>
      </c>
      <c r="J38" s="139">
        <f>+I38+'23'!J38</f>
        <v>1353.3269999999998</v>
      </c>
      <c r="K38" s="140" t="s">
        <v>64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+C39+'23'!D39</f>
        <v>0</v>
      </c>
      <c r="E39" s="155">
        <f t="shared" si="0"/>
        <v>0</v>
      </c>
      <c r="F39" s="340">
        <v>1300</v>
      </c>
      <c r="G39" s="340">
        <f>+F39-F39*0.24</f>
        <v>988</v>
      </c>
      <c r="H39" s="199" t="s">
        <v>66</v>
      </c>
      <c r="I39" s="154"/>
      <c r="J39" s="141">
        <f>J37/G4</f>
        <v>60.717023228474574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+C40+'23'!D40</f>
        <v>0</v>
      </c>
      <c r="E40" s="155">
        <f t="shared" si="0"/>
        <v>0</v>
      </c>
      <c r="F40" s="340">
        <v>1260</v>
      </c>
      <c r="G40" s="340">
        <f>+F40-F40*0.24</f>
        <v>957.6</v>
      </c>
      <c r="H40" s="199" t="s">
        <v>68</v>
      </c>
      <c r="I40" s="130">
        <f>(K34+L34)/1000</f>
        <v>29.25</v>
      </c>
      <c r="J40" s="143">
        <f>+I40+'23'!J40</f>
        <v>1290.4759999999997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35</v>
      </c>
      <c r="D41" s="130">
        <f>+C41+'23'!D41</f>
        <v>237</v>
      </c>
      <c r="E41" s="155">
        <f t="shared" si="0"/>
        <v>3.95</v>
      </c>
      <c r="F41" s="340"/>
      <c r="G41" s="340"/>
      <c r="H41" s="199" t="s">
        <v>70</v>
      </c>
      <c r="I41" s="154"/>
      <c r="J41" s="141">
        <f>J40/G4</f>
        <v>53.769833333333317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+C42+'23'!D42</f>
        <v>0</v>
      </c>
      <c r="E42" s="155">
        <f t="shared" si="0"/>
        <v>0</v>
      </c>
      <c r="F42" s="340">
        <f>+(F38*88+F39*480+F40*480)/1048</f>
        <v>1267.4045801526718</v>
      </c>
      <c r="G42" s="340">
        <f>+(G38*88+G39*480+G40*480)/1048</f>
        <v>963.22748091603057</v>
      </c>
      <c r="H42" s="199" t="s">
        <v>71</v>
      </c>
      <c r="I42" s="257" t="s">
        <v>748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+C43+'23'!D43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+Report1!T32</f>
        <v>105.667</v>
      </c>
      <c r="J43" s="145">
        <f>+I43+'23'!J43</f>
        <v>2984.98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+C44+'23'!D44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3.5190661737769342</v>
      </c>
      <c r="J44" s="146">
        <f>J43/J38</f>
        <v>2.2056605683622661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+C45+'23'!D45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3.6125470085470086</v>
      </c>
      <c r="J45" s="146">
        <f>J43/J40</f>
        <v>2.3130844742560117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+C46+'23'!D46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+SUMIF(Listrik!AR31,"&gt;0")</f>
        <v>36955.459999999905</v>
      </c>
      <c r="J46" s="147">
        <f>+I46+'23'!J46</f>
        <v>1289549.1999999993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+C47+'23'!D47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1230.7409997668733</v>
      </c>
      <c r="J47" s="147">
        <f>J46/J38</f>
        <v>952.87332625448209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+C48+'23'!D48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1263.4345299145266</v>
      </c>
      <c r="J48" s="147">
        <f>J46/J40</f>
        <v>999.28181539214961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357</v>
      </c>
      <c r="D49" s="130">
        <f>+C49+'23'!D49</f>
        <v>1505</v>
      </c>
      <c r="E49" s="155">
        <f t="shared" si="0"/>
        <v>25.083333333333332</v>
      </c>
      <c r="F49" s="197"/>
      <c r="H49" s="200" t="s">
        <v>83</v>
      </c>
      <c r="I49" s="130">
        <v>0</v>
      </c>
      <c r="J49" s="147">
        <f>+I49+'23'!J49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+C50+'23'!D50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+C51+'23'!D51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429</v>
      </c>
      <c r="D52" s="156">
        <f>SUM(D38:D51)</f>
        <v>3406</v>
      </c>
      <c r="E52" s="157">
        <f>SUM(E38:E51)</f>
        <v>56.766666666666666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0.29791666666666666</v>
      </c>
      <c r="D53" s="158">
        <f>D52/(24*60*G4)</f>
        <v>9.8553240740740747E-2</v>
      </c>
      <c r="E53" s="159">
        <f>E52/(G4*24)</f>
        <v>9.8553240740740733E-2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+D34+'23'!J56</f>
        <v>27572</v>
      </c>
      <c r="K56" s="213">
        <f>J56/(J40+J56/1000)/1000</f>
        <v>2.0918813275389067E-2</v>
      </c>
    </row>
    <row r="57" spans="1:11">
      <c r="A57" s="188"/>
      <c r="I57" s="211" t="s">
        <v>90</v>
      </c>
      <c r="J57" s="212">
        <f>+E34+'23'!J57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zoomScale="80" zoomScaleNormal="80" workbookViewId="0">
      <selection activeCell="H35" sqref="H35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3.710937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23</v>
      </c>
      <c r="H4" s="166" t="str">
        <f>+'1'!H4</f>
        <v>.10.25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175+225+229</f>
        <v>629</v>
      </c>
    </row>
    <row r="7" spans="1:15" ht="13.5" customHeight="1" thickBot="1">
      <c r="A7" s="1014" t="s">
        <v>648</v>
      </c>
      <c r="B7" s="227" t="s">
        <v>468</v>
      </c>
      <c r="C7" s="228">
        <v>17278</v>
      </c>
      <c r="D7" s="229">
        <v>396</v>
      </c>
      <c r="E7" s="230"/>
      <c r="F7" s="239"/>
      <c r="G7" s="240" t="s">
        <v>12</v>
      </c>
      <c r="H7" s="241" t="s">
        <v>280</v>
      </c>
      <c r="I7" s="1017" t="s">
        <v>728</v>
      </c>
      <c r="J7" s="226" t="str">
        <f>+'22'!J7</f>
        <v>F 13 VP OW</v>
      </c>
      <c r="K7" s="249"/>
      <c r="L7" s="253"/>
      <c r="M7" s="129">
        <f>+K7+'22'!M7+L7</f>
        <v>86489</v>
      </c>
    </row>
    <row r="8" spans="1:15" ht="13.5" thickBot="1">
      <c r="A8" s="1015"/>
      <c r="B8" s="227"/>
      <c r="C8" s="228"/>
      <c r="D8" s="229"/>
      <c r="E8" s="231"/>
      <c r="F8" s="242">
        <v>6</v>
      </c>
      <c r="G8" s="243" t="s">
        <v>12</v>
      </c>
      <c r="H8" s="241" t="s">
        <v>456</v>
      </c>
      <c r="I8" s="1018"/>
      <c r="J8" s="226" t="str">
        <f>+'22'!J8</f>
        <v>F 10,3 VP OW</v>
      </c>
      <c r="K8" s="250"/>
      <c r="L8" s="250"/>
      <c r="M8" s="129">
        <f>+K8+'22'!M8+L8</f>
        <v>53369</v>
      </c>
      <c r="N8" s="161">
        <v>1180</v>
      </c>
      <c r="O8" s="161">
        <f>+N8-N8*0.2</f>
        <v>944</v>
      </c>
    </row>
    <row r="9" spans="1:15" ht="13.5" thickBot="1">
      <c r="A9" s="1015"/>
      <c r="B9" s="227"/>
      <c r="C9" s="228"/>
      <c r="D9" s="229"/>
      <c r="E9" s="232"/>
      <c r="F9" s="239">
        <v>6</v>
      </c>
      <c r="G9" s="243" t="s">
        <v>12</v>
      </c>
      <c r="H9" s="598" t="s">
        <v>526</v>
      </c>
      <c r="I9" s="1018"/>
      <c r="J9" s="226" t="str">
        <f>+'22'!J9</f>
        <v>SN 15 VP OW</v>
      </c>
      <c r="K9" s="250">
        <f>+C34</f>
        <v>53992</v>
      </c>
      <c r="L9" s="250"/>
      <c r="M9" s="129">
        <f>+K9+'22'!M9+L9</f>
        <v>141422</v>
      </c>
    </row>
    <row r="10" spans="1:15" ht="13.5" thickBot="1">
      <c r="A10" s="1015"/>
      <c r="B10" s="227"/>
      <c r="C10" s="228"/>
      <c r="D10" s="229"/>
      <c r="E10" s="231"/>
      <c r="F10" s="239"/>
      <c r="G10" s="243"/>
      <c r="H10" s="598" t="s">
        <v>726</v>
      </c>
      <c r="I10" s="1018"/>
      <c r="J10" s="226" t="str">
        <f>+'22'!J10</f>
        <v>MG 15,5 VP OW</v>
      </c>
      <c r="K10" s="250"/>
      <c r="L10" s="250"/>
      <c r="M10" s="129">
        <f>+K10+'22'!M10+L10</f>
        <v>62505</v>
      </c>
    </row>
    <row r="11" spans="1:15" ht="13.5" thickBot="1">
      <c r="A11" s="1015"/>
      <c r="B11" s="227"/>
      <c r="C11" s="228"/>
      <c r="D11" s="229"/>
      <c r="E11" s="231"/>
      <c r="F11" s="239"/>
      <c r="G11" s="243"/>
      <c r="H11" s="244"/>
      <c r="I11" s="1018"/>
      <c r="J11" s="226" t="str">
        <f>+'22'!J11</f>
        <v>MG 16,5 VP OW</v>
      </c>
      <c r="K11" s="250"/>
      <c r="L11" s="250"/>
      <c r="M11" s="129">
        <f>+K11+'22'!M11+L11</f>
        <v>37635</v>
      </c>
    </row>
    <row r="12" spans="1:15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+'22'!J12</f>
        <v>MG 21 VP OW</v>
      </c>
      <c r="K12" s="250"/>
      <c r="L12" s="250"/>
      <c r="M12" s="129">
        <f>+K12+'22'!M12+L12</f>
        <v>206161</v>
      </c>
    </row>
    <row r="13" spans="1:15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+'22'!J13</f>
        <v>MG 22 VP HW</v>
      </c>
      <c r="K13" s="250"/>
      <c r="L13" s="250"/>
      <c r="M13" s="129">
        <f>+K13+'22'!M13+L13</f>
        <v>10130</v>
      </c>
    </row>
    <row r="14" spans="1:15" ht="13.5" thickBot="1">
      <c r="A14" s="1016"/>
      <c r="B14" s="177" t="s">
        <v>2</v>
      </c>
      <c r="C14" s="111">
        <f>SUM(C7:C13)</f>
        <v>17278</v>
      </c>
      <c r="D14" s="123">
        <f>SUM(D7:D13)</f>
        <v>396</v>
      </c>
      <c r="E14" s="124">
        <f>SUM(E5:E13)</f>
        <v>0</v>
      </c>
      <c r="F14" s="128">
        <f>SUM(F7:F13)</f>
        <v>12</v>
      </c>
      <c r="G14" s="171"/>
      <c r="H14" s="178"/>
      <c r="I14" s="179"/>
      <c r="J14" s="226" t="str">
        <f>+'22'!J14</f>
        <v>MG 17 VP HW/OW</v>
      </c>
      <c r="K14" s="250"/>
      <c r="L14" s="250"/>
      <c r="M14" s="129">
        <f>+K14+'22'!M14+L14</f>
        <v>7375</v>
      </c>
    </row>
    <row r="15" spans="1:15" ht="13.5" customHeight="1" thickBot="1">
      <c r="A15" s="1014" t="s">
        <v>486</v>
      </c>
      <c r="B15" s="177"/>
      <c r="C15" s="125"/>
      <c r="D15" s="126"/>
      <c r="E15" s="127"/>
      <c r="F15" s="239">
        <v>5</v>
      </c>
      <c r="G15" s="240" t="s">
        <v>12</v>
      </c>
      <c r="H15" s="241" t="s">
        <v>541</v>
      </c>
      <c r="I15" s="1017" t="s">
        <v>734</v>
      </c>
      <c r="J15" s="226" t="str">
        <f>+'22'!J15</f>
        <v>MG 14 VP HW</v>
      </c>
      <c r="K15" s="250"/>
      <c r="L15" s="250"/>
      <c r="M15" s="129">
        <f>+K15+'22'!M15+L15</f>
        <v>47118</v>
      </c>
    </row>
    <row r="16" spans="1:15" ht="13.5" thickBot="1">
      <c r="A16" s="1020"/>
      <c r="B16" s="227" t="s">
        <v>468</v>
      </c>
      <c r="C16" s="233">
        <v>18543</v>
      </c>
      <c r="D16" s="234">
        <v>62</v>
      </c>
      <c r="E16" s="235"/>
      <c r="F16" s="239">
        <v>6</v>
      </c>
      <c r="G16" s="243" t="s">
        <v>12</v>
      </c>
      <c r="H16" s="241" t="s">
        <v>456</v>
      </c>
      <c r="I16" s="1018"/>
      <c r="J16" s="226" t="str">
        <f>+'22'!J16</f>
        <v>F 12 VP OW</v>
      </c>
      <c r="K16" s="250"/>
      <c r="L16" s="240"/>
      <c r="M16" s="129">
        <f>+K16+'22'!M16+L16</f>
        <v>556728</v>
      </c>
      <c r="N16" s="161">
        <v>1200</v>
      </c>
      <c r="O16" s="161">
        <f>+N16-N16*0.2</f>
        <v>960</v>
      </c>
    </row>
    <row r="17" spans="1:14" ht="13.5" thickBot="1">
      <c r="A17" s="1020"/>
      <c r="B17" s="227"/>
      <c r="C17" s="228"/>
      <c r="D17" s="229"/>
      <c r="E17" s="236"/>
      <c r="F17" s="239">
        <v>7</v>
      </c>
      <c r="G17" s="243" t="s">
        <v>12</v>
      </c>
      <c r="H17" s="598" t="s">
        <v>504</v>
      </c>
      <c r="I17" s="1018"/>
      <c r="J17" s="226" t="str">
        <f>+'22'!J17</f>
        <v>F 10,5 VP OW</v>
      </c>
      <c r="K17" s="250"/>
      <c r="L17" s="240"/>
      <c r="M17" s="129">
        <f>+K17+'22'!M17+L17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732</v>
      </c>
      <c r="I18" s="1018"/>
      <c r="J18" s="226" t="str">
        <f>+'22'!J18</f>
        <v>F 12,5 VP OW</v>
      </c>
      <c r="K18" s="250"/>
      <c r="L18" s="250"/>
      <c r="M18" s="129">
        <f>+K18+'22'!M18+L18</f>
        <v>16783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/>
      <c r="I19" s="1018"/>
      <c r="J19" s="226">
        <f>+'22'!J19</f>
        <v>0</v>
      </c>
      <c r="K19" s="250"/>
      <c r="L19" s="250"/>
      <c r="M19" s="129">
        <f>+K19+'22'!M19+L19</f>
        <v>0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+'22'!J20</f>
        <v>0</v>
      </c>
      <c r="K20" s="250"/>
      <c r="L20" s="251"/>
      <c r="M20" s="129">
        <f>+K20+'22'!M20+L20</f>
        <v>0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+'22'!J21</f>
        <v>0</v>
      </c>
      <c r="K21" s="250"/>
      <c r="L21" s="250"/>
      <c r="M21" s="129">
        <f>+K21+'22'!M21+L21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+'22'!J22</f>
        <v>0</v>
      </c>
      <c r="K22" s="250"/>
      <c r="L22" s="250"/>
      <c r="M22" s="129">
        <f>+K22+'22'!M22+L22</f>
        <v>0</v>
      </c>
    </row>
    <row r="23" spans="1:14" ht="13.5" thickBot="1">
      <c r="A23" s="1021"/>
      <c r="B23" s="180" t="s">
        <v>2</v>
      </c>
      <c r="C23" s="112">
        <f>SUM(C16:C22)</f>
        <v>18543</v>
      </c>
      <c r="D23" s="123">
        <f>SUM(D16:D22)</f>
        <v>62</v>
      </c>
      <c r="E23" s="124">
        <f>SUM(E18:E22)</f>
        <v>0</v>
      </c>
      <c r="F23" s="128">
        <f>SUM(F15:F22)</f>
        <v>18</v>
      </c>
      <c r="G23" s="171"/>
      <c r="H23" s="178" t="s">
        <v>237</v>
      </c>
      <c r="I23" s="181"/>
      <c r="J23" s="226">
        <f>+'22'!J23</f>
        <v>0</v>
      </c>
      <c r="K23" s="250"/>
      <c r="L23" s="250"/>
      <c r="M23" s="129">
        <f>+K23+'22'!M23+L23</f>
        <v>0</v>
      </c>
    </row>
    <row r="24" spans="1:14" ht="13.5" customHeight="1" thickBot="1">
      <c r="A24" s="1014" t="s">
        <v>542</v>
      </c>
      <c r="B24" s="182"/>
      <c r="C24" s="125"/>
      <c r="D24" s="126"/>
      <c r="E24" s="127"/>
      <c r="F24" s="247"/>
      <c r="G24" s="240" t="s">
        <v>12</v>
      </c>
      <c r="H24" s="241" t="s">
        <v>280</v>
      </c>
      <c r="I24" s="1017" t="s">
        <v>734</v>
      </c>
      <c r="J24" s="226">
        <f>+'22'!J24</f>
        <v>0</v>
      </c>
      <c r="K24" s="250"/>
      <c r="L24" s="250"/>
      <c r="M24" s="129">
        <f>+K24+'22'!M24+L24</f>
        <v>0</v>
      </c>
    </row>
    <row r="25" spans="1:14" ht="13.5" thickBot="1">
      <c r="A25" s="1020"/>
      <c r="B25" s="227" t="s">
        <v>468</v>
      </c>
      <c r="C25" s="237">
        <v>18171</v>
      </c>
      <c r="D25" s="229">
        <v>349</v>
      </c>
      <c r="E25" s="236"/>
      <c r="F25" s="242">
        <v>6</v>
      </c>
      <c r="G25" s="243" t="s">
        <v>12</v>
      </c>
      <c r="H25" s="241" t="s">
        <v>719</v>
      </c>
      <c r="I25" s="1018"/>
      <c r="J25" s="226">
        <f>+'22'!J25</f>
        <v>0</v>
      </c>
      <c r="K25" s="250"/>
      <c r="L25" s="250"/>
      <c r="M25" s="129">
        <f>+K25+'22'!M25+L25</f>
        <v>0</v>
      </c>
    </row>
    <row r="26" spans="1:14" ht="13.5" thickBot="1">
      <c r="A26" s="1020"/>
      <c r="B26" s="227"/>
      <c r="C26" s="237"/>
      <c r="D26" s="229"/>
      <c r="E26" s="238"/>
      <c r="F26" s="242">
        <v>6</v>
      </c>
      <c r="G26" s="243" t="s">
        <v>12</v>
      </c>
      <c r="H26" s="598" t="s">
        <v>504</v>
      </c>
      <c r="I26" s="1018"/>
      <c r="J26" s="226">
        <f>+'22'!J26</f>
        <v>0</v>
      </c>
      <c r="K26" s="250"/>
      <c r="L26" s="250"/>
      <c r="M26" s="129">
        <f>+K26+'22'!M26+L26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732</v>
      </c>
      <c r="I27" s="1018"/>
      <c r="J27" s="226">
        <f>+'22'!J27</f>
        <v>0</v>
      </c>
      <c r="K27" s="250"/>
      <c r="L27" s="250"/>
      <c r="M27" s="129">
        <f>+K27+'22'!M27+L27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 t="s">
        <v>733</v>
      </c>
      <c r="I28" s="1018"/>
      <c r="J28" s="226">
        <f>+'22'!J28</f>
        <v>0</v>
      </c>
      <c r="K28" s="250"/>
      <c r="L28" s="250"/>
      <c r="M28" s="129">
        <f>+K28+'22'!M28+L28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+'22'!J29</f>
        <v>0</v>
      </c>
      <c r="K29" s="250"/>
      <c r="L29" s="250"/>
      <c r="M29" s="129">
        <f>+K29+'22'!M29+L29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+'22'!J30</f>
        <v>0</v>
      </c>
      <c r="K30" s="250"/>
      <c r="L30" s="250"/>
      <c r="M30" s="129">
        <f>+K30+'22'!M30+L30</f>
        <v>0</v>
      </c>
      <c r="N30" s="167"/>
    </row>
    <row r="31" spans="1:14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+'22'!J31</f>
        <v>0</v>
      </c>
      <c r="K31" s="250"/>
      <c r="L31" s="250"/>
      <c r="M31" s="129">
        <f>+K31+'22'!M31+L31</f>
        <v>0</v>
      </c>
    </row>
    <row r="32" spans="1:14" ht="13.5" thickBot="1">
      <c r="A32" s="1021"/>
      <c r="B32" s="177" t="s">
        <v>2</v>
      </c>
      <c r="C32" s="111">
        <f>SUM(C25:C31)</f>
        <v>18171</v>
      </c>
      <c r="D32" s="112">
        <f>SUM(D25:D31)</f>
        <v>349</v>
      </c>
      <c r="E32" s="113">
        <f>SUM(E25:E31)</f>
        <v>0</v>
      </c>
      <c r="F32" s="114">
        <f>SUM(F24:F31)</f>
        <v>12</v>
      </c>
      <c r="G32" s="183"/>
      <c r="H32" s="184"/>
      <c r="I32" s="181"/>
      <c r="J32" s="226">
        <f>+'22'!J32</f>
        <v>0</v>
      </c>
      <c r="K32" s="252"/>
      <c r="L32" s="254"/>
      <c r="M32" s="129">
        <f>+K32+'22'!M32+L32</f>
        <v>0</v>
      </c>
    </row>
    <row r="33" spans="1:14" ht="13.5" thickBot="1">
      <c r="A33" s="185"/>
      <c r="B33" s="186"/>
      <c r="C33" s="115">
        <f>C32/($C$32+$D$32+$E$32)</f>
        <v>0.98115550755939529</v>
      </c>
      <c r="D33" s="116">
        <f>D32/($C$32+$D$32+$E$32)</f>
        <v>1.8844492440604751E-2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53992</v>
      </c>
      <c r="D34" s="119">
        <f>D14+D23+D32</f>
        <v>807</v>
      </c>
      <c r="E34" s="119">
        <f>E14+E23+E32</f>
        <v>0</v>
      </c>
      <c r="F34" s="120">
        <f>F14+F23+F32</f>
        <v>42</v>
      </c>
      <c r="H34" s="190"/>
      <c r="I34" s="190"/>
      <c r="J34" s="135" t="s">
        <v>28</v>
      </c>
      <c r="K34" s="136">
        <f>SUM(K7:K32)</f>
        <v>53992</v>
      </c>
      <c r="L34" s="224">
        <f>SUM(L7:L32)</f>
        <v>0</v>
      </c>
      <c r="M34" s="132">
        <f>SUM(M7:M32)</f>
        <v>1261226</v>
      </c>
      <c r="N34" s="167"/>
    </row>
    <row r="35" spans="1:14" ht="13.5" thickBot="1">
      <c r="A35" s="191"/>
      <c r="B35" s="192"/>
      <c r="C35" s="116">
        <f>C34/($C$34+$D$34+$E$34)</f>
        <v>0.98527345389514409</v>
      </c>
      <c r="D35" s="116">
        <f>D34/($C$34+$D$34+$E$34)</f>
        <v>1.4726546104855928E-2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(15*1440)/1440*G42*2.77*1440/1000000</f>
        <v>57.119616000000001</v>
      </c>
      <c r="J37" s="137">
        <f>+I37+'22'!J37</f>
        <v>1423.6540273073897</v>
      </c>
      <c r="K37" s="138" t="s">
        <v>64</v>
      </c>
    </row>
    <row r="38" spans="1:14" ht="17.45" customHeight="1">
      <c r="A38" s="1012" t="s">
        <v>12</v>
      </c>
      <c r="B38" s="1013"/>
      <c r="C38" s="176">
        <f>SUMIF($G$7:$G$31,"Process",$F$7:$F$31)</f>
        <v>42</v>
      </c>
      <c r="D38" s="130">
        <f>+C38+'22'!D38</f>
        <v>1627</v>
      </c>
      <c r="E38" s="155">
        <f t="shared" ref="E38:E51" si="0">D38/60</f>
        <v>27.116666666666667</v>
      </c>
      <c r="F38" s="340">
        <v>1180</v>
      </c>
      <c r="G38" s="340">
        <f>+F38-F38*0.2</f>
        <v>944</v>
      </c>
      <c r="H38" s="199" t="s">
        <v>65</v>
      </c>
      <c r="I38" s="553">
        <f>17.176+19.275+19.227</f>
        <v>55.677999999999997</v>
      </c>
      <c r="J38" s="139">
        <f>+I38+'22'!J38</f>
        <v>1323.2999999999997</v>
      </c>
      <c r="K38" s="140" t="s">
        <v>64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+C39+'22'!D39</f>
        <v>0</v>
      </c>
      <c r="E39" s="155">
        <f t="shared" si="0"/>
        <v>0</v>
      </c>
      <c r="F39" s="340">
        <v>1200</v>
      </c>
      <c r="G39" s="340">
        <f>+F39-F39*0.2</f>
        <v>960</v>
      </c>
      <c r="H39" s="199" t="s">
        <v>66</v>
      </c>
      <c r="I39" s="154"/>
      <c r="J39" s="141">
        <f>J37/G4</f>
        <v>61.898001187277814</v>
      </c>
      <c r="K39" s="142" t="s">
        <v>64</v>
      </c>
      <c r="L39" s="566"/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+C40+'22'!D40</f>
        <v>0</v>
      </c>
      <c r="E40" s="155">
        <f t="shared" si="0"/>
        <v>0</v>
      </c>
      <c r="F40" s="340">
        <v>1200</v>
      </c>
      <c r="G40" s="340">
        <f>+F40-F40*0.2</f>
        <v>960</v>
      </c>
      <c r="H40" s="199" t="s">
        <v>68</v>
      </c>
      <c r="I40" s="130">
        <f>(K34+L34)/1000</f>
        <v>53.991999999999997</v>
      </c>
      <c r="J40" s="143">
        <f>+I40+'22'!J40</f>
        <v>1261.2259999999997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+C41+'22'!D41</f>
        <v>202</v>
      </c>
      <c r="E41" s="155">
        <f t="shared" si="0"/>
        <v>3.3666666666666667</v>
      </c>
      <c r="F41" s="340"/>
      <c r="G41" s="340"/>
      <c r="H41" s="199" t="s">
        <v>70</v>
      </c>
      <c r="I41" s="154"/>
      <c r="J41" s="141">
        <f>J40/G4</f>
        <v>54.835913043478243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+C42+'22'!D42</f>
        <v>0</v>
      </c>
      <c r="E42" s="155">
        <f t="shared" si="0"/>
        <v>0</v>
      </c>
      <c r="F42" s="340">
        <f>+(F38*480+F39*480+F40*480)/1440</f>
        <v>1193.3333333333333</v>
      </c>
      <c r="G42" s="340">
        <f>+(G38*480+G39*480+G40*480)/1440</f>
        <v>954.66666666666663</v>
      </c>
      <c r="H42" s="199" t="s">
        <v>71</v>
      </c>
      <c r="I42" s="257" t="s">
        <v>735</v>
      </c>
      <c r="J42" s="144"/>
      <c r="K42" s="142" t="s">
        <v>72</v>
      </c>
    </row>
    <row r="43" spans="1:14" ht="17.45" customHeight="1">
      <c r="A43" s="1008" t="s">
        <v>204</v>
      </c>
      <c r="B43" s="1009"/>
      <c r="C43" s="176">
        <f>SUMIF($G$7:$G$31,"Change Grade",$F$7:$F$31)</f>
        <v>0</v>
      </c>
      <c r="D43" s="130">
        <f>+C43+'22'!D43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+Report1!T31</f>
        <v>121.004</v>
      </c>
      <c r="J43" s="145">
        <f>+I43+'22'!J43</f>
        <v>2879.3130000000001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+C44+'22'!D44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2.1732820862818349</v>
      </c>
      <c r="J44" s="146">
        <f>J43/J38</f>
        <v>2.1758580820675588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+C45+'22'!D45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2.2411468365683809</v>
      </c>
      <c r="J45" s="146">
        <f>J43/J40</f>
        <v>2.2829477032665051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+C46+'22'!D46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+SUMIF(Listrik!AR30,"&gt;0")</f>
        <v>55023.9399999995</v>
      </c>
      <c r="J46" s="147">
        <f>+I46+'22'!J46</f>
        <v>1252593.7399999993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+C47+'22'!D47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988.25281080497689</v>
      </c>
      <c r="J47" s="147">
        <f>J46/J38</f>
        <v>946.56823093780667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+C48+'22'!D48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1019.1128315305879</v>
      </c>
      <c r="J48" s="147">
        <f>J46/J40</f>
        <v>993.15565965179883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+C49+'22'!D49</f>
        <v>1148</v>
      </c>
      <c r="E49" s="155">
        <f t="shared" si="0"/>
        <v>19.133333333333333</v>
      </c>
      <c r="F49" s="197"/>
      <c r="H49" s="200" t="s">
        <v>83</v>
      </c>
      <c r="I49" s="130">
        <v>0</v>
      </c>
      <c r="J49" s="147">
        <f>+I49+'22'!J49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+C50+'22'!D50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+C51+'22'!D51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42</v>
      </c>
      <c r="D52" s="156">
        <f>SUM(D38:D51)</f>
        <v>2977</v>
      </c>
      <c r="E52" s="157">
        <f>SUM(E38:E51)</f>
        <v>49.616666666666667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2.9166666666666667E-2</v>
      </c>
      <c r="D53" s="158">
        <f>D52/(24*60*G4)</f>
        <v>8.9885265700483094E-2</v>
      </c>
      <c r="E53" s="159">
        <f>E52/(G4*24)</f>
        <v>8.9885265700483094E-2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+D34+'22'!J56</f>
        <v>27239</v>
      </c>
      <c r="K56" s="213">
        <f>J56/(J40+J56/1000)/1000</f>
        <v>2.1140659622108482E-2</v>
      </c>
    </row>
    <row r="57" spans="1:11">
      <c r="A57" s="188"/>
      <c r="I57" s="211" t="s">
        <v>90</v>
      </c>
      <c r="J57" s="212">
        <f>+E34+'22'!J57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7109375" style="161" bestFit="1" customWidth="1"/>
    <col min="12" max="12" width="8.28515625" style="161" customWidth="1"/>
    <col min="13" max="13" width="15.28515625" style="161" customWidth="1"/>
    <col min="14" max="16384" width="9.140625" style="161"/>
  </cols>
  <sheetData>
    <row r="1" spans="1:15" ht="15.75">
      <c r="A1" s="160"/>
    </row>
    <row r="2" spans="1:15" ht="15.75">
      <c r="A2" s="347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22</v>
      </c>
      <c r="H4" s="166" t="str">
        <f>+'1'!H4</f>
        <v>.10.25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225+233+221</f>
        <v>679</v>
      </c>
    </row>
    <row r="7" spans="1:15" ht="13.5" customHeight="1" thickBot="1">
      <c r="A7" s="1014" t="s">
        <v>648</v>
      </c>
      <c r="B7" s="227" t="s">
        <v>468</v>
      </c>
      <c r="C7" s="228">
        <v>16329</v>
      </c>
      <c r="D7" s="229">
        <v>459</v>
      </c>
      <c r="E7" s="230"/>
      <c r="F7" s="239"/>
      <c r="G7" s="240" t="s">
        <v>12</v>
      </c>
      <c r="H7" s="241" t="s">
        <v>280</v>
      </c>
      <c r="I7" s="1017" t="s">
        <v>717</v>
      </c>
      <c r="J7" s="226" t="str">
        <f>+'21'!J7</f>
        <v>F 13 VP OW</v>
      </c>
      <c r="K7" s="249"/>
      <c r="L7" s="253"/>
      <c r="M7" s="129">
        <f>+K7+'21'!M7+L7</f>
        <v>86489</v>
      </c>
    </row>
    <row r="8" spans="1:15" ht="13.5" thickBot="1">
      <c r="A8" s="1015"/>
      <c r="B8" s="227"/>
      <c r="C8" s="228"/>
      <c r="D8" s="229"/>
      <c r="E8" s="231"/>
      <c r="F8" s="242">
        <v>6</v>
      </c>
      <c r="G8" s="243" t="s">
        <v>12</v>
      </c>
      <c r="H8" s="241" t="s">
        <v>719</v>
      </c>
      <c r="I8" s="1018"/>
      <c r="J8" s="226" t="str">
        <f>+'21'!J8</f>
        <v>F 10,3 VP OW</v>
      </c>
      <c r="K8" s="250"/>
      <c r="L8" s="250"/>
      <c r="M8" s="129">
        <f>+K8+'21'!M8+L8</f>
        <v>53369</v>
      </c>
      <c r="N8" s="161">
        <v>1150</v>
      </c>
      <c r="O8" s="161">
        <f>+N8-N8*0.2</f>
        <v>920</v>
      </c>
    </row>
    <row r="9" spans="1:15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504</v>
      </c>
      <c r="I9" s="1018"/>
      <c r="J9" s="226" t="str">
        <f>+'21'!J9</f>
        <v>SN 15 VP OW</v>
      </c>
      <c r="K9" s="250">
        <f>+C34</f>
        <v>52611</v>
      </c>
      <c r="L9" s="250"/>
      <c r="M9" s="129">
        <f>+K9+'21'!M9+L9</f>
        <v>87430</v>
      </c>
      <c r="N9" s="161">
        <v>1189</v>
      </c>
      <c r="O9" s="161">
        <f>+N9-N9*0.2</f>
        <v>951.2</v>
      </c>
    </row>
    <row r="10" spans="1:15" ht="13.5" thickBot="1">
      <c r="A10" s="1015"/>
      <c r="B10" s="227"/>
      <c r="C10" s="228"/>
      <c r="D10" s="229"/>
      <c r="E10" s="231"/>
      <c r="F10" s="239"/>
      <c r="G10" s="243"/>
      <c r="H10" s="598" t="s">
        <v>712</v>
      </c>
      <c r="I10" s="1018"/>
      <c r="J10" s="226" t="str">
        <f>+'21'!J10</f>
        <v>MG 15,5 VP OW</v>
      </c>
      <c r="K10" s="250"/>
      <c r="L10" s="250"/>
      <c r="M10" s="129">
        <f>+K10+'21'!M10+L10</f>
        <v>62505</v>
      </c>
      <c r="N10" s="161">
        <v>1180</v>
      </c>
      <c r="O10" s="161">
        <f>+N10-N10*0.2</f>
        <v>944</v>
      </c>
    </row>
    <row r="11" spans="1:15" ht="13.5" thickBot="1">
      <c r="A11" s="1015"/>
      <c r="B11" s="227"/>
      <c r="C11" s="228"/>
      <c r="D11" s="229"/>
      <c r="E11" s="231"/>
      <c r="F11" s="239"/>
      <c r="G11" s="243"/>
      <c r="H11" s="244"/>
      <c r="I11" s="1018"/>
      <c r="J11" s="226" t="str">
        <f>+'21'!J11</f>
        <v>MG 16,5 VP OW</v>
      </c>
      <c r="K11" s="250"/>
      <c r="L11" s="250"/>
      <c r="M11" s="129">
        <f>+K11+'21'!M11+L11</f>
        <v>37635</v>
      </c>
    </row>
    <row r="12" spans="1:15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+'21'!J12</f>
        <v>MG 21 VP OW</v>
      </c>
      <c r="K12" s="250"/>
      <c r="L12" s="250"/>
      <c r="M12" s="129">
        <f>+K12+'21'!M12+L12</f>
        <v>206161</v>
      </c>
    </row>
    <row r="13" spans="1:15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+'21'!J13</f>
        <v>MG 22 VP HW</v>
      </c>
      <c r="K13" s="250"/>
      <c r="L13" s="250"/>
      <c r="M13" s="129">
        <f>+K13+'21'!M13+L13</f>
        <v>10130</v>
      </c>
    </row>
    <row r="14" spans="1:15" ht="13.5" thickBot="1">
      <c r="A14" s="1016"/>
      <c r="B14" s="177" t="s">
        <v>2</v>
      </c>
      <c r="C14" s="111">
        <f>SUM(C7:C13)</f>
        <v>16329</v>
      </c>
      <c r="D14" s="123">
        <f>SUM(D7:D13)</f>
        <v>459</v>
      </c>
      <c r="E14" s="124">
        <f>SUM(E5:E13)</f>
        <v>0</v>
      </c>
      <c r="F14" s="128">
        <f>SUM(F7:F13)</f>
        <v>16</v>
      </c>
      <c r="G14" s="171"/>
      <c r="H14" s="178"/>
      <c r="I14" s="179"/>
      <c r="J14" s="226" t="str">
        <f>+'21'!J14</f>
        <v>MG 17 VP HW/OW</v>
      </c>
      <c r="K14" s="250"/>
      <c r="L14" s="250"/>
      <c r="M14" s="129">
        <f>+K14+'21'!M14+L14</f>
        <v>7375</v>
      </c>
    </row>
    <row r="15" spans="1:15" ht="13.5" customHeight="1" thickBot="1">
      <c r="A15" s="1014" t="s">
        <v>486</v>
      </c>
      <c r="B15" s="177"/>
      <c r="C15" s="125"/>
      <c r="D15" s="126"/>
      <c r="E15" s="127"/>
      <c r="F15" s="239">
        <v>5</v>
      </c>
      <c r="G15" s="240" t="s">
        <v>12</v>
      </c>
      <c r="H15" s="241" t="s">
        <v>541</v>
      </c>
      <c r="I15" s="1017" t="s">
        <v>727</v>
      </c>
      <c r="J15" s="226" t="str">
        <f>+'21'!J15</f>
        <v>MG 14 VP HW</v>
      </c>
      <c r="K15" s="250"/>
      <c r="L15" s="250"/>
      <c r="M15" s="129">
        <f>+K15+'21'!M15+L15</f>
        <v>47118</v>
      </c>
    </row>
    <row r="16" spans="1:15" ht="13.5" thickBot="1">
      <c r="A16" s="1020"/>
      <c r="B16" s="227" t="s">
        <v>468</v>
      </c>
      <c r="C16" s="233">
        <v>18546</v>
      </c>
      <c r="D16" s="234">
        <v>346</v>
      </c>
      <c r="E16" s="235"/>
      <c r="F16" s="239">
        <v>7</v>
      </c>
      <c r="G16" s="243" t="s">
        <v>12</v>
      </c>
      <c r="H16" s="241" t="s">
        <v>456</v>
      </c>
      <c r="I16" s="1018"/>
      <c r="J16" s="226" t="str">
        <f>+'21'!J16</f>
        <v>F 12 VP OW</v>
      </c>
      <c r="K16" s="250"/>
      <c r="L16" s="240"/>
      <c r="M16" s="129">
        <f>+K16+'21'!M16+L16</f>
        <v>556728</v>
      </c>
    </row>
    <row r="17" spans="1:14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504</v>
      </c>
      <c r="I17" s="1018"/>
      <c r="J17" s="226" t="str">
        <f>+'21'!J17</f>
        <v>F 10,5 VP OW</v>
      </c>
      <c r="K17" s="250"/>
      <c r="L17" s="240"/>
      <c r="M17" s="129">
        <f>+K17+'21'!M17+L17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712</v>
      </c>
      <c r="I18" s="1018"/>
      <c r="J18" s="226" t="str">
        <f>+'21'!J18</f>
        <v>F 12,5 VP OW</v>
      </c>
      <c r="K18" s="250"/>
      <c r="L18" s="250"/>
      <c r="M18" s="129">
        <f>+K18+'21'!M18+L18</f>
        <v>16783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/>
      <c r="I19" s="1018"/>
      <c r="J19" s="226">
        <f>+'21'!J19</f>
        <v>0</v>
      </c>
      <c r="K19" s="240"/>
      <c r="L19" s="250"/>
      <c r="M19" s="129">
        <f>+K19+'21'!M19+L19</f>
        <v>0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+'21'!J20</f>
        <v>0</v>
      </c>
      <c r="K20" s="240"/>
      <c r="L20" s="251"/>
      <c r="M20" s="129">
        <f>+K20+'21'!M20+L20</f>
        <v>0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+'21'!J21</f>
        <v>0</v>
      </c>
      <c r="K21" s="240"/>
      <c r="L21" s="250"/>
      <c r="M21" s="129">
        <f>+K21+'21'!M21+L21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+'21'!J22</f>
        <v>0</v>
      </c>
      <c r="K22" s="240"/>
      <c r="L22" s="250"/>
      <c r="M22" s="129">
        <f>+K22+'21'!M22+L22</f>
        <v>0</v>
      </c>
    </row>
    <row r="23" spans="1:14" ht="13.5" thickBot="1">
      <c r="A23" s="1021"/>
      <c r="B23" s="180" t="s">
        <v>2</v>
      </c>
      <c r="C23" s="112">
        <f>SUM(C16:C22)</f>
        <v>18546</v>
      </c>
      <c r="D23" s="123">
        <f>SUM(D16:D22)</f>
        <v>346</v>
      </c>
      <c r="E23" s="124">
        <f>SUM(E18:E22)</f>
        <v>0</v>
      </c>
      <c r="F23" s="128">
        <f>SUM(F15:F22)</f>
        <v>22</v>
      </c>
      <c r="G23" s="171"/>
      <c r="H23" s="178" t="s">
        <v>237</v>
      </c>
      <c r="I23" s="181"/>
      <c r="J23" s="226">
        <f>+'21'!J23</f>
        <v>0</v>
      </c>
      <c r="K23" s="240"/>
      <c r="L23" s="250"/>
      <c r="M23" s="129">
        <f>+K23+'21'!M23+L23</f>
        <v>0</v>
      </c>
    </row>
    <row r="24" spans="1:14" ht="13.5" customHeight="1" thickBot="1">
      <c r="A24" s="1014" t="s">
        <v>542</v>
      </c>
      <c r="B24" s="182"/>
      <c r="C24" s="125"/>
      <c r="D24" s="126"/>
      <c r="E24" s="127"/>
      <c r="F24" s="247">
        <v>10</v>
      </c>
      <c r="G24" s="240" t="s">
        <v>12</v>
      </c>
      <c r="H24" s="241" t="s">
        <v>571</v>
      </c>
      <c r="I24" s="1017" t="s">
        <v>728</v>
      </c>
      <c r="J24" s="226">
        <f>+'21'!J24</f>
        <v>0</v>
      </c>
      <c r="K24" s="240"/>
      <c r="L24" s="250"/>
      <c r="M24" s="129">
        <f>+K24+'21'!M24+L24</f>
        <v>0</v>
      </c>
    </row>
    <row r="25" spans="1:14" ht="13.5" thickBot="1">
      <c r="A25" s="1020"/>
      <c r="B25" s="227" t="s">
        <v>468</v>
      </c>
      <c r="C25" s="237">
        <v>17736</v>
      </c>
      <c r="D25" s="229">
        <v>227</v>
      </c>
      <c r="E25" s="236"/>
      <c r="F25" s="242">
        <v>8</v>
      </c>
      <c r="G25" s="243" t="s">
        <v>12</v>
      </c>
      <c r="H25" s="241" t="s">
        <v>719</v>
      </c>
      <c r="I25" s="1018"/>
      <c r="J25" s="226">
        <f>+'21'!J25</f>
        <v>0</v>
      </c>
      <c r="K25" s="240"/>
      <c r="L25" s="250"/>
      <c r="M25" s="129">
        <f>+K25+'21'!M25+L25</f>
        <v>0</v>
      </c>
    </row>
    <row r="26" spans="1:14" ht="13.5" thickBot="1">
      <c r="A26" s="1020"/>
      <c r="B26" s="227"/>
      <c r="C26" s="237"/>
      <c r="D26" s="229"/>
      <c r="E26" s="238"/>
      <c r="F26" s="242">
        <v>8</v>
      </c>
      <c r="G26" s="243" t="s">
        <v>12</v>
      </c>
      <c r="H26" s="598" t="s">
        <v>504</v>
      </c>
      <c r="I26" s="1018"/>
      <c r="J26" s="226">
        <f>+'21'!J26</f>
        <v>0</v>
      </c>
      <c r="K26" s="240"/>
      <c r="L26" s="250"/>
      <c r="M26" s="129">
        <f>+K26+'21'!M26+L26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726</v>
      </c>
      <c r="I27" s="1018"/>
      <c r="J27" s="226">
        <f>+'21'!J27</f>
        <v>0</v>
      </c>
      <c r="K27" s="240"/>
      <c r="L27" s="250"/>
      <c r="M27" s="129">
        <f>+K27+'21'!M27+L27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/>
      <c r="I28" s="1018"/>
      <c r="J28" s="226">
        <f>+'21'!J28</f>
        <v>0</v>
      </c>
      <c r="K28" s="240"/>
      <c r="L28" s="250"/>
      <c r="M28" s="129">
        <f>+K28+'21'!M28+L28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+'21'!J29</f>
        <v>0</v>
      </c>
      <c r="K29" s="240"/>
      <c r="L29" s="250"/>
      <c r="M29" s="129">
        <f>+K29+'21'!M29+L29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+'21'!J30</f>
        <v>0</v>
      </c>
      <c r="K30" s="250"/>
      <c r="L30" s="250"/>
      <c r="M30" s="129">
        <f>+K30+'21'!M30+L30</f>
        <v>0</v>
      </c>
      <c r="N30" s="167"/>
    </row>
    <row r="31" spans="1:14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+'21'!J31</f>
        <v>0</v>
      </c>
      <c r="K31" s="250"/>
      <c r="L31" s="250"/>
      <c r="M31" s="129">
        <f>+K31+'21'!M31+L31</f>
        <v>0</v>
      </c>
    </row>
    <row r="32" spans="1:14" ht="13.5" thickBot="1">
      <c r="A32" s="1021"/>
      <c r="B32" s="177" t="s">
        <v>2</v>
      </c>
      <c r="C32" s="111">
        <f>SUM(C25:C31)</f>
        <v>17736</v>
      </c>
      <c r="D32" s="112">
        <f>SUM(D25:D31)</f>
        <v>227</v>
      </c>
      <c r="E32" s="113">
        <f>SUM(E25:E31)</f>
        <v>0</v>
      </c>
      <c r="F32" s="114">
        <f>SUM(F24:F31)</f>
        <v>26</v>
      </c>
      <c r="G32" s="183"/>
      <c r="H32" s="184"/>
      <c r="I32" s="181"/>
      <c r="J32" s="226">
        <f>+'21'!J32</f>
        <v>0</v>
      </c>
      <c r="K32" s="252"/>
      <c r="L32" s="254"/>
      <c r="M32" s="129">
        <f>+K32+'21'!M32+L32</f>
        <v>0</v>
      </c>
    </row>
    <row r="33" spans="1:14" ht="13.5" thickBot="1">
      <c r="A33" s="185"/>
      <c r="B33" s="186"/>
      <c r="C33" s="115">
        <f>C32/($C$32+$D$32+$E$32)</f>
        <v>0.98736291265378839</v>
      </c>
      <c r="D33" s="116">
        <f>D32/($C$32+$D$32+$E$32)</f>
        <v>1.2637087346211657E-2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52611</v>
      </c>
      <c r="D34" s="119">
        <f>D14+D23+D32</f>
        <v>1032</v>
      </c>
      <c r="E34" s="119">
        <f>E14+E23+E32</f>
        <v>0</v>
      </c>
      <c r="F34" s="120">
        <f>F14+F23+F32</f>
        <v>64</v>
      </c>
      <c r="H34" s="190"/>
      <c r="I34" s="190"/>
      <c r="J34" s="135" t="s">
        <v>28</v>
      </c>
      <c r="K34" s="136">
        <f>SUM(K7:K32)</f>
        <v>52611</v>
      </c>
      <c r="L34" s="224">
        <f>SUM(L7:L32)</f>
        <v>0</v>
      </c>
      <c r="M34" s="132">
        <f>SUM(M7:M32)</f>
        <v>1207234</v>
      </c>
      <c r="N34" s="167"/>
    </row>
    <row r="35" spans="1:14" ht="13.5" thickBot="1">
      <c r="A35" s="191"/>
      <c r="B35" s="192"/>
      <c r="C35" s="116">
        <f>C34/($C$34+$D$34+$E$34)</f>
        <v>0.98076170236563953</v>
      </c>
      <c r="D35" s="116">
        <f>D34/($C$34+$D$34+$E$34)</f>
        <v>1.9238297634360496E-2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(15*1440)/1440*G42*2.77*1440/1000000</f>
        <v>56.146348799999998</v>
      </c>
      <c r="J37" s="137">
        <f>+I37+'21'!J37</f>
        <v>1366.5344113073897</v>
      </c>
      <c r="K37" s="138" t="s">
        <v>64</v>
      </c>
    </row>
    <row r="38" spans="1:14" ht="17.45" customHeight="1">
      <c r="A38" s="1012" t="s">
        <v>12</v>
      </c>
      <c r="B38" s="1013"/>
      <c r="C38" s="176">
        <f>SUMIF($G$7:$G$31,"Process",$F$7:$F$31)</f>
        <v>64</v>
      </c>
      <c r="D38" s="130">
        <f>+C38+'21'!D38</f>
        <v>1585</v>
      </c>
      <c r="E38" s="155">
        <f t="shared" ref="E38:E51" si="0">D38/60</f>
        <v>26.416666666666668</v>
      </c>
      <c r="F38" s="340">
        <v>1150</v>
      </c>
      <c r="G38" s="340">
        <f>+F38-F38*0.2</f>
        <v>920</v>
      </c>
      <c r="H38" s="199" t="s">
        <v>65</v>
      </c>
      <c r="I38" s="553">
        <f>18.52+17.409+20.141</f>
        <v>56.07</v>
      </c>
      <c r="J38" s="139">
        <f>+I38+'21'!J38</f>
        <v>1267.6219999999998</v>
      </c>
      <c r="K38" s="140" t="s">
        <v>64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+C39+'21'!D39</f>
        <v>0</v>
      </c>
      <c r="E39" s="155">
        <f t="shared" si="0"/>
        <v>0</v>
      </c>
      <c r="F39" s="340">
        <v>1189</v>
      </c>
      <c r="G39" s="340">
        <f>+F39-F39*0.2</f>
        <v>951.2</v>
      </c>
      <c r="H39" s="199" t="s">
        <v>66</v>
      </c>
      <c r="I39" s="154"/>
      <c r="J39" s="141">
        <f>J37/G4</f>
        <v>62.115200513972262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+C40+'21'!D40</f>
        <v>0</v>
      </c>
      <c r="E40" s="155">
        <f t="shared" si="0"/>
        <v>0</v>
      </c>
      <c r="F40" s="340">
        <v>1180</v>
      </c>
      <c r="G40" s="340">
        <f>+F40-F40*0.2</f>
        <v>944</v>
      </c>
      <c r="H40" s="199" t="s">
        <v>68</v>
      </c>
      <c r="I40" s="130">
        <f>(K34+L34)/1000</f>
        <v>52.610999999999997</v>
      </c>
      <c r="J40" s="143">
        <f>+I40+'21'!J40</f>
        <v>1207.2339999999997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+C41+'21'!D41</f>
        <v>202</v>
      </c>
      <c r="E41" s="155">
        <f t="shared" si="0"/>
        <v>3.3666666666666667</v>
      </c>
      <c r="F41" s="340"/>
      <c r="G41" s="340"/>
      <c r="H41" s="199" t="s">
        <v>70</v>
      </c>
      <c r="I41" s="154"/>
      <c r="J41" s="141">
        <f>J40/G4</f>
        <v>54.874272727272711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+C42+'21'!D42</f>
        <v>0</v>
      </c>
      <c r="E42" s="155">
        <f t="shared" si="0"/>
        <v>0</v>
      </c>
      <c r="F42" s="340">
        <f>+(F38*480+F39*480+F40*480)/1440</f>
        <v>1173</v>
      </c>
      <c r="G42" s="340">
        <f>+(G38*480+G39*480+G40*480)/1440</f>
        <v>938.4</v>
      </c>
      <c r="H42" s="199" t="s">
        <v>71</v>
      </c>
      <c r="I42" s="257" t="s">
        <v>729</v>
      </c>
      <c r="J42" s="144"/>
      <c r="K42" s="142" t="s">
        <v>72</v>
      </c>
    </row>
    <row r="43" spans="1:14" ht="17.45" customHeight="1">
      <c r="A43" s="1008" t="s">
        <v>204</v>
      </c>
      <c r="B43" s="1009"/>
      <c r="C43" s="176">
        <f>SUMIF($G$7:$G$31,"Change Grade",$F$7:$F$31)</f>
        <v>0</v>
      </c>
      <c r="D43" s="130">
        <f>+C43+'21'!D43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+Report1!T30</f>
        <v>120.44</v>
      </c>
      <c r="J43" s="145">
        <f>+I43+'21'!J43</f>
        <v>2758.3090000000002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+C44+'21'!D44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2.1480292491528448</v>
      </c>
      <c r="J44" s="146">
        <f>J43/J38</f>
        <v>2.1759712280159231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+C45+'21'!D45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2.2892550987436087</v>
      </c>
      <c r="J45" s="146">
        <f>J43/J40</f>
        <v>2.2848171936840753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+C46+'21'!D46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+SUMIF(Listrik!AR29,"&gt;0")</f>
        <v>55227.480000000571</v>
      </c>
      <c r="J46" s="147">
        <f>+I46+'21'!J46</f>
        <v>1197569.7999999998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+C47+'21'!D47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984.97378277154576</v>
      </c>
      <c r="J47" s="147">
        <f>J46/J38</f>
        <v>944.73731128049212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+C48+'21'!D48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1049.7325654330953</v>
      </c>
      <c r="J48" s="147">
        <f>J46/J40</f>
        <v>991.99475826558898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+C49+'21'!D49</f>
        <v>1148</v>
      </c>
      <c r="E49" s="155">
        <f t="shared" si="0"/>
        <v>19.133333333333333</v>
      </c>
      <c r="F49" s="197"/>
      <c r="H49" s="200" t="s">
        <v>83</v>
      </c>
      <c r="I49" s="130">
        <v>0</v>
      </c>
      <c r="J49" s="147">
        <f>+I49+'21'!J49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+C50+'21'!D50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+C51+'21'!D51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64</v>
      </c>
      <c r="D52" s="156">
        <f>SUM(D38:D51)</f>
        <v>2935</v>
      </c>
      <c r="E52" s="157">
        <f>SUM(E38:E51)</f>
        <v>48.916666666666671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4.4444444444444446E-2</v>
      </c>
      <c r="D53" s="158">
        <f>D52/(24*60*G4)</f>
        <v>9.2645202020202017E-2</v>
      </c>
      <c r="E53" s="159">
        <f>E52/(G4*24)</f>
        <v>9.264520202020203E-2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+D34+'21'!J56</f>
        <v>26432</v>
      </c>
      <c r="K56" s="213">
        <f>J56/(J40+J56/1000)/1000</f>
        <v>2.142557223754242E-2</v>
      </c>
    </row>
    <row r="57" spans="1:11">
      <c r="A57" s="188"/>
      <c r="I57" s="211" t="s">
        <v>90</v>
      </c>
      <c r="J57" s="212">
        <f>+E34+'21'!J57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710937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4.7109375" style="161" customWidth="1"/>
    <col min="14" max="16384" width="9.140625" style="161"/>
  </cols>
  <sheetData>
    <row r="1" spans="1:18" ht="15.75">
      <c r="A1" s="160"/>
    </row>
    <row r="2" spans="1:18" ht="15.75">
      <c r="A2" s="347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21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254+236+207</f>
        <v>697</v>
      </c>
    </row>
    <row r="7" spans="1:18" ht="13.5" customHeight="1" thickBot="1">
      <c r="A7" s="1014" t="s">
        <v>648</v>
      </c>
      <c r="B7" s="227" t="s">
        <v>568</v>
      </c>
      <c r="C7" s="228">
        <f>3576+2932+1403</f>
        <v>7911</v>
      </c>
      <c r="D7" s="229"/>
      <c r="E7" s="230"/>
      <c r="F7" s="239"/>
      <c r="G7" s="240" t="s">
        <v>12</v>
      </c>
      <c r="H7" s="241" t="s">
        <v>280</v>
      </c>
      <c r="I7" s="1017" t="s">
        <v>716</v>
      </c>
      <c r="J7" s="345" t="str">
        <f>+'20'!J7</f>
        <v>F 13 VP OW</v>
      </c>
      <c r="K7" s="249"/>
      <c r="L7" s="253"/>
      <c r="M7" s="129">
        <f>+K7+'20'!M7+L7</f>
        <v>86489</v>
      </c>
    </row>
    <row r="8" spans="1:18" ht="13.5" thickBot="1">
      <c r="A8" s="1015"/>
      <c r="B8" s="227" t="s">
        <v>468</v>
      </c>
      <c r="C8" s="228">
        <f>465+526</f>
        <v>991</v>
      </c>
      <c r="D8" s="229">
        <v>749</v>
      </c>
      <c r="E8" s="231"/>
      <c r="F8" s="242">
        <v>5</v>
      </c>
      <c r="G8" s="243" t="s">
        <v>12</v>
      </c>
      <c r="H8" s="241" t="s">
        <v>586</v>
      </c>
      <c r="I8" s="1018"/>
      <c r="J8" s="226" t="str">
        <f>+'20'!J8</f>
        <v>F 10,3 VP OW</v>
      </c>
      <c r="K8" s="250"/>
      <c r="L8" s="250"/>
      <c r="M8" s="129">
        <f>+K8+'20'!M8+L8</f>
        <v>53369</v>
      </c>
      <c r="N8" s="161">
        <v>1680</v>
      </c>
      <c r="O8" s="161">
        <f>+N8-N8*0.24</f>
        <v>1276.8</v>
      </c>
      <c r="P8" s="161">
        <v>60</v>
      </c>
      <c r="Q8" s="161">
        <f>+N8*P8</f>
        <v>100800</v>
      </c>
      <c r="R8" s="161">
        <f>+O8*P8</f>
        <v>76608</v>
      </c>
    </row>
    <row r="9" spans="1:18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613</v>
      </c>
      <c r="I9" s="1018"/>
      <c r="J9" s="226" t="str">
        <f>+'20'!J9</f>
        <v>SN 15 VP OW</v>
      </c>
      <c r="K9" s="250">
        <f>+C8+C16+C25</f>
        <v>32315</v>
      </c>
      <c r="L9" s="250"/>
      <c r="M9" s="129">
        <f>+K9+'20'!M9+L9</f>
        <v>34819</v>
      </c>
      <c r="N9" s="161">
        <v>1150</v>
      </c>
      <c r="O9" s="161">
        <f>+N9-N9*0.2</f>
        <v>920</v>
      </c>
      <c r="P9" s="161">
        <f>90+120</f>
        <v>210</v>
      </c>
      <c r="Q9" s="161">
        <f>+N9*P9</f>
        <v>241500</v>
      </c>
      <c r="R9" s="161">
        <f>+O9*P9</f>
        <v>193200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708</v>
      </c>
      <c r="I10" s="1018"/>
      <c r="J10" s="226" t="str">
        <f>+'20'!J10</f>
        <v>MG 15,5 VP OW</v>
      </c>
      <c r="K10" s="250"/>
      <c r="L10" s="250"/>
      <c r="M10" s="129">
        <f>+K10+'20'!M10+L10</f>
        <v>62505</v>
      </c>
      <c r="P10" s="161">
        <f>SUM(P8:P9)</f>
        <v>270</v>
      </c>
      <c r="Q10" s="161">
        <f>SUM(Q8:Q9)</f>
        <v>342300</v>
      </c>
      <c r="R10" s="161">
        <f>SUM(R8:R9)</f>
        <v>269808</v>
      </c>
    </row>
    <row r="11" spans="1:18" ht="13.5" thickBot="1">
      <c r="A11" s="1015"/>
      <c r="B11" s="227"/>
      <c r="C11" s="228"/>
      <c r="D11" s="229"/>
      <c r="E11" s="231" t="s">
        <v>715</v>
      </c>
      <c r="F11" s="239">
        <v>120</v>
      </c>
      <c r="G11" s="243" t="s">
        <v>20</v>
      </c>
      <c r="H11" s="244" t="s">
        <v>711</v>
      </c>
      <c r="I11" s="1018"/>
      <c r="J11" s="226" t="str">
        <f>+'20'!J11</f>
        <v>MG 16,5 VP OW</v>
      </c>
      <c r="K11" s="250"/>
      <c r="L11" s="250"/>
      <c r="M11" s="129">
        <f>+K11+'20'!M11+L11</f>
        <v>37635</v>
      </c>
      <c r="Q11" s="161">
        <f>+Q10/P10</f>
        <v>1267.7777777777778</v>
      </c>
      <c r="R11" s="161">
        <f>+R10/P10</f>
        <v>999.28888888888889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244" t="s">
        <v>710</v>
      </c>
      <c r="I12" s="1018"/>
      <c r="J12" s="226" t="str">
        <f>+'20'!J12</f>
        <v>MG 21 VP OW</v>
      </c>
      <c r="K12" s="250"/>
      <c r="L12" s="250"/>
      <c r="M12" s="129">
        <f>+K12+'20'!M12+L12</f>
        <v>206161</v>
      </c>
    </row>
    <row r="13" spans="1:18" ht="51.75" thickBot="1">
      <c r="A13" s="1015"/>
      <c r="B13" s="227"/>
      <c r="C13" s="228"/>
      <c r="D13" s="228"/>
      <c r="E13" s="231" t="s">
        <v>715</v>
      </c>
      <c r="F13" s="239">
        <f>60+30+60</f>
        <v>150</v>
      </c>
      <c r="G13" s="243" t="s">
        <v>20</v>
      </c>
      <c r="H13" s="244" t="s">
        <v>714</v>
      </c>
      <c r="I13" s="1019"/>
      <c r="J13" s="226" t="str">
        <f>+'20'!J13</f>
        <v>MG 22 VP HW</v>
      </c>
      <c r="K13" s="250"/>
      <c r="L13" s="250"/>
      <c r="M13" s="129">
        <f>+K13+'20'!M13+L13</f>
        <v>10130</v>
      </c>
    </row>
    <row r="14" spans="1:18" ht="13.5" thickBot="1">
      <c r="A14" s="1016"/>
      <c r="B14" s="177" t="s">
        <v>2</v>
      </c>
      <c r="C14" s="111">
        <f>SUM(C7:C13)</f>
        <v>8902</v>
      </c>
      <c r="D14" s="123">
        <f>SUM(D7:D13)</f>
        <v>749</v>
      </c>
      <c r="E14" s="124">
        <f>SUM(E5:E13)</f>
        <v>0</v>
      </c>
      <c r="F14" s="128">
        <f>SUM(F7:F13)</f>
        <v>285</v>
      </c>
      <c r="G14" s="171"/>
      <c r="H14" s="178"/>
      <c r="I14" s="179"/>
      <c r="J14" s="226" t="str">
        <f>+'20'!J14</f>
        <v>MG 17 VP HW/OW</v>
      </c>
      <c r="K14" s="250"/>
      <c r="L14" s="250"/>
      <c r="M14" s="129">
        <f>+K14+'20'!M14+L14</f>
        <v>7375</v>
      </c>
    </row>
    <row r="15" spans="1:18" ht="13.5" customHeight="1" thickBot="1">
      <c r="A15" s="1014" t="s">
        <v>486</v>
      </c>
      <c r="B15" s="177"/>
      <c r="C15" s="125"/>
      <c r="D15" s="126"/>
      <c r="E15" s="127"/>
      <c r="F15" s="239">
        <v>5</v>
      </c>
      <c r="G15" s="240" t="s">
        <v>12</v>
      </c>
      <c r="H15" s="241" t="s">
        <v>541</v>
      </c>
      <c r="I15" s="1017" t="s">
        <v>717</v>
      </c>
      <c r="J15" s="226" t="str">
        <f>+'20'!J15</f>
        <v>MG 14 VP HW</v>
      </c>
      <c r="K15" s="250"/>
      <c r="L15" s="250"/>
      <c r="M15" s="129">
        <f>+K15+'20'!M15+L15</f>
        <v>47118</v>
      </c>
    </row>
    <row r="16" spans="1:18" ht="13.5" thickBot="1">
      <c r="A16" s="1020"/>
      <c r="B16" s="227" t="s">
        <v>468</v>
      </c>
      <c r="C16" s="233">
        <v>14490</v>
      </c>
      <c r="D16" s="234">
        <v>225</v>
      </c>
      <c r="E16" s="235"/>
      <c r="F16" s="239">
        <v>7</v>
      </c>
      <c r="G16" s="243" t="s">
        <v>12</v>
      </c>
      <c r="H16" s="241" t="s">
        <v>456</v>
      </c>
      <c r="I16" s="1018"/>
      <c r="J16" s="226" t="str">
        <f>+'20'!J16</f>
        <v>F 12 VP OW</v>
      </c>
      <c r="K16" s="250">
        <f>+C7</f>
        <v>7911</v>
      </c>
      <c r="L16" s="240"/>
      <c r="M16" s="129">
        <f>+K16+'20'!M16+L16</f>
        <v>556728</v>
      </c>
    </row>
    <row r="17" spans="1:14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504</v>
      </c>
      <c r="I17" s="1018"/>
      <c r="J17" s="226" t="str">
        <f>+'20'!J17</f>
        <v>F 10,5 VP OW</v>
      </c>
      <c r="K17" s="250"/>
      <c r="L17" s="240"/>
      <c r="M17" s="129">
        <f>+K17+'20'!M17+L17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712</v>
      </c>
      <c r="I18" s="1018"/>
      <c r="J18" s="226" t="str">
        <f>+'20'!J18</f>
        <v>F 12,5 VP OW</v>
      </c>
      <c r="K18" s="250"/>
      <c r="L18" s="250"/>
      <c r="M18" s="129">
        <f>+K18+'20'!M18+L18</f>
        <v>16783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/>
      <c r="I19" s="1018"/>
      <c r="J19" s="226">
        <f>+'20'!J19</f>
        <v>0</v>
      </c>
      <c r="K19" s="250"/>
      <c r="L19" s="250"/>
      <c r="M19" s="129">
        <f>+K19+'20'!M19+L19</f>
        <v>0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+'20'!J20</f>
        <v>0</v>
      </c>
      <c r="K20" s="250"/>
      <c r="L20" s="251"/>
      <c r="M20" s="129">
        <f>+K20+'20'!M20+L20</f>
        <v>0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+'20'!J21</f>
        <v>0</v>
      </c>
      <c r="K21" s="250"/>
      <c r="L21" s="250"/>
      <c r="M21" s="129">
        <f>+K21+'20'!M21+L21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+'20'!J22</f>
        <v>0</v>
      </c>
      <c r="K22" s="250"/>
      <c r="L22" s="250"/>
      <c r="M22" s="129">
        <f>+K22+'20'!M22+L22</f>
        <v>0</v>
      </c>
    </row>
    <row r="23" spans="1:14" ht="13.5" thickBot="1">
      <c r="A23" s="1021"/>
      <c r="B23" s="180" t="s">
        <v>2</v>
      </c>
      <c r="C23" s="112">
        <f>SUM(C16:C22)</f>
        <v>14490</v>
      </c>
      <c r="D23" s="123">
        <f>SUM(D16:D22)</f>
        <v>225</v>
      </c>
      <c r="E23" s="124">
        <f>SUM(E18:E22)</f>
        <v>0</v>
      </c>
      <c r="F23" s="128">
        <f>SUM(F15:F22)</f>
        <v>22</v>
      </c>
      <c r="G23" s="171"/>
      <c r="H23" s="178" t="s">
        <v>237</v>
      </c>
      <c r="I23" s="181"/>
      <c r="J23" s="226">
        <f>+'20'!J23</f>
        <v>0</v>
      </c>
      <c r="K23" s="250"/>
      <c r="L23" s="250"/>
      <c r="M23" s="129">
        <f>+K23+'20'!M23+L23</f>
        <v>0</v>
      </c>
    </row>
    <row r="24" spans="1:14" ht="13.5" customHeight="1" thickBot="1">
      <c r="A24" s="1014" t="s">
        <v>466</v>
      </c>
      <c r="B24" s="182"/>
      <c r="C24" s="125"/>
      <c r="D24" s="126"/>
      <c r="E24" s="127"/>
      <c r="F24" s="247">
        <v>20</v>
      </c>
      <c r="G24" s="240" t="s">
        <v>12</v>
      </c>
      <c r="H24" s="241" t="s">
        <v>540</v>
      </c>
      <c r="I24" s="1017" t="s">
        <v>717</v>
      </c>
      <c r="J24" s="226">
        <f>+'20'!J24</f>
        <v>0</v>
      </c>
      <c r="K24" s="250"/>
      <c r="L24" s="250"/>
      <c r="M24" s="129">
        <f>+K24+'20'!M24+L24</f>
        <v>0</v>
      </c>
    </row>
    <row r="25" spans="1:14" ht="13.5" thickBot="1">
      <c r="A25" s="1020"/>
      <c r="B25" s="227" t="s">
        <v>468</v>
      </c>
      <c r="C25" s="237">
        <v>16834</v>
      </c>
      <c r="D25" s="229">
        <v>227</v>
      </c>
      <c r="E25" s="236"/>
      <c r="F25" s="242">
        <v>10</v>
      </c>
      <c r="G25" s="243" t="s">
        <v>12</v>
      </c>
      <c r="H25" s="241" t="s">
        <v>719</v>
      </c>
      <c r="I25" s="1018"/>
      <c r="J25" s="226">
        <f>+'20'!J25</f>
        <v>0</v>
      </c>
      <c r="K25" s="250"/>
      <c r="L25" s="250"/>
      <c r="M25" s="129">
        <f>+K25+'20'!M25+L25</f>
        <v>0</v>
      </c>
    </row>
    <row r="26" spans="1:14" ht="13.5" thickBot="1">
      <c r="A26" s="1020"/>
      <c r="B26" s="227"/>
      <c r="C26" s="237"/>
      <c r="D26" s="229"/>
      <c r="E26" s="238"/>
      <c r="F26" s="242">
        <v>10</v>
      </c>
      <c r="G26" s="243" t="s">
        <v>12</v>
      </c>
      <c r="H26" s="598" t="s">
        <v>504</v>
      </c>
      <c r="I26" s="1018"/>
      <c r="J26" s="226">
        <f>+'20'!J26</f>
        <v>0</v>
      </c>
      <c r="K26" s="250"/>
      <c r="L26" s="250"/>
      <c r="M26" s="129">
        <f>+K26+'20'!M26+L26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712</v>
      </c>
      <c r="I27" s="1018"/>
      <c r="J27" s="226">
        <f>+'20'!J27</f>
        <v>0</v>
      </c>
      <c r="K27" s="250"/>
      <c r="L27" s="250"/>
      <c r="M27" s="129">
        <f>+K27+'20'!M27+L27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 t="s">
        <v>713</v>
      </c>
      <c r="I28" s="1018"/>
      <c r="J28" s="226">
        <f>+'20'!J28</f>
        <v>0</v>
      </c>
      <c r="K28" s="250"/>
      <c r="L28" s="250"/>
      <c r="M28" s="129">
        <f>+K28+'20'!M28+L28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+'20'!J29</f>
        <v>0</v>
      </c>
      <c r="K29" s="250"/>
      <c r="L29" s="250"/>
      <c r="M29" s="129">
        <f>+K29+'20'!M29+L29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+'20'!J30</f>
        <v>0</v>
      </c>
      <c r="K30" s="250"/>
      <c r="L30" s="250"/>
      <c r="M30" s="129">
        <f>+K30+'20'!M30+L30</f>
        <v>0</v>
      </c>
      <c r="N30" s="167"/>
    </row>
    <row r="31" spans="1:14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+'20'!J31</f>
        <v>0</v>
      </c>
      <c r="K31" s="250"/>
      <c r="L31" s="250"/>
      <c r="M31" s="129">
        <f>+K31+'20'!M31+L31</f>
        <v>0</v>
      </c>
    </row>
    <row r="32" spans="1:14" ht="13.5" thickBot="1">
      <c r="A32" s="1021"/>
      <c r="B32" s="177" t="s">
        <v>2</v>
      </c>
      <c r="C32" s="111">
        <f>SUM(C25:C31)</f>
        <v>16834</v>
      </c>
      <c r="D32" s="112">
        <f>SUM(D25:D31)</f>
        <v>227</v>
      </c>
      <c r="E32" s="113">
        <f>SUM(E25:E31)</f>
        <v>0</v>
      </c>
      <c r="F32" s="114">
        <f>SUM(F24:F31)</f>
        <v>40</v>
      </c>
      <c r="G32" s="183"/>
      <c r="H32" s="184"/>
      <c r="I32" s="181"/>
      <c r="J32" s="226">
        <f>+'20'!J32</f>
        <v>0</v>
      </c>
      <c r="K32" s="252"/>
      <c r="L32" s="254"/>
      <c r="M32" s="129">
        <f>+K32+'20'!M32+L32</f>
        <v>0</v>
      </c>
    </row>
    <row r="33" spans="1:14" ht="13.5" thickBot="1">
      <c r="A33" s="185"/>
      <c r="B33" s="186"/>
      <c r="C33" s="115">
        <f>C32/($C$32+$D$32+$E$32)</f>
        <v>0.98669480100814722</v>
      </c>
      <c r="D33" s="116">
        <f>D32/($C$32+$D$32+$E$32)</f>
        <v>1.3305198991852764E-2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40226</v>
      </c>
      <c r="D34" s="119">
        <f>D14+D23+D32</f>
        <v>1201</v>
      </c>
      <c r="E34" s="119">
        <f>E14+E23+E32</f>
        <v>0</v>
      </c>
      <c r="F34" s="120">
        <f>F14+F23+F32</f>
        <v>347</v>
      </c>
      <c r="H34" s="190"/>
      <c r="I34" s="190"/>
      <c r="J34" s="135" t="s">
        <v>28</v>
      </c>
      <c r="K34" s="136">
        <f>SUM(K7:K32)</f>
        <v>40226</v>
      </c>
      <c r="L34" s="224">
        <f>SUM(L7:L32)</f>
        <v>0</v>
      </c>
      <c r="M34" s="132">
        <f>SUM(M7:M32)</f>
        <v>1154623</v>
      </c>
      <c r="N34" s="167"/>
    </row>
    <row r="35" spans="1:14" ht="13.5" thickBot="1">
      <c r="A35" s="191"/>
      <c r="B35" s="192"/>
      <c r="C35" s="116">
        <f>C34/($C$34+$D$34+$E$34)</f>
        <v>0.97100924517826537</v>
      </c>
      <c r="D35" s="116">
        <f>D34/($C$34+$D$34+$E$34)</f>
        <v>2.8990754821734618E-2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(12*60+15*1170)/1440*G42*2.77*1440/1000000</f>
        <v>47.440092327804884</v>
      </c>
      <c r="J37" s="137">
        <f>+I37+'20'!J37</f>
        <v>1310.3880625073898</v>
      </c>
      <c r="K37" s="138" t="s">
        <v>64</v>
      </c>
      <c r="L37" s="566">
        <f>2.284+1.044</f>
        <v>3.3279999999999998</v>
      </c>
    </row>
    <row r="38" spans="1:14" ht="17.45" customHeight="1">
      <c r="A38" s="1012" t="s">
        <v>12</v>
      </c>
      <c r="B38" s="1013"/>
      <c r="C38" s="176">
        <f>SUMIF($G$7:$G$31,"Process",$F$7:$F$31)</f>
        <v>77</v>
      </c>
      <c r="D38" s="130">
        <f>+C38+'20'!D38</f>
        <v>1521</v>
      </c>
      <c r="E38" s="155">
        <f t="shared" ref="E38:E51" si="0">D38/60</f>
        <v>25.35</v>
      </c>
      <c r="F38" s="340">
        <v>1267.7777777777778</v>
      </c>
      <c r="G38" s="340">
        <v>999.28888888888889</v>
      </c>
      <c r="H38" s="199" t="s">
        <v>65</v>
      </c>
      <c r="I38" s="553">
        <f>10.464+16.068+15.547</f>
        <v>42.079000000000008</v>
      </c>
      <c r="J38" s="139">
        <f>+I38+'20'!J38</f>
        <v>1211.5519999999999</v>
      </c>
      <c r="K38" s="140" t="s">
        <v>64</v>
      </c>
      <c r="L38" s="611">
        <f>+I38-L37</f>
        <v>38.751000000000005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+C39+'20'!D39</f>
        <v>0</v>
      </c>
      <c r="E39" s="155">
        <f t="shared" si="0"/>
        <v>0</v>
      </c>
      <c r="F39" s="340">
        <v>1150</v>
      </c>
      <c r="G39" s="340">
        <f>+F39-F39*0.2</f>
        <v>920</v>
      </c>
      <c r="H39" s="199" t="s">
        <v>66</v>
      </c>
      <c r="I39" s="154"/>
      <c r="J39" s="141">
        <f>J37/G4</f>
        <v>62.399431547970941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+C40+'20'!D40</f>
        <v>0</v>
      </c>
      <c r="E40" s="155">
        <f t="shared" si="0"/>
        <v>0</v>
      </c>
      <c r="F40" s="340">
        <v>1150</v>
      </c>
      <c r="G40" s="340">
        <f>+F40-F40*0.2</f>
        <v>920</v>
      </c>
      <c r="H40" s="199" t="s">
        <v>68</v>
      </c>
      <c r="I40" s="130">
        <f>(K34+L34)/1000</f>
        <v>40.225999999999999</v>
      </c>
      <c r="J40" s="143">
        <f>+I40+'20'!J40</f>
        <v>1154.6229999999996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+C41+'20'!D41</f>
        <v>202</v>
      </c>
      <c r="E41" s="155">
        <f t="shared" si="0"/>
        <v>3.3666666666666667</v>
      </c>
      <c r="F41" s="340"/>
      <c r="G41" s="340"/>
      <c r="H41" s="199" t="s">
        <v>70</v>
      </c>
      <c r="I41" s="154"/>
      <c r="J41" s="141">
        <f>J40/G4</f>
        <v>54.982047619047599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+C42+'20'!D42</f>
        <v>0</v>
      </c>
      <c r="E42" s="155">
        <f t="shared" si="0"/>
        <v>0</v>
      </c>
      <c r="F42" s="340">
        <f>+(F38*270+F39*480+F40*480)/1230</f>
        <v>1175.8536585365853</v>
      </c>
      <c r="G42" s="340">
        <f>+(G38*270+G39*480+G40*480)/1230</f>
        <v>937.40487804878046</v>
      </c>
      <c r="H42" s="199" t="s">
        <v>71</v>
      </c>
      <c r="I42" s="257" t="s">
        <v>718</v>
      </c>
      <c r="J42" s="144"/>
      <c r="K42" s="142" t="s">
        <v>72</v>
      </c>
    </row>
    <row r="43" spans="1:14" ht="17.45" customHeight="1">
      <c r="A43" s="1008" t="s">
        <v>204</v>
      </c>
      <c r="B43" s="1009"/>
      <c r="C43" s="176">
        <f>SUMIF($G$7:$G$31,"Change Grade",$F$7:$F$31)</f>
        <v>0</v>
      </c>
      <c r="D43" s="130">
        <f>+C43+'20'!D43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+Report1!T29</f>
        <v>105.16499999999999</v>
      </c>
      <c r="J43" s="145">
        <f>+I43+'20'!J43</f>
        <v>2637.8690000000001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+C44+'20'!D44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2.499227643242472</v>
      </c>
      <c r="J44" s="146">
        <f>J43/J38</f>
        <v>2.1772643683473762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+C45+'20'!D45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2.6143539004623872</v>
      </c>
      <c r="J45" s="146">
        <f>J43/J40</f>
        <v>2.2846149782223297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+C46+'20'!D46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+SUMIF(Listrik!AR28,"&gt;0")</f>
        <v>49174.860000000153</v>
      </c>
      <c r="J46" s="147">
        <f>+I46+'20'!J46</f>
        <v>1142342.3199999991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+C47+'20'!D47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1168.6318591221309</v>
      </c>
      <c r="J47" s="147">
        <f>J46/J38</f>
        <v>942.87518818837259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+C48+'20'!D48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1222.464575150404</v>
      </c>
      <c r="J48" s="147">
        <f>J46/J40</f>
        <v>989.36390492827491</v>
      </c>
      <c r="K48" s="142" t="s">
        <v>24</v>
      </c>
    </row>
    <row r="49" spans="1:11" ht="17.45" customHeight="1">
      <c r="A49" s="1026" t="s">
        <v>20</v>
      </c>
      <c r="B49" s="1009"/>
      <c r="C49" s="176">
        <f>SUMIF($G$7:$G$31,"Others",$F$7:$F$31)</f>
        <v>270</v>
      </c>
      <c r="D49" s="130">
        <f>+C49+'20'!D49</f>
        <v>1148</v>
      </c>
      <c r="E49" s="155">
        <f t="shared" si="0"/>
        <v>19.133333333333333</v>
      </c>
      <c r="F49" s="197"/>
      <c r="H49" s="200" t="s">
        <v>83</v>
      </c>
      <c r="I49" s="130">
        <v>0</v>
      </c>
      <c r="J49" s="147">
        <f>+I49+'20'!J49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+C50+'20'!D50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+C51+'20'!D51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347</v>
      </c>
      <c r="D52" s="156">
        <f>SUM(D38:D51)</f>
        <v>2871</v>
      </c>
      <c r="E52" s="157">
        <f>SUM(E38:E51)</f>
        <v>47.85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0.24097222222222223</v>
      </c>
      <c r="D53" s="158">
        <f>D52/(24*60*G4)</f>
        <v>9.4940476190476186E-2</v>
      </c>
      <c r="E53" s="159">
        <f>E52/(G4*24)</f>
        <v>9.49404761904762E-2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+D34+'20'!J56</f>
        <v>25400</v>
      </c>
      <c r="K56" s="213">
        <f>J56/(J40+J56/1000)/1000</f>
        <v>2.1525004173647468E-2</v>
      </c>
    </row>
    <row r="57" spans="1:11">
      <c r="A57" s="188"/>
      <c r="I57" s="211" t="s">
        <v>90</v>
      </c>
      <c r="J57" s="212">
        <f>+E34+'20'!J57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5.425781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20</v>
      </c>
      <c r="H4" s="166" t="str">
        <f>+'1'!H4</f>
        <v>.10.25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217+185+211</f>
        <v>613</v>
      </c>
    </row>
    <row r="7" spans="1:15" ht="13.5" customHeight="1" thickBot="1">
      <c r="A7" s="1014" t="s">
        <v>648</v>
      </c>
      <c r="B7" s="227" t="s">
        <v>568</v>
      </c>
      <c r="C7" s="228">
        <v>18048</v>
      </c>
      <c r="D7" s="229">
        <v>223</v>
      </c>
      <c r="E7" s="230"/>
      <c r="F7" s="239">
        <v>10</v>
      </c>
      <c r="G7" s="240" t="s">
        <v>12</v>
      </c>
      <c r="H7" s="241" t="s">
        <v>571</v>
      </c>
      <c r="I7" s="1017" t="s">
        <v>652</v>
      </c>
      <c r="J7" s="226" t="str">
        <f>+'19'!J7</f>
        <v>F 13 VP OW</v>
      </c>
      <c r="K7" s="249"/>
      <c r="L7" s="253"/>
      <c r="M7" s="129">
        <f>+K7+'19'!M7+L7</f>
        <v>86489</v>
      </c>
    </row>
    <row r="8" spans="1:15" ht="13.5" thickBot="1">
      <c r="A8" s="1015"/>
      <c r="B8" s="227"/>
      <c r="C8" s="228"/>
      <c r="D8" s="229"/>
      <c r="E8" s="231"/>
      <c r="F8" s="242">
        <v>8</v>
      </c>
      <c r="G8" s="243" t="s">
        <v>12</v>
      </c>
      <c r="H8" s="241" t="s">
        <v>586</v>
      </c>
      <c r="I8" s="1018"/>
      <c r="J8" s="226" t="str">
        <f>+'19'!J8</f>
        <v>F 10,3 VP OW</v>
      </c>
      <c r="K8" s="250"/>
      <c r="L8" s="250"/>
      <c r="M8" s="129">
        <f>+K8+'19'!M8+L8</f>
        <v>53369</v>
      </c>
      <c r="N8" s="161">
        <v>1670</v>
      </c>
      <c r="O8" s="161">
        <f>+N8-N8*0.24</f>
        <v>1269.2</v>
      </c>
    </row>
    <row r="9" spans="1:15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422</v>
      </c>
      <c r="I9" s="1018"/>
      <c r="J9" s="226" t="str">
        <f>+'19'!J9</f>
        <v>SN 15 VP OW</v>
      </c>
      <c r="K9" s="250"/>
      <c r="L9" s="250"/>
      <c r="M9" s="129">
        <f>+K9+'19'!M9+L9</f>
        <v>2504</v>
      </c>
      <c r="N9" s="161">
        <v>1680</v>
      </c>
      <c r="O9" s="161">
        <f>+N9-N9*0.24</f>
        <v>1276.8</v>
      </c>
    </row>
    <row r="10" spans="1:15" ht="13.5" thickBot="1">
      <c r="A10" s="1015"/>
      <c r="B10" s="227"/>
      <c r="C10" s="228"/>
      <c r="D10" s="229"/>
      <c r="E10" s="231"/>
      <c r="F10" s="239"/>
      <c r="G10" s="243"/>
      <c r="H10" s="598" t="s">
        <v>699</v>
      </c>
      <c r="I10" s="1018"/>
      <c r="J10" s="226" t="str">
        <f>+'19'!J10</f>
        <v>MG 15,5 VP OW</v>
      </c>
      <c r="K10" s="250"/>
      <c r="L10" s="250"/>
      <c r="M10" s="129">
        <f>+K10+'19'!M10+L10</f>
        <v>62505</v>
      </c>
    </row>
    <row r="11" spans="1:15" ht="13.5" thickBot="1">
      <c r="A11" s="1015"/>
      <c r="B11" s="227"/>
      <c r="C11" s="228"/>
      <c r="D11" s="229"/>
      <c r="E11" s="231"/>
      <c r="F11" s="239"/>
      <c r="G11" s="243"/>
      <c r="H11" s="244"/>
      <c r="I11" s="1018"/>
      <c r="J11" s="226" t="str">
        <f>+'19'!J11</f>
        <v>MG 16,5 VP OW</v>
      </c>
      <c r="K11" s="250"/>
      <c r="L11" s="250"/>
      <c r="M11" s="129">
        <f>+K11+'19'!M11+L11</f>
        <v>37635</v>
      </c>
    </row>
    <row r="12" spans="1:15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+'19'!J12</f>
        <v>MG 21 VP OW</v>
      </c>
      <c r="K12" s="250"/>
      <c r="L12" s="250"/>
      <c r="M12" s="129">
        <f>+K12+'19'!M12+L12</f>
        <v>206161</v>
      </c>
    </row>
    <row r="13" spans="1:15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+'19'!J13</f>
        <v>MG 22 VP HW</v>
      </c>
      <c r="K13" s="250"/>
      <c r="L13" s="250"/>
      <c r="M13" s="129">
        <f>+K13+'19'!M13+L13</f>
        <v>10130</v>
      </c>
    </row>
    <row r="14" spans="1:15" ht="13.5" thickBot="1">
      <c r="A14" s="1016"/>
      <c r="B14" s="177" t="s">
        <v>2</v>
      </c>
      <c r="C14" s="111">
        <f>SUM(C7:C13)</f>
        <v>18048</v>
      </c>
      <c r="D14" s="123">
        <f>SUM(D7:D13)</f>
        <v>223</v>
      </c>
      <c r="E14" s="124">
        <f>SUM(E5:E13)</f>
        <v>0</v>
      </c>
      <c r="F14" s="128">
        <f>SUM(F7:F13)</f>
        <v>28</v>
      </c>
      <c r="G14" s="171"/>
      <c r="H14" s="178"/>
      <c r="I14" s="179"/>
      <c r="J14" s="226" t="str">
        <f>+'19'!J14</f>
        <v>MG 17 VP HW/OW</v>
      </c>
      <c r="K14" s="250"/>
      <c r="L14" s="250"/>
      <c r="M14" s="129">
        <f>+K14+'19'!M14+L14</f>
        <v>7375</v>
      </c>
    </row>
    <row r="15" spans="1:15" ht="13.5" customHeight="1" thickBot="1">
      <c r="A15" s="1014" t="s">
        <v>486</v>
      </c>
      <c r="B15" s="177"/>
      <c r="C15" s="125"/>
      <c r="D15" s="126"/>
      <c r="E15" s="127"/>
      <c r="F15" s="239">
        <v>7</v>
      </c>
      <c r="G15" s="240" t="s">
        <v>12</v>
      </c>
      <c r="H15" s="241" t="s">
        <v>541</v>
      </c>
      <c r="I15" s="1017" t="s">
        <v>609</v>
      </c>
      <c r="J15" s="226" t="str">
        <f>+'19'!J15</f>
        <v>MG 14 VP HW</v>
      </c>
      <c r="K15" s="250"/>
      <c r="L15" s="250"/>
      <c r="M15" s="129">
        <f>+K15+'19'!M15+L15</f>
        <v>47118</v>
      </c>
    </row>
    <row r="16" spans="1:15" ht="13.5" thickBot="1">
      <c r="A16" s="1020"/>
      <c r="B16" s="227" t="s">
        <v>568</v>
      </c>
      <c r="C16" s="233">
        <v>18139</v>
      </c>
      <c r="D16" s="234">
        <v>295</v>
      </c>
      <c r="E16" s="235"/>
      <c r="F16" s="239">
        <v>5</v>
      </c>
      <c r="G16" s="243" t="s">
        <v>12</v>
      </c>
      <c r="H16" s="241" t="s">
        <v>570</v>
      </c>
      <c r="I16" s="1018"/>
      <c r="J16" s="226" t="str">
        <f>+'19'!J16</f>
        <v>F 12 VP OW</v>
      </c>
      <c r="K16" s="250">
        <f>+C34</f>
        <v>55263</v>
      </c>
      <c r="L16" s="240"/>
      <c r="M16" s="129">
        <f>+K16+'19'!M16+L16</f>
        <v>548817</v>
      </c>
    </row>
    <row r="17" spans="1:14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613</v>
      </c>
      <c r="I17" s="1018"/>
      <c r="J17" s="226" t="str">
        <f>+'19'!J17</f>
        <v>F 10,5 VP OW</v>
      </c>
      <c r="K17" s="250"/>
      <c r="L17" s="240"/>
      <c r="M17" s="129">
        <f>+K17+'19'!M17+L17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708</v>
      </c>
      <c r="I18" s="1018"/>
      <c r="J18" s="226" t="str">
        <f>+'19'!J18</f>
        <v>F 12,5 VP OW</v>
      </c>
      <c r="K18" s="250"/>
      <c r="L18" s="250"/>
      <c r="M18" s="129">
        <f>+K18+'19'!M18+L18</f>
        <v>16783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/>
      <c r="I19" s="1018"/>
      <c r="J19" s="226">
        <f>+'19'!J19</f>
        <v>0</v>
      </c>
      <c r="K19" s="250"/>
      <c r="L19" s="250"/>
      <c r="M19" s="129">
        <f>+K19+'19'!M19+L19</f>
        <v>0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+'19'!J20</f>
        <v>0</v>
      </c>
      <c r="K20" s="251"/>
      <c r="L20" s="251"/>
      <c r="M20" s="129">
        <f>+K20+'19'!M20+L20</f>
        <v>0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+'19'!J21</f>
        <v>0</v>
      </c>
      <c r="K21" s="251"/>
      <c r="L21" s="250"/>
      <c r="M21" s="129">
        <f>+K21+'19'!M21+L21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+'19'!J22</f>
        <v>0</v>
      </c>
      <c r="K22" s="251"/>
      <c r="L22" s="250"/>
      <c r="M22" s="129">
        <f>+K22+'19'!M22+L22</f>
        <v>0</v>
      </c>
    </row>
    <row r="23" spans="1:14" ht="13.5" thickBot="1">
      <c r="A23" s="1021"/>
      <c r="B23" s="180" t="s">
        <v>2</v>
      </c>
      <c r="C23" s="112">
        <f>SUM(C16:C22)</f>
        <v>18139</v>
      </c>
      <c r="D23" s="123">
        <f>SUM(D16:D22)</f>
        <v>295</v>
      </c>
      <c r="E23" s="124">
        <f>SUM(E18:E22)</f>
        <v>0</v>
      </c>
      <c r="F23" s="128">
        <f>SUM(F15:F22)</f>
        <v>22</v>
      </c>
      <c r="G23" s="171"/>
      <c r="H23" s="178" t="s">
        <v>237</v>
      </c>
      <c r="I23" s="181"/>
      <c r="J23" s="226">
        <f>+'19'!J23</f>
        <v>0</v>
      </c>
      <c r="K23" s="251"/>
      <c r="L23" s="250"/>
      <c r="M23" s="129">
        <f>+K23+'19'!M23+L23</f>
        <v>0</v>
      </c>
    </row>
    <row r="24" spans="1:14" ht="13.5" customHeight="1" thickBot="1">
      <c r="A24" s="1014" t="s">
        <v>466</v>
      </c>
      <c r="B24" s="182"/>
      <c r="C24" s="125"/>
      <c r="D24" s="126"/>
      <c r="E24" s="127"/>
      <c r="F24" s="247"/>
      <c r="G24" s="240" t="s">
        <v>12</v>
      </c>
      <c r="H24" s="241" t="s">
        <v>280</v>
      </c>
      <c r="I24" s="1017" t="s">
        <v>609</v>
      </c>
      <c r="J24" s="226">
        <f>+'19'!J24</f>
        <v>0</v>
      </c>
      <c r="K24" s="251"/>
      <c r="L24" s="250"/>
      <c r="M24" s="129">
        <f>+K24+'19'!M24+L24</f>
        <v>0</v>
      </c>
    </row>
    <row r="25" spans="1:14" ht="13.5" thickBot="1">
      <c r="A25" s="1020"/>
      <c r="B25" s="227" t="s">
        <v>568</v>
      </c>
      <c r="C25" s="237">
        <v>19076</v>
      </c>
      <c r="D25" s="229">
        <v>446</v>
      </c>
      <c r="E25" s="236"/>
      <c r="F25" s="242">
        <v>5</v>
      </c>
      <c r="G25" s="243" t="s">
        <v>12</v>
      </c>
      <c r="H25" s="241" t="s">
        <v>677</v>
      </c>
      <c r="I25" s="1018"/>
      <c r="J25" s="226">
        <f>+'19'!J25</f>
        <v>0</v>
      </c>
      <c r="K25" s="251"/>
      <c r="L25" s="250"/>
      <c r="M25" s="129">
        <f>+K25+'19'!M25+L25</f>
        <v>0</v>
      </c>
    </row>
    <row r="26" spans="1:14" ht="13.5" thickBot="1">
      <c r="A26" s="1020"/>
      <c r="B26" s="227"/>
      <c r="C26" s="237"/>
      <c r="D26" s="229"/>
      <c r="E26" s="238"/>
      <c r="F26" s="242">
        <v>10</v>
      </c>
      <c r="G26" s="243" t="s">
        <v>12</v>
      </c>
      <c r="H26" s="598" t="s">
        <v>435</v>
      </c>
      <c r="I26" s="1018"/>
      <c r="J26" s="226">
        <f>+'19'!J26</f>
        <v>0</v>
      </c>
      <c r="K26" s="251"/>
      <c r="L26" s="250"/>
      <c r="M26" s="129">
        <f>+K26+'19'!M26+L26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708</v>
      </c>
      <c r="I27" s="1018"/>
      <c r="J27" s="226">
        <f>+'19'!J27</f>
        <v>0</v>
      </c>
      <c r="K27" s="250"/>
      <c r="L27" s="250"/>
      <c r="M27" s="129">
        <f>+K27+'19'!M27+L27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/>
      <c r="I28" s="1018"/>
      <c r="J28" s="226">
        <f>+'19'!J28</f>
        <v>0</v>
      </c>
      <c r="K28" s="250"/>
      <c r="L28" s="250"/>
      <c r="M28" s="129">
        <f>+K28+'19'!M28+L28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+'19'!J29</f>
        <v>0</v>
      </c>
      <c r="K29" s="250"/>
      <c r="L29" s="250"/>
      <c r="M29" s="129">
        <f>+K29+'19'!M29+L29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+'19'!J30</f>
        <v>0</v>
      </c>
      <c r="K30" s="250"/>
      <c r="L30" s="250"/>
      <c r="M30" s="129">
        <f>+K30+'19'!M30+L30</f>
        <v>0</v>
      </c>
      <c r="N30" s="167"/>
    </row>
    <row r="31" spans="1:14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+'19'!J31</f>
        <v>0</v>
      </c>
      <c r="K31" s="250"/>
      <c r="L31" s="250"/>
      <c r="M31" s="129">
        <f>+K31+'19'!M31+L31</f>
        <v>0</v>
      </c>
    </row>
    <row r="32" spans="1:14" ht="13.5" thickBot="1">
      <c r="A32" s="1021"/>
      <c r="B32" s="177" t="s">
        <v>2</v>
      </c>
      <c r="C32" s="111">
        <f>SUM(C25:C31)</f>
        <v>19076</v>
      </c>
      <c r="D32" s="112">
        <f>SUM(D25:D31)</f>
        <v>446</v>
      </c>
      <c r="E32" s="113">
        <f>SUM(E25:E31)</f>
        <v>0</v>
      </c>
      <c r="F32" s="114">
        <f>SUM(F24:F31)</f>
        <v>15</v>
      </c>
      <c r="G32" s="183"/>
      <c r="H32" s="184"/>
      <c r="I32" s="181"/>
      <c r="J32" s="226">
        <f>+'19'!J32</f>
        <v>0</v>
      </c>
      <c r="K32" s="252"/>
      <c r="L32" s="254"/>
      <c r="M32" s="129">
        <f>+K32+'19'!M32+L32</f>
        <v>0</v>
      </c>
    </row>
    <row r="33" spans="1:14" ht="13.5" thickBot="1">
      <c r="A33" s="185"/>
      <c r="B33" s="186"/>
      <c r="C33" s="115">
        <f>C32/($C$32+$D$32+$E$32)</f>
        <v>0.97715398012498722</v>
      </c>
      <c r="D33" s="116">
        <f>D32/($C$32+$D$32+$E$32)</f>
        <v>2.2846019875012807E-2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55263</v>
      </c>
      <c r="D34" s="119">
        <f>D14+D23+D32</f>
        <v>964</v>
      </c>
      <c r="E34" s="119">
        <f>E14+E23+E32</f>
        <v>0</v>
      </c>
      <c r="F34" s="120">
        <f>F14+F23+F32</f>
        <v>65</v>
      </c>
      <c r="H34" s="190"/>
      <c r="I34" s="190"/>
      <c r="J34" s="135" t="s">
        <v>28</v>
      </c>
      <c r="K34" s="136">
        <f>SUM(K7:K32)</f>
        <v>55263</v>
      </c>
      <c r="L34" s="224">
        <f>SUM(L7:L32)</f>
        <v>0</v>
      </c>
      <c r="M34" s="132">
        <f>SUM(M7:M32)</f>
        <v>1114397</v>
      </c>
      <c r="N34" s="167"/>
    </row>
    <row r="35" spans="1:14" ht="13.5" thickBot="1">
      <c r="A35" s="191"/>
      <c r="B35" s="192"/>
      <c r="C35" s="116">
        <f>C34/($C$34+$D$34+$E$34)</f>
        <v>0.98285521190886938</v>
      </c>
      <c r="D35" s="116">
        <f>D34/($C$34+$D$34+$E$34)</f>
        <v>1.7144788091130597E-2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(12*1440)/1440*G42*2.77*1440/1000000</f>
        <v>60.993538560000005</v>
      </c>
      <c r="J37" s="137">
        <f>+I37+'19'!J37</f>
        <v>1262.9479701795849</v>
      </c>
      <c r="K37" s="138" t="s">
        <v>64</v>
      </c>
    </row>
    <row r="38" spans="1:14" ht="17.45" customHeight="1">
      <c r="A38" s="1012" t="s">
        <v>12</v>
      </c>
      <c r="B38" s="1013"/>
      <c r="C38" s="176">
        <f>SUMIF($G$7:$G$31,"Process",$F$7:$F$31)</f>
        <v>65</v>
      </c>
      <c r="D38" s="130">
        <f>+C38+'19'!D38</f>
        <v>1444</v>
      </c>
      <c r="E38" s="155">
        <f t="shared" ref="E38:E51" si="0">D38/60</f>
        <v>24.066666666666666</v>
      </c>
      <c r="F38" s="340">
        <v>1670</v>
      </c>
      <c r="G38" s="340">
        <f>+F38-F38*0.24</f>
        <v>1269.2</v>
      </c>
      <c r="H38" s="199" t="s">
        <v>65</v>
      </c>
      <c r="I38" s="553">
        <f>17.623+20.792+18.914</f>
        <v>57.329000000000008</v>
      </c>
      <c r="J38" s="139">
        <f>+I38+'19'!J38</f>
        <v>1169.473</v>
      </c>
      <c r="K38" s="140" t="s">
        <v>64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+C39+'19'!D39</f>
        <v>0</v>
      </c>
      <c r="E39" s="155">
        <f t="shared" si="0"/>
        <v>0</v>
      </c>
      <c r="F39" s="340">
        <v>1680</v>
      </c>
      <c r="G39" s="340">
        <f>+F39-F39*0.24</f>
        <v>1276.8</v>
      </c>
      <c r="H39" s="199" t="s">
        <v>66</v>
      </c>
      <c r="I39" s="154"/>
      <c r="J39" s="141">
        <f>J37/G4</f>
        <v>63.147398508979244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+C40+'19'!D40</f>
        <v>0</v>
      </c>
      <c r="E40" s="155">
        <f t="shared" si="0"/>
        <v>0</v>
      </c>
      <c r="F40" s="340">
        <v>1680</v>
      </c>
      <c r="G40" s="340">
        <f>+F40-F40*0.24</f>
        <v>1276.8</v>
      </c>
      <c r="H40" s="199" t="s">
        <v>68</v>
      </c>
      <c r="I40" s="130">
        <f>(K34+L34)/1000</f>
        <v>55.262999999999998</v>
      </c>
      <c r="J40" s="143">
        <f>+I40+'19'!J40</f>
        <v>1114.3969999999997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+C41+'19'!D41</f>
        <v>202</v>
      </c>
      <c r="E41" s="155">
        <f t="shared" si="0"/>
        <v>3.3666666666666667</v>
      </c>
      <c r="F41" s="340"/>
      <c r="G41" s="340"/>
      <c r="H41" s="199" t="s">
        <v>70</v>
      </c>
      <c r="I41" s="154"/>
      <c r="J41" s="141">
        <f>J40/G4</f>
        <v>55.719849999999987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+C42+'19'!D42</f>
        <v>0</v>
      </c>
      <c r="E42" s="155">
        <f t="shared" si="0"/>
        <v>0</v>
      </c>
      <c r="F42" s="340">
        <f>+(F38*480+F39*480+F40*480)/1440</f>
        <v>1676.6666666666667</v>
      </c>
      <c r="G42" s="340">
        <f>+(G38*480+G39*480+G40*480)/1440</f>
        <v>1274.2666666666667</v>
      </c>
      <c r="H42" s="199" t="s">
        <v>71</v>
      </c>
      <c r="I42" s="257" t="s">
        <v>709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+C43+'19'!D43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+Report1!T28</f>
        <v>117.47800000000001</v>
      </c>
      <c r="J43" s="145">
        <f>+I43+'19'!J43</f>
        <v>2532.7040000000002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+C44+'19'!D44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2.0491897643426538</v>
      </c>
      <c r="J44" s="146">
        <f>J43/J38</f>
        <v>2.1656797548981466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+C45+'19'!D45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2.1257984546622515</v>
      </c>
      <c r="J45" s="146">
        <f>J43/J40</f>
        <v>2.2727125073021561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+C46+'19'!D46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+SUMIF(Listrik!AR27,"&gt;0")</f>
        <v>56795.219999999295</v>
      </c>
      <c r="J46" s="147">
        <f>+I46+'19'!J46</f>
        <v>1093167.459999999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+C47+'19'!D47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990.68917999615007</v>
      </c>
      <c r="J47" s="147">
        <f>J46/J38</f>
        <v>934.75220035007146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+C48+'19'!D48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1027.7259649313157</v>
      </c>
      <c r="J48" s="147">
        <f>J46/J40</f>
        <v>980.94975130047851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+C49+'19'!D49</f>
        <v>878</v>
      </c>
      <c r="E49" s="155">
        <f t="shared" si="0"/>
        <v>14.633333333333333</v>
      </c>
      <c r="F49" s="197"/>
      <c r="H49" s="200" t="s">
        <v>83</v>
      </c>
      <c r="I49" s="130">
        <v>0</v>
      </c>
      <c r="J49" s="147">
        <f>+I49+'19'!J49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+C50+'19'!D50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+C51+'19'!D51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65</v>
      </c>
      <c r="D52" s="156">
        <f>SUM(D38:D51)</f>
        <v>2524</v>
      </c>
      <c r="E52" s="157">
        <f>SUM(E38:E51)</f>
        <v>42.066666666666663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4.5138888888888888E-2</v>
      </c>
      <c r="D53" s="158">
        <f>D52/(24*60*G4)</f>
        <v>8.7638888888888891E-2</v>
      </c>
      <c r="E53" s="159">
        <f>E52/(G4*24)</f>
        <v>8.7638888888888877E-2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+D34+'19'!J56</f>
        <v>24199</v>
      </c>
      <c r="K56" s="213">
        <f>J56/(J40+J56/1000)/1000</f>
        <v>2.125336818327133E-2</v>
      </c>
    </row>
    <row r="57" spans="1:11">
      <c r="A57" s="188"/>
      <c r="I57" s="211" t="s">
        <v>90</v>
      </c>
      <c r="J57" s="212">
        <f>+E34+'19'!J57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1" type="noConversion"/>
  <printOptions horizontalCentered="1"/>
  <pageMargins left="0.74791666666666667" right="0.74791666666666667" top="0.39027777777777778" bottom="0.59027777777777779" header="0" footer="0"/>
  <pageSetup paperSize="9" scale="61" firstPageNumber="4294963191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8.7109375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9.42578125" style="161" bestFit="1" customWidth="1"/>
    <col min="11" max="11" width="12.5703125" style="161" bestFit="1" customWidth="1"/>
    <col min="12" max="12" width="8.28515625" style="161" customWidth="1"/>
    <col min="13" max="13" width="14.1406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19</v>
      </c>
      <c r="H4" s="166" t="str">
        <f>+'1'!H4</f>
        <v>.10.25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231+204+210</f>
        <v>645</v>
      </c>
    </row>
    <row r="7" spans="1:15" ht="13.5" customHeight="1" thickBot="1">
      <c r="A7" s="1014" t="s">
        <v>542</v>
      </c>
      <c r="B7" s="227" t="s">
        <v>568</v>
      </c>
      <c r="C7" s="228">
        <v>17713</v>
      </c>
      <c r="D7" s="229">
        <v>543</v>
      </c>
      <c r="E7" s="230"/>
      <c r="F7" s="239">
        <v>20</v>
      </c>
      <c r="G7" s="240" t="s">
        <v>12</v>
      </c>
      <c r="H7" s="241" t="s">
        <v>540</v>
      </c>
      <c r="I7" s="1017" t="s">
        <v>651</v>
      </c>
      <c r="J7" s="226" t="str">
        <f>+'18'!J7</f>
        <v>F 13 VP OW</v>
      </c>
      <c r="K7" s="249"/>
      <c r="L7" s="253"/>
      <c r="M7" s="129">
        <f>+K7+'18'!M7+L7</f>
        <v>86489</v>
      </c>
    </row>
    <row r="8" spans="1:15" ht="13.5" thickBot="1">
      <c r="A8" s="1015"/>
      <c r="B8" s="227"/>
      <c r="C8" s="228"/>
      <c r="D8" s="229"/>
      <c r="E8" s="231"/>
      <c r="F8" s="242">
        <v>9</v>
      </c>
      <c r="G8" s="243" t="s">
        <v>12</v>
      </c>
      <c r="H8" s="241" t="s">
        <v>586</v>
      </c>
      <c r="I8" s="1018"/>
      <c r="J8" s="226" t="str">
        <f>+'18'!J8</f>
        <v>F 10,3 VP OW</v>
      </c>
      <c r="K8" s="250"/>
      <c r="L8" s="250"/>
      <c r="M8" s="129">
        <f>+K8+'18'!M8+L8</f>
        <v>53369</v>
      </c>
      <c r="N8" s="161">
        <v>1660</v>
      </c>
      <c r="O8" s="161">
        <f>+N8-N8*0.24</f>
        <v>1261.5999999999999</v>
      </c>
    </row>
    <row r="9" spans="1:15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422</v>
      </c>
      <c r="I9" s="1018"/>
      <c r="J9" s="226" t="str">
        <f>+'18'!J9</f>
        <v>SN 15 VP OW</v>
      </c>
      <c r="K9" s="250"/>
      <c r="L9" s="250"/>
      <c r="M9" s="129">
        <f>+K9+'18'!M9+L9</f>
        <v>2504</v>
      </c>
      <c r="N9" s="161">
        <v>1670</v>
      </c>
      <c r="O9" s="161">
        <f>+N9-N9*0.24</f>
        <v>1269.2</v>
      </c>
    </row>
    <row r="10" spans="1:15" ht="13.5" thickBot="1">
      <c r="A10" s="1015"/>
      <c r="B10" s="227"/>
      <c r="C10" s="228"/>
      <c r="D10" s="229"/>
      <c r="E10" s="231"/>
      <c r="F10" s="239"/>
      <c r="G10" s="243"/>
      <c r="H10" s="598" t="s">
        <v>697</v>
      </c>
      <c r="I10" s="1018"/>
      <c r="J10" s="226" t="str">
        <f>+'18'!J10</f>
        <v>MG 15,5 VP OW</v>
      </c>
      <c r="K10" s="250"/>
      <c r="L10" s="250"/>
      <c r="M10" s="129">
        <f>+K10+'18'!M10+L10</f>
        <v>62505</v>
      </c>
      <c r="N10" s="161">
        <v>1670</v>
      </c>
      <c r="O10" s="161">
        <f>+N10-N10*0.24</f>
        <v>1269.2</v>
      </c>
    </row>
    <row r="11" spans="1:15" ht="13.5" thickBot="1">
      <c r="A11" s="1015"/>
      <c r="B11" s="227"/>
      <c r="C11" s="228"/>
      <c r="D11" s="229"/>
      <c r="E11" s="231"/>
      <c r="F11" s="239"/>
      <c r="G11" s="243"/>
      <c r="H11" s="244" t="s">
        <v>698</v>
      </c>
      <c r="I11" s="1018"/>
      <c r="J11" s="226" t="str">
        <f>+'18'!J11</f>
        <v>MG 16,5 VP OW</v>
      </c>
      <c r="K11" s="250"/>
      <c r="L11" s="250"/>
      <c r="M11" s="129">
        <f>+K11+'18'!M11+L11</f>
        <v>37635</v>
      </c>
    </row>
    <row r="12" spans="1:15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+'18'!J12</f>
        <v>MG 21 VP OW</v>
      </c>
      <c r="K12" s="250"/>
      <c r="L12" s="250"/>
      <c r="M12" s="129">
        <f>+K12+'18'!M12+L12</f>
        <v>206161</v>
      </c>
    </row>
    <row r="13" spans="1:15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+'18'!J13</f>
        <v>MG 22 VP HW</v>
      </c>
      <c r="K13" s="250"/>
      <c r="L13" s="250"/>
      <c r="M13" s="129">
        <f>+K13+'18'!M13+L13</f>
        <v>10130</v>
      </c>
    </row>
    <row r="14" spans="1:15" ht="13.5" thickBot="1">
      <c r="A14" s="1016"/>
      <c r="B14" s="177" t="s">
        <v>2</v>
      </c>
      <c r="C14" s="111">
        <f>SUM(C7:C13)</f>
        <v>17713</v>
      </c>
      <c r="D14" s="123">
        <f>SUM(D7:D13)</f>
        <v>543</v>
      </c>
      <c r="E14" s="124">
        <f>SUM(E5:E13)</f>
        <v>0</v>
      </c>
      <c r="F14" s="128">
        <f>SUM(F7:F13)</f>
        <v>39</v>
      </c>
      <c r="G14" s="171"/>
      <c r="H14" s="178"/>
      <c r="I14" s="179"/>
      <c r="J14" s="226" t="str">
        <f>+'18'!J14</f>
        <v>MG 17 VP HW/OW</v>
      </c>
      <c r="K14" s="250"/>
      <c r="L14" s="250"/>
      <c r="M14" s="129">
        <f>+K14+'18'!M14+L14</f>
        <v>7375</v>
      </c>
    </row>
    <row r="15" spans="1:15" ht="13.5" customHeight="1" thickBot="1">
      <c r="A15" s="1014" t="s">
        <v>486</v>
      </c>
      <c r="B15" s="177"/>
      <c r="C15" s="125"/>
      <c r="D15" s="126"/>
      <c r="E15" s="127"/>
      <c r="F15" s="239">
        <v>15</v>
      </c>
      <c r="G15" s="240" t="s">
        <v>12</v>
      </c>
      <c r="H15" s="241" t="s">
        <v>614</v>
      </c>
      <c r="I15" s="1017" t="s">
        <v>652</v>
      </c>
      <c r="J15" s="226" t="str">
        <f>+'18'!J15</f>
        <v>MG 14 VP HW</v>
      </c>
      <c r="K15" s="250"/>
      <c r="L15" s="250"/>
      <c r="M15" s="129">
        <f>+K15+'18'!M15+L15</f>
        <v>47118</v>
      </c>
    </row>
    <row r="16" spans="1:15" ht="13.5" thickBot="1">
      <c r="A16" s="1020"/>
      <c r="B16" s="227" t="s">
        <v>568</v>
      </c>
      <c r="C16" s="233">
        <v>16566</v>
      </c>
      <c r="D16" s="234"/>
      <c r="E16" s="235"/>
      <c r="F16" s="239">
        <v>5</v>
      </c>
      <c r="G16" s="243" t="s">
        <v>12</v>
      </c>
      <c r="H16" s="241" t="s">
        <v>570</v>
      </c>
      <c r="I16" s="1018"/>
      <c r="J16" s="226" t="str">
        <f>+'18'!J16</f>
        <v>F 12 VP OW</v>
      </c>
      <c r="K16" s="250">
        <f>+C34</f>
        <v>53927</v>
      </c>
      <c r="L16" s="240"/>
      <c r="M16" s="129">
        <f>+K16+'18'!M16+L16</f>
        <v>493554</v>
      </c>
    </row>
    <row r="17" spans="1:14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435</v>
      </c>
      <c r="I17" s="1018"/>
      <c r="J17" s="226" t="str">
        <f>+'18'!J17</f>
        <v>F 10,5 VP OW</v>
      </c>
      <c r="K17" s="250"/>
      <c r="L17" s="240"/>
      <c r="M17" s="129">
        <f>+K17+'18'!M17+L17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699</v>
      </c>
      <c r="I18" s="1018"/>
      <c r="J18" s="226" t="str">
        <f>+'18'!J18</f>
        <v>F 12,5 VP OW</v>
      </c>
      <c r="K18" s="250"/>
      <c r="L18" s="250"/>
      <c r="M18" s="129">
        <f>+K18+'18'!M18+L18</f>
        <v>16783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 t="s">
        <v>698</v>
      </c>
      <c r="I19" s="1018"/>
      <c r="J19" s="226">
        <f>+'18'!J19</f>
        <v>0</v>
      </c>
      <c r="K19" s="250"/>
      <c r="L19" s="250"/>
      <c r="M19" s="129">
        <f>+K19+'18'!M19+L19</f>
        <v>0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+'18'!J20</f>
        <v>0</v>
      </c>
      <c r="K20" s="250"/>
      <c r="L20" s="251"/>
      <c r="M20" s="129">
        <f>+K20+'18'!M20+L20</f>
        <v>0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+'18'!J21</f>
        <v>0</v>
      </c>
      <c r="K21" s="250"/>
      <c r="L21" s="250"/>
      <c r="M21" s="129">
        <f>+K21+'18'!M21+L21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+'18'!J22</f>
        <v>0</v>
      </c>
      <c r="K22" s="250"/>
      <c r="L22" s="250"/>
      <c r="M22" s="129">
        <f>+K22+'18'!M22+L22</f>
        <v>0</v>
      </c>
    </row>
    <row r="23" spans="1:14" ht="13.5" thickBot="1">
      <c r="A23" s="1021"/>
      <c r="B23" s="180" t="s">
        <v>2</v>
      </c>
      <c r="C23" s="112">
        <f>SUM(C16:C22)</f>
        <v>16566</v>
      </c>
      <c r="D23" s="123">
        <f>SUM(D16:D22)</f>
        <v>0</v>
      </c>
      <c r="E23" s="124">
        <f>SUM(E18:E22)</f>
        <v>0</v>
      </c>
      <c r="F23" s="128">
        <f>SUM(F15:F22)</f>
        <v>30</v>
      </c>
      <c r="G23" s="171"/>
      <c r="H23" s="178" t="s">
        <v>237</v>
      </c>
      <c r="I23" s="181"/>
      <c r="J23" s="226">
        <f>+'18'!J23</f>
        <v>0</v>
      </c>
      <c r="K23" s="250"/>
      <c r="L23" s="250"/>
      <c r="M23" s="129">
        <f>+K23+'18'!M23+L23</f>
        <v>0</v>
      </c>
    </row>
    <row r="24" spans="1:14" ht="13.5" customHeight="1" thickBot="1">
      <c r="A24" s="1014" t="s">
        <v>466</v>
      </c>
      <c r="B24" s="182"/>
      <c r="C24" s="125"/>
      <c r="D24" s="126"/>
      <c r="E24" s="127"/>
      <c r="F24" s="247">
        <v>10</v>
      </c>
      <c r="G24" s="240" t="s">
        <v>12</v>
      </c>
      <c r="H24" s="241" t="s">
        <v>571</v>
      </c>
      <c r="I24" s="1017" t="s">
        <v>652</v>
      </c>
      <c r="J24" s="226">
        <f>+'18'!J24</f>
        <v>0</v>
      </c>
      <c r="K24" s="250"/>
      <c r="L24" s="250"/>
      <c r="M24" s="129">
        <f>+K24+'18'!M24+L24</f>
        <v>0</v>
      </c>
    </row>
    <row r="25" spans="1:14" ht="13.5" thickBot="1">
      <c r="A25" s="1020"/>
      <c r="B25" s="227" t="s">
        <v>568</v>
      </c>
      <c r="C25" s="237">
        <v>19648</v>
      </c>
      <c r="D25" s="229"/>
      <c r="E25" s="236"/>
      <c r="F25" s="242">
        <v>5</v>
      </c>
      <c r="G25" s="243" t="s">
        <v>12</v>
      </c>
      <c r="H25" s="241" t="s">
        <v>570</v>
      </c>
      <c r="I25" s="1018"/>
      <c r="J25" s="226">
        <f>+'18'!J25</f>
        <v>0</v>
      </c>
      <c r="K25" s="250"/>
      <c r="L25" s="250"/>
      <c r="M25" s="129">
        <f>+K25+'18'!M25+L25</f>
        <v>0</v>
      </c>
    </row>
    <row r="26" spans="1:14" ht="13.5" thickBot="1">
      <c r="A26" s="1020"/>
      <c r="B26" s="227"/>
      <c r="C26" s="237"/>
      <c r="D26" s="229"/>
      <c r="E26" s="238"/>
      <c r="F26" s="242">
        <v>7</v>
      </c>
      <c r="G26" s="243" t="s">
        <v>12</v>
      </c>
      <c r="H26" s="598" t="s">
        <v>482</v>
      </c>
      <c r="I26" s="1018"/>
      <c r="J26" s="226">
        <f>+'18'!J26</f>
        <v>0</v>
      </c>
      <c r="K26" s="250"/>
      <c r="L26" s="250"/>
      <c r="M26" s="129">
        <f>+K26+'18'!M26+L26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699</v>
      </c>
      <c r="I27" s="1018"/>
      <c r="J27" s="226">
        <f>+'18'!J27</f>
        <v>0</v>
      </c>
      <c r="K27" s="250"/>
      <c r="L27" s="250"/>
      <c r="M27" s="129">
        <f>+K27+'18'!M27+L27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/>
      <c r="I28" s="1018"/>
      <c r="J28" s="226">
        <f>+'18'!J28</f>
        <v>0</v>
      </c>
      <c r="K28" s="250"/>
      <c r="L28" s="250"/>
      <c r="M28" s="129">
        <f>+K28+'18'!M28+L28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+'18'!J29</f>
        <v>0</v>
      </c>
      <c r="K29" s="250"/>
      <c r="L29" s="250"/>
      <c r="M29" s="129">
        <f>+K29+'18'!M29+L29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+'18'!J30</f>
        <v>0</v>
      </c>
      <c r="K30" s="250"/>
      <c r="L30" s="250"/>
      <c r="M30" s="129">
        <f>+K30+'18'!M30+L30</f>
        <v>0</v>
      </c>
    </row>
    <row r="31" spans="1:14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+'18'!J31</f>
        <v>0</v>
      </c>
      <c r="K31" s="250"/>
      <c r="L31" s="250"/>
      <c r="M31" s="129">
        <f>+K31+'18'!M31+L31</f>
        <v>0</v>
      </c>
      <c r="N31" s="167"/>
    </row>
    <row r="32" spans="1:14" ht="13.5" thickBot="1">
      <c r="A32" s="1021"/>
      <c r="B32" s="177" t="s">
        <v>2</v>
      </c>
      <c r="C32" s="111">
        <f>SUM(C25:C31)</f>
        <v>19648</v>
      </c>
      <c r="D32" s="112">
        <f>SUM(D25:D31)</f>
        <v>0</v>
      </c>
      <c r="E32" s="113">
        <f>SUM(E25:E31)</f>
        <v>0</v>
      </c>
      <c r="F32" s="114">
        <f>SUM(F24:F31)</f>
        <v>22</v>
      </c>
      <c r="G32" s="183"/>
      <c r="H32" s="184"/>
      <c r="I32" s="181"/>
      <c r="J32" s="226">
        <f>+'18'!J32</f>
        <v>0</v>
      </c>
      <c r="K32" s="252"/>
      <c r="L32" s="254"/>
      <c r="M32" s="129">
        <f>+K32+'18'!M32+L32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53927</v>
      </c>
      <c r="D34" s="119">
        <f>D14+D23+D32</f>
        <v>543</v>
      </c>
      <c r="E34" s="119">
        <f>E14+E23+E32</f>
        <v>0</v>
      </c>
      <c r="F34" s="120">
        <f>F14+F23+F32</f>
        <v>91</v>
      </c>
      <c r="H34" s="190"/>
      <c r="I34" s="190"/>
      <c r="J34" s="135" t="s">
        <v>28</v>
      </c>
      <c r="K34" s="136">
        <f>SUM(K7:K32)</f>
        <v>53927</v>
      </c>
      <c r="L34" s="224">
        <f>SUM(L7:L32)</f>
        <v>0</v>
      </c>
      <c r="M34" s="132">
        <f>SUM(M7:M32)</f>
        <v>1059134</v>
      </c>
    </row>
    <row r="35" spans="1:14" ht="13.5" thickBot="1">
      <c r="A35" s="191"/>
      <c r="B35" s="192"/>
      <c r="C35" s="116">
        <f>C34/($C$34+$D$34+$E$34)</f>
        <v>0.99003120984027904</v>
      </c>
      <c r="D35" s="116">
        <f>D34/($C$34+$D$34+$E$34)</f>
        <v>9.9687901597209465E-3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(12*1440)/1440*G42*2.77*1440/1000000</f>
        <v>60.641742166007901</v>
      </c>
      <c r="J37" s="137">
        <f>+I37+'18'!J37</f>
        <v>1201.954431619585</v>
      </c>
      <c r="K37" s="138" t="s">
        <v>64</v>
      </c>
      <c r="L37" s="566"/>
    </row>
    <row r="38" spans="1:14" ht="17.45" customHeight="1">
      <c r="A38" s="1012" t="s">
        <v>12</v>
      </c>
      <c r="B38" s="1013"/>
      <c r="C38" s="176">
        <f>SUMIF($G$7:$G$31,"Process",$F$7:$F$31)</f>
        <v>91</v>
      </c>
      <c r="D38" s="130">
        <f>+C38+'18'!D38</f>
        <v>1379</v>
      </c>
      <c r="E38" s="155">
        <f t="shared" ref="E38:E51" si="0">D38/60</f>
        <v>22.983333333333334</v>
      </c>
      <c r="F38" s="340">
        <v>1660</v>
      </c>
      <c r="G38" s="340">
        <f>+F38-F38*0.24</f>
        <v>1261.5999999999999</v>
      </c>
      <c r="H38" s="199" t="s">
        <v>65</v>
      </c>
      <c r="I38" s="256">
        <f>17.924+19.164+18.993</f>
        <v>56.081000000000003</v>
      </c>
      <c r="J38" s="139">
        <f>+I38+'18'!J38</f>
        <v>1112.144</v>
      </c>
      <c r="K38" s="140" t="s">
        <v>64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+C39+'18'!D39</f>
        <v>0</v>
      </c>
      <c r="E39" s="155">
        <f t="shared" si="0"/>
        <v>0</v>
      </c>
      <c r="F39" s="340">
        <v>1670</v>
      </c>
      <c r="G39" s="340">
        <f>+F39-F39*0.24</f>
        <v>1269.2</v>
      </c>
      <c r="H39" s="199" t="s">
        <v>66</v>
      </c>
      <c r="I39" s="154"/>
      <c r="J39" s="141">
        <f>J37/G4</f>
        <v>63.260759558925521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+C40+'18'!D40</f>
        <v>0</v>
      </c>
      <c r="E40" s="155">
        <f t="shared" si="0"/>
        <v>0</v>
      </c>
      <c r="F40" s="340">
        <v>1670</v>
      </c>
      <c r="G40" s="340">
        <f>+F40-F40*0.24</f>
        <v>1269.2</v>
      </c>
      <c r="H40" s="199" t="s">
        <v>68</v>
      </c>
      <c r="I40" s="130">
        <f>(K34+L34)/1000</f>
        <v>53.927</v>
      </c>
      <c r="J40" s="143">
        <f>+I40+'18'!J40</f>
        <v>1059.1339999999998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+C41+'18'!D41</f>
        <v>202</v>
      </c>
      <c r="E41" s="155">
        <f t="shared" si="0"/>
        <v>3.3666666666666667</v>
      </c>
      <c r="F41" s="340"/>
      <c r="G41" s="340"/>
      <c r="H41" s="199" t="s">
        <v>70</v>
      </c>
      <c r="I41" s="154"/>
      <c r="J41" s="141">
        <f>J40/G4</f>
        <v>55.743894736842094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+C42+'18'!D42</f>
        <v>0</v>
      </c>
      <c r="E42" s="155">
        <f t="shared" si="0"/>
        <v>0</v>
      </c>
      <c r="F42" s="340">
        <f>+(F38*380+F39*405+F40*480)/1265</f>
        <v>1666.99604743083</v>
      </c>
      <c r="G42" s="340">
        <f>+(G38*380+G39*405+G40*480)/1265</f>
        <v>1266.9169960474308</v>
      </c>
      <c r="H42" s="199" t="s">
        <v>71</v>
      </c>
      <c r="I42" s="257" t="s">
        <v>702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+C43+'18'!D43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+Report1!T27</f>
        <v>116.164</v>
      </c>
      <c r="J43" s="145">
        <f>+I43+'18'!J43</f>
        <v>2415.2260000000001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+C44+'18'!D44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2.0713610670280485</v>
      </c>
      <c r="J44" s="146">
        <f>J43/J38</f>
        <v>2.1716846019939866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+C45+'18'!D45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2.1540972054814844</v>
      </c>
      <c r="J45" s="146">
        <f>J43/J40</f>
        <v>2.2803781202378555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+C46+'18'!D46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+SUMIF(Listrik!AR26,"&gt;0")</f>
        <v>59946.579999999296</v>
      </c>
      <c r="J46" s="147">
        <f>+I46+'18'!J46</f>
        <v>1036372.2399999998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+C47+'18'!D47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1068.9285141135017</v>
      </c>
      <c r="J47" s="147">
        <f>J46/J38</f>
        <v>931.86875080924744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+C48+'18'!D48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1111.6246036308212</v>
      </c>
      <c r="J48" s="147">
        <f>J46/J40</f>
        <v>978.50908383641729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+C49+'18'!D49</f>
        <v>878</v>
      </c>
      <c r="E49" s="155">
        <f t="shared" si="0"/>
        <v>14.633333333333333</v>
      </c>
      <c r="F49" s="197"/>
      <c r="H49" s="200" t="s">
        <v>83</v>
      </c>
      <c r="I49" s="130">
        <v>0</v>
      </c>
      <c r="J49" s="147">
        <f>+I49+'18'!J49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+C50+'18'!D50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+C51+'18'!D51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91</v>
      </c>
      <c r="D52" s="156">
        <f>SUM(D38:D51)</f>
        <v>2459</v>
      </c>
      <c r="E52" s="157">
        <f>SUM(E38:E51)</f>
        <v>40.983333333333334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6.3194444444444442E-2</v>
      </c>
      <c r="D53" s="158">
        <f>D52/(24*60*G4)</f>
        <v>8.9875730994152053E-2</v>
      </c>
      <c r="E53" s="159">
        <f>E52/(G4*24)</f>
        <v>8.9875730994152053E-2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+D34+'18'!J56</f>
        <v>23235</v>
      </c>
      <c r="K56" s="213">
        <f>J56/(J40+J56/1000)/1000</f>
        <v>2.1466801063223361E-2</v>
      </c>
    </row>
    <row r="57" spans="1:11">
      <c r="A57" s="188"/>
      <c r="I57" s="211" t="s">
        <v>90</v>
      </c>
      <c r="J57" s="212">
        <f>+E34+'18'!J57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80" zoomScaleNormal="80" workbookViewId="0">
      <selection activeCell="D26" sqref="D26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2.28515625" style="161" customWidth="1"/>
    <col min="8" max="8" width="64.85546875" style="161" customWidth="1"/>
    <col min="9" max="9" width="14.7109375" style="161" bestFit="1" customWidth="1"/>
    <col min="10" max="10" width="19.42578125" style="161" bestFit="1" customWidth="1"/>
    <col min="11" max="11" width="12.5703125" style="161" bestFit="1" customWidth="1"/>
    <col min="12" max="12" width="8.28515625" style="161" customWidth="1"/>
    <col min="13" max="13" width="15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18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251+210+195</f>
        <v>656</v>
      </c>
    </row>
    <row r="7" spans="1:18" ht="13.5" customHeight="1" thickBot="1">
      <c r="A7" s="1014" t="s">
        <v>542</v>
      </c>
      <c r="B7" s="227" t="s">
        <v>460</v>
      </c>
      <c r="C7" s="228">
        <v>17464</v>
      </c>
      <c r="D7" s="229">
        <v>250</v>
      </c>
      <c r="E7" s="230"/>
      <c r="F7" s="239"/>
      <c r="G7" s="240" t="s">
        <v>12</v>
      </c>
      <c r="H7" s="241" t="s">
        <v>280</v>
      </c>
      <c r="I7" s="1017" t="s">
        <v>700</v>
      </c>
      <c r="J7" s="226" t="str">
        <f>+'17'!J7</f>
        <v>F 13 VP OW</v>
      </c>
      <c r="K7" s="249">
        <f>+C7+C16</f>
        <v>19631</v>
      </c>
      <c r="L7" s="253"/>
      <c r="M7" s="129">
        <f>+K7+'17'!M7+L7</f>
        <v>86489</v>
      </c>
    </row>
    <row r="8" spans="1:18" ht="13.5" thickBot="1">
      <c r="A8" s="1015"/>
      <c r="B8" s="227"/>
      <c r="C8" s="228"/>
      <c r="D8" s="229"/>
      <c r="E8" s="231"/>
      <c r="F8" s="242">
        <v>6</v>
      </c>
      <c r="G8" s="243" t="s">
        <v>12</v>
      </c>
      <c r="H8" s="241" t="s">
        <v>456</v>
      </c>
      <c r="I8" s="1018"/>
      <c r="J8" s="226" t="str">
        <f>+'17'!J8</f>
        <v>F 10,3 VP OW</v>
      </c>
      <c r="K8" s="250"/>
      <c r="L8" s="250"/>
      <c r="M8" s="129">
        <f>+K8+'17'!M8+L8</f>
        <v>53369</v>
      </c>
      <c r="N8" s="161">
        <v>1690</v>
      </c>
      <c r="O8" s="161">
        <f>+N8-N8*0.24</f>
        <v>1284.4000000000001</v>
      </c>
      <c r="P8" s="161">
        <v>360</v>
      </c>
      <c r="Q8" s="161">
        <f>+N8*P8</f>
        <v>608400</v>
      </c>
      <c r="R8" s="161">
        <f>+O8*P8</f>
        <v>462384.00000000006</v>
      </c>
    </row>
    <row r="9" spans="1:18" ht="13.5" thickBot="1">
      <c r="A9" s="1015"/>
      <c r="B9" s="227"/>
      <c r="C9" s="228"/>
      <c r="D9" s="229"/>
      <c r="E9" s="232"/>
      <c r="F9" s="239">
        <v>13</v>
      </c>
      <c r="G9" s="243" t="s">
        <v>12</v>
      </c>
      <c r="H9" s="598" t="s">
        <v>664</v>
      </c>
      <c r="I9" s="1018"/>
      <c r="J9" s="226" t="str">
        <f>+'17'!J9</f>
        <v>SN 15 VP OW</v>
      </c>
      <c r="K9" s="250"/>
      <c r="L9" s="250"/>
      <c r="M9" s="129">
        <f>+K9+'17'!M9+L9</f>
        <v>2504</v>
      </c>
      <c r="N9" s="161">
        <v>1660</v>
      </c>
      <c r="O9" s="161">
        <f>+N9-N9*0.24</f>
        <v>1261.5999999999999</v>
      </c>
      <c r="P9" s="161">
        <f>480-P8</f>
        <v>120</v>
      </c>
      <c r="Q9" s="161">
        <f>+N9*P9</f>
        <v>199200</v>
      </c>
      <c r="R9" s="161">
        <f>+O9*P9</f>
        <v>151392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689</v>
      </c>
      <c r="I10" s="1018"/>
      <c r="J10" s="226" t="str">
        <f>+'17'!J10</f>
        <v>MG 15,5 VP OW</v>
      </c>
      <c r="K10" s="250"/>
      <c r="L10" s="250"/>
      <c r="M10" s="129">
        <f>+K10+'17'!M10+L10</f>
        <v>62505</v>
      </c>
      <c r="P10" s="161">
        <f>SUM(P8:P9)</f>
        <v>480</v>
      </c>
      <c r="Q10" s="161">
        <f>SUM(Q8:Q9)</f>
        <v>807600</v>
      </c>
      <c r="R10" s="161">
        <f>SUM(R8:R9)</f>
        <v>613776</v>
      </c>
    </row>
    <row r="11" spans="1:18" ht="13.5" thickBot="1">
      <c r="A11" s="1015"/>
      <c r="B11" s="227"/>
      <c r="C11" s="228"/>
      <c r="D11" s="229"/>
      <c r="E11" s="231"/>
      <c r="F11" s="239">
        <v>8</v>
      </c>
      <c r="G11" s="243" t="s">
        <v>12</v>
      </c>
      <c r="H11" s="244" t="s">
        <v>696</v>
      </c>
      <c r="I11" s="1018"/>
      <c r="J11" s="226" t="str">
        <f>+'17'!J11</f>
        <v>MG 16,5 VP OW</v>
      </c>
      <c r="K11" s="250"/>
      <c r="L11" s="250"/>
      <c r="M11" s="129">
        <f>+K11+'17'!M11+L11</f>
        <v>37635</v>
      </c>
      <c r="Q11" s="161">
        <f>+Q10/P10</f>
        <v>1682.5</v>
      </c>
      <c r="R11" s="161">
        <f>+R10/P10</f>
        <v>1278.7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+'17'!J12</f>
        <v>MG 21 VP OW</v>
      </c>
      <c r="K12" s="250"/>
      <c r="L12" s="250"/>
      <c r="M12" s="129">
        <f>+K12+'17'!M12+L12</f>
        <v>206161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+'17'!J13</f>
        <v>MG 22 VP HW</v>
      </c>
      <c r="K13" s="250"/>
      <c r="L13" s="250"/>
      <c r="M13" s="129">
        <f>+K13+'17'!M13+L13</f>
        <v>10130</v>
      </c>
    </row>
    <row r="14" spans="1:18" ht="13.5" thickBot="1">
      <c r="A14" s="1016"/>
      <c r="B14" s="177" t="s">
        <v>2</v>
      </c>
      <c r="C14" s="111">
        <f>SUM(C7:C13)</f>
        <v>17464</v>
      </c>
      <c r="D14" s="123">
        <f>SUM(D7:D13)</f>
        <v>250</v>
      </c>
      <c r="E14" s="124">
        <f>SUM(E5:E13)</f>
        <v>0</v>
      </c>
      <c r="F14" s="128">
        <f>SUM(F7:F13)</f>
        <v>27</v>
      </c>
      <c r="G14" s="171"/>
      <c r="H14" s="178"/>
      <c r="I14" s="179"/>
      <c r="J14" s="226" t="str">
        <f>+'17'!J14</f>
        <v>MG 17 VP HW/OW</v>
      </c>
      <c r="K14" s="250"/>
      <c r="L14" s="250"/>
      <c r="M14" s="129">
        <f>+K14+'17'!M14+L14</f>
        <v>7375</v>
      </c>
    </row>
    <row r="15" spans="1:18" ht="13.5" customHeight="1" thickBot="1">
      <c r="A15" s="1014" t="s">
        <v>486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 t="s">
        <v>651</v>
      </c>
      <c r="J15" s="226" t="str">
        <f>+'17'!J15</f>
        <v>MG 14 VP HW</v>
      </c>
      <c r="K15" s="250"/>
      <c r="L15" s="250"/>
      <c r="M15" s="129">
        <f>+K15+'17'!M15+L15</f>
        <v>47118</v>
      </c>
    </row>
    <row r="16" spans="1:18" ht="13.5" thickBot="1">
      <c r="A16" s="1020"/>
      <c r="B16" s="227" t="s">
        <v>460</v>
      </c>
      <c r="C16" s="233">
        <f>1001+1166</f>
        <v>2167</v>
      </c>
      <c r="D16" s="234"/>
      <c r="E16" s="235"/>
      <c r="F16" s="239">
        <v>8</v>
      </c>
      <c r="G16" s="243" t="s">
        <v>12</v>
      </c>
      <c r="H16" s="241" t="s">
        <v>456</v>
      </c>
      <c r="I16" s="1018"/>
      <c r="J16" s="226" t="str">
        <f>+'17'!J16</f>
        <v>F 12 VP OW</v>
      </c>
      <c r="K16" s="240">
        <f>+C17+C25</f>
        <v>34481</v>
      </c>
      <c r="L16" s="240"/>
      <c r="M16" s="129">
        <f>+K16+'17'!M16+L16</f>
        <v>439627</v>
      </c>
    </row>
    <row r="17" spans="1:14" ht="13.5" thickBot="1">
      <c r="A17" s="1020"/>
      <c r="B17" s="227" t="s">
        <v>568</v>
      </c>
      <c r="C17" s="228">
        <f>8718+7102</f>
        <v>15820</v>
      </c>
      <c r="D17" s="229"/>
      <c r="E17" s="236"/>
      <c r="F17" s="239">
        <v>10</v>
      </c>
      <c r="G17" s="243" t="s">
        <v>12</v>
      </c>
      <c r="H17" s="598" t="s">
        <v>435</v>
      </c>
      <c r="I17" s="1018"/>
      <c r="J17" s="226" t="str">
        <f>+'17'!J17</f>
        <v>F 10,5 VP OW</v>
      </c>
      <c r="K17" s="240"/>
      <c r="L17" s="240"/>
      <c r="M17" s="129">
        <f>+K17+'17'!M17+L17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697</v>
      </c>
      <c r="I18" s="1018"/>
      <c r="J18" s="226" t="str">
        <f>+'17'!J18</f>
        <v>F 12,5 VP OW</v>
      </c>
      <c r="K18" s="250"/>
      <c r="L18" s="250"/>
      <c r="M18" s="129">
        <f>+K18+'17'!M18+L18</f>
        <v>16783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/>
      <c r="I19" s="1018"/>
      <c r="J19" s="226">
        <f>+'17'!J19</f>
        <v>0</v>
      </c>
      <c r="K19" s="250"/>
      <c r="L19" s="250"/>
      <c r="M19" s="129">
        <f>+K19+'17'!M19+L19</f>
        <v>0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+'17'!J20</f>
        <v>0</v>
      </c>
      <c r="K20" s="251"/>
      <c r="L20" s="251"/>
      <c r="M20" s="129">
        <f>+K20+'17'!M20+L20</f>
        <v>0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+'17'!J21</f>
        <v>0</v>
      </c>
      <c r="K21" s="250"/>
      <c r="L21" s="250"/>
      <c r="M21" s="129">
        <f>+K21+'17'!M21+L21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+'17'!J22</f>
        <v>0</v>
      </c>
      <c r="K22" s="250"/>
      <c r="L22" s="250"/>
      <c r="M22" s="129">
        <f>+K22+'17'!M22+L22</f>
        <v>0</v>
      </c>
    </row>
    <row r="23" spans="1:14" ht="13.5" thickBot="1">
      <c r="A23" s="1021"/>
      <c r="B23" s="180" t="s">
        <v>2</v>
      </c>
      <c r="C23" s="112">
        <f>SUM(C16:C22)</f>
        <v>17987</v>
      </c>
      <c r="D23" s="123">
        <f>SUM(D16:D22)</f>
        <v>0</v>
      </c>
      <c r="E23" s="124">
        <f>SUM(E18:E22)</f>
        <v>0</v>
      </c>
      <c r="F23" s="128">
        <f>SUM(F15:F22)</f>
        <v>18</v>
      </c>
      <c r="G23" s="171"/>
      <c r="H23" s="178" t="s">
        <v>237</v>
      </c>
      <c r="I23" s="181"/>
      <c r="J23" s="226">
        <f>+'17'!J23</f>
        <v>0</v>
      </c>
      <c r="K23" s="250"/>
      <c r="L23" s="250"/>
      <c r="M23" s="129">
        <f>+K23+'17'!M23+L23</f>
        <v>0</v>
      </c>
    </row>
    <row r="24" spans="1:14" ht="13.5" customHeight="1" thickBot="1">
      <c r="A24" s="1014" t="s">
        <v>466</v>
      </c>
      <c r="B24" s="182"/>
      <c r="C24" s="125"/>
      <c r="D24" s="126"/>
      <c r="E24" s="127"/>
      <c r="F24" s="247"/>
      <c r="G24" s="240" t="s">
        <v>12</v>
      </c>
      <c r="H24" s="241" t="s">
        <v>280</v>
      </c>
      <c r="I24" s="1017" t="s">
        <v>651</v>
      </c>
      <c r="J24" s="226">
        <f>+'17'!J24</f>
        <v>0</v>
      </c>
      <c r="K24" s="250"/>
      <c r="L24" s="250"/>
      <c r="M24" s="129">
        <f>+K24+'17'!M24+L24</f>
        <v>0</v>
      </c>
    </row>
    <row r="25" spans="1:14" ht="13.5" thickBot="1">
      <c r="A25" s="1020"/>
      <c r="B25" s="227" t="s">
        <v>568</v>
      </c>
      <c r="C25" s="237">
        <v>18661</v>
      </c>
      <c r="D25" s="229">
        <v>250</v>
      </c>
      <c r="E25" s="236"/>
      <c r="F25" s="242">
        <v>7</v>
      </c>
      <c r="G25" s="243" t="s">
        <v>12</v>
      </c>
      <c r="H25" s="241" t="s">
        <v>586</v>
      </c>
      <c r="I25" s="1018"/>
      <c r="J25" s="226">
        <f>+'17'!J25</f>
        <v>0</v>
      </c>
      <c r="K25" s="250"/>
      <c r="L25" s="250"/>
      <c r="M25" s="129">
        <f>+K25+'17'!M25+L25</f>
        <v>0</v>
      </c>
    </row>
    <row r="26" spans="1:14" ht="13.5" thickBot="1">
      <c r="A26" s="1020"/>
      <c r="B26" s="227"/>
      <c r="C26" s="237"/>
      <c r="D26" s="229"/>
      <c r="E26" s="238"/>
      <c r="F26" s="242">
        <v>10</v>
      </c>
      <c r="G26" s="243" t="s">
        <v>12</v>
      </c>
      <c r="H26" s="598" t="s">
        <v>435</v>
      </c>
      <c r="I26" s="1018"/>
      <c r="J26" s="226">
        <f>+'17'!J26</f>
        <v>0</v>
      </c>
      <c r="K26" s="250"/>
      <c r="L26" s="250"/>
      <c r="M26" s="129">
        <f>+K26+'17'!M26+L26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697</v>
      </c>
      <c r="I27" s="1018"/>
      <c r="J27" s="226">
        <f>+'17'!J27</f>
        <v>0</v>
      </c>
      <c r="K27" s="250"/>
      <c r="L27" s="250"/>
      <c r="M27" s="129">
        <f>+K27+'17'!M27+L27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/>
      <c r="I28" s="1018"/>
      <c r="J28" s="226">
        <f>+'17'!J28</f>
        <v>0</v>
      </c>
      <c r="K28" s="250"/>
      <c r="L28" s="250"/>
      <c r="M28" s="129">
        <f>+K28+'17'!M28+L28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+'17'!J29</f>
        <v>0</v>
      </c>
      <c r="K29" s="250"/>
      <c r="L29" s="250"/>
      <c r="M29" s="129">
        <f>+K29+'17'!M29+L29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+'17'!J30</f>
        <v>0</v>
      </c>
      <c r="K30" s="250"/>
      <c r="L30" s="250"/>
      <c r="M30" s="129">
        <f>+K30+'17'!M30+L30</f>
        <v>0</v>
      </c>
      <c r="N30" s="167"/>
    </row>
    <row r="31" spans="1:14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+'17'!J31</f>
        <v>0</v>
      </c>
      <c r="K31" s="250"/>
      <c r="L31" s="250"/>
      <c r="M31" s="129">
        <f>+K31+'17'!M31+L31</f>
        <v>0</v>
      </c>
    </row>
    <row r="32" spans="1:14" ht="13.5" thickBot="1">
      <c r="A32" s="1021"/>
      <c r="B32" s="177" t="s">
        <v>2</v>
      </c>
      <c r="C32" s="111">
        <f>SUM(C25:C31)</f>
        <v>18661</v>
      </c>
      <c r="D32" s="112">
        <f>SUM(D25:D31)</f>
        <v>250</v>
      </c>
      <c r="E32" s="113">
        <f>SUM(E25:E31)</f>
        <v>0</v>
      </c>
      <c r="F32" s="114">
        <f>SUM(F24:F31)</f>
        <v>17</v>
      </c>
      <c r="G32" s="183"/>
      <c r="H32" s="184"/>
      <c r="I32" s="181"/>
      <c r="J32" s="226">
        <f>+'17'!J32</f>
        <v>0</v>
      </c>
      <c r="K32" s="252"/>
      <c r="L32" s="254"/>
      <c r="M32" s="129">
        <f>+K32+'17'!M32+L32</f>
        <v>0</v>
      </c>
    </row>
    <row r="33" spans="1:14" ht="13.5" thickBot="1">
      <c r="A33" s="185"/>
      <c r="B33" s="186"/>
      <c r="C33" s="115">
        <f>C32/($C$32+$D$32+$E$32)</f>
        <v>0.98678018084712604</v>
      </c>
      <c r="D33" s="116">
        <f>D32/($C$32+$D$32+$E$32)</f>
        <v>1.3219819152873988E-2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54112</v>
      </c>
      <c r="D34" s="119">
        <f>D14+D23+D32</f>
        <v>500</v>
      </c>
      <c r="E34" s="119">
        <f>E14+E23+E32</f>
        <v>0</v>
      </c>
      <c r="F34" s="120">
        <f>F14+F23+F32</f>
        <v>62</v>
      </c>
      <c r="H34" s="190"/>
      <c r="I34" s="190"/>
      <c r="J34" s="135" t="s">
        <v>28</v>
      </c>
      <c r="K34" s="136">
        <f>SUM(K7:K32)</f>
        <v>54112</v>
      </c>
      <c r="L34" s="224">
        <f>SUM(L7:L32)</f>
        <v>0</v>
      </c>
      <c r="M34" s="132">
        <f>SUM(M7:M32)</f>
        <v>1005207</v>
      </c>
      <c r="N34" s="167"/>
    </row>
    <row r="35" spans="1:14" ht="13.5" thickBot="1">
      <c r="A35" s="191"/>
      <c r="B35" s="192"/>
      <c r="C35" s="116">
        <f>C34/($C$34+$D$34+$E$34)</f>
        <v>0.99084450303962501</v>
      </c>
      <c r="D35" s="116">
        <f>D34/($C$34+$D$34+$E$34)</f>
        <v>9.1554969603750095E-3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(13*360+12*1080)/1440*G42*2.77*1440/1000000</f>
        <v>61.923826439999999</v>
      </c>
      <c r="J37" s="137">
        <f>+I37+'17'!J37</f>
        <v>1141.3126894535771</v>
      </c>
      <c r="K37" s="138" t="s">
        <v>64</v>
      </c>
      <c r="L37" s="566">
        <f>+I38-L38</f>
        <v>15.490000000000002</v>
      </c>
    </row>
    <row r="38" spans="1:14" ht="17.45" customHeight="1">
      <c r="A38" s="1012" t="s">
        <v>12</v>
      </c>
      <c r="B38" s="1013"/>
      <c r="C38" s="176">
        <f>SUMIF($G$7:$G$31,"Process",$F$7:$F$31)</f>
        <v>62</v>
      </c>
      <c r="D38" s="130">
        <f>+C38+'17'!D38</f>
        <v>1288</v>
      </c>
      <c r="E38" s="155">
        <f t="shared" ref="E38:E51" si="0">D38/60</f>
        <v>21.466666666666665</v>
      </c>
      <c r="F38" s="340">
        <v>1682.5</v>
      </c>
      <c r="G38" s="340">
        <v>1278.7</v>
      </c>
      <c r="H38" s="199" t="s">
        <v>65</v>
      </c>
      <c r="I38" s="553">
        <f>18.871+19.885+17.804</f>
        <v>56.56</v>
      </c>
      <c r="J38" s="139">
        <f>+I38+'17'!J38</f>
        <v>1056.0630000000001</v>
      </c>
      <c r="K38" s="140" t="s">
        <v>64</v>
      </c>
      <c r="L38" s="161">
        <f>1.047+2.334+19.885+17.804</f>
        <v>41.07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+C39+'17'!D39</f>
        <v>0</v>
      </c>
      <c r="E39" s="155">
        <f t="shared" si="0"/>
        <v>0</v>
      </c>
      <c r="F39" s="340">
        <v>1660</v>
      </c>
      <c r="G39" s="340">
        <v>1261.5999999999999</v>
      </c>
      <c r="H39" s="199" t="s">
        <v>66</v>
      </c>
      <c r="I39" s="154"/>
      <c r="J39" s="141">
        <f>J37/G4</f>
        <v>63.406260525198732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+C40+'17'!D40</f>
        <v>0</v>
      </c>
      <c r="E40" s="155">
        <f t="shared" si="0"/>
        <v>0</v>
      </c>
      <c r="F40" s="340">
        <v>1660</v>
      </c>
      <c r="G40" s="340">
        <v>1261.5999999999999</v>
      </c>
      <c r="H40" s="199" t="s">
        <v>68</v>
      </c>
      <c r="I40" s="130">
        <f>(K34+L34)/1000</f>
        <v>54.112000000000002</v>
      </c>
      <c r="J40" s="143">
        <f>+I40+'17'!J40</f>
        <v>1005.2069999999998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+C41+'17'!D41</f>
        <v>202</v>
      </c>
      <c r="E41" s="155">
        <f t="shared" si="0"/>
        <v>3.3666666666666667</v>
      </c>
      <c r="F41" s="340"/>
      <c r="G41" s="340"/>
      <c r="H41" s="199" t="s">
        <v>70</v>
      </c>
      <c r="I41" s="154"/>
      <c r="J41" s="141">
        <f>J40/G4</f>
        <v>55.84483333333332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+C42+'17'!D42</f>
        <v>0</v>
      </c>
      <c r="E42" s="155">
        <f t="shared" si="0"/>
        <v>0</v>
      </c>
      <c r="F42" s="340">
        <f>+(F38*480+F39*480+F40*480)/1440</f>
        <v>1667.5</v>
      </c>
      <c r="G42" s="340">
        <f>+(G38*480+G39*480+G40*480)/1440</f>
        <v>1267.3</v>
      </c>
      <c r="H42" s="199" t="s">
        <v>71</v>
      </c>
      <c r="I42" s="257" t="s">
        <v>701</v>
      </c>
      <c r="J42" s="144"/>
      <c r="K42" s="142" t="s">
        <v>72</v>
      </c>
    </row>
    <row r="43" spans="1:14" ht="17.45" customHeight="1">
      <c r="A43" s="1008" t="s">
        <v>204</v>
      </c>
      <c r="B43" s="1009"/>
      <c r="C43" s="176">
        <f>SUMIF($G$7:$G$31,"Change GRade",$F$7:$F$31)</f>
        <v>0</v>
      </c>
      <c r="D43" s="130">
        <f>+C43+'17'!D43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+Report1!T26</f>
        <v>117.956</v>
      </c>
      <c r="J43" s="145">
        <f>+I43+'17'!J43</f>
        <v>2299.0619999999999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+C44+'17'!D44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2.0855021216407357</v>
      </c>
      <c r="J44" s="146">
        <f>J43/J38</f>
        <v>2.1770121668877707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+C45+'17'!D45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2.1798492016558249</v>
      </c>
      <c r="J45" s="146">
        <f>J43/J40</f>
        <v>2.2871527953943818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+C46+'17'!D46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+SUMIF(Listrik!AR25,"&gt;0")</f>
        <v>57317.979999999588</v>
      </c>
      <c r="J46" s="147">
        <f>+I46+'17'!J46</f>
        <v>976425.6600000005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+C47+'17'!D47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1013.4013437057919</v>
      </c>
      <c r="J47" s="147">
        <f>J46/J38</f>
        <v>924.59035114382414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+C48+'17'!D48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1059.2471170904714</v>
      </c>
      <c r="J48" s="147">
        <f>J46/J40</f>
        <v>971.36774813545935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+C49+'17'!D49</f>
        <v>878</v>
      </c>
      <c r="E49" s="155">
        <f t="shared" si="0"/>
        <v>14.633333333333333</v>
      </c>
      <c r="F49" s="197"/>
      <c r="H49" s="200" t="s">
        <v>83</v>
      </c>
      <c r="I49" s="130">
        <v>0</v>
      </c>
      <c r="J49" s="147">
        <f>+I49+'17'!J49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+C50+'17'!D50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+C51+'17'!D51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62</v>
      </c>
      <c r="D52" s="156">
        <f>SUM(D38:D51)</f>
        <v>2368</v>
      </c>
      <c r="E52" s="157">
        <f>SUM(E38:E51)</f>
        <v>39.466666666666669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4.3055555555555555E-2</v>
      </c>
      <c r="D53" s="158">
        <f>D52/(24*60*G4)</f>
        <v>9.1358024691358022E-2</v>
      </c>
      <c r="E53" s="159">
        <f>E52/(G4*24)</f>
        <v>9.1358024691358022E-2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+D34+'17'!J56</f>
        <v>22692</v>
      </c>
      <c r="K56" s="213">
        <f>J56/(J40+J56/1000)/1000</f>
        <v>2.2076098916333227E-2</v>
      </c>
    </row>
    <row r="57" spans="1:11">
      <c r="A57" s="188"/>
      <c r="I57" s="211" t="s">
        <v>90</v>
      </c>
      <c r="J57" s="212">
        <f>+E34+'17'!J57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39:B39"/>
    <mergeCell ref="A24:A32"/>
    <mergeCell ref="I24:I31"/>
    <mergeCell ref="A34:B34"/>
    <mergeCell ref="A37:B37"/>
    <mergeCell ref="A7:A14"/>
    <mergeCell ref="I7:I13"/>
    <mergeCell ref="A15:A23"/>
    <mergeCell ref="I15:I22"/>
    <mergeCell ref="A38:B38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opLeftCell="A4" zoomScale="80" zoomScaleNormal="80" workbookViewId="0">
      <selection activeCell="K8" sqref="K8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17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230+230+190</f>
        <v>650</v>
      </c>
    </row>
    <row r="7" spans="1:18" ht="13.5" customHeight="1" thickBot="1">
      <c r="A7" s="1014" t="s">
        <v>542</v>
      </c>
      <c r="B7" s="227" t="s">
        <v>685</v>
      </c>
      <c r="C7" s="228">
        <f>5960+6619</f>
        <v>12579</v>
      </c>
      <c r="D7" s="229"/>
      <c r="E7" s="230"/>
      <c r="F7" s="239"/>
      <c r="G7" s="240" t="s">
        <v>12</v>
      </c>
      <c r="H7" s="241" t="s">
        <v>280</v>
      </c>
      <c r="I7" s="1017" t="s">
        <v>691</v>
      </c>
      <c r="J7" s="226" t="str">
        <f>+'16'!J7</f>
        <v>F 13 VP OW</v>
      </c>
      <c r="K7" s="249">
        <f>+C8+C16+C25</f>
        <v>47168</v>
      </c>
      <c r="L7" s="253"/>
      <c r="M7" s="129">
        <f>+K7+'16'!M7+L7</f>
        <v>66858</v>
      </c>
    </row>
    <row r="8" spans="1:18" ht="13.5" thickBot="1">
      <c r="A8" s="1015"/>
      <c r="B8" s="227" t="s">
        <v>460</v>
      </c>
      <c r="C8" s="228">
        <f>2860+3197</f>
        <v>6057</v>
      </c>
      <c r="D8" s="229">
        <v>280</v>
      </c>
      <c r="E8" s="231"/>
      <c r="F8" s="242">
        <v>5</v>
      </c>
      <c r="G8" s="243" t="s">
        <v>12</v>
      </c>
      <c r="H8" s="241" t="s">
        <v>570</v>
      </c>
      <c r="I8" s="1018"/>
      <c r="J8" s="226" t="str">
        <f>+'16'!J8</f>
        <v>F 10,3 VP OW</v>
      </c>
      <c r="K8" s="250"/>
      <c r="L8" s="250"/>
      <c r="M8" s="129">
        <f>+K8+'16'!M8+L8</f>
        <v>53369</v>
      </c>
      <c r="N8" s="161">
        <v>1660</v>
      </c>
      <c r="O8" s="161">
        <f>+N8-N8*0.24</f>
        <v>1261.5999999999999</v>
      </c>
      <c r="P8" s="161">
        <f>60+40</f>
        <v>100</v>
      </c>
      <c r="Q8" s="161">
        <f>+N8*P8</f>
        <v>166000</v>
      </c>
      <c r="R8" s="161">
        <f>+O8*P8</f>
        <v>126159.99999999999</v>
      </c>
    </row>
    <row r="9" spans="1:18" ht="13.5" thickBot="1">
      <c r="A9" s="1015"/>
      <c r="B9" s="227"/>
      <c r="C9" s="228"/>
      <c r="D9" s="229"/>
      <c r="E9" s="232"/>
      <c r="F9" s="239">
        <v>6</v>
      </c>
      <c r="G9" s="243" t="s">
        <v>12</v>
      </c>
      <c r="H9" s="598" t="s">
        <v>435</v>
      </c>
      <c r="I9" s="1018"/>
      <c r="J9" s="226" t="str">
        <f>+'16'!J9</f>
        <v>SN 15 VP OW</v>
      </c>
      <c r="K9" s="250"/>
      <c r="L9" s="250"/>
      <c r="M9" s="129">
        <f>+K9+'16'!M9+L9</f>
        <v>2504</v>
      </c>
      <c r="N9" s="161">
        <v>1690</v>
      </c>
      <c r="O9" s="161">
        <f>+N9-N9*0.24</f>
        <v>1284.4000000000001</v>
      </c>
      <c r="P9" s="161">
        <f>20+360</f>
        <v>380</v>
      </c>
      <c r="Q9" s="161">
        <f>+N9*P9</f>
        <v>642200</v>
      </c>
      <c r="R9" s="161">
        <f>+O9*P9</f>
        <v>488072.00000000006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687</v>
      </c>
      <c r="I10" s="1018"/>
      <c r="J10" s="226" t="str">
        <f>+'16'!J10</f>
        <v>MG 15,5 VP OW</v>
      </c>
      <c r="K10" s="250"/>
      <c r="L10" s="250"/>
      <c r="M10" s="129">
        <f>+K10+'16'!M10+L10</f>
        <v>62505</v>
      </c>
      <c r="P10" s="161">
        <f>SUM(P8:P9)</f>
        <v>480</v>
      </c>
      <c r="Q10" s="161">
        <f>SUM(Q8:Q9)</f>
        <v>808200</v>
      </c>
      <c r="R10" s="161">
        <f>SUM(R8:R9)</f>
        <v>614232</v>
      </c>
    </row>
    <row r="11" spans="1:18" ht="13.5" thickBot="1">
      <c r="A11" s="1015"/>
      <c r="B11" s="227"/>
      <c r="C11" s="228"/>
      <c r="D11" s="229"/>
      <c r="E11" s="231"/>
      <c r="F11" s="239">
        <v>6</v>
      </c>
      <c r="G11" s="243" t="s">
        <v>12</v>
      </c>
      <c r="H11" s="244" t="s">
        <v>690</v>
      </c>
      <c r="I11" s="1018"/>
      <c r="J11" s="226" t="str">
        <f>+'16'!J11</f>
        <v>MG 16,5 VP OW</v>
      </c>
      <c r="K11" s="250"/>
      <c r="L11" s="250"/>
      <c r="M11" s="129">
        <f>+K11+'16'!M11+L11</f>
        <v>37635</v>
      </c>
      <c r="Q11" s="161">
        <f>+Q10/P10</f>
        <v>1683.75</v>
      </c>
      <c r="R11" s="161">
        <f>+R10/P10</f>
        <v>1279.6500000000001</v>
      </c>
    </row>
    <row r="12" spans="1:18" ht="26.25" thickBot="1">
      <c r="A12" s="1015"/>
      <c r="B12" s="227"/>
      <c r="C12" s="228"/>
      <c r="D12" s="229"/>
      <c r="E12" s="231"/>
      <c r="F12" s="239">
        <v>6</v>
      </c>
      <c r="G12" s="243" t="s">
        <v>12</v>
      </c>
      <c r="H12" s="244" t="s">
        <v>688</v>
      </c>
      <c r="I12" s="1018"/>
      <c r="J12" s="226" t="str">
        <f>+'16'!J12</f>
        <v>MG 21 VP OW</v>
      </c>
      <c r="K12" s="250"/>
      <c r="L12" s="250"/>
      <c r="M12" s="129">
        <f>+K12+'16'!M12+L12</f>
        <v>206161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+'16'!J13</f>
        <v>MG 22 VP HW</v>
      </c>
      <c r="K13" s="250"/>
      <c r="L13" s="250"/>
      <c r="M13" s="129">
        <f>+K13+'16'!M13+L13</f>
        <v>10130</v>
      </c>
    </row>
    <row r="14" spans="1:18" ht="13.5" thickBot="1">
      <c r="A14" s="1016"/>
      <c r="B14" s="177" t="s">
        <v>2</v>
      </c>
      <c r="C14" s="111">
        <f>SUM(C7:C13)</f>
        <v>18636</v>
      </c>
      <c r="D14" s="123">
        <f>SUM(D7:D13)</f>
        <v>280</v>
      </c>
      <c r="E14" s="124">
        <f>SUM(E5:E13)</f>
        <v>0</v>
      </c>
      <c r="F14" s="128">
        <f>SUM(F7:F13)</f>
        <v>23</v>
      </c>
      <c r="G14" s="171"/>
      <c r="H14" s="178"/>
      <c r="I14" s="179"/>
      <c r="J14" s="226" t="str">
        <f>+'16'!J14</f>
        <v>MG 17 VP HW/OW</v>
      </c>
      <c r="K14" s="250"/>
      <c r="L14" s="250"/>
      <c r="M14" s="129">
        <f>+K14+'16'!M14+L14</f>
        <v>7375</v>
      </c>
    </row>
    <row r="15" spans="1:18" ht="13.5" customHeight="1" thickBot="1">
      <c r="A15" s="1014" t="s">
        <v>648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 t="s">
        <v>692</v>
      </c>
      <c r="J15" s="226" t="str">
        <f>+'16'!J15</f>
        <v>MG 14 VP HW</v>
      </c>
      <c r="K15" s="250"/>
      <c r="L15" s="250"/>
      <c r="M15" s="129">
        <f>+K15+'16'!M15+L15</f>
        <v>47118</v>
      </c>
    </row>
    <row r="16" spans="1:18" ht="13.5" thickBot="1">
      <c r="A16" s="1020"/>
      <c r="B16" s="227" t="s">
        <v>460</v>
      </c>
      <c r="C16" s="233">
        <v>20412</v>
      </c>
      <c r="D16" s="234"/>
      <c r="E16" s="235"/>
      <c r="F16" s="239">
        <v>8</v>
      </c>
      <c r="G16" s="243" t="s">
        <v>12</v>
      </c>
      <c r="H16" s="241" t="s">
        <v>587</v>
      </c>
      <c r="I16" s="1018"/>
      <c r="J16" s="226" t="str">
        <f>+'16'!J16</f>
        <v>F 12 VP OW</v>
      </c>
      <c r="K16" s="250"/>
      <c r="L16" s="240"/>
      <c r="M16" s="129">
        <f>+K16+'16'!M16+L16</f>
        <v>405146</v>
      </c>
      <c r="N16" s="161">
        <v>1690</v>
      </c>
      <c r="O16" s="161">
        <f>+N16-N16*0.24</f>
        <v>1284.4000000000001</v>
      </c>
      <c r="P16" s="161">
        <v>480</v>
      </c>
    </row>
    <row r="17" spans="1:16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435</v>
      </c>
      <c r="I17" s="1018"/>
      <c r="J17" s="226" t="str">
        <f>+'16'!J17</f>
        <v>F 10,5 VP OW</v>
      </c>
      <c r="K17" s="250"/>
      <c r="L17" s="240"/>
      <c r="M17" s="129">
        <f>+K17+'16'!M17+L17</f>
        <v>35511</v>
      </c>
      <c r="N17" s="161">
        <v>1690</v>
      </c>
      <c r="O17" s="161">
        <f>+N17-N17*0.24</f>
        <v>1284.4000000000001</v>
      </c>
      <c r="P17" s="161">
        <v>480</v>
      </c>
    </row>
    <row r="18" spans="1:16" ht="13.5" thickBot="1">
      <c r="A18" s="1020"/>
      <c r="B18" s="227"/>
      <c r="C18" s="228"/>
      <c r="D18" s="229"/>
      <c r="E18" s="236"/>
      <c r="F18" s="239"/>
      <c r="G18" s="243"/>
      <c r="H18" s="598" t="s">
        <v>689</v>
      </c>
      <c r="I18" s="1018"/>
      <c r="J18" s="226" t="str">
        <f>+'16'!J18</f>
        <v>F 12,5 VP OW</v>
      </c>
      <c r="K18" s="250">
        <f>+C7</f>
        <v>12579</v>
      </c>
      <c r="L18" s="250"/>
      <c r="M18" s="129">
        <f>+K18+'16'!M18+L18</f>
        <v>16783</v>
      </c>
    </row>
    <row r="19" spans="1:16" ht="13.5" thickBot="1">
      <c r="A19" s="1020"/>
      <c r="B19" s="227"/>
      <c r="C19" s="228"/>
      <c r="D19" s="229"/>
      <c r="E19" s="236"/>
      <c r="F19" s="246"/>
      <c r="G19" s="243"/>
      <c r="H19" s="244"/>
      <c r="I19" s="1018"/>
      <c r="J19" s="226"/>
      <c r="K19" s="250"/>
      <c r="L19" s="250"/>
      <c r="M19" s="129">
        <f>+K19+'16'!M19+L19</f>
        <v>0</v>
      </c>
    </row>
    <row r="20" spans="1:16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+'16'!J20</f>
        <v>0</v>
      </c>
      <c r="K20" s="251"/>
      <c r="L20" s="251"/>
      <c r="M20" s="129">
        <f>+K20+'16'!M20+L20</f>
        <v>0</v>
      </c>
    </row>
    <row r="21" spans="1:16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+'16'!J21</f>
        <v>0</v>
      </c>
      <c r="K21" s="250"/>
      <c r="L21" s="250"/>
      <c r="M21" s="129">
        <f>+K21+'16'!M21+L21</f>
        <v>0</v>
      </c>
    </row>
    <row r="22" spans="1:16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+'16'!J22</f>
        <v>0</v>
      </c>
      <c r="K22" s="250"/>
      <c r="L22" s="250"/>
      <c r="M22" s="129">
        <f>+K22+'16'!M22+L22</f>
        <v>0</v>
      </c>
    </row>
    <row r="23" spans="1:16" ht="13.5" thickBot="1">
      <c r="A23" s="1021"/>
      <c r="B23" s="180" t="s">
        <v>2</v>
      </c>
      <c r="C23" s="112">
        <f>SUM(C16:C22)</f>
        <v>20412</v>
      </c>
      <c r="D23" s="123">
        <f>SUM(D16:D22)</f>
        <v>0</v>
      </c>
      <c r="E23" s="124">
        <f>SUM(E18:E22)</f>
        <v>0</v>
      </c>
      <c r="F23" s="128">
        <f>SUM(F15:F22)</f>
        <v>18</v>
      </c>
      <c r="G23" s="171"/>
      <c r="H23" s="178" t="s">
        <v>237</v>
      </c>
      <c r="I23" s="181"/>
      <c r="J23" s="226">
        <f>+'16'!J23</f>
        <v>0</v>
      </c>
      <c r="K23" s="250"/>
      <c r="L23" s="250"/>
      <c r="M23" s="129">
        <f>+K23+'16'!M23+L23</f>
        <v>0</v>
      </c>
    </row>
    <row r="24" spans="1:16" ht="13.5" customHeight="1" thickBot="1">
      <c r="A24" s="1014" t="s">
        <v>466</v>
      </c>
      <c r="B24" s="182"/>
      <c r="C24" s="125"/>
      <c r="D24" s="126"/>
      <c r="E24" s="127"/>
      <c r="F24" s="247">
        <v>10</v>
      </c>
      <c r="G24" s="240" t="s">
        <v>12</v>
      </c>
      <c r="H24" s="241" t="s">
        <v>571</v>
      </c>
      <c r="I24" s="1017" t="s">
        <v>692</v>
      </c>
      <c r="J24" s="226">
        <f>+'16'!J24</f>
        <v>0</v>
      </c>
      <c r="K24" s="250"/>
      <c r="L24" s="250"/>
      <c r="M24" s="129">
        <f>+K24+'16'!M24+L24</f>
        <v>0</v>
      </c>
    </row>
    <row r="25" spans="1:16" ht="13.5" thickBot="1">
      <c r="A25" s="1020"/>
      <c r="B25" s="227" t="s">
        <v>460</v>
      </c>
      <c r="C25" s="237">
        <v>20699</v>
      </c>
      <c r="D25" s="229">
        <v>510</v>
      </c>
      <c r="E25" s="236"/>
      <c r="F25" s="242">
        <v>5</v>
      </c>
      <c r="G25" s="243" t="s">
        <v>12</v>
      </c>
      <c r="H25" s="241" t="s">
        <v>586</v>
      </c>
      <c r="I25" s="1018"/>
      <c r="J25" s="226">
        <f>+'16'!J25</f>
        <v>0</v>
      </c>
      <c r="K25" s="250"/>
      <c r="L25" s="250"/>
      <c r="M25" s="129">
        <f>+K25+'16'!M25+L25</f>
        <v>0</v>
      </c>
    </row>
    <row r="26" spans="1:16" ht="13.5" thickBot="1">
      <c r="A26" s="1020"/>
      <c r="B26" s="227"/>
      <c r="C26" s="237"/>
      <c r="D26" s="229"/>
      <c r="E26" s="238"/>
      <c r="F26" s="242">
        <v>10</v>
      </c>
      <c r="G26" s="243" t="s">
        <v>12</v>
      </c>
      <c r="H26" s="598" t="s">
        <v>422</v>
      </c>
      <c r="I26" s="1018"/>
      <c r="J26" s="226">
        <f>+'16'!J26</f>
        <v>0</v>
      </c>
      <c r="K26" s="250"/>
      <c r="L26" s="250"/>
      <c r="M26" s="129">
        <f>+K26+'16'!M26+L26</f>
        <v>0</v>
      </c>
    </row>
    <row r="27" spans="1:16" ht="13.5" thickBot="1">
      <c r="A27" s="1020"/>
      <c r="B27" s="227"/>
      <c r="C27" s="228"/>
      <c r="D27" s="229"/>
      <c r="E27" s="236"/>
      <c r="F27" s="242"/>
      <c r="G27" s="243"/>
      <c r="H27" s="598" t="s">
        <v>689</v>
      </c>
      <c r="I27" s="1018"/>
      <c r="J27" s="226">
        <f>+'16'!J27</f>
        <v>0</v>
      </c>
      <c r="K27" s="250"/>
      <c r="L27" s="250"/>
      <c r="M27" s="129">
        <f>+K27+'16'!M27+L27</f>
        <v>0</v>
      </c>
    </row>
    <row r="28" spans="1:16" ht="13.5" thickBot="1">
      <c r="A28" s="1020"/>
      <c r="B28" s="227"/>
      <c r="C28" s="228"/>
      <c r="D28" s="229"/>
      <c r="E28" s="236"/>
      <c r="F28" s="242"/>
      <c r="G28" s="243"/>
      <c r="H28" s="244"/>
      <c r="I28" s="1018"/>
      <c r="J28" s="226">
        <f>+'16'!J28</f>
        <v>0</v>
      </c>
      <c r="K28" s="250"/>
      <c r="L28" s="250"/>
      <c r="M28" s="129">
        <f>+K28+'16'!M28+L28</f>
        <v>0</v>
      </c>
    </row>
    <row r="29" spans="1:16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+'16'!J29</f>
        <v>0</v>
      </c>
      <c r="K29" s="250"/>
      <c r="L29" s="250"/>
      <c r="M29" s="129">
        <f>+K29+'16'!M29+L29</f>
        <v>0</v>
      </c>
    </row>
    <row r="30" spans="1:16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+'16'!J30</f>
        <v>0</v>
      </c>
      <c r="K30" s="250"/>
      <c r="L30" s="250"/>
      <c r="M30" s="129">
        <f>+K30+'16'!M30+L30</f>
        <v>0</v>
      </c>
      <c r="N30" s="167"/>
    </row>
    <row r="31" spans="1:16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+'16'!J31</f>
        <v>0</v>
      </c>
      <c r="K31" s="250"/>
      <c r="L31" s="250"/>
      <c r="M31" s="129">
        <f>+K31+'16'!M31+L31</f>
        <v>0</v>
      </c>
    </row>
    <row r="32" spans="1:16" ht="13.5" thickBot="1">
      <c r="A32" s="1021"/>
      <c r="B32" s="177" t="s">
        <v>2</v>
      </c>
      <c r="C32" s="111">
        <f>SUM(C25:C31)</f>
        <v>20699</v>
      </c>
      <c r="D32" s="112">
        <f>SUM(D25:D31)</f>
        <v>510</v>
      </c>
      <c r="E32" s="113">
        <f>SUM(E25:E31)</f>
        <v>0</v>
      </c>
      <c r="F32" s="114">
        <f>SUM(F24:F31)</f>
        <v>25</v>
      </c>
      <c r="G32" s="183"/>
      <c r="H32" s="184"/>
      <c r="I32" s="181"/>
      <c r="J32" s="226">
        <f>+'16'!J32</f>
        <v>0</v>
      </c>
      <c r="K32" s="252"/>
      <c r="L32" s="254"/>
      <c r="M32" s="129">
        <f>+K32+'16'!M32+L32</f>
        <v>0</v>
      </c>
    </row>
    <row r="33" spans="1:14" ht="13.5" thickBot="1">
      <c r="A33" s="185"/>
      <c r="B33" s="186"/>
      <c r="C33" s="115">
        <f>C32/($C$32+$D$32+$E$32)</f>
        <v>0.97595360460182001</v>
      </c>
      <c r="D33" s="116">
        <f>D32/($C$32+$D$32+$E$32)</f>
        <v>2.4046395398180018E-2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59747</v>
      </c>
      <c r="D34" s="119">
        <f>D14+D23+D32</f>
        <v>790</v>
      </c>
      <c r="E34" s="119">
        <f>E14+E23+E32</f>
        <v>0</v>
      </c>
      <c r="F34" s="120">
        <f>F14+F23+F32</f>
        <v>66</v>
      </c>
      <c r="H34" s="190"/>
      <c r="I34" s="190"/>
      <c r="J34" s="135" t="s">
        <v>28</v>
      </c>
      <c r="K34" s="136">
        <f>SUM(K7:K32)</f>
        <v>59747</v>
      </c>
      <c r="L34" s="224">
        <f>SUM(L7:L32)</f>
        <v>0</v>
      </c>
      <c r="M34" s="132">
        <f>SUM(M7:M32)</f>
        <v>951095</v>
      </c>
      <c r="N34" s="167"/>
    </row>
    <row r="35" spans="1:14" ht="13.5" thickBot="1">
      <c r="A35" s="191"/>
      <c r="B35" s="192"/>
      <c r="C35" s="116">
        <f>C34/($C$34+$D$34+$E$34)</f>
        <v>0.98695012967276208</v>
      </c>
      <c r="D35" s="116">
        <f>D34/($C$34+$D$34+$E$34)</f>
        <v>1.3049870327237888E-2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(12.5*100+13*1340)/1440*G42*2.77*1440/1000000</f>
        <v>66.342018451666675</v>
      </c>
      <c r="J37" s="137">
        <f>+I37+'16'!J37</f>
        <v>1079.3888630135771</v>
      </c>
      <c r="K37" s="138" t="s">
        <v>64</v>
      </c>
      <c r="L37" s="161">
        <v>6.0039999999999996</v>
      </c>
    </row>
    <row r="38" spans="1:14" ht="17.45" customHeight="1">
      <c r="A38" s="1012" t="s">
        <v>12</v>
      </c>
      <c r="B38" s="1013"/>
      <c r="C38" s="176">
        <f>SUMIF($G$7:$G$31,"Process",$F$7:$F$31)</f>
        <v>66</v>
      </c>
      <c r="D38" s="130">
        <f>+C38+'16'!D38</f>
        <v>1226</v>
      </c>
      <c r="E38" s="155">
        <f t="shared" ref="E38:E51" si="0">D38/60</f>
        <v>20.433333333333334</v>
      </c>
      <c r="F38" s="340">
        <v>1683.75</v>
      </c>
      <c r="G38" s="340">
        <v>1279.6500000000001</v>
      </c>
      <c r="H38" s="199" t="s">
        <v>65</v>
      </c>
      <c r="I38" s="553">
        <f>20.485+21.816+19.677</f>
        <v>61.978000000000002</v>
      </c>
      <c r="J38" s="139">
        <f>+I38+'16'!J38</f>
        <v>999.50300000000004</v>
      </c>
      <c r="K38" s="140" t="s">
        <v>64</v>
      </c>
      <c r="L38" s="566">
        <f>+I38-L37</f>
        <v>55.974000000000004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+C39+'16'!D39</f>
        <v>0</v>
      </c>
      <c r="E39" s="155">
        <f t="shared" si="0"/>
        <v>0</v>
      </c>
      <c r="F39" s="340">
        <v>1690</v>
      </c>
      <c r="G39" s="340">
        <v>1284.4000000000001</v>
      </c>
      <c r="H39" s="199" t="s">
        <v>66</v>
      </c>
      <c r="I39" s="154"/>
      <c r="J39" s="141">
        <f>J37/G4</f>
        <v>63.493462530210415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+C40+'16'!D40</f>
        <v>0</v>
      </c>
      <c r="E40" s="155">
        <f t="shared" si="0"/>
        <v>0</v>
      </c>
      <c r="F40" s="340">
        <v>1690</v>
      </c>
      <c r="G40" s="340">
        <v>1284.4000000000001</v>
      </c>
      <c r="H40" s="199" t="s">
        <v>68</v>
      </c>
      <c r="I40" s="130">
        <f>(K34+L34)/1000</f>
        <v>59.747</v>
      </c>
      <c r="J40" s="143">
        <f>+I40+'16'!J40</f>
        <v>951.0949999999998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+C41+'16'!D41</f>
        <v>202</v>
      </c>
      <c r="E41" s="155">
        <f t="shared" si="0"/>
        <v>3.3666666666666667</v>
      </c>
      <c r="F41" s="340"/>
      <c r="G41" s="340"/>
      <c r="H41" s="199" t="s">
        <v>70</v>
      </c>
      <c r="I41" s="154"/>
      <c r="J41" s="141">
        <f>J40/G4</f>
        <v>55.946764705882345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+C42+'16'!D42</f>
        <v>0</v>
      </c>
      <c r="E42" s="155">
        <f t="shared" si="0"/>
        <v>0</v>
      </c>
      <c r="F42" s="340">
        <f>+(F38*480+F39*480+F40*480)/1440</f>
        <v>1687.9166666666667</v>
      </c>
      <c r="G42" s="340">
        <f>+(G38*480+G39*480+G40*480)/1440</f>
        <v>1282.8166666666666</v>
      </c>
      <c r="H42" s="199" t="s">
        <v>71</v>
      </c>
      <c r="I42" s="257" t="s">
        <v>693</v>
      </c>
      <c r="J42" s="144"/>
      <c r="K42" s="142" t="s">
        <v>72</v>
      </c>
    </row>
    <row r="43" spans="1:14" ht="17.45" customHeight="1">
      <c r="A43" s="1008" t="s">
        <v>204</v>
      </c>
      <c r="B43" s="1009"/>
      <c r="C43" s="176">
        <f>SUMIF($G$7:$G$31,"Change Grade",$F$7:$F$31)</f>
        <v>0</v>
      </c>
      <c r="D43" s="130">
        <f>+C43+'16'!D43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+Report1!T25</f>
        <v>121.21000000000001</v>
      </c>
      <c r="J43" s="145">
        <f>+I43+'16'!J43</f>
        <v>2181.1059999999998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+C44+'16'!D44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1.9556939559198425</v>
      </c>
      <c r="J44" s="146">
        <f>J43/J38</f>
        <v>2.1821905487027049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+C45+'16'!D45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2.0287211073359335</v>
      </c>
      <c r="J45" s="146">
        <f>J43/J40</f>
        <v>2.2932577713057056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+C46+'16'!D46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+SUMIF(Listrik!AR24,"&gt;0")</f>
        <v>57318.759999999711</v>
      </c>
      <c r="J46" s="147">
        <f>+I46+'16'!J46</f>
        <v>919107.68000000087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+C47+'16'!D47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924.8242924908792</v>
      </c>
      <c r="J47" s="147">
        <f>J46/J38</f>
        <v>919.56470365771872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+C48+'16'!D48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959.35795939544596</v>
      </c>
      <c r="J48" s="147">
        <f>J46/J40</f>
        <v>966.36790226002768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+C49+'16'!D49</f>
        <v>878</v>
      </c>
      <c r="E49" s="155">
        <f t="shared" si="0"/>
        <v>14.633333333333333</v>
      </c>
      <c r="F49" s="197"/>
      <c r="H49" s="200" t="s">
        <v>83</v>
      </c>
      <c r="I49" s="130">
        <v>0</v>
      </c>
      <c r="J49" s="147">
        <f>+I49+'16'!J49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+C50+'16'!D50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+C51+'16'!D51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66</v>
      </c>
      <c r="D52" s="156">
        <f>SUM(D38:D51)</f>
        <v>2306</v>
      </c>
      <c r="E52" s="157">
        <f>SUM(E38:E51)</f>
        <v>38.433333333333337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4.583333333333333E-2</v>
      </c>
      <c r="D53" s="158">
        <f>D52/(24*60*G4)</f>
        <v>9.4199346405228757E-2</v>
      </c>
      <c r="E53" s="159">
        <f>E52/(G4*24)</f>
        <v>9.419934640522877E-2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+D34+'16'!J56</f>
        <v>22192</v>
      </c>
      <c r="K56" s="213">
        <f>J56/(J40+J56/1000)/1000</f>
        <v>2.2801085394133492E-2</v>
      </c>
    </row>
    <row r="57" spans="1:11">
      <c r="A57" s="188"/>
      <c r="I57" s="211" t="s">
        <v>90</v>
      </c>
      <c r="J57" s="212">
        <f>+E34+'16'!J57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1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16</v>
      </c>
      <c r="H4" s="166" t="str">
        <f>+'1'!H4</f>
        <v>.10.25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195+200+222</f>
        <v>617</v>
      </c>
    </row>
    <row r="7" spans="1:15" ht="13.5" customHeight="1" thickBot="1">
      <c r="A7" s="1014" t="s">
        <v>542</v>
      </c>
      <c r="B7" s="227" t="s">
        <v>568</v>
      </c>
      <c r="C7" s="228">
        <v>15070</v>
      </c>
      <c r="D7" s="229"/>
      <c r="E7" s="230"/>
      <c r="F7" s="239">
        <v>20</v>
      </c>
      <c r="G7" s="240" t="s">
        <v>12</v>
      </c>
      <c r="H7" s="241" t="s">
        <v>540</v>
      </c>
      <c r="I7" s="1017" t="s">
        <v>651</v>
      </c>
      <c r="J7" s="226" t="str">
        <f>+'15'!J7</f>
        <v>F 13 VP OW</v>
      </c>
      <c r="K7" s="249"/>
      <c r="L7" s="253"/>
      <c r="M7" s="129">
        <f>+K7+'15'!M7+L7</f>
        <v>19690</v>
      </c>
    </row>
    <row r="8" spans="1:15" ht="13.5" thickBot="1">
      <c r="A8" s="1015"/>
      <c r="B8" s="227"/>
      <c r="C8" s="228"/>
      <c r="D8" s="229"/>
      <c r="E8" s="231"/>
      <c r="F8" s="242">
        <v>3</v>
      </c>
      <c r="G8" s="243" t="s">
        <v>12</v>
      </c>
      <c r="H8" s="241" t="s">
        <v>677</v>
      </c>
      <c r="I8" s="1018"/>
      <c r="J8" s="226" t="str">
        <f>+'15'!J8</f>
        <v>F 10,3 VP OW</v>
      </c>
      <c r="K8" s="250"/>
      <c r="L8" s="250"/>
      <c r="M8" s="129">
        <f>+K8+'15'!M8+L8</f>
        <v>53369</v>
      </c>
      <c r="N8" s="161">
        <v>1660</v>
      </c>
      <c r="O8" s="161">
        <f>+N8-N8*0.24</f>
        <v>1261.5999999999999</v>
      </c>
    </row>
    <row r="9" spans="1:15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422</v>
      </c>
      <c r="I9" s="1018"/>
      <c r="J9" s="226" t="str">
        <f>+'15'!J9</f>
        <v>SN 15 VP OW</v>
      </c>
      <c r="K9" s="250"/>
      <c r="L9" s="250"/>
      <c r="M9" s="129">
        <f>+K9+'15'!M9+L9</f>
        <v>2504</v>
      </c>
    </row>
    <row r="10" spans="1:15" ht="13.5" thickBot="1">
      <c r="A10" s="1015"/>
      <c r="B10" s="227"/>
      <c r="C10" s="228"/>
      <c r="D10" s="229"/>
      <c r="E10" s="231"/>
      <c r="F10" s="239"/>
      <c r="G10" s="243"/>
      <c r="H10" s="598" t="s">
        <v>668</v>
      </c>
      <c r="I10" s="1018"/>
      <c r="J10" s="226" t="str">
        <f>+'15'!J10</f>
        <v>MG 15,5 VP OW</v>
      </c>
      <c r="K10" s="250"/>
      <c r="L10" s="250"/>
      <c r="M10" s="129">
        <f>+K10+'15'!M10+L10</f>
        <v>62505</v>
      </c>
    </row>
    <row r="11" spans="1:15" ht="13.5" thickBot="1">
      <c r="A11" s="1015"/>
      <c r="B11" s="227"/>
      <c r="C11" s="228"/>
      <c r="D11" s="229"/>
      <c r="E11" s="231" t="s">
        <v>527</v>
      </c>
      <c r="F11" s="239">
        <v>15</v>
      </c>
      <c r="G11" s="243" t="s">
        <v>12</v>
      </c>
      <c r="H11" s="244" t="s">
        <v>678</v>
      </c>
      <c r="I11" s="1018"/>
      <c r="J11" s="226" t="str">
        <f>+'15'!J11</f>
        <v>MG 16,5 VP OW</v>
      </c>
      <c r="K11" s="250"/>
      <c r="L11" s="250"/>
      <c r="M11" s="129">
        <f>+K11+'15'!M11+L11</f>
        <v>37635</v>
      </c>
    </row>
    <row r="12" spans="1:15" ht="13.5" thickBot="1">
      <c r="A12" s="1015"/>
      <c r="B12" s="227"/>
      <c r="C12" s="228"/>
      <c r="D12" s="229"/>
      <c r="E12" s="231"/>
      <c r="F12" s="239"/>
      <c r="G12" s="243"/>
      <c r="H12" s="244" t="s">
        <v>655</v>
      </c>
      <c r="I12" s="1018"/>
      <c r="J12" s="226" t="str">
        <f>+'15'!J12</f>
        <v>MG 21 VP OW</v>
      </c>
      <c r="K12" s="250"/>
      <c r="L12" s="250"/>
      <c r="M12" s="129">
        <f>+K12+'15'!M12+L12</f>
        <v>206161</v>
      </c>
    </row>
    <row r="13" spans="1:15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+'15'!J13</f>
        <v>MG 22 VP HW</v>
      </c>
      <c r="K13" s="250"/>
      <c r="L13" s="250"/>
      <c r="M13" s="129">
        <f>+K13+'15'!M13+L13</f>
        <v>10130</v>
      </c>
    </row>
    <row r="14" spans="1:15" ht="13.5" thickBot="1">
      <c r="A14" s="1016"/>
      <c r="B14" s="177" t="s">
        <v>2</v>
      </c>
      <c r="C14" s="111">
        <f>SUM(C7:C13)</f>
        <v>15070</v>
      </c>
      <c r="D14" s="123">
        <f>SUM(D7:D13)</f>
        <v>0</v>
      </c>
      <c r="E14" s="124">
        <f>SUM(E5:E13)</f>
        <v>0</v>
      </c>
      <c r="F14" s="128">
        <f>SUM(F7:F13)</f>
        <v>48</v>
      </c>
      <c r="G14" s="171"/>
      <c r="H14" s="178"/>
      <c r="I14" s="179"/>
      <c r="J14" s="226" t="str">
        <f>+'15'!J14</f>
        <v>MG 17 VP HW/OW</v>
      </c>
      <c r="K14" s="250"/>
      <c r="L14" s="250"/>
      <c r="M14" s="129">
        <f>+K14+'15'!M14+L14</f>
        <v>7375</v>
      </c>
    </row>
    <row r="15" spans="1:15" ht="13.5" customHeight="1" thickBot="1">
      <c r="A15" s="1014" t="s">
        <v>648</v>
      </c>
      <c r="B15" s="177"/>
      <c r="C15" s="125"/>
      <c r="D15" s="126"/>
      <c r="E15" s="127"/>
      <c r="F15" s="239">
        <v>30</v>
      </c>
      <c r="G15" s="240" t="s">
        <v>12</v>
      </c>
      <c r="H15" s="241" t="s">
        <v>483</v>
      </c>
      <c r="I15" s="1017" t="s">
        <v>651</v>
      </c>
      <c r="J15" s="226" t="str">
        <f>+'15'!J15</f>
        <v>MG 14 VP HW</v>
      </c>
      <c r="K15" s="250"/>
      <c r="L15" s="250"/>
      <c r="M15" s="129">
        <f>+K15+'15'!M15+L15</f>
        <v>47118</v>
      </c>
    </row>
    <row r="16" spans="1:15" ht="13.5" thickBot="1">
      <c r="A16" s="1020"/>
      <c r="B16" s="227" t="s">
        <v>568</v>
      </c>
      <c r="C16" s="233">
        <v>13758</v>
      </c>
      <c r="D16" s="234"/>
      <c r="E16" s="235"/>
      <c r="F16" s="239">
        <v>6</v>
      </c>
      <c r="G16" s="243" t="s">
        <v>12</v>
      </c>
      <c r="H16" s="241" t="s">
        <v>456</v>
      </c>
      <c r="I16" s="1018"/>
      <c r="J16" s="226" t="str">
        <f>+'15'!J16</f>
        <v>F 12 VP OW</v>
      </c>
      <c r="K16" s="250">
        <f>+C7+C16+C25</f>
        <v>40836</v>
      </c>
      <c r="L16" s="240"/>
      <c r="M16" s="129">
        <f>+K16+'15'!M16+L16</f>
        <v>405146</v>
      </c>
    </row>
    <row r="17" spans="1:14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422</v>
      </c>
      <c r="I17" s="1018"/>
      <c r="J17" s="226" t="str">
        <f>+'15'!J17</f>
        <v>F 10,5 VP OW</v>
      </c>
      <c r="K17" s="250"/>
      <c r="L17" s="240"/>
      <c r="M17" s="129">
        <f>+K17+'15'!M17+L17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668</v>
      </c>
      <c r="I18" s="1018"/>
      <c r="J18" s="226" t="s">
        <v>685</v>
      </c>
      <c r="K18" s="250">
        <f>+C26</f>
        <v>4204</v>
      </c>
      <c r="L18" s="250"/>
      <c r="M18" s="129">
        <f>+K18+'15'!M18+L18</f>
        <v>4204</v>
      </c>
    </row>
    <row r="19" spans="1:14" ht="26.25" thickBot="1">
      <c r="A19" s="1020"/>
      <c r="B19" s="227"/>
      <c r="C19" s="228"/>
      <c r="D19" s="229"/>
      <c r="E19" s="236" t="s">
        <v>527</v>
      </c>
      <c r="F19" s="246">
        <v>70</v>
      </c>
      <c r="G19" s="243" t="s">
        <v>69</v>
      </c>
      <c r="H19" s="244" t="s">
        <v>673</v>
      </c>
      <c r="I19" s="1018"/>
      <c r="J19" s="226">
        <f>+'15'!J19</f>
        <v>0</v>
      </c>
      <c r="K19" s="250"/>
      <c r="L19" s="250"/>
      <c r="M19" s="129">
        <f>+K19+'15'!M19+L19</f>
        <v>0</v>
      </c>
    </row>
    <row r="20" spans="1:14" ht="26.25" thickBot="1">
      <c r="A20" s="1020"/>
      <c r="B20" s="227"/>
      <c r="C20" s="228"/>
      <c r="D20" s="229"/>
      <c r="E20" s="236"/>
      <c r="F20" s="239"/>
      <c r="G20" s="243"/>
      <c r="H20" s="244" t="s">
        <v>675</v>
      </c>
      <c r="I20" s="1018"/>
      <c r="J20" s="226">
        <f>+'15'!J20</f>
        <v>0</v>
      </c>
      <c r="K20" s="251"/>
      <c r="L20" s="251"/>
      <c r="M20" s="129">
        <f>+K20+'15'!M20+L20</f>
        <v>0</v>
      </c>
    </row>
    <row r="21" spans="1:14" ht="26.25" thickBot="1">
      <c r="A21" s="1020"/>
      <c r="B21" s="227"/>
      <c r="C21" s="228"/>
      <c r="D21" s="229"/>
      <c r="E21" s="236"/>
      <c r="F21" s="242"/>
      <c r="G21" s="243"/>
      <c r="H21" s="583" t="s">
        <v>674</v>
      </c>
      <c r="I21" s="1018"/>
      <c r="J21" s="226">
        <f>+'15'!J21</f>
        <v>0</v>
      </c>
      <c r="K21" s="250"/>
      <c r="L21" s="250"/>
      <c r="M21" s="129">
        <f>+K21+'15'!M21+L21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+'15'!J22</f>
        <v>0</v>
      </c>
      <c r="K22" s="250"/>
      <c r="L22" s="250"/>
      <c r="M22" s="129">
        <f>+K22+'15'!M22+L22</f>
        <v>0</v>
      </c>
    </row>
    <row r="23" spans="1:14" ht="13.5" thickBot="1">
      <c r="A23" s="1021"/>
      <c r="B23" s="180" t="s">
        <v>2</v>
      </c>
      <c r="C23" s="112">
        <f>SUM(C16:C22)</f>
        <v>13758</v>
      </c>
      <c r="D23" s="123">
        <f>SUM(D16:D22)</f>
        <v>0</v>
      </c>
      <c r="E23" s="124">
        <f>SUM(E18:E22)</f>
        <v>0</v>
      </c>
      <c r="F23" s="128">
        <f>SUM(F15:F22)</f>
        <v>116</v>
      </c>
      <c r="G23" s="171"/>
      <c r="H23" s="178" t="s">
        <v>237</v>
      </c>
      <c r="I23" s="181"/>
      <c r="J23" s="226">
        <f>+'15'!J23</f>
        <v>0</v>
      </c>
      <c r="K23" s="250"/>
      <c r="L23" s="250"/>
      <c r="M23" s="129">
        <f>+K23+'15'!M23+L23</f>
        <v>0</v>
      </c>
    </row>
    <row r="24" spans="1:14" ht="13.5" customHeight="1" thickBot="1">
      <c r="A24" s="1014" t="s">
        <v>466</v>
      </c>
      <c r="B24" s="182"/>
      <c r="C24" s="125"/>
      <c r="D24" s="126"/>
      <c r="E24" s="127"/>
      <c r="F24" s="247">
        <v>10</v>
      </c>
      <c r="G24" s="240" t="s">
        <v>12</v>
      </c>
      <c r="H24" s="241" t="s">
        <v>571</v>
      </c>
      <c r="I24" s="1017" t="s">
        <v>651</v>
      </c>
      <c r="J24" s="226">
        <f>+'15'!J24</f>
        <v>0</v>
      </c>
      <c r="K24" s="250"/>
      <c r="L24" s="250"/>
      <c r="M24" s="129">
        <f>+K24+'15'!M24+L24</f>
        <v>0</v>
      </c>
    </row>
    <row r="25" spans="1:14" ht="13.5" thickBot="1">
      <c r="A25" s="1020"/>
      <c r="B25" s="227" t="s">
        <v>568</v>
      </c>
      <c r="C25" s="237">
        <v>12008</v>
      </c>
      <c r="D25" s="229">
        <v>495</v>
      </c>
      <c r="E25" s="236"/>
      <c r="F25" s="242">
        <v>3</v>
      </c>
      <c r="G25" s="243" t="s">
        <v>12</v>
      </c>
      <c r="H25" s="241" t="s">
        <v>586</v>
      </c>
      <c r="I25" s="1027"/>
      <c r="J25" s="226">
        <f>+'15'!J25</f>
        <v>0</v>
      </c>
      <c r="K25" s="250"/>
      <c r="L25" s="250"/>
      <c r="M25" s="129">
        <f>+K25+'15'!M25+L25</f>
        <v>0</v>
      </c>
    </row>
    <row r="26" spans="1:14" ht="13.5" thickBot="1">
      <c r="A26" s="1020"/>
      <c r="B26" s="227" t="s">
        <v>685</v>
      </c>
      <c r="C26" s="237">
        <f>1947+2257</f>
        <v>4204</v>
      </c>
      <c r="D26" s="229">
        <f>243+282</f>
        <v>525</v>
      </c>
      <c r="E26" s="238"/>
      <c r="F26" s="242">
        <v>10</v>
      </c>
      <c r="G26" s="243" t="s">
        <v>12</v>
      </c>
      <c r="H26" s="598" t="s">
        <v>435</v>
      </c>
      <c r="I26" s="1027"/>
      <c r="J26" s="226">
        <f>+'15'!J26</f>
        <v>0</v>
      </c>
      <c r="K26" s="250"/>
      <c r="L26" s="250"/>
      <c r="M26" s="129">
        <f>+K26+'15'!M26+L26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668</v>
      </c>
      <c r="I27" s="1027"/>
      <c r="J27" s="226">
        <f>+'15'!J27</f>
        <v>0</v>
      </c>
      <c r="K27" s="250"/>
      <c r="L27" s="250"/>
      <c r="M27" s="129">
        <f>+K27+'15'!M27+L27</f>
        <v>0</v>
      </c>
    </row>
    <row r="28" spans="1:14" ht="13.5" thickBot="1">
      <c r="A28" s="1020"/>
      <c r="B28" s="227"/>
      <c r="C28" s="228"/>
      <c r="D28" s="229"/>
      <c r="E28" s="236"/>
      <c r="F28" s="242">
        <v>5</v>
      </c>
      <c r="G28" s="243" t="s">
        <v>12</v>
      </c>
      <c r="H28" s="244" t="s">
        <v>676</v>
      </c>
      <c r="I28" s="1027"/>
      <c r="J28" s="226">
        <f>+'15'!J28</f>
        <v>0</v>
      </c>
      <c r="K28" s="250"/>
      <c r="L28" s="250"/>
      <c r="M28" s="129">
        <f>+K28+'15'!M28+L28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/>
      <c r="I29" s="1027"/>
      <c r="J29" s="226">
        <f>+'15'!J29</f>
        <v>0</v>
      </c>
      <c r="K29" s="250"/>
      <c r="L29" s="250"/>
      <c r="M29" s="129">
        <f>+K29+'15'!M29+L29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/>
      <c r="I30" s="1027"/>
      <c r="J30" s="226">
        <f>+'15'!J30</f>
        <v>0</v>
      </c>
      <c r="K30" s="250"/>
      <c r="L30" s="250"/>
      <c r="M30" s="129">
        <f>+K30+'15'!M30+L30</f>
        <v>0</v>
      </c>
    </row>
    <row r="31" spans="1:14" ht="13.5" thickBot="1">
      <c r="A31" s="1020"/>
      <c r="B31" s="227"/>
      <c r="C31" s="237"/>
      <c r="D31" s="229"/>
      <c r="E31" s="236"/>
      <c r="F31" s="247"/>
      <c r="G31" s="248"/>
      <c r="H31" s="245"/>
      <c r="I31" s="1028"/>
      <c r="J31" s="226">
        <f>+'15'!J31</f>
        <v>0</v>
      </c>
      <c r="K31" s="250"/>
      <c r="L31" s="250"/>
      <c r="M31" s="129">
        <f>+K31+'15'!M31+L31</f>
        <v>0</v>
      </c>
      <c r="N31" s="167"/>
    </row>
    <row r="32" spans="1:14" ht="13.5" thickBot="1">
      <c r="A32" s="1021"/>
      <c r="B32" s="177" t="s">
        <v>2</v>
      </c>
      <c r="C32" s="111">
        <f>SUM(C25:C31)</f>
        <v>16212</v>
      </c>
      <c r="D32" s="112">
        <f>SUM(D25:D31)</f>
        <v>1020</v>
      </c>
      <c r="E32" s="113">
        <f>SUM(E25:E31)</f>
        <v>0</v>
      </c>
      <c r="F32" s="114">
        <f>SUM(F24:F31)</f>
        <v>28</v>
      </c>
      <c r="G32" s="183"/>
      <c r="H32" s="184"/>
      <c r="I32" s="181"/>
      <c r="J32" s="226">
        <f>+'15'!J32</f>
        <v>0</v>
      </c>
      <c r="K32" s="252"/>
      <c r="L32" s="254"/>
      <c r="M32" s="129">
        <f>+K32+'15'!M32+L32</f>
        <v>0</v>
      </c>
    </row>
    <row r="33" spans="1:14" ht="13.5" thickBot="1">
      <c r="A33" s="185"/>
      <c r="B33" s="186"/>
      <c r="C33" s="115">
        <f>C32/($C$32+$D$32+$E$32)</f>
        <v>0.94080779944289694</v>
      </c>
      <c r="D33" s="116">
        <f>D32/($C$32+$D$32+$E$32)</f>
        <v>5.9192200557103065E-2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45040</v>
      </c>
      <c r="D34" s="119">
        <f>D14+D23+D32</f>
        <v>1020</v>
      </c>
      <c r="E34" s="119">
        <f>E14+E23+E32</f>
        <v>0</v>
      </c>
      <c r="F34" s="120">
        <f>F14+F23+F32</f>
        <v>192</v>
      </c>
      <c r="H34" s="190"/>
      <c r="I34" s="190"/>
      <c r="J34" s="135" t="s">
        <v>28</v>
      </c>
      <c r="K34" s="136">
        <f>SUM(K7:K32)</f>
        <v>45040</v>
      </c>
      <c r="L34" s="224">
        <f>SUM(L7:L32)</f>
        <v>0</v>
      </c>
      <c r="M34" s="132">
        <f>SUM(M7:M32)</f>
        <v>891348</v>
      </c>
    </row>
    <row r="35" spans="1:14" ht="13.5" thickBot="1">
      <c r="A35" s="191"/>
      <c r="B35" s="192"/>
      <c r="C35" s="116">
        <f>C34/($C$34+$D$34+$E$34)</f>
        <v>0.97785497177594438</v>
      </c>
      <c r="D35" s="116">
        <f>D34/($C$34+$D$34+$E$34)</f>
        <v>2.214502822405558E-2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(12*1120+12.5*320)/1440*G42*2.77*1440/1000000</f>
        <v>60.946382079999992</v>
      </c>
      <c r="J37" s="137">
        <f>+I37+'15'!J37</f>
        <v>1013.0468445619105</v>
      </c>
      <c r="K37" s="138" t="s">
        <v>64</v>
      </c>
      <c r="L37" s="566">
        <f>+I38-L38</f>
        <v>39.550999999999995</v>
      </c>
    </row>
    <row r="38" spans="1:14" ht="17.45" customHeight="1">
      <c r="A38" s="1012" t="s">
        <v>12</v>
      </c>
      <c r="B38" s="1013"/>
      <c r="C38" s="176">
        <f>SUMIF($G$7:$G$31,"Process",$F$7:$F$31)</f>
        <v>122</v>
      </c>
      <c r="D38" s="130">
        <f>+C38+'15'!D38</f>
        <v>1160</v>
      </c>
      <c r="E38" s="155">
        <f t="shared" ref="E38:E51" si="0">D38/60</f>
        <v>19.333333333333332</v>
      </c>
      <c r="F38" s="340">
        <v>1660</v>
      </c>
      <c r="G38" s="340">
        <v>1261.5999999999999</v>
      </c>
      <c r="H38" s="199" t="s">
        <v>65</v>
      </c>
      <c r="I38" s="553">
        <f>18.002+14.487+17.626</f>
        <v>50.114999999999995</v>
      </c>
      <c r="J38" s="139">
        <f>+I38+'15'!J38</f>
        <v>937.52500000000009</v>
      </c>
      <c r="K38" s="140" t="s">
        <v>64</v>
      </c>
      <c r="L38" s="161">
        <f>2.057+2.346+2.307+1.41+2.444</f>
        <v>10.564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+C39+'15'!D39</f>
        <v>0</v>
      </c>
      <c r="E39" s="155">
        <f t="shared" si="0"/>
        <v>0</v>
      </c>
      <c r="F39" s="340">
        <v>1660</v>
      </c>
      <c r="G39" s="340">
        <v>1261.5999999999999</v>
      </c>
      <c r="H39" s="199" t="s">
        <v>66</v>
      </c>
      <c r="I39" s="154"/>
      <c r="J39" s="141">
        <f>J37/G4</f>
        <v>63.315427785119404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+C40+'15'!D40</f>
        <v>0</v>
      </c>
      <c r="E40" s="155">
        <f t="shared" si="0"/>
        <v>0</v>
      </c>
      <c r="F40" s="340">
        <v>1660</v>
      </c>
      <c r="G40" s="340">
        <v>1261.5999999999999</v>
      </c>
      <c r="H40" s="199" t="s">
        <v>68</v>
      </c>
      <c r="I40" s="130">
        <f>(K34+L34)/1000</f>
        <v>45.04</v>
      </c>
      <c r="J40" s="143">
        <f>+I40+'15'!J40</f>
        <v>891.34799999999984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70</v>
      </c>
      <c r="D41" s="130">
        <f>+C41+'15'!D41</f>
        <v>202</v>
      </c>
      <c r="E41" s="155">
        <f t="shared" si="0"/>
        <v>3.3666666666666667</v>
      </c>
      <c r="F41" s="340"/>
      <c r="G41" s="340"/>
      <c r="H41" s="199" t="s">
        <v>70</v>
      </c>
      <c r="I41" s="154"/>
      <c r="J41" s="141">
        <f>J40/G4</f>
        <v>55.70924999999999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+C42+'15'!D42</f>
        <v>0</v>
      </c>
      <c r="E42" s="155">
        <f t="shared" si="0"/>
        <v>0</v>
      </c>
      <c r="F42" s="340">
        <f>+(F38*480+F40*480+F39*480)/1440</f>
        <v>1660</v>
      </c>
      <c r="G42" s="340">
        <f>+(G38*480+G40*480+G39*480)/1440</f>
        <v>1261.5999999999999</v>
      </c>
      <c r="H42" s="199" t="s">
        <v>71</v>
      </c>
      <c r="I42" s="257" t="s">
        <v>651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+C43+'15'!D43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+Report1!T24</f>
        <v>118.93899999999999</v>
      </c>
      <c r="J43" s="145">
        <f>+I43+'15'!J43</f>
        <v>2059.8959999999997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+C44+'15'!D44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2.373321360869999</v>
      </c>
      <c r="J44" s="146">
        <f>J43/J38</f>
        <v>2.1971638089650938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+C45+'15'!D45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2.6407415630550619</v>
      </c>
      <c r="J45" s="146">
        <f>J43/J40</f>
        <v>2.3109896471411839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+C46+'15'!D46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+SUMIF(Listrik!AR23,"&gt;0")</f>
        <v>55710.400000000263</v>
      </c>
      <c r="J46" s="147">
        <f>+I46+'15'!J46</f>
        <v>861788.92000000121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+C47+'15'!D47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1111.6512022348652</v>
      </c>
      <c r="J47" s="147">
        <f>J46/J38</f>
        <v>919.21700221327546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+C48+'15'!D48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1236.9094138543576</v>
      </c>
      <c r="J48" s="147">
        <f>J46/J40</f>
        <v>966.83777828637233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+C49+'15'!D49</f>
        <v>878</v>
      </c>
      <c r="E49" s="155">
        <f t="shared" si="0"/>
        <v>14.633333333333333</v>
      </c>
      <c r="F49" s="197"/>
      <c r="H49" s="200" t="s">
        <v>83</v>
      </c>
      <c r="I49" s="130">
        <v>0</v>
      </c>
      <c r="J49" s="147">
        <f>+I49+'15'!J49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+C50+'15'!D50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+C51+'15'!D51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192</v>
      </c>
      <c r="D52" s="156">
        <f>SUM(D38:D51)</f>
        <v>2240</v>
      </c>
      <c r="E52" s="157">
        <f>SUM(E38:E51)</f>
        <v>37.333333333333329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0.13333333333333333</v>
      </c>
      <c r="D53" s="158">
        <f>D52/(24*60*G4)</f>
        <v>9.7222222222222224E-2</v>
      </c>
      <c r="E53" s="159">
        <f>E52/(G4*24)</f>
        <v>9.722222222222221E-2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+D34+'15'!J56</f>
        <v>21402</v>
      </c>
      <c r="K56" s="213">
        <f>J56/(J40+J56/1000)/1000</f>
        <v>2.3447822514379622E-2</v>
      </c>
    </row>
    <row r="57" spans="1:11">
      <c r="A57" s="188"/>
      <c r="I57" s="211" t="s">
        <v>90</v>
      </c>
      <c r="J57" s="212">
        <f>+E34+'15'!J57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15</v>
      </c>
      <c r="H4" s="166" t="str">
        <f>+'1'!H4</f>
        <v>.10.25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34.6+203+230</f>
        <v>467.6</v>
      </c>
    </row>
    <row r="7" spans="1:15" ht="13.5" customHeight="1" thickBot="1">
      <c r="A7" s="1014" t="s">
        <v>542</v>
      </c>
      <c r="B7" s="227" t="s">
        <v>568</v>
      </c>
      <c r="C7" s="228">
        <v>17341</v>
      </c>
      <c r="D7" s="229"/>
      <c r="E7" s="230"/>
      <c r="F7" s="239">
        <v>5</v>
      </c>
      <c r="G7" s="240" t="s">
        <v>12</v>
      </c>
      <c r="H7" s="241" t="s">
        <v>541</v>
      </c>
      <c r="I7" s="1017" t="s">
        <v>651</v>
      </c>
      <c r="J7" s="226" t="str">
        <f>+'14'!J7</f>
        <v>F 13 VP OW</v>
      </c>
      <c r="K7" s="249"/>
      <c r="L7" s="253"/>
      <c r="M7" s="129">
        <f>+K7+'14'!M7+L7</f>
        <v>19690</v>
      </c>
    </row>
    <row r="8" spans="1:15" ht="13.5" thickBot="1">
      <c r="A8" s="1015"/>
      <c r="B8" s="227"/>
      <c r="C8" s="228"/>
      <c r="D8" s="229"/>
      <c r="E8" s="231"/>
      <c r="F8" s="242">
        <v>7</v>
      </c>
      <c r="G8" s="243" t="s">
        <v>12</v>
      </c>
      <c r="H8" s="241" t="s">
        <v>456</v>
      </c>
      <c r="I8" s="1018"/>
      <c r="J8" s="226" t="str">
        <f>+'14'!J8</f>
        <v>F 10,3 VP OW</v>
      </c>
      <c r="K8" s="250"/>
      <c r="L8" s="250"/>
      <c r="M8" s="129">
        <f>+K8+'14'!M8+L8</f>
        <v>53369</v>
      </c>
      <c r="N8" s="161">
        <v>1660</v>
      </c>
      <c r="O8" s="161">
        <f>+N8-N8*0.24</f>
        <v>1261.5999999999999</v>
      </c>
    </row>
    <row r="9" spans="1:15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613</v>
      </c>
      <c r="I9" s="1018"/>
      <c r="J9" s="226" t="str">
        <f>+'14'!J9</f>
        <v>SN 15 VP OW</v>
      </c>
      <c r="K9" s="250"/>
      <c r="L9" s="250"/>
      <c r="M9" s="129">
        <f>+K9+'14'!M9+L9</f>
        <v>2504</v>
      </c>
    </row>
    <row r="10" spans="1:15" ht="13.5" thickBot="1">
      <c r="A10" s="1015"/>
      <c r="B10" s="227"/>
      <c r="C10" s="228"/>
      <c r="D10" s="229"/>
      <c r="E10" s="231"/>
      <c r="F10" s="239"/>
      <c r="G10" s="243"/>
      <c r="H10" s="598" t="s">
        <v>668</v>
      </c>
      <c r="I10" s="1018"/>
      <c r="J10" s="226" t="str">
        <f>+'14'!J10</f>
        <v>MG 15,5 VP OW</v>
      </c>
      <c r="K10" s="250"/>
      <c r="L10" s="250"/>
      <c r="M10" s="129">
        <f>+K10+'14'!M10+L10</f>
        <v>62505</v>
      </c>
    </row>
    <row r="11" spans="1:15" ht="13.5" thickBot="1">
      <c r="A11" s="1015"/>
      <c r="B11" s="227"/>
      <c r="C11" s="228"/>
      <c r="D11" s="229"/>
      <c r="E11" s="231"/>
      <c r="F11" s="239"/>
      <c r="G11" s="243"/>
      <c r="H11" s="244" t="s">
        <v>655</v>
      </c>
      <c r="I11" s="1018"/>
      <c r="J11" s="226" t="str">
        <f>+'14'!J11</f>
        <v>MG 16,5 VP OW</v>
      </c>
      <c r="K11" s="250"/>
      <c r="L11" s="250"/>
      <c r="M11" s="129">
        <f>+K11+'14'!M11+L11</f>
        <v>37635</v>
      </c>
    </row>
    <row r="12" spans="1:15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+'14'!J12</f>
        <v>MG 21 VP OW</v>
      </c>
      <c r="K12" s="250"/>
      <c r="L12" s="250"/>
      <c r="M12" s="129">
        <f>+K12+'14'!M12+L12</f>
        <v>206161</v>
      </c>
    </row>
    <row r="13" spans="1:15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+'14'!J13</f>
        <v>MG 22 VP HW</v>
      </c>
      <c r="K13" s="250"/>
      <c r="L13" s="250"/>
      <c r="M13" s="129">
        <f>+K13+'14'!M13+L13</f>
        <v>10130</v>
      </c>
    </row>
    <row r="14" spans="1:15" ht="13.5" thickBot="1">
      <c r="A14" s="1016"/>
      <c r="B14" s="177" t="s">
        <v>2</v>
      </c>
      <c r="C14" s="111">
        <f>SUM(C7:C13)</f>
        <v>17341</v>
      </c>
      <c r="D14" s="123">
        <f>SUM(D7:D13)</f>
        <v>0</v>
      </c>
      <c r="E14" s="124">
        <f>SUM(E5:E13)</f>
        <v>0</v>
      </c>
      <c r="F14" s="128">
        <f>SUM(F7:F13)</f>
        <v>22</v>
      </c>
      <c r="G14" s="171"/>
      <c r="H14" s="178"/>
      <c r="I14" s="179"/>
      <c r="J14" s="226" t="str">
        <f>+'14'!J14</f>
        <v>MG 17 VP HW/OW</v>
      </c>
      <c r="K14" s="250"/>
      <c r="L14" s="250"/>
      <c r="M14" s="129">
        <f>+K14+'14'!M14+L14</f>
        <v>7375</v>
      </c>
    </row>
    <row r="15" spans="1:15" ht="13.5" customHeight="1" thickBot="1">
      <c r="A15" s="1014" t="s">
        <v>648</v>
      </c>
      <c r="B15" s="177"/>
      <c r="C15" s="125"/>
      <c r="D15" s="126"/>
      <c r="E15" s="127"/>
      <c r="F15" s="239">
        <v>40</v>
      </c>
      <c r="G15" s="240" t="s">
        <v>12</v>
      </c>
      <c r="H15" s="241" t="s">
        <v>640</v>
      </c>
      <c r="I15" s="1017" t="s">
        <v>651</v>
      </c>
      <c r="J15" s="226" t="str">
        <f>+'14'!J15</f>
        <v>MG 14 VP HW</v>
      </c>
      <c r="K15" s="250"/>
      <c r="L15" s="250"/>
      <c r="M15" s="129">
        <f>+K15+'14'!M15+L15</f>
        <v>47118</v>
      </c>
    </row>
    <row r="16" spans="1:15" ht="13.5" thickBot="1">
      <c r="A16" s="1020"/>
      <c r="B16" s="227" t="s">
        <v>568</v>
      </c>
      <c r="C16" s="233">
        <v>16913</v>
      </c>
      <c r="D16" s="234"/>
      <c r="E16" s="235"/>
      <c r="F16" s="239">
        <v>8</v>
      </c>
      <c r="G16" s="243" t="s">
        <v>12</v>
      </c>
      <c r="H16" s="241" t="s">
        <v>598</v>
      </c>
      <c r="I16" s="1018"/>
      <c r="J16" s="226" t="str">
        <f>+'14'!J16</f>
        <v>F 12 VP OW</v>
      </c>
      <c r="K16" s="250">
        <f>+C34</f>
        <v>55631</v>
      </c>
      <c r="L16" s="240"/>
      <c r="M16" s="129">
        <f>+K16+'14'!M16+L16</f>
        <v>364310</v>
      </c>
    </row>
    <row r="17" spans="1:14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613</v>
      </c>
      <c r="I17" s="1018"/>
      <c r="J17" s="226" t="str">
        <f>+'14'!J17</f>
        <v>F 10,5 VP OW</v>
      </c>
      <c r="K17" s="250"/>
      <c r="L17" s="240"/>
      <c r="M17" s="129">
        <f>+K17+'14'!M17+L17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668</v>
      </c>
      <c r="I18" s="1018"/>
      <c r="J18" s="226">
        <f>+'14'!J18</f>
        <v>0</v>
      </c>
      <c r="K18" s="250"/>
      <c r="L18" s="250"/>
      <c r="M18" s="129">
        <f>+K18+'14'!M18+L18</f>
        <v>0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 t="s">
        <v>670</v>
      </c>
      <c r="I19" s="1018"/>
      <c r="J19" s="226">
        <f>+'14'!J19</f>
        <v>0</v>
      </c>
      <c r="K19" s="250"/>
      <c r="L19" s="250"/>
      <c r="M19" s="129">
        <f>+K19+'14'!M19+L19</f>
        <v>0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+'14'!J20</f>
        <v>0</v>
      </c>
      <c r="K20" s="251"/>
      <c r="L20" s="251"/>
      <c r="M20" s="129">
        <f>+K20+'14'!M20+L20</f>
        <v>0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+'14'!J21</f>
        <v>0</v>
      </c>
      <c r="K21" s="250"/>
      <c r="L21" s="250"/>
      <c r="M21" s="129">
        <f>+K21+'14'!M21+L21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+'14'!J22</f>
        <v>0</v>
      </c>
      <c r="K22" s="250"/>
      <c r="L22" s="250"/>
      <c r="M22" s="129">
        <f>+K22+'14'!M22+L22</f>
        <v>0</v>
      </c>
    </row>
    <row r="23" spans="1:14" ht="13.5" thickBot="1">
      <c r="A23" s="1021"/>
      <c r="B23" s="180" t="s">
        <v>2</v>
      </c>
      <c r="C23" s="112">
        <f>SUM(C16:C22)</f>
        <v>16913</v>
      </c>
      <c r="D23" s="123">
        <f>SUM(D16:D22)</f>
        <v>0</v>
      </c>
      <c r="E23" s="124">
        <f>SUM(E18:E22)</f>
        <v>0</v>
      </c>
      <c r="F23" s="128">
        <f>SUM(F15:F22)</f>
        <v>58</v>
      </c>
      <c r="G23" s="171"/>
      <c r="H23" s="178" t="s">
        <v>237</v>
      </c>
      <c r="I23" s="181"/>
      <c r="J23" s="226">
        <f>+'14'!J23</f>
        <v>0</v>
      </c>
      <c r="K23" s="250"/>
      <c r="L23" s="250"/>
      <c r="M23" s="129">
        <f>+K23+'14'!M23+L23</f>
        <v>0</v>
      </c>
    </row>
    <row r="24" spans="1:14" ht="13.5" customHeight="1" thickBot="1">
      <c r="A24" s="1014" t="s">
        <v>486</v>
      </c>
      <c r="B24" s="182"/>
      <c r="C24" s="125"/>
      <c r="D24" s="126"/>
      <c r="E24" s="127"/>
      <c r="F24" s="239">
        <v>20</v>
      </c>
      <c r="G24" s="240" t="s">
        <v>12</v>
      </c>
      <c r="H24" s="241" t="s">
        <v>540</v>
      </c>
      <c r="I24" s="1017" t="s">
        <v>651</v>
      </c>
      <c r="J24" s="226">
        <f>+'14'!J24</f>
        <v>0</v>
      </c>
      <c r="K24" s="250"/>
      <c r="L24" s="250"/>
      <c r="M24" s="129">
        <f>+K24+'14'!M24+L24</f>
        <v>0</v>
      </c>
    </row>
    <row r="25" spans="1:14" ht="13.5" thickBot="1">
      <c r="A25" s="1020"/>
      <c r="B25" s="227" t="s">
        <v>568</v>
      </c>
      <c r="C25" s="237">
        <v>21377</v>
      </c>
      <c r="D25" s="229"/>
      <c r="E25" s="236"/>
      <c r="F25" s="239">
        <v>12</v>
      </c>
      <c r="G25" s="243" t="s">
        <v>12</v>
      </c>
      <c r="H25" s="241" t="s">
        <v>618</v>
      </c>
      <c r="I25" s="1018"/>
      <c r="J25" s="226">
        <f>+'14'!J25</f>
        <v>0</v>
      </c>
      <c r="K25" s="250"/>
      <c r="L25" s="250"/>
      <c r="M25" s="129">
        <f>+K25+'14'!M25+L25</f>
        <v>0</v>
      </c>
    </row>
    <row r="26" spans="1:14" ht="13.5" thickBot="1">
      <c r="A26" s="1020"/>
      <c r="B26" s="227"/>
      <c r="C26" s="237"/>
      <c r="D26" s="229"/>
      <c r="E26" s="238"/>
      <c r="F26" s="239">
        <v>14</v>
      </c>
      <c r="G26" s="243" t="s">
        <v>12</v>
      </c>
      <c r="H26" s="598" t="s">
        <v>662</v>
      </c>
      <c r="I26" s="1018"/>
      <c r="J26" s="226">
        <f>+'14'!J26</f>
        <v>0</v>
      </c>
      <c r="K26" s="250"/>
      <c r="L26" s="250"/>
      <c r="M26" s="129">
        <f>+K26+'14'!M26+L26</f>
        <v>0</v>
      </c>
    </row>
    <row r="27" spans="1:14" ht="13.5" thickBot="1">
      <c r="A27" s="1020"/>
      <c r="B27" s="227"/>
      <c r="C27" s="228"/>
      <c r="D27" s="229"/>
      <c r="E27" s="236"/>
      <c r="F27" s="239"/>
      <c r="G27" s="243"/>
      <c r="H27" s="598" t="s">
        <v>668</v>
      </c>
      <c r="I27" s="1018"/>
      <c r="J27" s="226">
        <f>+'14'!J27</f>
        <v>0</v>
      </c>
      <c r="K27" s="250"/>
      <c r="L27" s="250"/>
      <c r="M27" s="129">
        <f>+K27+'14'!M27+L27</f>
        <v>0</v>
      </c>
    </row>
    <row r="28" spans="1:14" ht="13.5" thickBot="1">
      <c r="A28" s="1020"/>
      <c r="B28" s="227"/>
      <c r="C28" s="228"/>
      <c r="D28" s="229"/>
      <c r="E28" s="236"/>
      <c r="F28" s="246"/>
      <c r="G28" s="243"/>
      <c r="H28" s="244" t="s">
        <v>669</v>
      </c>
      <c r="I28" s="1018"/>
      <c r="J28" s="226">
        <f>+'14'!J28</f>
        <v>0</v>
      </c>
      <c r="K28" s="250"/>
      <c r="L28" s="250"/>
      <c r="M28" s="129">
        <f>+K28+'14'!M28+L28</f>
        <v>0</v>
      </c>
    </row>
    <row r="29" spans="1:14" ht="13.5" thickBot="1">
      <c r="A29" s="1020"/>
      <c r="B29" s="227"/>
      <c r="C29" s="228"/>
      <c r="D29" s="229"/>
      <c r="E29" s="236"/>
      <c r="F29" s="239"/>
      <c r="G29" s="243"/>
      <c r="H29" s="244"/>
      <c r="I29" s="1018"/>
      <c r="J29" s="226">
        <f>+'14'!J29</f>
        <v>0</v>
      </c>
      <c r="K29" s="250"/>
      <c r="L29" s="250"/>
      <c r="M29" s="129">
        <f>+K29+'14'!M29+L29</f>
        <v>0</v>
      </c>
    </row>
    <row r="30" spans="1:14" ht="13.5" thickBot="1">
      <c r="A30" s="1020"/>
      <c r="B30" s="227"/>
      <c r="C30" s="237"/>
      <c r="D30" s="229"/>
      <c r="E30" s="236"/>
      <c r="F30" s="242"/>
      <c r="G30" s="243"/>
      <c r="H30" s="503"/>
      <c r="I30" s="1018"/>
      <c r="J30" s="226">
        <f>+'14'!J30</f>
        <v>0</v>
      </c>
      <c r="K30" s="250"/>
      <c r="L30" s="250"/>
      <c r="M30" s="129">
        <f>+K30+'14'!M30+L30</f>
        <v>0</v>
      </c>
      <c r="N30" s="167"/>
    </row>
    <row r="31" spans="1:14" ht="13.5" thickBot="1">
      <c r="A31" s="1020"/>
      <c r="B31" s="227"/>
      <c r="C31" s="237"/>
      <c r="D31" s="229"/>
      <c r="E31" s="236"/>
      <c r="F31" s="247"/>
      <c r="G31" s="243"/>
      <c r="H31" s="244"/>
      <c r="I31" s="1019"/>
      <c r="J31" s="226">
        <f>+'14'!J31</f>
        <v>0</v>
      </c>
      <c r="K31" s="250"/>
      <c r="L31" s="250"/>
      <c r="M31" s="129">
        <f>+K31+'14'!M31+L31</f>
        <v>0</v>
      </c>
    </row>
    <row r="32" spans="1:14" ht="13.5" thickBot="1">
      <c r="A32" s="1021"/>
      <c r="B32" s="177" t="s">
        <v>2</v>
      </c>
      <c r="C32" s="111">
        <f>SUM(C25:C31)</f>
        <v>21377</v>
      </c>
      <c r="D32" s="112">
        <f>SUM(D25:D31)</f>
        <v>0</v>
      </c>
      <c r="E32" s="113">
        <f>SUM(E25:E31)</f>
        <v>0</v>
      </c>
      <c r="F32" s="114">
        <f>SUM(F24:F31)</f>
        <v>46</v>
      </c>
      <c r="G32" s="183"/>
      <c r="H32" s="184"/>
      <c r="I32" s="181"/>
      <c r="J32" s="226">
        <f>+'14'!J32</f>
        <v>0</v>
      </c>
      <c r="K32" s="252"/>
      <c r="L32" s="254"/>
      <c r="M32" s="129">
        <f>+K32+'14'!M32+L32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55631</v>
      </c>
      <c r="D34" s="119">
        <f>D14+D23+D32</f>
        <v>0</v>
      </c>
      <c r="E34" s="119">
        <f>E14+E23+E32</f>
        <v>0</v>
      </c>
      <c r="F34" s="120">
        <f>F14+F23+F32</f>
        <v>126</v>
      </c>
      <c r="H34" s="190"/>
      <c r="I34" s="190"/>
      <c r="J34" s="135" t="s">
        <v>28</v>
      </c>
      <c r="K34" s="136">
        <f>SUM(K7:K32)</f>
        <v>55631</v>
      </c>
      <c r="L34" s="224">
        <f>SUM(L7:L32)</f>
        <v>0</v>
      </c>
      <c r="M34" s="132">
        <f>SUM(M7:M32)</f>
        <v>846308</v>
      </c>
      <c r="N34" s="167"/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(12*1440)/1440*G42*2.77*1440/1000000</f>
        <v>60.387240959999993</v>
      </c>
      <c r="J37" s="137">
        <f>+I37+'14'!J37</f>
        <v>952.10046248191043</v>
      </c>
      <c r="K37" s="138" t="s">
        <v>64</v>
      </c>
    </row>
    <row r="38" spans="1:14" ht="17.45" customHeight="1">
      <c r="A38" s="1012" t="s">
        <v>12</v>
      </c>
      <c r="B38" s="1013"/>
      <c r="C38" s="176">
        <f>SUMIF($G$7:$G$31,"Process",$F$7:$F$31)</f>
        <v>126</v>
      </c>
      <c r="D38" s="130">
        <f>+C38+'14'!D38</f>
        <v>1038</v>
      </c>
      <c r="E38" s="155">
        <f t="shared" ref="E38:E51" si="0">D38/60</f>
        <v>17.3</v>
      </c>
      <c r="F38" s="340">
        <v>1660</v>
      </c>
      <c r="G38" s="340">
        <f>+F38-F38*0.24</f>
        <v>1261.5999999999999</v>
      </c>
      <c r="H38" s="199" t="s">
        <v>65</v>
      </c>
      <c r="I38" s="553">
        <f>18.305+17.337+22.03</f>
        <v>57.671999999999997</v>
      </c>
      <c r="J38" s="139">
        <f>+I38+'14'!J38</f>
        <v>887.41000000000008</v>
      </c>
      <c r="K38" s="140" t="s">
        <v>64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+C39+'14'!D39</f>
        <v>0</v>
      </c>
      <c r="E39" s="155">
        <f t="shared" si="0"/>
        <v>0</v>
      </c>
      <c r="F39" s="340">
        <v>1660</v>
      </c>
      <c r="G39" s="340">
        <f>+F39-F39*0.24</f>
        <v>1261.5999999999999</v>
      </c>
      <c r="H39" s="199" t="s">
        <v>66</v>
      </c>
      <c r="I39" s="154"/>
      <c r="J39" s="141">
        <f>J37/G4</f>
        <v>63.473364165460694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+C40+'14'!D40</f>
        <v>0</v>
      </c>
      <c r="E40" s="155">
        <f t="shared" si="0"/>
        <v>0</v>
      </c>
      <c r="F40" s="340">
        <v>1660</v>
      </c>
      <c r="G40" s="340">
        <f>+F40-F40*0.24</f>
        <v>1261.5999999999999</v>
      </c>
      <c r="H40" s="199" t="s">
        <v>68</v>
      </c>
      <c r="I40" s="130">
        <f>(K34+L34)/1000</f>
        <v>55.631</v>
      </c>
      <c r="J40" s="143">
        <f>+I40+'14'!J40</f>
        <v>846.30799999999988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+C41+'14'!D41</f>
        <v>132</v>
      </c>
      <c r="E41" s="155">
        <f t="shared" si="0"/>
        <v>2.2000000000000002</v>
      </c>
      <c r="F41" s="340"/>
      <c r="G41" s="340"/>
      <c r="H41" s="199" t="s">
        <v>70</v>
      </c>
      <c r="I41" s="154"/>
      <c r="J41" s="141">
        <f>J40/G4</f>
        <v>56.420533333333324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+C42+'14'!D42</f>
        <v>0</v>
      </c>
      <c r="E42" s="155">
        <f t="shared" si="0"/>
        <v>0</v>
      </c>
      <c r="F42" s="340">
        <f>+(F38*480+F39*480+F40*480)/1440</f>
        <v>1660</v>
      </c>
      <c r="G42" s="340">
        <f>+(G38*480+G39*480+G40*480)/1440</f>
        <v>1261.5999999999999</v>
      </c>
      <c r="H42" s="199" t="s">
        <v>71</v>
      </c>
      <c r="I42" s="257" t="s">
        <v>651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+C43+'14'!D43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+Report1!T23</f>
        <v>118.06899999999999</v>
      </c>
      <c r="J43" s="145">
        <f>+I43+'14'!J43</f>
        <v>1940.9569999999999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+C44+'14'!D44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2.0472499653211265</v>
      </c>
      <c r="J44" s="146">
        <f>J43/J38</f>
        <v>2.1872156049627565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+C45+'14'!D45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2.1223598353436031</v>
      </c>
      <c r="J45" s="146">
        <f>J43/J40</f>
        <v>2.2934404495762775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+C46+'14'!D46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+SUMIF(Listrik!AR22,"&gt;0")</f>
        <v>56947.200000001729</v>
      </c>
      <c r="J46" s="147">
        <f>+I46+'14'!J46</f>
        <v>806078.52000000095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+C47+'14'!D47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987.43237619645117</v>
      </c>
      <c r="J47" s="147">
        <f>J46/J38</f>
        <v>908.34960164974575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+C48+'14'!D48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1023.6594704391747</v>
      </c>
      <c r="J48" s="147">
        <f>J46/J40</f>
        <v>952.46472915298102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+C49+'14'!D49</f>
        <v>878</v>
      </c>
      <c r="E49" s="155">
        <f t="shared" si="0"/>
        <v>14.633333333333333</v>
      </c>
      <c r="F49" s="197"/>
      <c r="H49" s="200" t="s">
        <v>83</v>
      </c>
      <c r="I49" s="130">
        <v>0</v>
      </c>
      <c r="J49" s="147">
        <f>+I49+'14'!J49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+C50+'14'!D50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+C51+'14'!D51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126</v>
      </c>
      <c r="D52" s="156">
        <f>SUM(D38:D51)</f>
        <v>2048</v>
      </c>
      <c r="E52" s="157">
        <f>SUM(E38:E51)</f>
        <v>34.133333333333333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8.7499999999999994E-2</v>
      </c>
      <c r="D53" s="158">
        <f>D52/(24*60*G4)</f>
        <v>9.481481481481481E-2</v>
      </c>
      <c r="E53" s="159">
        <f>E52/(G4*24)</f>
        <v>9.481481481481481E-2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+D34+'14'!J56</f>
        <v>20382</v>
      </c>
      <c r="K56" s="213">
        <f>J56/(J40+J56/1000)/1000</f>
        <v>2.3517059156099647E-2</v>
      </c>
    </row>
    <row r="57" spans="1:11">
      <c r="A57" s="188"/>
      <c r="I57" s="211" t="s">
        <v>90</v>
      </c>
      <c r="J57" s="212">
        <f>+E34+'14'!J57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7:I13"/>
    <mergeCell ref="A15:A23"/>
    <mergeCell ref="I15:I22"/>
    <mergeCell ref="A44:B44"/>
    <mergeCell ref="A45:B45"/>
    <mergeCell ref="A42:B42"/>
    <mergeCell ref="I24:I31"/>
    <mergeCell ref="A24:A3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A53:B53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14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187+208+222</f>
        <v>617</v>
      </c>
    </row>
    <row r="7" spans="1:18" ht="13.5" customHeight="1" thickBot="1">
      <c r="A7" s="1014" t="s">
        <v>542</v>
      </c>
      <c r="B7" s="227" t="s">
        <v>568</v>
      </c>
      <c r="C7" s="228">
        <v>18015</v>
      </c>
      <c r="D7" s="229"/>
      <c r="E7" s="230"/>
      <c r="F7" s="239">
        <v>5</v>
      </c>
      <c r="G7" s="240" t="s">
        <v>12</v>
      </c>
      <c r="H7" s="241" t="s">
        <v>541</v>
      </c>
      <c r="I7" s="1017" t="s">
        <v>659</v>
      </c>
      <c r="J7" s="226" t="str">
        <f>+'13'!J7</f>
        <v>F 13 VP OW</v>
      </c>
      <c r="K7" s="249"/>
      <c r="L7" s="253"/>
      <c r="M7" s="129">
        <f>+K7+'13'!M7+L7</f>
        <v>19690</v>
      </c>
    </row>
    <row r="8" spans="1:18" ht="13.5" thickBot="1">
      <c r="A8" s="1015"/>
      <c r="B8" s="227"/>
      <c r="C8" s="228"/>
      <c r="D8" s="229"/>
      <c r="E8" s="231"/>
      <c r="F8" s="242">
        <v>7</v>
      </c>
      <c r="G8" s="243" t="s">
        <v>12</v>
      </c>
      <c r="H8" s="241" t="s">
        <v>456</v>
      </c>
      <c r="I8" s="1018"/>
      <c r="J8" s="226" t="str">
        <f>+'13'!J8</f>
        <v>F 10,3 VP OW</v>
      </c>
      <c r="K8" s="250"/>
      <c r="L8" s="250"/>
      <c r="M8" s="129">
        <f>+K8+'13'!M8+L8</f>
        <v>53369</v>
      </c>
      <c r="N8" s="161">
        <v>1670</v>
      </c>
      <c r="O8" s="161">
        <f>+N8-N8*0.24</f>
        <v>1269.2</v>
      </c>
      <c r="P8" s="161">
        <f>360+10</f>
        <v>370</v>
      </c>
      <c r="Q8" s="161">
        <f>+N8*P8</f>
        <v>617900</v>
      </c>
      <c r="R8" s="161">
        <f>+O8*P8</f>
        <v>469604</v>
      </c>
    </row>
    <row r="9" spans="1:18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422</v>
      </c>
      <c r="I9" s="1018"/>
      <c r="J9" s="226" t="str">
        <f>+'13'!J9</f>
        <v>SN 15 VP OW</v>
      </c>
      <c r="K9" s="250"/>
      <c r="L9" s="250"/>
      <c r="M9" s="129">
        <f>+K9+'13'!M9+L9</f>
        <v>2504</v>
      </c>
      <c r="N9" s="161">
        <v>1680</v>
      </c>
      <c r="O9" s="161">
        <f>+N9-N9*0.24</f>
        <v>1276.8</v>
      </c>
      <c r="P9" s="161">
        <f>50+60</f>
        <v>110</v>
      </c>
      <c r="Q9" s="161">
        <f>+N9*P9</f>
        <v>184800</v>
      </c>
      <c r="R9" s="161">
        <f>+O9*P9</f>
        <v>140448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649</v>
      </c>
      <c r="I10" s="1018"/>
      <c r="J10" s="226" t="str">
        <f>+'13'!J10</f>
        <v>MG 15,5 VP OW</v>
      </c>
      <c r="K10" s="250"/>
      <c r="L10" s="250"/>
      <c r="M10" s="129">
        <f>+K10+'13'!M10+L10</f>
        <v>62505</v>
      </c>
      <c r="P10" s="161">
        <f>SUM(P8:P9)</f>
        <v>480</v>
      </c>
      <c r="Q10" s="161">
        <f>SUM(Q8:Q9)</f>
        <v>802700</v>
      </c>
      <c r="R10" s="161">
        <f>SUM(R8:R9)</f>
        <v>610052</v>
      </c>
    </row>
    <row r="11" spans="1:18" ht="13.5" thickBot="1">
      <c r="A11" s="1015"/>
      <c r="B11" s="227"/>
      <c r="C11" s="228"/>
      <c r="D11" s="229"/>
      <c r="E11" s="231"/>
      <c r="F11" s="239">
        <v>8</v>
      </c>
      <c r="G11" s="243" t="s">
        <v>12</v>
      </c>
      <c r="H11" s="598" t="s">
        <v>654</v>
      </c>
      <c r="I11" s="1018"/>
      <c r="J11" s="226" t="str">
        <f>+'13'!J11</f>
        <v>MG 16,5 VP OW</v>
      </c>
      <c r="K11" s="250"/>
      <c r="L11" s="250"/>
      <c r="M11" s="129">
        <f>+K11+'13'!M11+L11</f>
        <v>37635</v>
      </c>
      <c r="Q11" s="161">
        <f>+Q10/P10</f>
        <v>1672.2916666666667</v>
      </c>
      <c r="R11" s="161">
        <f>+R10/P10</f>
        <v>1270.9416666666666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244" t="s">
        <v>655</v>
      </c>
      <c r="I12" s="1018"/>
      <c r="J12" s="226" t="str">
        <f>+'13'!J12</f>
        <v>MG 21 VP OW</v>
      </c>
      <c r="K12" s="250"/>
      <c r="L12" s="250"/>
      <c r="M12" s="129">
        <f>+K12+'13'!M12+L12</f>
        <v>206161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+'13'!J13</f>
        <v>MG 22 VP HW</v>
      </c>
      <c r="K13" s="250"/>
      <c r="L13" s="250"/>
      <c r="M13" s="129">
        <f>+K13+'13'!M13+L13</f>
        <v>10130</v>
      </c>
    </row>
    <row r="14" spans="1:18" ht="13.5" thickBot="1">
      <c r="A14" s="1016"/>
      <c r="B14" s="177" t="s">
        <v>2</v>
      </c>
      <c r="C14" s="111">
        <f>SUM(C7:C13)</f>
        <v>18015</v>
      </c>
      <c r="D14" s="123">
        <f>SUM(D7:D13)</f>
        <v>0</v>
      </c>
      <c r="E14" s="124">
        <f>SUM(E5:E13)</f>
        <v>0</v>
      </c>
      <c r="F14" s="128">
        <f>SUM(F7:F13)</f>
        <v>30</v>
      </c>
      <c r="G14" s="171"/>
      <c r="H14" s="178"/>
      <c r="I14" s="179"/>
      <c r="J14" s="226" t="str">
        <f>+'13'!J14</f>
        <v>MG 17 VP HW/OW</v>
      </c>
      <c r="K14" s="250"/>
      <c r="L14" s="250"/>
      <c r="M14" s="129">
        <f>+K14+'13'!M14+L14</f>
        <v>7375</v>
      </c>
    </row>
    <row r="15" spans="1:18" ht="13.5" customHeight="1" thickBot="1">
      <c r="A15" s="1014" t="s">
        <v>648</v>
      </c>
      <c r="B15" s="177"/>
      <c r="C15" s="125"/>
      <c r="D15" s="126"/>
      <c r="E15" s="127"/>
      <c r="F15" s="239">
        <v>5</v>
      </c>
      <c r="G15" s="240" t="s">
        <v>12</v>
      </c>
      <c r="H15" s="241" t="s">
        <v>541</v>
      </c>
      <c r="I15" s="1017" t="s">
        <v>609</v>
      </c>
      <c r="J15" s="226" t="str">
        <f>+'13'!J15</f>
        <v>MG 14 VP HW</v>
      </c>
      <c r="K15" s="250"/>
      <c r="L15" s="250"/>
      <c r="M15" s="129">
        <f>+K15+'13'!M15+L15</f>
        <v>47118</v>
      </c>
    </row>
    <row r="16" spans="1:18" ht="13.5" thickBot="1">
      <c r="A16" s="1020"/>
      <c r="B16" s="227" t="s">
        <v>568</v>
      </c>
      <c r="C16" s="233">
        <v>23229</v>
      </c>
      <c r="D16" s="234"/>
      <c r="E16" s="235"/>
      <c r="F16" s="239">
        <v>11</v>
      </c>
      <c r="G16" s="243" t="s">
        <v>12</v>
      </c>
      <c r="H16" s="241" t="s">
        <v>663</v>
      </c>
      <c r="I16" s="1018"/>
      <c r="J16" s="226" t="str">
        <f>+'13'!J16</f>
        <v>F 12 VP OW</v>
      </c>
      <c r="K16" s="250">
        <f>+C34</f>
        <v>60683</v>
      </c>
      <c r="L16" s="240"/>
      <c r="M16" s="129">
        <f>+K16+'13'!M16+L16</f>
        <v>308679</v>
      </c>
    </row>
    <row r="17" spans="1:18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664</v>
      </c>
      <c r="I17" s="1018"/>
      <c r="J17" s="226" t="str">
        <f>+'13'!J17</f>
        <v>F 10,5 VP OW</v>
      </c>
      <c r="K17" s="250"/>
      <c r="L17" s="240"/>
      <c r="M17" s="129">
        <f>+K17+'13'!M17+L17</f>
        <v>35511</v>
      </c>
      <c r="Q17" s="161">
        <v>1680</v>
      </c>
      <c r="R17" s="161">
        <f>+Q17-Q17*0.24</f>
        <v>1276.8</v>
      </c>
    </row>
    <row r="18" spans="1:18" ht="13.5" thickBot="1">
      <c r="A18" s="1020"/>
      <c r="B18" s="227"/>
      <c r="C18" s="228"/>
      <c r="D18" s="229"/>
      <c r="E18" s="236"/>
      <c r="F18" s="239"/>
      <c r="G18" s="243"/>
      <c r="H18" s="598" t="s">
        <v>658</v>
      </c>
      <c r="I18" s="1018"/>
      <c r="J18" s="226">
        <f>+'13'!J18</f>
        <v>0</v>
      </c>
      <c r="K18" s="250"/>
      <c r="L18" s="250"/>
      <c r="M18" s="129">
        <f>+K18+'13'!M18+L18</f>
        <v>0</v>
      </c>
    </row>
    <row r="19" spans="1:18" ht="13.5" thickBot="1">
      <c r="A19" s="1020"/>
      <c r="B19" s="227"/>
      <c r="C19" s="228"/>
      <c r="D19" s="229"/>
      <c r="E19" s="236"/>
      <c r="F19" s="246"/>
      <c r="G19" s="243"/>
      <c r="H19" s="244" t="s">
        <v>657</v>
      </c>
      <c r="I19" s="1018"/>
      <c r="J19" s="226">
        <f>+'13'!J19</f>
        <v>0</v>
      </c>
      <c r="K19" s="250"/>
      <c r="L19" s="250"/>
      <c r="M19" s="129">
        <f>+K19+'13'!M19+L19</f>
        <v>0</v>
      </c>
    </row>
    <row r="20" spans="1:18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+'13'!J20</f>
        <v>0</v>
      </c>
      <c r="K20" s="251"/>
      <c r="L20" s="251"/>
      <c r="M20" s="129">
        <f>+K20+'13'!M20+L20</f>
        <v>0</v>
      </c>
    </row>
    <row r="21" spans="1:18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+'13'!J21</f>
        <v>0</v>
      </c>
      <c r="K21" s="250"/>
      <c r="L21" s="250"/>
      <c r="M21" s="129">
        <f>+K21+'13'!M21+L21</f>
        <v>0</v>
      </c>
    </row>
    <row r="22" spans="1:18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+'13'!J22</f>
        <v>0</v>
      </c>
      <c r="K22" s="250"/>
      <c r="L22" s="250"/>
      <c r="M22" s="129">
        <f>+K22+'13'!M22+L22</f>
        <v>0</v>
      </c>
    </row>
    <row r="23" spans="1:18" ht="13.5" thickBot="1">
      <c r="A23" s="1021"/>
      <c r="B23" s="180" t="s">
        <v>2</v>
      </c>
      <c r="C23" s="112">
        <f>SUM(C16:C22)</f>
        <v>23229</v>
      </c>
      <c r="D23" s="123">
        <f>SUM(D16:D22)</f>
        <v>0</v>
      </c>
      <c r="E23" s="124">
        <f>SUM(E18:E22)</f>
        <v>0</v>
      </c>
      <c r="F23" s="128">
        <f>SUM(F15:F22)</f>
        <v>26</v>
      </c>
      <c r="G23" s="171"/>
      <c r="H23" s="178" t="s">
        <v>237</v>
      </c>
      <c r="I23" s="181"/>
      <c r="J23" s="226">
        <f>+'13'!J23</f>
        <v>0</v>
      </c>
      <c r="K23" s="250"/>
      <c r="L23" s="250"/>
      <c r="M23" s="129">
        <f>+K23+'13'!M23+L23</f>
        <v>0</v>
      </c>
    </row>
    <row r="24" spans="1:18" ht="13.5" customHeight="1" thickBot="1">
      <c r="A24" s="1014" t="s">
        <v>486</v>
      </c>
      <c r="B24" s="182"/>
      <c r="C24" s="125"/>
      <c r="D24" s="126"/>
      <c r="E24" s="127"/>
      <c r="F24" s="239">
        <v>5</v>
      </c>
      <c r="G24" s="240" t="s">
        <v>12</v>
      </c>
      <c r="H24" s="241" t="s">
        <v>541</v>
      </c>
      <c r="I24" s="1017" t="s">
        <v>660</v>
      </c>
      <c r="J24" s="226">
        <f>+'13'!J24</f>
        <v>0</v>
      </c>
      <c r="K24" s="250"/>
      <c r="L24" s="250"/>
      <c r="M24" s="129">
        <f>+K24+'13'!M24+L24</f>
        <v>0</v>
      </c>
    </row>
    <row r="25" spans="1:18" ht="13.5" thickBot="1">
      <c r="A25" s="1020"/>
      <c r="B25" s="227" t="s">
        <v>568</v>
      </c>
      <c r="C25" s="237">
        <v>19439</v>
      </c>
      <c r="D25" s="229"/>
      <c r="E25" s="236"/>
      <c r="F25" s="239">
        <v>12</v>
      </c>
      <c r="G25" s="243" t="s">
        <v>12</v>
      </c>
      <c r="H25" s="241" t="s">
        <v>618</v>
      </c>
      <c r="I25" s="1018"/>
      <c r="J25" s="226">
        <f>+'13'!J25</f>
        <v>0</v>
      </c>
      <c r="K25" s="250"/>
      <c r="L25" s="250"/>
      <c r="M25" s="129">
        <f>+K25+'13'!M25+L25</f>
        <v>0</v>
      </c>
      <c r="N25" s="161">
        <v>1680</v>
      </c>
      <c r="O25" s="161">
        <f>+N25-N25*0.24</f>
        <v>1276.8</v>
      </c>
      <c r="P25" s="161">
        <v>45</v>
      </c>
      <c r="Q25" s="161">
        <f>+N25*P25</f>
        <v>75600</v>
      </c>
      <c r="R25" s="161">
        <f>+O25*P25</f>
        <v>57456</v>
      </c>
    </row>
    <row r="26" spans="1:18" ht="13.5" thickBot="1">
      <c r="A26" s="1020"/>
      <c r="B26" s="227"/>
      <c r="C26" s="237"/>
      <c r="D26" s="229"/>
      <c r="E26" s="238"/>
      <c r="F26" s="239">
        <v>15</v>
      </c>
      <c r="G26" s="243" t="s">
        <v>12</v>
      </c>
      <c r="H26" s="598" t="s">
        <v>662</v>
      </c>
      <c r="I26" s="1018"/>
      <c r="J26" s="226">
        <f>+'13'!J26</f>
        <v>0</v>
      </c>
      <c r="K26" s="250"/>
      <c r="L26" s="250"/>
      <c r="M26" s="129">
        <f>+K26+'13'!M26+L26</f>
        <v>0</v>
      </c>
      <c r="N26" s="161">
        <v>1660</v>
      </c>
      <c r="O26" s="161">
        <f>+N26-N26*0.24</f>
        <v>1261.5999999999999</v>
      </c>
      <c r="P26" s="161">
        <f>480-45</f>
        <v>435</v>
      </c>
      <c r="Q26" s="161">
        <f>+N26*P26</f>
        <v>722100</v>
      </c>
      <c r="R26" s="161">
        <f>+O26*P26</f>
        <v>548796</v>
      </c>
    </row>
    <row r="27" spans="1:18" ht="13.5" thickBot="1">
      <c r="A27" s="1020"/>
      <c r="B27" s="227"/>
      <c r="C27" s="228"/>
      <c r="D27" s="229"/>
      <c r="E27" s="236"/>
      <c r="F27" s="239"/>
      <c r="G27" s="243"/>
      <c r="H27" s="598" t="s">
        <v>616</v>
      </c>
      <c r="I27" s="1018"/>
      <c r="J27" s="226">
        <f>+'13'!J27</f>
        <v>0</v>
      </c>
      <c r="K27" s="250"/>
      <c r="L27" s="250"/>
      <c r="M27" s="129">
        <f>+K27+'13'!M27+L27</f>
        <v>0</v>
      </c>
      <c r="P27" s="161">
        <f>SUM(P25:P26)</f>
        <v>480</v>
      </c>
      <c r="Q27" s="161">
        <f>SUM(Q25:Q26)</f>
        <v>797700</v>
      </c>
      <c r="R27" s="161">
        <f>SUM(R25:R26)</f>
        <v>606252</v>
      </c>
    </row>
    <row r="28" spans="1:18" ht="13.5" thickBot="1">
      <c r="A28" s="1020"/>
      <c r="B28" s="227"/>
      <c r="C28" s="228"/>
      <c r="D28" s="229"/>
      <c r="E28" s="236"/>
      <c r="F28" s="246"/>
      <c r="G28" s="243"/>
      <c r="H28" s="244" t="s">
        <v>656</v>
      </c>
      <c r="I28" s="1018"/>
      <c r="J28" s="226">
        <f>+'13'!J28</f>
        <v>0</v>
      </c>
      <c r="K28" s="250"/>
      <c r="L28" s="250"/>
      <c r="M28" s="129">
        <f>+K28+'13'!M28+L28</f>
        <v>0</v>
      </c>
      <c r="Q28" s="161">
        <f>+Q27/P27</f>
        <v>1661.875</v>
      </c>
      <c r="R28" s="161">
        <f>+R27/P27</f>
        <v>1263.0250000000001</v>
      </c>
    </row>
    <row r="29" spans="1:18" ht="13.5" thickBot="1">
      <c r="A29" s="1020"/>
      <c r="B29" s="227"/>
      <c r="C29" s="228"/>
      <c r="D29" s="229"/>
      <c r="E29" s="236"/>
      <c r="F29" s="239"/>
      <c r="G29" s="243"/>
      <c r="H29" s="244"/>
      <c r="I29" s="1018"/>
      <c r="J29" s="226">
        <f>+'13'!J29</f>
        <v>0</v>
      </c>
      <c r="K29" s="250"/>
      <c r="L29" s="250"/>
      <c r="M29" s="129">
        <f>+K29+'13'!M29+L29</f>
        <v>0</v>
      </c>
    </row>
    <row r="30" spans="1:18" ht="13.5" thickBot="1">
      <c r="A30" s="1020"/>
      <c r="B30" s="227"/>
      <c r="C30" s="237"/>
      <c r="D30" s="229"/>
      <c r="E30" s="236"/>
      <c r="F30" s="242"/>
      <c r="G30" s="243"/>
      <c r="H30" s="503"/>
      <c r="I30" s="1018"/>
      <c r="J30" s="226">
        <f>+'13'!J30</f>
        <v>0</v>
      </c>
      <c r="K30" s="250"/>
      <c r="L30" s="250"/>
      <c r="M30" s="129">
        <f>+K30+'13'!M30+L30</f>
        <v>0</v>
      </c>
      <c r="N30" s="167"/>
    </row>
    <row r="31" spans="1:18" ht="13.5" thickBot="1">
      <c r="A31" s="1020"/>
      <c r="B31" s="227"/>
      <c r="C31" s="237"/>
      <c r="D31" s="229"/>
      <c r="E31" s="236"/>
      <c r="F31" s="247"/>
      <c r="G31" s="243"/>
      <c r="H31" s="244"/>
      <c r="I31" s="1019"/>
      <c r="J31" s="226">
        <f>+'13'!J31</f>
        <v>0</v>
      </c>
      <c r="K31" s="250"/>
      <c r="L31" s="250"/>
      <c r="M31" s="129">
        <f>+K31+'13'!M31+L31</f>
        <v>0</v>
      </c>
    </row>
    <row r="32" spans="1:18" ht="13.5" thickBot="1">
      <c r="A32" s="1021"/>
      <c r="B32" s="177" t="s">
        <v>2</v>
      </c>
      <c r="C32" s="111">
        <f>SUM(C25:C31)</f>
        <v>19439</v>
      </c>
      <c r="D32" s="112">
        <f>SUM(D25:D31)</f>
        <v>0</v>
      </c>
      <c r="E32" s="113">
        <f>SUM(E25:E31)</f>
        <v>0</v>
      </c>
      <c r="F32" s="114">
        <f>SUM(F24:F31)</f>
        <v>32</v>
      </c>
      <c r="G32" s="183"/>
      <c r="H32" s="184"/>
      <c r="I32" s="181"/>
      <c r="J32" s="226">
        <f>+'13'!J32</f>
        <v>0</v>
      </c>
      <c r="K32" s="252"/>
      <c r="L32" s="254"/>
      <c r="M32" s="129">
        <f>+K32+'13'!M32+L32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60683</v>
      </c>
      <c r="D34" s="119">
        <f>D14+D23+D32</f>
        <v>0</v>
      </c>
      <c r="E34" s="119">
        <f>E14+E23+E32</f>
        <v>0</v>
      </c>
      <c r="F34" s="120">
        <f>F14+F23+F32</f>
        <v>88</v>
      </c>
      <c r="H34" s="190"/>
      <c r="I34" s="190"/>
      <c r="J34" s="135" t="s">
        <v>28</v>
      </c>
      <c r="K34" s="136">
        <f>SUM(K7:K32)</f>
        <v>60683</v>
      </c>
      <c r="L34" s="224">
        <f>SUM(L7:L32)</f>
        <v>0</v>
      </c>
      <c r="M34" s="132">
        <f>SUM(M7:M32)</f>
        <v>790677</v>
      </c>
      <c r="N34" s="167"/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(12*1440)/1440*G42*2.77*1440/1000000</f>
        <v>60.801544319999991</v>
      </c>
      <c r="J37" s="137">
        <f>+I37+'13'!J37</f>
        <v>891.71322152191044</v>
      </c>
      <c r="K37" s="138" t="s">
        <v>64</v>
      </c>
    </row>
    <row r="38" spans="1:14" ht="17.45" customHeight="1">
      <c r="A38" s="1012" t="s">
        <v>12</v>
      </c>
      <c r="B38" s="1013"/>
      <c r="C38" s="176">
        <f>SUMIF($G$7:$G$31,"Process",$F$7:$F$31)</f>
        <v>88</v>
      </c>
      <c r="D38" s="130">
        <f>+C38+'13'!D38</f>
        <v>912</v>
      </c>
      <c r="E38" s="155">
        <f t="shared" ref="E38:E51" si="0">D38/60</f>
        <v>15.2</v>
      </c>
      <c r="F38" s="340">
        <v>1672.2916666666667</v>
      </c>
      <c r="G38" s="340">
        <v>1270.9416666666666</v>
      </c>
      <c r="H38" s="199" t="s">
        <v>65</v>
      </c>
      <c r="I38" s="553">
        <f>17.906+19.178+21.948</f>
        <v>59.032000000000004</v>
      </c>
      <c r="J38" s="139">
        <f>+I38+'13'!J38</f>
        <v>829.73800000000006</v>
      </c>
      <c r="K38" s="140" t="s">
        <v>64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+C39+'13'!D39</f>
        <v>0</v>
      </c>
      <c r="E39" s="155">
        <f t="shared" si="0"/>
        <v>0</v>
      </c>
      <c r="F39" s="340">
        <v>1680</v>
      </c>
      <c r="G39" s="340">
        <v>1276.8</v>
      </c>
      <c r="H39" s="199" t="s">
        <v>66</v>
      </c>
      <c r="I39" s="154"/>
      <c r="J39" s="141">
        <f>J37/G4</f>
        <v>63.69380153727932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+C40+'13'!D40</f>
        <v>0</v>
      </c>
      <c r="E40" s="155">
        <f t="shared" si="0"/>
        <v>0</v>
      </c>
      <c r="F40" s="340">
        <v>1661.875</v>
      </c>
      <c r="G40" s="340">
        <v>1263.0250000000001</v>
      </c>
      <c r="H40" s="199" t="s">
        <v>68</v>
      </c>
      <c r="I40" s="130">
        <f>(K34+L34)/1000</f>
        <v>60.683</v>
      </c>
      <c r="J40" s="143">
        <f>+I40+'13'!J40</f>
        <v>790.67699999999991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+C41+'13'!D41</f>
        <v>132</v>
      </c>
      <c r="E41" s="155">
        <f t="shared" si="0"/>
        <v>2.2000000000000002</v>
      </c>
      <c r="F41" s="340"/>
      <c r="G41" s="340"/>
      <c r="H41" s="199" t="s">
        <v>70</v>
      </c>
      <c r="I41" s="154"/>
      <c r="J41" s="141">
        <f>J40/G4</f>
        <v>56.476928571428566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+C42+'13'!D42</f>
        <v>0</v>
      </c>
      <c r="E42" s="155">
        <f t="shared" si="0"/>
        <v>0</v>
      </c>
      <c r="F42" s="340">
        <f>+(F38*480+F39*480+F40*480)/1440</f>
        <v>1671.3888888888889</v>
      </c>
      <c r="G42" s="340">
        <f>+(G38*480+G39*480+G40*480)/1440</f>
        <v>1270.2555555555555</v>
      </c>
      <c r="H42" s="199" t="s">
        <v>71</v>
      </c>
      <c r="I42" s="257" t="s">
        <v>661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+C43+'13'!D43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+Report1!T22</f>
        <v>117.72099999999999</v>
      </c>
      <c r="J43" s="145">
        <f>+I43+'13'!J43</f>
        <v>1822.8879999999999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+C44+'13'!D44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1.9941895920856481</v>
      </c>
      <c r="J44" s="146">
        <f>J43/J38</f>
        <v>2.1969440956060828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+C45+'13'!D45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1.939933754099171</v>
      </c>
      <c r="J45" s="146">
        <f>J43/J40</f>
        <v>2.305477457925297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+C46+'13'!D46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+SUMIF(Listrik!AR21,"&gt;0")</f>
        <v>53332.399999998212</v>
      </c>
      <c r="J46" s="147">
        <f>+I46+'13'!J46</f>
        <v>749131.31999999925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+C47+'13'!D47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903.44897682609781</v>
      </c>
      <c r="J47" s="147">
        <f>J46/J38</f>
        <v>902.85285234616128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+C48+'13'!D48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878.86887596193685</v>
      </c>
      <c r="J48" s="147">
        <f>J46/J40</f>
        <v>947.4555602350888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+C49+'13'!D49</f>
        <v>878</v>
      </c>
      <c r="E49" s="155">
        <f t="shared" si="0"/>
        <v>14.633333333333333</v>
      </c>
      <c r="F49" s="197"/>
      <c r="H49" s="200" t="s">
        <v>83</v>
      </c>
      <c r="I49" s="130">
        <v>0</v>
      </c>
      <c r="J49" s="147">
        <f>+I49+'13'!J49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+C50+'13'!D50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+C51+'13'!D51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88</v>
      </c>
      <c r="D52" s="156">
        <f>SUM(D38:D51)</f>
        <v>1922</v>
      </c>
      <c r="E52" s="157">
        <f>SUM(E38:E51)</f>
        <v>32.033333333333331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6.1111111111111109E-2</v>
      </c>
      <c r="D53" s="158">
        <f>D52/(24*60*G4)</f>
        <v>9.5337301587301582E-2</v>
      </c>
      <c r="E53" s="159">
        <f>E52/(G4*24)</f>
        <v>9.5337301587301582E-2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+D34+'13'!J56</f>
        <v>20382</v>
      </c>
      <c r="K56" s="213">
        <f>J56/(J40+J56/1000)/1000</f>
        <v>2.5130107674040982E-2</v>
      </c>
    </row>
    <row r="57" spans="1:11">
      <c r="A57" s="188"/>
      <c r="I57" s="211" t="s">
        <v>90</v>
      </c>
      <c r="J57" s="212">
        <f>+E34+'13'!J57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6:B46"/>
    <mergeCell ref="A47:B47"/>
    <mergeCell ref="A52:B52"/>
    <mergeCell ref="A53:B53"/>
    <mergeCell ref="A48:B48"/>
    <mergeCell ref="A49:B49"/>
    <mergeCell ref="A50:B50"/>
    <mergeCell ref="A51:B51"/>
    <mergeCell ref="A40:B40"/>
    <mergeCell ref="A41:B41"/>
    <mergeCell ref="A44:B44"/>
    <mergeCell ref="A45:B45"/>
    <mergeCell ref="A42:B42"/>
    <mergeCell ref="A43:B43"/>
    <mergeCell ref="A37:B37"/>
    <mergeCell ref="I24:I31"/>
    <mergeCell ref="A24:A32"/>
    <mergeCell ref="A38:B38"/>
    <mergeCell ref="A39:B39"/>
    <mergeCell ref="A7:A14"/>
    <mergeCell ref="I7:I13"/>
    <mergeCell ref="A15:A23"/>
    <mergeCell ref="I15:I22"/>
    <mergeCell ref="A34:B34"/>
  </mergeCells>
  <phoneticPr fontId="31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5" zoomScaleNormal="70" zoomScaleSheetLayoutView="85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13</v>
      </c>
      <c r="H4" s="166" t="str">
        <f>+'1'!H4</f>
        <v>.10.25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186+42.8+225</f>
        <v>453.8</v>
      </c>
    </row>
    <row r="7" spans="1:15" ht="13.5" customHeight="1" thickBot="1">
      <c r="A7" s="1014" t="s">
        <v>466</v>
      </c>
      <c r="B7" s="227" t="s">
        <v>568</v>
      </c>
      <c r="C7" s="228">
        <v>18204</v>
      </c>
      <c r="D7" s="229"/>
      <c r="E7" s="230"/>
      <c r="F7" s="239">
        <v>15</v>
      </c>
      <c r="G7" s="240" t="s">
        <v>12</v>
      </c>
      <c r="H7" s="241" t="s">
        <v>614</v>
      </c>
      <c r="I7" s="1017" t="s">
        <v>651</v>
      </c>
      <c r="J7" s="226" t="str">
        <f>+'12'!J7</f>
        <v>F 13 VP OW</v>
      </c>
      <c r="K7" s="249"/>
      <c r="L7" s="253"/>
      <c r="M7" s="129">
        <f>+K7+'12'!M7+L7</f>
        <v>19690</v>
      </c>
    </row>
    <row r="8" spans="1:15" ht="13.5" thickBot="1">
      <c r="A8" s="1015"/>
      <c r="B8" s="227"/>
      <c r="C8" s="228"/>
      <c r="D8" s="229"/>
      <c r="E8" s="231"/>
      <c r="F8" s="242">
        <v>5</v>
      </c>
      <c r="G8" s="243" t="s">
        <v>12</v>
      </c>
      <c r="H8" s="241" t="s">
        <v>587</v>
      </c>
      <c r="I8" s="1018"/>
      <c r="J8" s="226" t="str">
        <f>+'12'!J8</f>
        <v>F 10,3 VP OW</v>
      </c>
      <c r="K8" s="250"/>
      <c r="L8" s="250"/>
      <c r="M8" s="129">
        <f>+K8+'12'!M8+L8</f>
        <v>53369</v>
      </c>
      <c r="N8" s="161">
        <v>1660</v>
      </c>
      <c r="O8" s="161">
        <f>+N8-N8*0.24</f>
        <v>1261.5999999999999</v>
      </c>
    </row>
    <row r="9" spans="1:15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482</v>
      </c>
      <c r="I9" s="1018"/>
      <c r="J9" s="226" t="str">
        <f>+'12'!J9</f>
        <v>SN 15 VP OW</v>
      </c>
      <c r="K9" s="250"/>
      <c r="L9" s="250"/>
      <c r="M9" s="129">
        <f>+K9+'12'!M9+L9</f>
        <v>2504</v>
      </c>
      <c r="N9" s="161">
        <v>1670</v>
      </c>
      <c r="O9" s="161">
        <f>+N9-N9*0.24</f>
        <v>1269.2</v>
      </c>
    </row>
    <row r="10" spans="1:15" ht="13.5" thickBot="1">
      <c r="A10" s="1015"/>
      <c r="B10" s="227"/>
      <c r="C10" s="228"/>
      <c r="D10" s="229"/>
      <c r="E10" s="231"/>
      <c r="F10" s="239"/>
      <c r="G10" s="243"/>
      <c r="H10" s="598" t="s">
        <v>631</v>
      </c>
      <c r="I10" s="1018"/>
      <c r="J10" s="226" t="str">
        <f>+'12'!J10</f>
        <v>MG 15,5 VP OW</v>
      </c>
      <c r="K10" s="250"/>
      <c r="L10" s="250"/>
      <c r="M10" s="129">
        <f>+K10+'12'!M10+L10</f>
        <v>62505</v>
      </c>
      <c r="N10" s="161">
        <v>1670</v>
      </c>
      <c r="O10" s="161">
        <f>+N10-N10*0.24</f>
        <v>1269.2</v>
      </c>
    </row>
    <row r="11" spans="1:15" ht="13.5" thickBot="1">
      <c r="A11" s="1015"/>
      <c r="B11" s="227"/>
      <c r="C11" s="228"/>
      <c r="D11" s="229"/>
      <c r="E11" s="231"/>
      <c r="F11" s="239"/>
      <c r="G11" s="243"/>
      <c r="H11" s="244"/>
      <c r="I11" s="1018"/>
      <c r="J11" s="226" t="str">
        <f>+'12'!J11</f>
        <v>MG 16,5 VP OW</v>
      </c>
      <c r="K11" s="250"/>
      <c r="L11" s="250"/>
      <c r="M11" s="129">
        <f>+K11+'12'!M11+L11</f>
        <v>37635</v>
      </c>
    </row>
    <row r="12" spans="1:15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+'12'!J12</f>
        <v>MG 21 VP OW</v>
      </c>
      <c r="K12" s="250"/>
      <c r="L12" s="250"/>
      <c r="M12" s="129">
        <f>+K12+'12'!M12+L12</f>
        <v>206161</v>
      </c>
    </row>
    <row r="13" spans="1:15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+'12'!J13</f>
        <v>MG 22 VP HW</v>
      </c>
      <c r="K13" s="250"/>
      <c r="L13" s="250"/>
      <c r="M13" s="129">
        <f>+K13+'12'!M13+L13</f>
        <v>10130</v>
      </c>
    </row>
    <row r="14" spans="1:15" ht="13.5" thickBot="1">
      <c r="A14" s="1016"/>
      <c r="B14" s="177" t="s">
        <v>2</v>
      </c>
      <c r="C14" s="111">
        <f>SUM(C7:C13)</f>
        <v>18204</v>
      </c>
      <c r="D14" s="123">
        <f>SUM(D7:D13)</f>
        <v>0</v>
      </c>
      <c r="E14" s="124">
        <f>SUM(E5:E13)</f>
        <v>0</v>
      </c>
      <c r="F14" s="128">
        <f>SUM(F7:F13)</f>
        <v>30</v>
      </c>
      <c r="G14" s="171"/>
      <c r="H14" s="178"/>
      <c r="I14" s="179"/>
      <c r="J14" s="226" t="str">
        <f>+'12'!J14</f>
        <v>MG 17 VP HW/OW</v>
      </c>
      <c r="K14" s="250"/>
      <c r="L14" s="250"/>
      <c r="M14" s="129">
        <f>+K14+'12'!M14+L14</f>
        <v>7375</v>
      </c>
    </row>
    <row r="15" spans="1:15" ht="13.5" customHeight="1" thickBot="1">
      <c r="A15" s="1014" t="s">
        <v>648</v>
      </c>
      <c r="B15" s="177"/>
      <c r="C15" s="125"/>
      <c r="D15" s="126"/>
      <c r="E15" s="127"/>
      <c r="F15" s="239">
        <v>25</v>
      </c>
      <c r="G15" s="240" t="s">
        <v>12</v>
      </c>
      <c r="H15" s="241" t="s">
        <v>547</v>
      </c>
      <c r="I15" s="1017" t="s">
        <v>652</v>
      </c>
      <c r="J15" s="226" t="str">
        <f>+'12'!J15</f>
        <v>MG 14 VP HW</v>
      </c>
      <c r="K15" s="250"/>
      <c r="L15" s="250"/>
      <c r="M15" s="129">
        <f>+K15+'12'!M15+L15</f>
        <v>47118</v>
      </c>
    </row>
    <row r="16" spans="1:15" ht="13.5" thickBot="1">
      <c r="A16" s="1020"/>
      <c r="B16" s="227" t="s">
        <v>568</v>
      </c>
      <c r="C16" s="233">
        <v>18384</v>
      </c>
      <c r="D16" s="234"/>
      <c r="E16" s="235"/>
      <c r="F16" s="239">
        <v>6</v>
      </c>
      <c r="G16" s="243" t="s">
        <v>12</v>
      </c>
      <c r="H16" s="241" t="s">
        <v>570</v>
      </c>
      <c r="I16" s="1018"/>
      <c r="J16" s="226" t="str">
        <f>+'12'!J16</f>
        <v>F 12 VP OW</v>
      </c>
      <c r="K16" s="240">
        <f>+C34</f>
        <v>55071</v>
      </c>
      <c r="L16" s="240"/>
      <c r="M16" s="129">
        <f>+K16+'12'!M16+L16</f>
        <v>247996</v>
      </c>
    </row>
    <row r="17" spans="1:14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422</v>
      </c>
      <c r="I17" s="1018"/>
      <c r="J17" s="226" t="str">
        <f>+'12'!J17</f>
        <v>F 10,5 VP OW</v>
      </c>
      <c r="K17" s="240"/>
      <c r="L17" s="240"/>
      <c r="M17" s="129">
        <f>+K17+'12'!M17+L17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649</v>
      </c>
      <c r="I18" s="1018"/>
      <c r="J18" s="226">
        <f>+'12'!J18</f>
        <v>0</v>
      </c>
      <c r="K18" s="250"/>
      <c r="L18" s="250"/>
      <c r="M18" s="129">
        <f>+K18+'12'!M18+L18</f>
        <v>0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/>
      <c r="I19" s="1018"/>
      <c r="J19" s="226">
        <f>+'12'!J19</f>
        <v>0</v>
      </c>
      <c r="K19" s="250"/>
      <c r="L19" s="250"/>
      <c r="M19" s="129">
        <f>+K19+'12'!M19+L19</f>
        <v>0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+'12'!J20</f>
        <v>0</v>
      </c>
      <c r="K20" s="251"/>
      <c r="L20" s="251"/>
      <c r="M20" s="129">
        <f>+K20+'12'!M20+L20</f>
        <v>0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+'12'!J21</f>
        <v>0</v>
      </c>
      <c r="K21" s="250"/>
      <c r="L21" s="250"/>
      <c r="M21" s="129">
        <f>+K21+'12'!M21+L21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+'12'!J22</f>
        <v>0</v>
      </c>
      <c r="K22" s="250"/>
      <c r="L22" s="250"/>
      <c r="M22" s="129">
        <f>+K22+'12'!M22+L22</f>
        <v>0</v>
      </c>
    </row>
    <row r="23" spans="1:14" ht="13.5" thickBot="1">
      <c r="A23" s="1021"/>
      <c r="B23" s="180" t="s">
        <v>2</v>
      </c>
      <c r="C23" s="112">
        <f>SUM(C16:C22)</f>
        <v>18384</v>
      </c>
      <c r="D23" s="123">
        <f>SUM(D16:D22)</f>
        <v>0</v>
      </c>
      <c r="E23" s="124">
        <f>SUM(E18:E22)</f>
        <v>0</v>
      </c>
      <c r="F23" s="128">
        <f>SUM(F15:F22)</f>
        <v>41</v>
      </c>
      <c r="G23" s="171"/>
      <c r="H23" s="178" t="s">
        <v>237</v>
      </c>
      <c r="I23" s="181"/>
      <c r="J23" s="226">
        <f>+'12'!J23</f>
        <v>0</v>
      </c>
      <c r="K23" s="250"/>
      <c r="L23" s="250"/>
      <c r="M23" s="129">
        <f>+K23+'12'!M23+L23</f>
        <v>0</v>
      </c>
    </row>
    <row r="24" spans="1:14" ht="13.5" customHeight="1" thickBot="1">
      <c r="A24" s="1014" t="s">
        <v>486</v>
      </c>
      <c r="B24" s="182"/>
      <c r="C24" s="125"/>
      <c r="D24" s="126"/>
      <c r="E24" s="127"/>
      <c r="F24" s="247">
        <v>25</v>
      </c>
      <c r="G24" s="240" t="s">
        <v>12</v>
      </c>
      <c r="H24" s="241" t="s">
        <v>547</v>
      </c>
      <c r="I24" s="1017" t="s">
        <v>652</v>
      </c>
      <c r="J24" s="226">
        <f>+'12'!J24</f>
        <v>0</v>
      </c>
      <c r="K24" s="250"/>
      <c r="L24" s="250"/>
      <c r="M24" s="129">
        <f>+K24+'12'!M24+L24</f>
        <v>0</v>
      </c>
    </row>
    <row r="25" spans="1:14" ht="13.5" thickBot="1">
      <c r="A25" s="1020"/>
      <c r="B25" s="227" t="s">
        <v>568</v>
      </c>
      <c r="C25" s="237">
        <v>18483</v>
      </c>
      <c r="D25" s="229"/>
      <c r="E25" s="236"/>
      <c r="F25" s="242">
        <v>4</v>
      </c>
      <c r="G25" s="243" t="s">
        <v>12</v>
      </c>
      <c r="H25" s="241" t="s">
        <v>587</v>
      </c>
      <c r="I25" s="1018"/>
      <c r="J25" s="226">
        <f>+'12'!J25</f>
        <v>0</v>
      </c>
      <c r="K25" s="250"/>
      <c r="L25" s="250"/>
      <c r="M25" s="129">
        <f>+K25+'12'!M25+L25</f>
        <v>0</v>
      </c>
    </row>
    <row r="26" spans="1:14" ht="13.5" thickBot="1">
      <c r="A26" s="1020"/>
      <c r="B26" s="227"/>
      <c r="C26" s="237"/>
      <c r="D26" s="229"/>
      <c r="E26" s="238"/>
      <c r="F26" s="242">
        <v>10</v>
      </c>
      <c r="G26" s="243" t="s">
        <v>12</v>
      </c>
      <c r="H26" s="598" t="s">
        <v>422</v>
      </c>
      <c r="I26" s="1018"/>
      <c r="J26" s="226">
        <f>+'12'!J26</f>
        <v>0</v>
      </c>
      <c r="K26" s="250"/>
      <c r="L26" s="250"/>
      <c r="M26" s="129">
        <f>+K26+'12'!M26+L26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649</v>
      </c>
      <c r="I27" s="1018"/>
      <c r="J27" s="226">
        <f>+'12'!J27</f>
        <v>0</v>
      </c>
      <c r="K27" s="250"/>
      <c r="L27" s="250"/>
      <c r="M27" s="129">
        <f>+K27+'12'!M27+L27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/>
      <c r="I28" s="1018"/>
      <c r="J28" s="226">
        <f>+'12'!J28</f>
        <v>0</v>
      </c>
      <c r="K28" s="250"/>
      <c r="L28" s="250"/>
      <c r="M28" s="129">
        <f>+K28+'12'!M28+L28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+'12'!J29</f>
        <v>0</v>
      </c>
      <c r="K29" s="250"/>
      <c r="L29" s="250"/>
      <c r="M29" s="129">
        <f>+K29+'12'!M29+L29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+'12'!J30</f>
        <v>0</v>
      </c>
      <c r="K30" s="250"/>
      <c r="L30" s="250"/>
      <c r="M30" s="129">
        <f>+K30+'12'!M30+L30</f>
        <v>0</v>
      </c>
      <c r="N30" s="167"/>
    </row>
    <row r="31" spans="1:14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+'12'!J31</f>
        <v>0</v>
      </c>
      <c r="K31" s="250"/>
      <c r="L31" s="250"/>
      <c r="M31" s="129">
        <f>+K31+'12'!M31+L31</f>
        <v>0</v>
      </c>
    </row>
    <row r="32" spans="1:14" ht="13.5" thickBot="1">
      <c r="A32" s="1021"/>
      <c r="B32" s="177" t="s">
        <v>2</v>
      </c>
      <c r="C32" s="111">
        <f>SUM(C25:C31)</f>
        <v>18483</v>
      </c>
      <c r="D32" s="112">
        <f>SUM(D25:D31)</f>
        <v>0</v>
      </c>
      <c r="E32" s="113">
        <f>SUM(E25:E31)</f>
        <v>0</v>
      </c>
      <c r="F32" s="114">
        <f>SUM(F24:F31)</f>
        <v>39</v>
      </c>
      <c r="G32" s="183"/>
      <c r="H32" s="184"/>
      <c r="I32" s="181"/>
      <c r="J32" s="226">
        <f>+'12'!J32</f>
        <v>0</v>
      </c>
      <c r="K32" s="252"/>
      <c r="L32" s="254"/>
      <c r="M32" s="129">
        <f>+K32+'12'!M32+L32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55071</v>
      </c>
      <c r="D34" s="119">
        <f>D14+D23+D32</f>
        <v>0</v>
      </c>
      <c r="E34" s="119">
        <f>E14+E23+E32</f>
        <v>0</v>
      </c>
      <c r="F34" s="120">
        <f>F14+F23+F32</f>
        <v>110</v>
      </c>
      <c r="H34" s="190"/>
      <c r="I34" s="190"/>
      <c r="J34" s="135" t="s">
        <v>28</v>
      </c>
      <c r="K34" s="136">
        <f>SUM(K7:K32)</f>
        <v>55071</v>
      </c>
      <c r="L34" s="224">
        <f>SUM(L7:L32)</f>
        <v>0</v>
      </c>
      <c r="M34" s="132">
        <f>SUM(M7:M32)</f>
        <v>729994</v>
      </c>
      <c r="N34" s="167"/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(12*1440)/1440*G42*2.77*1440/1000000</f>
        <v>60.629759999999997</v>
      </c>
      <c r="J37" s="137">
        <f>+I37+'12'!J37</f>
        <v>830.91167720191049</v>
      </c>
      <c r="K37" s="138" t="s">
        <v>64</v>
      </c>
    </row>
    <row r="38" spans="1:14" ht="17.45" customHeight="1">
      <c r="A38" s="1012" t="s">
        <v>12</v>
      </c>
      <c r="B38" s="1013"/>
      <c r="C38" s="176">
        <f>SUMIF($G$7:$G$31,"Process",$F$7:$F$31)</f>
        <v>110</v>
      </c>
      <c r="D38" s="130">
        <f>+C38+'12'!D38</f>
        <v>824</v>
      </c>
      <c r="E38" s="155">
        <f t="shared" ref="E38:E51" si="0">D38/60</f>
        <v>13.733333333333333</v>
      </c>
      <c r="F38" s="340">
        <v>1660</v>
      </c>
      <c r="G38" s="340">
        <f>+F38-F38*0.24</f>
        <v>1261.5999999999999</v>
      </c>
      <c r="H38" s="199" t="s">
        <v>65</v>
      </c>
      <c r="I38" s="553">
        <f>18.007+18.599+18.402</f>
        <v>55.008000000000003</v>
      </c>
      <c r="J38" s="139">
        <f>+I38+'12'!J38</f>
        <v>770.70600000000002</v>
      </c>
      <c r="K38" s="140" t="s">
        <v>64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+C39+'12'!D39</f>
        <v>0</v>
      </c>
      <c r="E39" s="155">
        <f t="shared" si="0"/>
        <v>0</v>
      </c>
      <c r="F39" s="340">
        <v>1670</v>
      </c>
      <c r="G39" s="340">
        <f>+F39-F39*0.24</f>
        <v>1269.2</v>
      </c>
      <c r="H39" s="199" t="s">
        <v>66</v>
      </c>
      <c r="I39" s="154"/>
      <c r="J39" s="141">
        <f>J37/G4</f>
        <v>63.916282861685424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+C40+'12'!D40</f>
        <v>0</v>
      </c>
      <c r="E40" s="155">
        <f t="shared" si="0"/>
        <v>0</v>
      </c>
      <c r="F40" s="340">
        <v>1670</v>
      </c>
      <c r="G40" s="340">
        <f>+F40-F40*0.24</f>
        <v>1269.2</v>
      </c>
      <c r="H40" s="199" t="s">
        <v>68</v>
      </c>
      <c r="I40" s="130">
        <f>(K34+L34)/1000</f>
        <v>55.070999999999998</v>
      </c>
      <c r="J40" s="143">
        <f>+I40+'12'!J40</f>
        <v>729.99399999999991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+C41+'12'!D41</f>
        <v>132</v>
      </c>
      <c r="E41" s="155">
        <f t="shared" si="0"/>
        <v>2.2000000000000002</v>
      </c>
      <c r="F41" s="340"/>
      <c r="G41" s="340"/>
      <c r="H41" s="199" t="s">
        <v>70</v>
      </c>
      <c r="I41" s="154"/>
      <c r="J41" s="141">
        <f>J40/G4</f>
        <v>56.15338461538461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+C42+'12'!D42</f>
        <v>0</v>
      </c>
      <c r="E42" s="155">
        <f t="shared" si="0"/>
        <v>0</v>
      </c>
      <c r="F42" s="340">
        <f>+(F38*480+F39*480+F40*480)/1440</f>
        <v>1666.6666666666667</v>
      </c>
      <c r="G42" s="340">
        <f>+(G38*480+G39*480+G40*480)/1440</f>
        <v>1266.6666666666667</v>
      </c>
      <c r="H42" s="199" t="s">
        <v>71</v>
      </c>
      <c r="I42" s="257" t="s">
        <v>650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+C43+'12'!D43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+Report1!T21</f>
        <v>119.947</v>
      </c>
      <c r="J43" s="145">
        <f>+I43+'12'!J43</f>
        <v>1705.1669999999999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+C44+'12'!D44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2.1805373763816172</v>
      </c>
      <c r="J44" s="146">
        <f>J43/J38</f>
        <v>2.2124740173295652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+C45+'12'!D45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2.1780428900873421</v>
      </c>
      <c r="J45" s="146">
        <f>J43/J40</f>
        <v>2.3358644043649677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+C46+'12'!D46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+SUMIF(Listrik!AR20,"&gt;0")</f>
        <v>53052.940000002462</v>
      </c>
      <c r="J46" s="147">
        <f>+I46+'12'!J46</f>
        <v>695798.92000000109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+C47+'12'!D47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964.45862420016101</v>
      </c>
      <c r="J47" s="147">
        <f>J46/J38</f>
        <v>902.80719236648099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+C48+'12'!D48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963.35530496999263</v>
      </c>
      <c r="J48" s="147">
        <f>J46/J40</f>
        <v>953.15703964690283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+C49+'12'!D49</f>
        <v>878</v>
      </c>
      <c r="E49" s="155">
        <f t="shared" si="0"/>
        <v>14.633333333333333</v>
      </c>
      <c r="F49" s="197"/>
      <c r="H49" s="200" t="s">
        <v>83</v>
      </c>
      <c r="I49" s="130">
        <v>0</v>
      </c>
      <c r="J49" s="147">
        <f>+I49+'12'!J49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+C50+'12'!D50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+C51+'12'!D51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110</v>
      </c>
      <c r="D52" s="156">
        <f>SUM(D38:D51)</f>
        <v>1834</v>
      </c>
      <c r="E52" s="157">
        <f>SUM(E38:E51)</f>
        <v>30.566666666666666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7.6388888888888895E-2</v>
      </c>
      <c r="D53" s="158">
        <f>D52/(24*60*G4)</f>
        <v>9.7970085470085469E-2</v>
      </c>
      <c r="E53" s="159">
        <f>E52/(G4*24)</f>
        <v>9.7970085470085469E-2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+D34+'12'!J56</f>
        <v>20382</v>
      </c>
      <c r="K56" s="213">
        <f>J56/(J40+J56/1000)/1000</f>
        <v>2.7162382592193786E-2</v>
      </c>
    </row>
    <row r="57" spans="1:11">
      <c r="A57" s="188"/>
      <c r="I57" s="211" t="s">
        <v>90</v>
      </c>
      <c r="J57" s="212">
        <f>+E34+'12'!J57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2:B42"/>
    <mergeCell ref="A39:B39"/>
    <mergeCell ref="A43:B43"/>
    <mergeCell ref="A24:A32"/>
    <mergeCell ref="A34:B34"/>
    <mergeCell ref="A37:B37"/>
    <mergeCell ref="A38:B38"/>
    <mergeCell ref="A41:B41"/>
    <mergeCell ref="A53:B53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topLeftCell="A4" zoomScale="80" zoomScaleNormal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12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175+283+220</f>
        <v>678</v>
      </c>
    </row>
    <row r="7" spans="1:18" ht="13.5" customHeight="1" thickBot="1">
      <c r="A7" s="1014" t="s">
        <v>466</v>
      </c>
      <c r="B7" s="227" t="s">
        <v>568</v>
      </c>
      <c r="C7" s="228">
        <v>17268</v>
      </c>
      <c r="D7" s="229">
        <v>330</v>
      </c>
      <c r="E7" s="230"/>
      <c r="F7" s="239">
        <v>10</v>
      </c>
      <c r="G7" s="240" t="s">
        <v>12</v>
      </c>
      <c r="H7" s="241" t="s">
        <v>571</v>
      </c>
      <c r="I7" s="1017" t="s">
        <v>585</v>
      </c>
      <c r="J7" s="226" t="str">
        <f>+'11'!J7</f>
        <v>F 13 VP OW</v>
      </c>
      <c r="K7" s="249"/>
      <c r="L7" s="253"/>
      <c r="M7" s="129">
        <f>+K7+'11'!M7+L7</f>
        <v>19690</v>
      </c>
    </row>
    <row r="8" spans="1:18" ht="13.5" thickBot="1">
      <c r="A8" s="1015"/>
      <c r="B8" s="227"/>
      <c r="C8" s="228"/>
      <c r="D8" s="229"/>
      <c r="E8" s="231"/>
      <c r="F8" s="242">
        <v>9</v>
      </c>
      <c r="G8" s="243" t="s">
        <v>12</v>
      </c>
      <c r="H8" s="241" t="s">
        <v>456</v>
      </c>
      <c r="I8" s="1018"/>
      <c r="J8" s="226" t="str">
        <f>+'11'!J8</f>
        <v>F 10,3 VP OW</v>
      </c>
      <c r="K8" s="250"/>
      <c r="L8" s="250"/>
      <c r="M8" s="129">
        <f>+K8+'11'!M8+L8</f>
        <v>53369</v>
      </c>
    </row>
    <row r="9" spans="1:18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435</v>
      </c>
      <c r="I9" s="1018"/>
      <c r="J9" s="226" t="str">
        <f>+'11'!J9</f>
        <v>SN 15 VP OW</v>
      </c>
      <c r="K9" s="250"/>
      <c r="L9" s="250"/>
      <c r="M9" s="129">
        <f>+K9+'11'!M9+L9</f>
        <v>2504</v>
      </c>
      <c r="N9" s="161">
        <v>1680</v>
      </c>
      <c r="O9" s="161">
        <f>+N9-N9*0.2</f>
        <v>1344</v>
      </c>
      <c r="P9" s="161">
        <f>180+15</f>
        <v>195</v>
      </c>
      <c r="Q9" s="161">
        <f>+N9*P9</f>
        <v>327600</v>
      </c>
      <c r="R9" s="161">
        <f>+O9*P9</f>
        <v>262080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628</v>
      </c>
      <c r="I10" s="1018"/>
      <c r="J10" s="226" t="str">
        <f>+'11'!J10</f>
        <v>MG 15,5 VP OW</v>
      </c>
      <c r="K10" s="250"/>
      <c r="L10" s="250"/>
      <c r="M10" s="129">
        <f>+K10+'11'!M10+L10</f>
        <v>62505</v>
      </c>
      <c r="N10" s="161">
        <v>1660</v>
      </c>
      <c r="O10" s="161">
        <f>+N10-N10*0.24</f>
        <v>1261.5999999999999</v>
      </c>
      <c r="P10" s="161">
        <f>480-P9</f>
        <v>285</v>
      </c>
      <c r="Q10" s="161">
        <f>+N10*P10</f>
        <v>473100</v>
      </c>
      <c r="R10" s="161">
        <f>+O10*P10</f>
        <v>359556</v>
      </c>
    </row>
    <row r="11" spans="1:18" ht="13.5" thickBot="1">
      <c r="A11" s="1015"/>
      <c r="B11" s="227"/>
      <c r="C11" s="228"/>
      <c r="D11" s="229"/>
      <c r="E11" s="231"/>
      <c r="F11" s="239"/>
      <c r="G11" s="243"/>
      <c r="H11" s="244"/>
      <c r="I11" s="1018"/>
      <c r="J11" s="226" t="str">
        <f>+'11'!J11</f>
        <v>MG 16,5 VP OW</v>
      </c>
      <c r="K11" s="250"/>
      <c r="L11" s="250"/>
      <c r="M11" s="129">
        <f>+K11+'11'!M11+L11</f>
        <v>37635</v>
      </c>
      <c r="P11" s="161">
        <f>+P9+P10</f>
        <v>480</v>
      </c>
      <c r="Q11" s="161">
        <f>+Q9+Q10</f>
        <v>800700</v>
      </c>
      <c r="R11" s="161">
        <f>+R9+R10</f>
        <v>621636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+'11'!J12</f>
        <v>MG 21 VP OW</v>
      </c>
      <c r="K12" s="250"/>
      <c r="L12" s="250"/>
      <c r="M12" s="129">
        <f>+K12+'11'!M12+L12</f>
        <v>206161</v>
      </c>
      <c r="Q12" s="161">
        <f>+Q11/P11</f>
        <v>1668.125</v>
      </c>
      <c r="R12" s="161">
        <f>+R11/P11</f>
        <v>1295.075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+'11'!J13</f>
        <v>MG 22 VP HW</v>
      </c>
      <c r="K13" s="250"/>
      <c r="L13" s="250"/>
      <c r="M13" s="129">
        <f>+K13+'11'!M13+L13</f>
        <v>10130</v>
      </c>
    </row>
    <row r="14" spans="1:18" ht="13.5" thickBot="1">
      <c r="A14" s="1016"/>
      <c r="B14" s="177" t="s">
        <v>2</v>
      </c>
      <c r="C14" s="111">
        <f>SUM(C7:C13)</f>
        <v>17268</v>
      </c>
      <c r="D14" s="123">
        <f>SUM(D7:D13)</f>
        <v>330</v>
      </c>
      <c r="E14" s="124">
        <f>SUM(E5:E13)</f>
        <v>0</v>
      </c>
      <c r="F14" s="128">
        <f>SUM(F7:F13)</f>
        <v>29</v>
      </c>
      <c r="G14" s="171"/>
      <c r="H14" s="178"/>
      <c r="I14" s="179"/>
      <c r="J14" s="226" t="str">
        <f>+'11'!J14</f>
        <v>MG 17 VP HW/OW</v>
      </c>
      <c r="K14" s="250"/>
      <c r="L14" s="250"/>
      <c r="M14" s="129">
        <f>+K14+'11'!M14+L14</f>
        <v>7375</v>
      </c>
    </row>
    <row r="15" spans="1:18" ht="13.5" customHeight="1" thickBot="1">
      <c r="A15" s="1014" t="s">
        <v>648</v>
      </c>
      <c r="B15" s="177"/>
      <c r="C15" s="125"/>
      <c r="D15" s="126"/>
      <c r="E15" s="127"/>
      <c r="F15" s="239">
        <v>40</v>
      </c>
      <c r="G15" s="240" t="s">
        <v>12</v>
      </c>
      <c r="H15" s="241" t="s">
        <v>640</v>
      </c>
      <c r="I15" s="1017" t="s">
        <v>641</v>
      </c>
      <c r="J15" s="226" t="str">
        <f>+'11'!J15</f>
        <v>MG 14 VP HW</v>
      </c>
      <c r="K15" s="250"/>
      <c r="L15" s="250"/>
      <c r="M15" s="129">
        <f>+K15+'11'!M15+L15</f>
        <v>47118</v>
      </c>
    </row>
    <row r="16" spans="1:18" ht="13.5" thickBot="1">
      <c r="A16" s="1020"/>
      <c r="B16" s="227" t="s">
        <v>568</v>
      </c>
      <c r="C16" s="233">
        <v>13293</v>
      </c>
      <c r="D16" s="234">
        <v>280</v>
      </c>
      <c r="E16" s="235"/>
      <c r="F16" s="239">
        <v>8</v>
      </c>
      <c r="G16" s="243" t="s">
        <v>12</v>
      </c>
      <c r="H16" s="241" t="s">
        <v>570</v>
      </c>
      <c r="I16" s="1018"/>
      <c r="J16" s="226" t="str">
        <f>+'11'!J16</f>
        <v>F 12 VP OW</v>
      </c>
      <c r="K16" s="250">
        <f>+C34</f>
        <v>48903</v>
      </c>
      <c r="L16" s="240"/>
      <c r="M16" s="129">
        <f>+K16+'11'!M16+L16</f>
        <v>192925</v>
      </c>
    </row>
    <row r="17" spans="1:14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422</v>
      </c>
      <c r="I17" s="1018"/>
      <c r="J17" s="226" t="str">
        <f>+'11'!J17</f>
        <v>F 10,5 VP OW</v>
      </c>
      <c r="K17" s="250"/>
      <c r="L17" s="240"/>
      <c r="M17" s="129">
        <f>+K17+'11'!M17+L17</f>
        <v>35511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628</v>
      </c>
      <c r="I18" s="1018"/>
      <c r="J18" s="226">
        <f>+'11'!J18</f>
        <v>0</v>
      </c>
      <c r="K18" s="250"/>
      <c r="L18" s="250"/>
      <c r="M18" s="129">
        <f>+K18+'11'!M18+L18</f>
        <v>0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 t="s">
        <v>632</v>
      </c>
      <c r="I19" s="1018"/>
      <c r="J19" s="226">
        <f>+'11'!J19</f>
        <v>0</v>
      </c>
      <c r="K19" s="250"/>
      <c r="L19" s="250"/>
      <c r="M19" s="129">
        <f>+K19+'11'!M19+L19</f>
        <v>0</v>
      </c>
    </row>
    <row r="20" spans="1:14" ht="26.25" thickBot="1">
      <c r="A20" s="1020"/>
      <c r="B20" s="227"/>
      <c r="C20" s="228"/>
      <c r="D20" s="229"/>
      <c r="E20" s="236"/>
      <c r="F20" s="239"/>
      <c r="G20" s="243"/>
      <c r="H20" s="244" t="s">
        <v>629</v>
      </c>
      <c r="I20" s="1018"/>
      <c r="J20" s="226">
        <f>+'11'!J20</f>
        <v>0</v>
      </c>
      <c r="K20" s="251"/>
      <c r="L20" s="251"/>
      <c r="M20" s="129">
        <f>+K20+'11'!M20+L20</f>
        <v>0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 t="s">
        <v>630</v>
      </c>
      <c r="I21" s="1018"/>
      <c r="J21" s="226">
        <f>+'11'!J21</f>
        <v>0</v>
      </c>
      <c r="K21" s="250"/>
      <c r="L21" s="250"/>
      <c r="M21" s="129">
        <f>+K21+'11'!M21+L21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+'11'!J22</f>
        <v>0</v>
      </c>
      <c r="K22" s="250"/>
      <c r="L22" s="250"/>
      <c r="M22" s="129">
        <f>+K22+'11'!M22+L22</f>
        <v>0</v>
      </c>
    </row>
    <row r="23" spans="1:14" ht="13.5" thickBot="1">
      <c r="A23" s="1021"/>
      <c r="B23" s="180" t="s">
        <v>2</v>
      </c>
      <c r="C23" s="112">
        <f>SUM(C16:C22)</f>
        <v>13293</v>
      </c>
      <c r="D23" s="123">
        <f>SUM(D16:D22)</f>
        <v>280</v>
      </c>
      <c r="E23" s="124">
        <f>SUM(E18:E22)</f>
        <v>0</v>
      </c>
      <c r="F23" s="128">
        <f>SUM(F15:F22)</f>
        <v>58</v>
      </c>
      <c r="G23" s="171"/>
      <c r="H23" s="178" t="s">
        <v>237</v>
      </c>
      <c r="I23" s="181"/>
      <c r="J23" s="226">
        <f>+'11'!J23</f>
        <v>0</v>
      </c>
      <c r="K23" s="250"/>
      <c r="L23" s="250"/>
      <c r="M23" s="129">
        <f>+K23+'11'!M23+L23</f>
        <v>0</v>
      </c>
    </row>
    <row r="24" spans="1:14" ht="13.5" customHeight="1" thickBot="1">
      <c r="A24" s="1014" t="s">
        <v>486</v>
      </c>
      <c r="B24" s="182"/>
      <c r="C24" s="125"/>
      <c r="D24" s="126"/>
      <c r="E24" s="127"/>
      <c r="F24" s="247">
        <v>15</v>
      </c>
      <c r="G24" s="240" t="s">
        <v>12</v>
      </c>
      <c r="H24" s="241" t="s">
        <v>614</v>
      </c>
      <c r="I24" s="1017" t="s">
        <v>585</v>
      </c>
      <c r="J24" s="226">
        <f>+'11'!J24</f>
        <v>0</v>
      </c>
      <c r="K24" s="250"/>
      <c r="L24" s="250"/>
      <c r="M24" s="129">
        <f>+K24+'11'!M24+L24</f>
        <v>0</v>
      </c>
    </row>
    <row r="25" spans="1:14" ht="13.5" customHeight="1" thickBot="1">
      <c r="A25" s="1020"/>
      <c r="B25" s="227" t="s">
        <v>568</v>
      </c>
      <c r="C25" s="237">
        <v>18342</v>
      </c>
      <c r="D25" s="229">
        <v>280</v>
      </c>
      <c r="E25" s="236"/>
      <c r="F25" s="242">
        <v>5</v>
      </c>
      <c r="G25" s="243" t="s">
        <v>12</v>
      </c>
      <c r="H25" s="241" t="s">
        <v>570</v>
      </c>
      <c r="I25" s="1018"/>
      <c r="J25" s="226">
        <f>+'11'!J25</f>
        <v>0</v>
      </c>
      <c r="K25" s="250"/>
      <c r="L25" s="250"/>
      <c r="M25" s="129">
        <f>+K25+'11'!M25+L25</f>
        <v>0</v>
      </c>
    </row>
    <row r="26" spans="1:14" ht="13.5" customHeight="1" thickBot="1">
      <c r="A26" s="1020"/>
      <c r="B26" s="227"/>
      <c r="C26" s="237"/>
      <c r="D26" s="229"/>
      <c r="E26" s="238"/>
      <c r="F26" s="242">
        <v>10</v>
      </c>
      <c r="G26" s="243" t="s">
        <v>12</v>
      </c>
      <c r="H26" s="598" t="s">
        <v>422</v>
      </c>
      <c r="I26" s="1018"/>
      <c r="J26" s="226">
        <f>+'11'!J26</f>
        <v>0</v>
      </c>
      <c r="K26" s="250"/>
      <c r="L26" s="250"/>
      <c r="M26" s="129">
        <f>+K26+'11'!M26+L26</f>
        <v>0</v>
      </c>
    </row>
    <row r="27" spans="1:14" ht="13.5" customHeight="1" thickBot="1">
      <c r="A27" s="1020"/>
      <c r="B27" s="227"/>
      <c r="C27" s="228"/>
      <c r="D27" s="229"/>
      <c r="E27" s="236"/>
      <c r="F27" s="242"/>
      <c r="G27" s="243"/>
      <c r="H27" s="598" t="s">
        <v>631</v>
      </c>
      <c r="I27" s="1018"/>
      <c r="J27" s="226">
        <f>+'11'!J27</f>
        <v>0</v>
      </c>
      <c r="K27" s="250"/>
      <c r="L27" s="250"/>
      <c r="M27" s="129">
        <f>+K27+'11'!M27+L27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/>
      <c r="I28" s="1018"/>
      <c r="J28" s="226">
        <f>+'11'!J28</f>
        <v>0</v>
      </c>
      <c r="K28" s="250"/>
      <c r="L28" s="250"/>
      <c r="M28" s="129">
        <f>+K28+'11'!M28+L28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+'11'!J29</f>
        <v>0</v>
      </c>
      <c r="K29" s="250"/>
      <c r="L29" s="250"/>
      <c r="M29" s="129">
        <f>+K29+'11'!M29+L29</f>
        <v>0</v>
      </c>
    </row>
    <row r="30" spans="1:14" ht="13.5" customHeight="1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+'11'!J30</f>
        <v>0</v>
      </c>
      <c r="K30" s="250"/>
      <c r="L30" s="250"/>
      <c r="M30" s="129">
        <f>+K30+'11'!M30+L30</f>
        <v>0</v>
      </c>
      <c r="N30" s="167"/>
    </row>
    <row r="31" spans="1:14" ht="13.5" customHeight="1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+'11'!J31</f>
        <v>0</v>
      </c>
      <c r="K31" s="250"/>
      <c r="L31" s="250"/>
      <c r="M31" s="129">
        <f>+K31+'11'!M31+L31</f>
        <v>0</v>
      </c>
    </row>
    <row r="32" spans="1:14" ht="13.5" customHeight="1" thickBot="1">
      <c r="A32" s="1021"/>
      <c r="B32" s="177" t="s">
        <v>2</v>
      </c>
      <c r="C32" s="111">
        <f>SUM(C25:C31)</f>
        <v>18342</v>
      </c>
      <c r="D32" s="112">
        <f>SUM(D25:D31)</f>
        <v>280</v>
      </c>
      <c r="E32" s="113">
        <f>SUM(E25:E31)</f>
        <v>0</v>
      </c>
      <c r="F32" s="114">
        <f>SUM(F24:F31)</f>
        <v>30</v>
      </c>
      <c r="G32" s="183"/>
      <c r="H32" s="184"/>
      <c r="I32" s="181"/>
      <c r="J32" s="226">
        <f>+'1'!J32</f>
        <v>0</v>
      </c>
      <c r="K32" s="252"/>
      <c r="L32" s="254"/>
      <c r="M32" s="129">
        <f>+K32+'11'!M32+L32</f>
        <v>0</v>
      </c>
    </row>
    <row r="33" spans="1:14" ht="13.5" thickBot="1">
      <c r="A33" s="185"/>
      <c r="B33" s="186"/>
      <c r="C33" s="115">
        <f>C32/($C$32+$D$32+$E$32)</f>
        <v>0.98496402105037051</v>
      </c>
      <c r="D33" s="116">
        <f>D32/($C$32+$D$32+$E$32)</f>
        <v>1.5035978949629471E-2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48903</v>
      </c>
      <c r="D34" s="119">
        <f>D14+D23+D32</f>
        <v>890</v>
      </c>
      <c r="E34" s="119">
        <f>E14+E23+E32</f>
        <v>0</v>
      </c>
      <c r="F34" s="120">
        <f>F14+F23+F32</f>
        <v>117</v>
      </c>
      <c r="H34" s="190"/>
      <c r="I34" s="190"/>
      <c r="J34" s="135" t="s">
        <v>28</v>
      </c>
      <c r="K34" s="136">
        <f>SUM(K7:K32)</f>
        <v>48903</v>
      </c>
      <c r="L34" s="224">
        <f>SUM(L7:L32)</f>
        <v>0</v>
      </c>
      <c r="M34" s="132">
        <f>SUM(M7:M32)</f>
        <v>674923</v>
      </c>
      <c r="N34" s="167"/>
    </row>
    <row r="35" spans="1:14" ht="13.5" thickBot="1">
      <c r="A35" s="191"/>
      <c r="B35" s="192"/>
      <c r="C35" s="116">
        <f>C34/($C$34+$D$34+$E$34)</f>
        <v>0.98212600164681785</v>
      </c>
      <c r="D35" s="116">
        <f>D34/($C$34+$D$34+$E$34)</f>
        <v>1.7873998353182173E-2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(12*1440)/1440*G42*2.77*1440/1000000</f>
        <v>62.23604976</v>
      </c>
      <c r="J37" s="137">
        <f>+I37+'11'!J37</f>
        <v>770.28191720191046</v>
      </c>
      <c r="K37" s="138" t="s">
        <v>64</v>
      </c>
    </row>
    <row r="38" spans="1:14" ht="17.45" customHeight="1">
      <c r="A38" s="1012" t="s">
        <v>12</v>
      </c>
      <c r="B38" s="1013"/>
      <c r="C38" s="176">
        <f>SUMIF($G$7:$G$31,"Process",$F$7:$F$31)</f>
        <v>117</v>
      </c>
      <c r="D38" s="130">
        <f>+C38+'11'!D38</f>
        <v>714</v>
      </c>
      <c r="E38" s="155">
        <f t="shared" ref="E38:E51" si="0">D38/60</f>
        <v>11.9</v>
      </c>
      <c r="F38" s="340">
        <v>1680</v>
      </c>
      <c r="G38" s="340">
        <f>+F38-F38*0.2</f>
        <v>1344</v>
      </c>
      <c r="H38" s="199" t="s">
        <v>65</v>
      </c>
      <c r="I38" s="553">
        <f>18.039+16.974+17.367</f>
        <v>52.38000000000001</v>
      </c>
      <c r="J38" s="139">
        <f>+I38+'11'!J38</f>
        <v>715.69799999999998</v>
      </c>
      <c r="K38" s="140" t="s">
        <v>64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+C39+'11'!D39</f>
        <v>0</v>
      </c>
      <c r="E39" s="155">
        <f t="shared" si="0"/>
        <v>0</v>
      </c>
      <c r="F39" s="340">
        <v>1668.125</v>
      </c>
      <c r="G39" s="340">
        <v>1295.075</v>
      </c>
      <c r="H39" s="199" t="s">
        <v>66</v>
      </c>
      <c r="I39" s="154"/>
      <c r="J39" s="141">
        <f>J37/G4</f>
        <v>64.190159766825872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+C40+'11'!D40</f>
        <v>0</v>
      </c>
      <c r="E40" s="155">
        <f t="shared" si="0"/>
        <v>0</v>
      </c>
      <c r="F40" s="340">
        <v>1660</v>
      </c>
      <c r="G40" s="340">
        <f>+F40-F40*0.24</f>
        <v>1261.5999999999999</v>
      </c>
      <c r="H40" s="199" t="s">
        <v>68</v>
      </c>
      <c r="I40" s="130">
        <f>(K34+L34)/1000</f>
        <v>48.902999999999999</v>
      </c>
      <c r="J40" s="143">
        <f>+I40+'11'!J40</f>
        <v>674.92299999999989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+C41+'11'!D41</f>
        <v>132</v>
      </c>
      <c r="E41" s="155">
        <f t="shared" si="0"/>
        <v>2.2000000000000002</v>
      </c>
      <c r="F41" s="340"/>
      <c r="G41" s="340"/>
      <c r="H41" s="199" t="s">
        <v>70</v>
      </c>
      <c r="I41" s="154"/>
      <c r="J41" s="141">
        <f>J40/G4</f>
        <v>56.243583333333326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+C42+'11'!D42</f>
        <v>0</v>
      </c>
      <c r="E42" s="155">
        <f t="shared" si="0"/>
        <v>0</v>
      </c>
      <c r="F42" s="340">
        <f>+(F38*480+F39*480+F40*480)/1440</f>
        <v>1669.375</v>
      </c>
      <c r="G42" s="340">
        <f>+(G38*480+G39*480+G40*480)/1440</f>
        <v>1300.2249999999999</v>
      </c>
      <c r="H42" s="199" t="s">
        <v>71</v>
      </c>
      <c r="I42" s="257" t="s">
        <v>642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+C43+'11'!D43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+Report1!T20</f>
        <v>124.95299999999999</v>
      </c>
      <c r="J43" s="145">
        <f>+I43+'11'!J43</f>
        <v>1585.22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+C44+'11'!D44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2.3855097365406639</v>
      </c>
      <c r="J44" s="146">
        <f>J43/J38</f>
        <v>2.2149286430868886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+C45+'11'!D45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2.5551193178332614</v>
      </c>
      <c r="J45" s="146">
        <f>J43/J40</f>
        <v>2.3487420046434933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+C46+'11'!D46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+SUMIF(Listrik!AR19,"&gt;0")</f>
        <v>57111.079999999725</v>
      </c>
      <c r="J46" s="147">
        <f>+I46+'11'!J46</f>
        <v>642745.97999999858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+C47+'11'!D47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1090.3222604047291</v>
      </c>
      <c r="J47" s="147">
        <f>J46/J38</f>
        <v>898.06871054550743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+C48+'11'!D48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1167.8440995439896</v>
      </c>
      <c r="J48" s="147">
        <f>J46/J40</f>
        <v>952.32490224810635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+C49+'11'!D49</f>
        <v>878</v>
      </c>
      <c r="E49" s="155">
        <f t="shared" si="0"/>
        <v>14.633333333333333</v>
      </c>
      <c r="F49" s="197"/>
      <c r="H49" s="200" t="s">
        <v>83</v>
      </c>
      <c r="I49" s="130">
        <v>0</v>
      </c>
      <c r="J49" s="147">
        <f>+I49+'11'!J49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+C50+'11'!D50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+C51+'11'!D51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117</v>
      </c>
      <c r="D52" s="156">
        <f>SUM(D38:D51)</f>
        <v>1724</v>
      </c>
      <c r="E52" s="157">
        <f>SUM(E38:E51)</f>
        <v>28.733333333333334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8.1250000000000003E-2</v>
      </c>
      <c r="D53" s="158">
        <f>D52/(24*60*G4)</f>
        <v>9.976851851851852E-2</v>
      </c>
      <c r="E53" s="159">
        <f>E52/(G4*24)</f>
        <v>9.976851851851852E-2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+D34+'11'!J56</f>
        <v>20382</v>
      </c>
      <c r="K56" s="213">
        <f>J56/(J40+J56/1000)/1000</f>
        <v>2.9313754395553036E-2</v>
      </c>
    </row>
    <row r="57" spans="1:11">
      <c r="A57" s="188"/>
      <c r="I57" s="211" t="s">
        <v>90</v>
      </c>
      <c r="J57" s="212">
        <f>+E34+'11'!J57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7:B47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A41:B41"/>
    <mergeCell ref="A7:A14"/>
    <mergeCell ref="I7:I13"/>
    <mergeCell ref="A15:A23"/>
    <mergeCell ref="I15:I22"/>
    <mergeCell ref="A46:B46"/>
    <mergeCell ref="A52:B52"/>
    <mergeCell ref="A53:B53"/>
    <mergeCell ref="A48:B48"/>
    <mergeCell ref="A49:B49"/>
    <mergeCell ref="A50:B50"/>
    <mergeCell ref="A51:B51"/>
  </mergeCells>
  <phoneticPr fontId="31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0" zoomScale="80" zoomScaleNormal="70" zoomScaleSheetLayoutView="80" workbookViewId="0">
      <selection activeCell="I38" sqref="I38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5.570312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152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11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195+245+215</f>
        <v>655</v>
      </c>
    </row>
    <row r="7" spans="1:18" ht="13.5" customHeight="1" thickBot="1">
      <c r="A7" s="1014" t="s">
        <v>466</v>
      </c>
      <c r="B7" s="227" t="s">
        <v>621</v>
      </c>
      <c r="C7" s="228">
        <v>15779</v>
      </c>
      <c r="D7" s="229"/>
      <c r="E7" s="230"/>
      <c r="F7" s="239">
        <v>10</v>
      </c>
      <c r="G7" s="240" t="s">
        <v>12</v>
      </c>
      <c r="H7" s="241" t="s">
        <v>571</v>
      </c>
      <c r="I7" s="1017" t="s">
        <v>634</v>
      </c>
      <c r="J7" s="226" t="str">
        <f>+'10'!J7</f>
        <v>F 13 VP OW</v>
      </c>
      <c r="K7" s="249"/>
      <c r="L7" s="253"/>
      <c r="M7" s="129">
        <f>+K7+'10'!M7+L7</f>
        <v>19690</v>
      </c>
    </row>
    <row r="8" spans="1:18" ht="13.5" thickBot="1">
      <c r="A8" s="1015"/>
      <c r="B8" s="227"/>
      <c r="C8" s="228"/>
      <c r="D8" s="229"/>
      <c r="E8" s="231"/>
      <c r="F8" s="242">
        <v>7</v>
      </c>
      <c r="G8" s="243" t="s">
        <v>12</v>
      </c>
      <c r="H8" s="241" t="s">
        <v>598</v>
      </c>
      <c r="I8" s="1018"/>
      <c r="J8" s="226" t="str">
        <f>+'10'!J8</f>
        <v>F 10,3 VP OW</v>
      </c>
      <c r="K8" s="250">
        <f>+C17+C26</f>
        <v>10470</v>
      </c>
      <c r="L8" s="250"/>
      <c r="M8" s="129">
        <f>+K8+'10'!M8+L8</f>
        <v>53369</v>
      </c>
      <c r="N8" s="161">
        <v>1680</v>
      </c>
      <c r="O8" s="161">
        <f>+N8-N8*0.24</f>
        <v>1276.8</v>
      </c>
      <c r="P8" s="161">
        <v>360</v>
      </c>
      <c r="Q8" s="161">
        <f>+N8*P8</f>
        <v>604800</v>
      </c>
      <c r="R8" s="161">
        <f>+O8*P8</f>
        <v>459648</v>
      </c>
    </row>
    <row r="9" spans="1:18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435</v>
      </c>
      <c r="I9" s="1018"/>
      <c r="J9" s="226" t="str">
        <f>+'10'!J9</f>
        <v>SN 15 VP OW</v>
      </c>
      <c r="K9" s="250"/>
      <c r="L9" s="250"/>
      <c r="M9" s="129">
        <f>+K9+'10'!M9+L9</f>
        <v>2504</v>
      </c>
      <c r="N9" s="161">
        <v>1660</v>
      </c>
      <c r="O9" s="161">
        <f>+N9-N9*0.24</f>
        <v>1261.5999999999999</v>
      </c>
      <c r="P9" s="161">
        <f>120+360</f>
        <v>480</v>
      </c>
      <c r="Q9" s="161">
        <f>+N9*P9</f>
        <v>796800</v>
      </c>
      <c r="R9" s="161">
        <f>+O9*P9</f>
        <v>605568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623</v>
      </c>
      <c r="I10" s="1018"/>
      <c r="J10" s="226" t="str">
        <f>+'10'!J10</f>
        <v>MG 15,5 VP OW</v>
      </c>
      <c r="K10" s="250"/>
      <c r="L10" s="250"/>
      <c r="M10" s="129">
        <f>+K10+'10'!M10+L10</f>
        <v>62505</v>
      </c>
      <c r="P10" s="161">
        <f>+P8+P9</f>
        <v>840</v>
      </c>
      <c r="Q10" s="161">
        <f>+Q8+Q9</f>
        <v>1401600</v>
      </c>
      <c r="R10" s="161">
        <f>+R8+R9</f>
        <v>1065216</v>
      </c>
    </row>
    <row r="11" spans="1:18" ht="26.25" thickBot="1">
      <c r="A11" s="1015"/>
      <c r="B11" s="227"/>
      <c r="C11" s="228"/>
      <c r="D11" s="229"/>
      <c r="E11" s="231"/>
      <c r="F11" s="239"/>
      <c r="G11" s="243"/>
      <c r="H11" s="598" t="s">
        <v>624</v>
      </c>
      <c r="I11" s="1018"/>
      <c r="J11" s="226" t="str">
        <f>+'10'!J11</f>
        <v>MG 16,5 VP OW</v>
      </c>
      <c r="K11" s="250"/>
      <c r="L11" s="250"/>
      <c r="M11" s="129">
        <f>+K11+'10'!M11+L11</f>
        <v>37635</v>
      </c>
      <c r="Q11" s="161">
        <f>+Q10/P10</f>
        <v>1668.5714285714287</v>
      </c>
      <c r="R11" s="161">
        <f>+R10/P10</f>
        <v>1268.1142857142856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598" t="s">
        <v>625</v>
      </c>
      <c r="I12" s="1018"/>
      <c r="J12" s="226" t="str">
        <f>+'10'!J12</f>
        <v>MG 21 VP OW</v>
      </c>
      <c r="K12" s="250"/>
      <c r="L12" s="250"/>
      <c r="M12" s="129">
        <f>+K12+'10'!M12+L12</f>
        <v>206161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598"/>
      <c r="I13" s="1019"/>
      <c r="J13" s="226" t="str">
        <f>+'10'!J13</f>
        <v>MG 22 VP HW</v>
      </c>
      <c r="K13" s="250"/>
      <c r="L13" s="250"/>
      <c r="M13" s="129">
        <f>+K13+'10'!M13+L13</f>
        <v>10130</v>
      </c>
    </row>
    <row r="14" spans="1:18" ht="13.5" thickBot="1">
      <c r="A14" s="1016"/>
      <c r="B14" s="177" t="s">
        <v>2</v>
      </c>
      <c r="C14" s="111">
        <f>SUM(C7:C13)</f>
        <v>15779</v>
      </c>
      <c r="D14" s="123">
        <f>SUM(D7:D13)</f>
        <v>0</v>
      </c>
      <c r="E14" s="124">
        <f>SUM(E5:E13)</f>
        <v>0</v>
      </c>
      <c r="F14" s="128">
        <f>SUM(F7:F13)</f>
        <v>27</v>
      </c>
      <c r="G14" s="171"/>
      <c r="H14" s="178"/>
      <c r="I14" s="179"/>
      <c r="J14" s="226" t="str">
        <f>+'10'!J14</f>
        <v>MG 17 VP HW/OW</v>
      </c>
      <c r="K14" s="250"/>
      <c r="L14" s="250"/>
      <c r="M14" s="129">
        <f>+K14+'10'!M14+L14</f>
        <v>7375</v>
      </c>
    </row>
    <row r="15" spans="1:18" ht="13.5" customHeight="1" thickBot="1">
      <c r="A15" s="1014" t="s">
        <v>542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 t="s">
        <v>636</v>
      </c>
      <c r="J15" s="226" t="str">
        <f>+'10'!J15</f>
        <v>MG 14 VP HW</v>
      </c>
      <c r="K15" s="250"/>
      <c r="L15" s="250"/>
      <c r="M15" s="129">
        <f>+K15+'10'!M15+L15</f>
        <v>47118</v>
      </c>
    </row>
    <row r="16" spans="1:18" ht="13.5" thickBot="1">
      <c r="A16" s="1020"/>
      <c r="B16" s="227" t="s">
        <v>621</v>
      </c>
      <c r="C16" s="233">
        <v>15824</v>
      </c>
      <c r="D16" s="234"/>
      <c r="E16" s="235"/>
      <c r="F16" s="239">
        <v>5</v>
      </c>
      <c r="G16" s="243" t="s">
        <v>12</v>
      </c>
      <c r="H16" s="241" t="s">
        <v>570</v>
      </c>
      <c r="I16" s="1018"/>
      <c r="J16" s="226" t="str">
        <f>+'10'!J16</f>
        <v>F 12 VP OW</v>
      </c>
      <c r="K16" s="250">
        <f>+C27</f>
        <v>7024</v>
      </c>
      <c r="L16" s="240"/>
      <c r="M16" s="129">
        <f>+K16+'10'!M16+L16</f>
        <v>144022</v>
      </c>
    </row>
    <row r="17" spans="1:18" ht="13.5" thickBot="1">
      <c r="A17" s="1020"/>
      <c r="B17" s="227" t="s">
        <v>423</v>
      </c>
      <c r="C17" s="228">
        <v>794</v>
      </c>
      <c r="D17" s="229"/>
      <c r="E17" s="236"/>
      <c r="F17" s="239">
        <v>6</v>
      </c>
      <c r="G17" s="243" t="s">
        <v>12</v>
      </c>
      <c r="H17" s="598" t="s">
        <v>613</v>
      </c>
      <c r="I17" s="1018"/>
      <c r="J17" s="226" t="str">
        <f>+'10'!J17</f>
        <v>F 10,5 VP OW</v>
      </c>
      <c r="K17" s="250">
        <f>+C7+C16+C25</f>
        <v>32397</v>
      </c>
      <c r="L17" s="240"/>
      <c r="M17" s="129">
        <f>+K17+'10'!M17+L17</f>
        <v>35511</v>
      </c>
      <c r="N17" s="161">
        <v>1660</v>
      </c>
      <c r="O17" s="161">
        <f>+N17-N17*0.24</f>
        <v>1261.5999999999999</v>
      </c>
      <c r="P17" s="161">
        <v>360</v>
      </c>
      <c r="Q17" s="161">
        <f>+N17*P17</f>
        <v>597600</v>
      </c>
      <c r="R17" s="161">
        <f>+O17*P17</f>
        <v>454175.99999999994</v>
      </c>
    </row>
    <row r="18" spans="1:18" ht="13.5" thickBot="1">
      <c r="A18" s="1020"/>
      <c r="B18" s="227"/>
      <c r="C18" s="228"/>
      <c r="D18" s="229"/>
      <c r="E18" s="236"/>
      <c r="F18" s="239"/>
      <c r="G18" s="243"/>
      <c r="H18" s="598" t="s">
        <v>635</v>
      </c>
      <c r="I18" s="1018"/>
      <c r="J18" s="226">
        <f>+'10'!J18</f>
        <v>0</v>
      </c>
      <c r="K18" s="250"/>
      <c r="L18" s="250"/>
      <c r="M18" s="129">
        <f>+K18+'10'!M18+L18</f>
        <v>0</v>
      </c>
      <c r="N18" s="161">
        <v>1650</v>
      </c>
      <c r="O18" s="161">
        <f>+N18-N18*0.16</f>
        <v>1386</v>
      </c>
      <c r="P18" s="161">
        <v>120</v>
      </c>
      <c r="Q18" s="161">
        <f>+N18*P18</f>
        <v>198000</v>
      </c>
      <c r="R18" s="161">
        <f>+O18*P18</f>
        <v>166320</v>
      </c>
    </row>
    <row r="19" spans="1:18" ht="13.5" thickBot="1">
      <c r="A19" s="1020"/>
      <c r="B19" s="227"/>
      <c r="C19" s="228"/>
      <c r="D19" s="229"/>
      <c r="E19" s="236"/>
      <c r="F19" s="246">
        <v>8</v>
      </c>
      <c r="G19" s="243" t="s">
        <v>12</v>
      </c>
      <c r="H19" s="598" t="s">
        <v>633</v>
      </c>
      <c r="I19" s="1018"/>
      <c r="J19" s="226">
        <f>+'10'!J19</f>
        <v>0</v>
      </c>
      <c r="K19" s="250"/>
      <c r="L19" s="250"/>
      <c r="M19" s="129">
        <f>+K19+'10'!M19+L19</f>
        <v>0</v>
      </c>
      <c r="P19" s="161">
        <f>+P17+P18</f>
        <v>480</v>
      </c>
      <c r="Q19" s="161">
        <f>+Q17+Q18</f>
        <v>795600</v>
      </c>
      <c r="R19" s="161">
        <f>+R17+R18</f>
        <v>620496</v>
      </c>
    </row>
    <row r="20" spans="1:18" ht="13.5" thickBot="1">
      <c r="A20" s="1020"/>
      <c r="B20" s="227"/>
      <c r="C20" s="228"/>
      <c r="D20" s="229"/>
      <c r="E20" s="236"/>
      <c r="F20" s="239"/>
      <c r="G20" s="243"/>
      <c r="H20" s="598"/>
      <c r="I20" s="1018"/>
      <c r="J20" s="226">
        <f>+'10'!J20</f>
        <v>0</v>
      </c>
      <c r="K20" s="250"/>
      <c r="L20" s="251"/>
      <c r="M20" s="129">
        <f>+K20+'10'!M20+L20</f>
        <v>0</v>
      </c>
      <c r="Q20" s="161">
        <f>+Q19/P19</f>
        <v>1657.5</v>
      </c>
      <c r="R20" s="161">
        <f>+R19/P19</f>
        <v>1292.7</v>
      </c>
    </row>
    <row r="21" spans="1:18" ht="13.5" thickBot="1">
      <c r="A21" s="1020"/>
      <c r="B21" s="227"/>
      <c r="C21" s="228"/>
      <c r="D21" s="229"/>
      <c r="E21" s="236"/>
      <c r="F21" s="242"/>
      <c r="G21" s="243"/>
      <c r="H21" s="615"/>
      <c r="I21" s="1018"/>
      <c r="J21" s="226">
        <f>+'10'!J21</f>
        <v>0</v>
      </c>
      <c r="K21" s="250"/>
      <c r="L21" s="250"/>
      <c r="M21" s="129">
        <f>+K21+'10'!M21+L21</f>
        <v>0</v>
      </c>
    </row>
    <row r="22" spans="1:18" ht="13.5" thickBot="1">
      <c r="A22" s="1020"/>
      <c r="B22" s="227"/>
      <c r="C22" s="228"/>
      <c r="D22" s="229"/>
      <c r="E22" s="236"/>
      <c r="F22" s="247"/>
      <c r="G22" s="243"/>
      <c r="H22" s="598"/>
      <c r="I22" s="1019"/>
      <c r="J22" s="226">
        <f>+'10'!J22</f>
        <v>0</v>
      </c>
      <c r="K22" s="250"/>
      <c r="L22" s="250"/>
      <c r="M22" s="129">
        <f>+K22+'10'!M22+L22</f>
        <v>0</v>
      </c>
    </row>
    <row r="23" spans="1:18" ht="13.5" thickBot="1">
      <c r="A23" s="1021"/>
      <c r="B23" s="180" t="s">
        <v>2</v>
      </c>
      <c r="C23" s="112">
        <f>SUM(C16:C22)</f>
        <v>16618</v>
      </c>
      <c r="D23" s="123">
        <f>SUM(D16:D22)</f>
        <v>0</v>
      </c>
      <c r="E23" s="124">
        <f>SUM(E18:E22)</f>
        <v>0</v>
      </c>
      <c r="F23" s="128">
        <f>SUM(F15:F22)</f>
        <v>19</v>
      </c>
      <c r="G23" s="171"/>
      <c r="H23" s="178" t="s">
        <v>237</v>
      </c>
      <c r="I23" s="181"/>
      <c r="J23" s="226">
        <f>+'10'!J23</f>
        <v>0</v>
      </c>
      <c r="K23" s="250"/>
      <c r="L23" s="250"/>
      <c r="M23" s="129">
        <f>+K23+'10'!M23+L23</f>
        <v>0</v>
      </c>
    </row>
    <row r="24" spans="1:18" ht="13.5" customHeight="1" thickBot="1">
      <c r="A24" s="1014" t="s">
        <v>486</v>
      </c>
      <c r="B24" s="182"/>
      <c r="C24" s="125"/>
      <c r="D24" s="126"/>
      <c r="E24" s="127"/>
      <c r="F24" s="247">
        <v>5</v>
      </c>
      <c r="G24" s="240" t="s">
        <v>12</v>
      </c>
      <c r="H24" s="241" t="s">
        <v>541</v>
      </c>
      <c r="I24" s="1017" t="s">
        <v>637</v>
      </c>
      <c r="J24" s="226">
        <f>+'10'!J24</f>
        <v>0</v>
      </c>
      <c r="K24" s="250"/>
      <c r="L24" s="250"/>
      <c r="M24" s="129">
        <f>+K24+'10'!M24+L24</f>
        <v>0</v>
      </c>
    </row>
    <row r="25" spans="1:18" ht="13.5" thickBot="1">
      <c r="A25" s="1020"/>
      <c r="B25" s="227" t="s">
        <v>621</v>
      </c>
      <c r="C25" s="237">
        <v>794</v>
      </c>
      <c r="D25" s="229"/>
      <c r="E25" s="236"/>
      <c r="F25" s="242">
        <v>4</v>
      </c>
      <c r="G25" s="243" t="s">
        <v>12</v>
      </c>
      <c r="H25" s="241" t="s">
        <v>586</v>
      </c>
      <c r="I25" s="1018"/>
      <c r="J25" s="226">
        <f>+'10'!J25</f>
        <v>0</v>
      </c>
      <c r="K25" s="250"/>
      <c r="L25" s="250"/>
      <c r="M25" s="129">
        <f>+K25+'10'!M25+L25</f>
        <v>0</v>
      </c>
    </row>
    <row r="26" spans="1:18" ht="13.5" thickBot="1">
      <c r="A26" s="1020"/>
      <c r="B26" s="227" t="s">
        <v>423</v>
      </c>
      <c r="C26" s="237">
        <v>9676</v>
      </c>
      <c r="D26" s="229"/>
      <c r="E26" s="238"/>
      <c r="F26" s="242">
        <v>10</v>
      </c>
      <c r="G26" s="243" t="s">
        <v>12</v>
      </c>
      <c r="H26" s="598" t="s">
        <v>422</v>
      </c>
      <c r="I26" s="1018"/>
      <c r="J26" s="226">
        <f>+'10'!J26</f>
        <v>0</v>
      </c>
      <c r="K26" s="240"/>
      <c r="L26" s="240"/>
      <c r="M26" s="129">
        <f>+K26+'10'!M26+L26</f>
        <v>0</v>
      </c>
      <c r="N26" s="161">
        <v>1650</v>
      </c>
      <c r="O26" s="161">
        <f>+N26-N26*0.16</f>
        <v>1386</v>
      </c>
      <c r="P26" s="161">
        <v>180</v>
      </c>
      <c r="Q26" s="161">
        <f>+N26*P26</f>
        <v>297000</v>
      </c>
      <c r="R26" s="161">
        <f>+O26*P26</f>
        <v>249480</v>
      </c>
    </row>
    <row r="27" spans="1:18" ht="13.5" thickBot="1">
      <c r="A27" s="1020"/>
      <c r="B27" s="227" t="s">
        <v>568</v>
      </c>
      <c r="C27" s="228">
        <v>7024</v>
      </c>
      <c r="D27" s="229"/>
      <c r="E27" s="236"/>
      <c r="F27" s="242"/>
      <c r="G27" s="243"/>
      <c r="H27" s="598" t="s">
        <v>626</v>
      </c>
      <c r="I27" s="1018"/>
      <c r="J27" s="226">
        <f>+'10'!J27</f>
        <v>0</v>
      </c>
      <c r="K27" s="240"/>
      <c r="L27" s="240"/>
      <c r="M27" s="129">
        <f>+K27+'10'!M27+L27</f>
        <v>0</v>
      </c>
      <c r="N27" s="161">
        <v>1680</v>
      </c>
      <c r="O27" s="161">
        <f>+N27-N27*0.2</f>
        <v>1344</v>
      </c>
      <c r="P27" s="161">
        <v>300</v>
      </c>
      <c r="Q27" s="161">
        <f>+N27*P27</f>
        <v>504000</v>
      </c>
      <c r="R27" s="161">
        <f>+O27*P27</f>
        <v>403200</v>
      </c>
    </row>
    <row r="28" spans="1:18" ht="13.5" thickBot="1">
      <c r="A28" s="1020"/>
      <c r="B28" s="227"/>
      <c r="C28" s="228"/>
      <c r="D28" s="229"/>
      <c r="E28" s="236"/>
      <c r="F28" s="242"/>
      <c r="G28" s="243"/>
      <c r="H28" s="598" t="s">
        <v>627</v>
      </c>
      <c r="I28" s="1018"/>
      <c r="J28" s="226">
        <f>+'10'!J28</f>
        <v>0</v>
      </c>
      <c r="K28" s="250"/>
      <c r="L28" s="250"/>
      <c r="M28" s="129">
        <f>+K28+'10'!M28+L28</f>
        <v>0</v>
      </c>
      <c r="P28" s="161">
        <f>+P26+P27</f>
        <v>480</v>
      </c>
      <c r="Q28" s="161">
        <f>+Q26+Q27</f>
        <v>801000</v>
      </c>
      <c r="R28" s="161">
        <f>+R26+R27</f>
        <v>652680</v>
      </c>
    </row>
    <row r="29" spans="1:18" ht="13.5" thickBot="1">
      <c r="A29" s="1020"/>
      <c r="B29" s="227"/>
      <c r="C29" s="228"/>
      <c r="D29" s="229"/>
      <c r="E29" s="236"/>
      <c r="F29" s="247"/>
      <c r="G29" s="243"/>
      <c r="H29" s="598"/>
      <c r="I29" s="1018"/>
      <c r="J29" s="226">
        <f>+'10'!J29</f>
        <v>0</v>
      </c>
      <c r="K29" s="250"/>
      <c r="L29" s="250"/>
      <c r="M29" s="129">
        <f>+K29+'10'!M29+L29</f>
        <v>0</v>
      </c>
      <c r="Q29" s="161">
        <f>+Q28/P28</f>
        <v>1668.75</v>
      </c>
      <c r="R29" s="161">
        <f>+R28/P28</f>
        <v>1359.75</v>
      </c>
    </row>
    <row r="30" spans="1:18" ht="13.5" thickBot="1">
      <c r="A30" s="1020"/>
      <c r="B30" s="227"/>
      <c r="C30" s="237"/>
      <c r="D30" s="229"/>
      <c r="E30" s="236"/>
      <c r="F30" s="247"/>
      <c r="G30" s="243"/>
      <c r="H30" s="598"/>
      <c r="I30" s="1018"/>
      <c r="J30" s="226">
        <f>+'10'!J30</f>
        <v>0</v>
      </c>
      <c r="K30" s="251"/>
      <c r="L30" s="251"/>
      <c r="M30" s="129">
        <f>+K30+'10'!M30+L30</f>
        <v>0</v>
      </c>
      <c r="N30" s="167"/>
    </row>
    <row r="31" spans="1:18" ht="13.5" thickBot="1">
      <c r="A31" s="1020"/>
      <c r="B31" s="227"/>
      <c r="C31" s="237"/>
      <c r="D31" s="229"/>
      <c r="E31" s="236"/>
      <c r="F31" s="247"/>
      <c r="G31" s="248"/>
      <c r="H31" s="466"/>
      <c r="I31" s="1019"/>
      <c r="J31" s="226">
        <f>+'10'!J31</f>
        <v>0</v>
      </c>
      <c r="K31" s="250"/>
      <c r="L31" s="250"/>
      <c r="M31" s="129">
        <f>+K31+'10'!M31+L31</f>
        <v>0</v>
      </c>
    </row>
    <row r="32" spans="1:18" ht="13.5" thickBot="1">
      <c r="A32" s="1021"/>
      <c r="B32" s="177" t="s">
        <v>2</v>
      </c>
      <c r="C32" s="111">
        <f>SUM(C25:C31)</f>
        <v>17494</v>
      </c>
      <c r="D32" s="112">
        <f>SUM(D25:D31)</f>
        <v>0</v>
      </c>
      <c r="E32" s="113">
        <f>SUM(E25:E31)</f>
        <v>0</v>
      </c>
      <c r="F32" s="114">
        <f>SUM(F24:F31)</f>
        <v>19</v>
      </c>
      <c r="G32" s="183"/>
      <c r="H32" s="184"/>
      <c r="I32" s="181"/>
      <c r="J32" s="226">
        <f>+'10'!J32</f>
        <v>0</v>
      </c>
      <c r="K32" s="250"/>
      <c r="L32" s="250"/>
      <c r="M32" s="129">
        <f>+K32+'10'!M32+L32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49891</v>
      </c>
      <c r="D34" s="119">
        <f>D14+D23+D32</f>
        <v>0</v>
      </c>
      <c r="E34" s="119">
        <f>E14+E23+E32</f>
        <v>0</v>
      </c>
      <c r="F34" s="120">
        <f>F14+F23+F32</f>
        <v>65</v>
      </c>
      <c r="H34" s="190"/>
      <c r="I34" s="190"/>
      <c r="J34" s="135" t="s">
        <v>28</v>
      </c>
      <c r="K34" s="136">
        <f>SUM(K7:K32)</f>
        <v>49891</v>
      </c>
      <c r="L34" s="224">
        <f>SUM(L7:L32)</f>
        <v>0</v>
      </c>
      <c r="M34" s="132">
        <f>SUM(M7:M32)</f>
        <v>626020</v>
      </c>
      <c r="N34" s="167"/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(10.5*840+10.3*300+12*300)/1440*G42*2.77*1440/1000000</f>
        <v>56.215976904999998</v>
      </c>
      <c r="J37" s="137">
        <f>+I37+'10'!J37</f>
        <v>708.04586744191045</v>
      </c>
      <c r="K37" s="138" t="s">
        <v>64</v>
      </c>
      <c r="N37" s="161">
        <f>16.481+17.77-1.808-2.329</f>
        <v>30.114000000000004</v>
      </c>
    </row>
    <row r="38" spans="1:14" ht="17.45" customHeight="1">
      <c r="A38" s="1012" t="s">
        <v>12</v>
      </c>
      <c r="B38" s="1013"/>
      <c r="C38" s="176">
        <f>SUMIF($G$7:$G$31,"Process",$F$7:$F$31)</f>
        <v>65</v>
      </c>
      <c r="D38" s="130">
        <f>+C38+'10'!D38</f>
        <v>597</v>
      </c>
      <c r="E38" s="155">
        <f t="shared" ref="E38:E51" si="0">D38/60</f>
        <v>9.9499999999999993</v>
      </c>
      <c r="F38" s="340">
        <v>1675</v>
      </c>
      <c r="G38" s="340">
        <v>1273</v>
      </c>
      <c r="H38" s="199" t="s">
        <v>65</v>
      </c>
      <c r="I38" s="553">
        <f>16.481+17.77+19.94</f>
        <v>54.191000000000003</v>
      </c>
      <c r="J38" s="139">
        <f>+I38+'10'!J38</f>
        <v>663.31799999999998</v>
      </c>
      <c r="K38" s="140" t="s">
        <v>64</v>
      </c>
      <c r="N38" s="161">
        <v>10.987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+C39+'10'!D39</f>
        <v>0</v>
      </c>
      <c r="E39" s="155">
        <f t="shared" si="0"/>
        <v>0</v>
      </c>
      <c r="F39" s="340">
        <v>1657.5</v>
      </c>
      <c r="G39" s="340">
        <v>1292.7</v>
      </c>
      <c r="H39" s="199" t="s">
        <v>66</v>
      </c>
      <c r="I39" s="154"/>
      <c r="J39" s="141">
        <f>J37/G4</f>
        <v>64.367806131082773</v>
      </c>
      <c r="K39" s="142" t="s">
        <v>64</v>
      </c>
      <c r="N39" s="587">
        <v>13.090000000000002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+C40+'10'!D40</f>
        <v>0</v>
      </c>
      <c r="E40" s="155">
        <f t="shared" si="0"/>
        <v>0</v>
      </c>
      <c r="F40" s="340">
        <v>1668.75</v>
      </c>
      <c r="G40" s="340">
        <v>1359.75</v>
      </c>
      <c r="H40" s="199" t="s">
        <v>68</v>
      </c>
      <c r="I40" s="130">
        <f>(K34+L34)/1000</f>
        <v>49.890999999999998</v>
      </c>
      <c r="J40" s="143">
        <f>+I40+'10'!J40</f>
        <v>626.01999999999987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+C41+'10'!D41</f>
        <v>132</v>
      </c>
      <c r="E41" s="155">
        <f t="shared" si="0"/>
        <v>2.2000000000000002</v>
      </c>
      <c r="F41" s="340"/>
      <c r="G41" s="340"/>
      <c r="H41" s="199" t="s">
        <v>70</v>
      </c>
      <c r="I41" s="154"/>
      <c r="J41" s="141">
        <f>J40/G4</f>
        <v>56.91090909090908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+C42+'10'!D42</f>
        <v>0</v>
      </c>
      <c r="E42" s="155">
        <f t="shared" si="0"/>
        <v>0</v>
      </c>
      <c r="F42" s="340">
        <f>+(F38*480+F39*480+F40*480)/1440</f>
        <v>1667.0833333333333</v>
      </c>
      <c r="G42" s="340">
        <f>+(G38*480+G39*480+G40*480)/1440</f>
        <v>1308.4833333333333</v>
      </c>
      <c r="H42" s="199" t="s">
        <v>71</v>
      </c>
      <c r="I42" s="257" t="s">
        <v>638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+C43+'10'!D43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+Report1!T19</f>
        <v>122.58799999999999</v>
      </c>
      <c r="J43" s="145">
        <f>+I43+'10'!J43</f>
        <v>1460.2670000000001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+C44+'10'!D44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2.2621468509531102</v>
      </c>
      <c r="J44" s="146">
        <f>J43/J38</f>
        <v>2.2014584256721514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+C45+'10'!D45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2.4571165140005209</v>
      </c>
      <c r="J45" s="146">
        <f>J43/J40</f>
        <v>2.3326203635666598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+C46+'10'!D46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+SUMIF(Listrik!AR18,"&gt;0")</f>
        <v>56892.779999999366</v>
      </c>
      <c r="J46" s="147">
        <f>+I46+'10'!J46</f>
        <v>585634.89999999886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+C47+'10'!D47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1049.8566182576326</v>
      </c>
      <c r="J47" s="147">
        <f>J46/J38</f>
        <v>882.88709186242329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+C48+'10'!D48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1140.3415445671437</v>
      </c>
      <c r="J48" s="147">
        <f>J46/J40</f>
        <v>935.48912175329701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+C49+'10'!D49</f>
        <v>878</v>
      </c>
      <c r="E49" s="155">
        <f t="shared" si="0"/>
        <v>14.633333333333333</v>
      </c>
      <c r="F49" s="197"/>
      <c r="H49" s="200" t="s">
        <v>186</v>
      </c>
      <c r="I49" s="130">
        <v>0</v>
      </c>
      <c r="J49" s="147">
        <f>+I49+'10'!J49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+C50+'10'!D50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+C51+'10'!D51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65</v>
      </c>
      <c r="D52" s="156">
        <f>SUM(D38:D51)</f>
        <v>1607</v>
      </c>
      <c r="E52" s="157">
        <f>SUM(E38:E51)</f>
        <v>26.783333333333331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4.5138888888888888E-2</v>
      </c>
      <c r="D53" s="158">
        <f>D52/(24*60*G4)</f>
        <v>0.1014520202020202</v>
      </c>
      <c r="E53" s="159">
        <f>E52/(G4*24)</f>
        <v>0.1014520202020202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+D34+'10'!J56</f>
        <v>19492</v>
      </c>
      <c r="K56" s="213">
        <f>J56/(J40+J56/1000)/1000</f>
        <v>3.0196185353641769E-2</v>
      </c>
    </row>
    <row r="57" spans="1:11">
      <c r="A57" s="188"/>
      <c r="I57" s="211" t="s">
        <v>90</v>
      </c>
      <c r="J57" s="212">
        <f>+E34+'10'!J57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3:B53"/>
    <mergeCell ref="A52:B52"/>
    <mergeCell ref="A46:B46"/>
    <mergeCell ref="A51:B51"/>
    <mergeCell ref="A50:B50"/>
    <mergeCell ref="A49:B49"/>
    <mergeCell ref="A47:B47"/>
    <mergeCell ref="A48:B48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</mergeCells>
  <phoneticPr fontId="31" type="noConversion"/>
  <pageMargins left="0.17" right="0.16" top="0.17" bottom="0.16" header="0" footer="0"/>
  <pageSetup paperSize="9" scale="61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4" zoomScale="80" zoomScaleNormal="75" zoomScaleSheetLayoutView="80" workbookViewId="0">
      <selection activeCell="G24" sqref="G24:H28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8.28515625" style="161" customWidth="1"/>
    <col min="13" max="13" width="12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10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238+241+260</f>
        <v>739</v>
      </c>
    </row>
    <row r="7" spans="1:18" ht="13.5" customHeight="1" thickBot="1">
      <c r="A7" s="1014" t="s">
        <v>466</v>
      </c>
      <c r="B7" s="227" t="s">
        <v>568</v>
      </c>
      <c r="C7" s="228">
        <v>14916</v>
      </c>
      <c r="D7" s="229">
        <v>333</v>
      </c>
      <c r="E7" s="230"/>
      <c r="F7" s="239">
        <v>30</v>
      </c>
      <c r="G7" s="240" t="s">
        <v>12</v>
      </c>
      <c r="H7" s="241" t="s">
        <v>483</v>
      </c>
      <c r="I7" s="1017" t="s">
        <v>450</v>
      </c>
      <c r="J7" s="226" t="str">
        <f>+'9'!J7</f>
        <v>F 13 VP OW</v>
      </c>
      <c r="K7" s="249"/>
      <c r="L7" s="253"/>
      <c r="M7" s="129">
        <f>+K7+'9'!M7+L7</f>
        <v>19690</v>
      </c>
    </row>
    <row r="8" spans="1:18" ht="13.5" thickBot="1">
      <c r="A8" s="1015"/>
      <c r="B8" s="227"/>
      <c r="C8" s="228"/>
      <c r="D8" s="229"/>
      <c r="E8" s="231"/>
      <c r="F8" s="242">
        <v>5</v>
      </c>
      <c r="G8" s="243" t="s">
        <v>12</v>
      </c>
      <c r="H8" s="241" t="s">
        <v>586</v>
      </c>
      <c r="I8" s="1018"/>
      <c r="J8" s="226" t="str">
        <f>+'9'!J8</f>
        <v>F 10,3 VP OW</v>
      </c>
      <c r="K8" s="250"/>
      <c r="L8" s="250"/>
      <c r="M8" s="129">
        <f>+K8+'9'!M8+L8</f>
        <v>42899</v>
      </c>
      <c r="N8" s="161">
        <v>1700</v>
      </c>
      <c r="O8" s="161">
        <f>+N8-N8*0.24</f>
        <v>1292</v>
      </c>
      <c r="P8" s="161">
        <v>480</v>
      </c>
      <c r="Q8" s="161">
        <f>+N8*P8</f>
        <v>816000</v>
      </c>
      <c r="R8" s="161">
        <f>+O8*P8</f>
        <v>620160</v>
      </c>
    </row>
    <row r="9" spans="1:18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422</v>
      </c>
      <c r="I9" s="1018"/>
      <c r="J9" s="226" t="str">
        <f>+'9'!J9</f>
        <v>SN 15 VP OW</v>
      </c>
      <c r="K9" s="250"/>
      <c r="L9" s="250"/>
      <c r="M9" s="129">
        <f>+K9+'9'!M9+L9</f>
        <v>2504</v>
      </c>
      <c r="N9" s="161">
        <v>1680</v>
      </c>
      <c r="O9" s="161">
        <f>+N9-N9*0.24</f>
        <v>1276.8</v>
      </c>
      <c r="P9" s="161">
        <v>480</v>
      </c>
      <c r="Q9" s="161">
        <f>+N9*P9</f>
        <v>806400</v>
      </c>
      <c r="R9" s="161">
        <f>+O9*P9</f>
        <v>612864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615</v>
      </c>
      <c r="I10" s="1018"/>
      <c r="J10" s="226" t="str">
        <f>+'9'!J10</f>
        <v>MG 15,5 VP OW</v>
      </c>
      <c r="K10" s="250"/>
      <c r="L10" s="250"/>
      <c r="M10" s="129">
        <f>+K10+'9'!M10+L10</f>
        <v>62505</v>
      </c>
      <c r="N10" s="161">
        <v>1680</v>
      </c>
      <c r="O10" s="161">
        <f>+N10-N10*0.24</f>
        <v>1276.8</v>
      </c>
      <c r="P10" s="161">
        <v>225</v>
      </c>
      <c r="Q10" s="161">
        <f>+N10*P10</f>
        <v>378000</v>
      </c>
      <c r="R10" s="161">
        <f>+O10*P10</f>
        <v>287280</v>
      </c>
    </row>
    <row r="11" spans="1:18" ht="13.5" thickBot="1">
      <c r="A11" s="1015"/>
      <c r="B11" s="227"/>
      <c r="C11" s="228"/>
      <c r="D11" s="229"/>
      <c r="E11" s="231"/>
      <c r="F11" s="239"/>
      <c r="G11" s="243"/>
      <c r="H11" s="244" t="s">
        <v>601</v>
      </c>
      <c r="I11" s="1018"/>
      <c r="J11" s="226" t="str">
        <f>+'9'!J11</f>
        <v>MG 16,5 VP OW</v>
      </c>
      <c r="K11" s="250"/>
      <c r="L11" s="250"/>
      <c r="M11" s="129">
        <f>+K11+'9'!M11+L11</f>
        <v>37635</v>
      </c>
      <c r="P11" s="161">
        <f>SUM(P8:P10)</f>
        <v>1185</v>
      </c>
      <c r="Q11" s="161">
        <f>SUM(Q8:Q10)</f>
        <v>2000400</v>
      </c>
      <c r="R11" s="161">
        <f>SUM(R8:R10)</f>
        <v>1520304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244" t="s">
        <v>602</v>
      </c>
      <c r="I12" s="1018"/>
      <c r="J12" s="226" t="str">
        <f>+'9'!J12</f>
        <v>MG 21 VP OW</v>
      </c>
      <c r="K12" s="250"/>
      <c r="L12" s="250"/>
      <c r="M12" s="129">
        <f>+K12+'9'!M12+L12</f>
        <v>206161</v>
      </c>
      <c r="Q12" s="161">
        <f>+Q11/P11</f>
        <v>1688.1012658227849</v>
      </c>
      <c r="R12" s="161">
        <f>+R11/P11</f>
        <v>1282.9569620253164</v>
      </c>
    </row>
    <row r="13" spans="1:18" ht="26.25" thickBot="1">
      <c r="A13" s="1015"/>
      <c r="B13" s="227"/>
      <c r="C13" s="228"/>
      <c r="D13" s="228"/>
      <c r="E13" s="231"/>
      <c r="F13" s="239"/>
      <c r="G13" s="243"/>
      <c r="H13" s="244" t="s">
        <v>603</v>
      </c>
      <c r="I13" s="1019"/>
      <c r="J13" s="226" t="str">
        <f>+'9'!J13</f>
        <v>MG 22 VP HW</v>
      </c>
      <c r="K13" s="250"/>
      <c r="L13" s="250"/>
      <c r="M13" s="129">
        <f>+K13+'9'!M13+L13</f>
        <v>10130</v>
      </c>
    </row>
    <row r="14" spans="1:18" ht="13.5" thickBot="1">
      <c r="A14" s="1016"/>
      <c r="B14" s="177" t="s">
        <v>2</v>
      </c>
      <c r="C14" s="111">
        <f>SUM(C7:C13)</f>
        <v>14916</v>
      </c>
      <c r="D14" s="123">
        <f>SUM(D7:D13)</f>
        <v>333</v>
      </c>
      <c r="E14" s="124">
        <f>SUM(E5:E13)</f>
        <v>0</v>
      </c>
      <c r="F14" s="128">
        <f>SUM(F7:F13)</f>
        <v>45</v>
      </c>
      <c r="G14" s="171"/>
      <c r="H14" s="178"/>
      <c r="I14" s="179"/>
      <c r="J14" s="226" t="str">
        <f>+'9'!J14</f>
        <v>MG 17 VP HW/OW</v>
      </c>
      <c r="K14" s="250"/>
      <c r="L14" s="250"/>
      <c r="M14" s="129">
        <f>+K14+'9'!M14+L14</f>
        <v>7375</v>
      </c>
    </row>
    <row r="15" spans="1:18" ht="13.5" customHeight="1" thickBot="1">
      <c r="A15" s="1014" t="s">
        <v>542</v>
      </c>
      <c r="B15" s="177"/>
      <c r="C15" s="125"/>
      <c r="D15" s="126"/>
      <c r="E15" s="127"/>
      <c r="F15" s="239">
        <v>15</v>
      </c>
      <c r="G15" s="240" t="s">
        <v>12</v>
      </c>
      <c r="H15" s="241" t="s">
        <v>614</v>
      </c>
      <c r="I15" s="1017" t="s">
        <v>609</v>
      </c>
      <c r="J15" s="226" t="str">
        <f>+'9'!J15</f>
        <v>MG 14 VP HW</v>
      </c>
      <c r="K15" s="250"/>
      <c r="L15" s="250"/>
      <c r="M15" s="129">
        <f>+K15+'9'!M15+L15</f>
        <v>47118</v>
      </c>
    </row>
    <row r="16" spans="1:18" ht="13.5" thickBot="1">
      <c r="A16" s="1020"/>
      <c r="B16" s="227" t="s">
        <v>568</v>
      </c>
      <c r="C16" s="233">
        <v>17481</v>
      </c>
      <c r="D16" s="234">
        <v>356</v>
      </c>
      <c r="E16" s="235"/>
      <c r="F16" s="239">
        <v>5</v>
      </c>
      <c r="G16" s="243" t="s">
        <v>12</v>
      </c>
      <c r="H16" s="241" t="s">
        <v>570</v>
      </c>
      <c r="I16" s="1018"/>
      <c r="J16" s="226" t="str">
        <f>+'9'!J16</f>
        <v>F 12 VP OW</v>
      </c>
      <c r="K16" s="250">
        <f>+C7+C16+C25</f>
        <v>45845</v>
      </c>
      <c r="L16" s="250"/>
      <c r="M16" s="129">
        <f>+K16+'9'!M16+L16</f>
        <v>136998</v>
      </c>
    </row>
    <row r="17" spans="1:18" ht="13.5" thickBot="1">
      <c r="A17" s="1020"/>
      <c r="B17" s="227"/>
      <c r="C17" s="228"/>
      <c r="D17" s="229"/>
      <c r="E17" s="236"/>
      <c r="F17" s="239">
        <v>11</v>
      </c>
      <c r="G17" s="243" t="s">
        <v>12</v>
      </c>
      <c r="H17" s="598" t="s">
        <v>613</v>
      </c>
      <c r="I17" s="1018"/>
      <c r="J17" s="226" t="s">
        <v>621</v>
      </c>
      <c r="K17" s="250">
        <f>+C26</f>
        <v>3114</v>
      </c>
      <c r="L17" s="250"/>
      <c r="M17" s="129">
        <f>+K17+'9'!M17+L17</f>
        <v>3114</v>
      </c>
    </row>
    <row r="18" spans="1:18" ht="13.5" thickBot="1">
      <c r="A18" s="1020"/>
      <c r="B18" s="227"/>
      <c r="C18" s="228"/>
      <c r="D18" s="229"/>
      <c r="E18" s="236"/>
      <c r="F18" s="239"/>
      <c r="G18" s="243"/>
      <c r="H18" s="598" t="s">
        <v>616</v>
      </c>
      <c r="I18" s="1018"/>
      <c r="J18" s="226">
        <f>+'9'!J18</f>
        <v>0</v>
      </c>
      <c r="K18" s="250"/>
      <c r="L18" s="250"/>
      <c r="M18" s="129">
        <f>+K18+'9'!M18+L18</f>
        <v>0</v>
      </c>
    </row>
    <row r="19" spans="1:18" ht="13.5" thickBot="1">
      <c r="A19" s="1020"/>
      <c r="B19" s="227"/>
      <c r="C19" s="228"/>
      <c r="D19" s="229"/>
      <c r="E19" s="236"/>
      <c r="F19" s="246"/>
      <c r="G19" s="243"/>
      <c r="H19" s="244"/>
      <c r="I19" s="1018"/>
      <c r="J19" s="226">
        <f>+'9'!J19</f>
        <v>0</v>
      </c>
      <c r="K19" s="250"/>
      <c r="L19" s="250"/>
      <c r="M19" s="129">
        <f>+K19+'9'!M19+L19</f>
        <v>0</v>
      </c>
    </row>
    <row r="20" spans="1:18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+'9'!J20</f>
        <v>0</v>
      </c>
      <c r="K20" s="250"/>
      <c r="L20" s="250"/>
      <c r="M20" s="129">
        <f>+K20+'9'!M20+L20</f>
        <v>0</v>
      </c>
    </row>
    <row r="21" spans="1:18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+'9'!J21</f>
        <v>0</v>
      </c>
      <c r="K21" s="250"/>
      <c r="L21" s="250"/>
      <c r="M21" s="129">
        <f>+K21+'9'!M21+L21</f>
        <v>0</v>
      </c>
    </row>
    <row r="22" spans="1:18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+'9'!J22</f>
        <v>0</v>
      </c>
      <c r="K22" s="250"/>
      <c r="L22" s="250"/>
      <c r="M22" s="129">
        <f>+K22+'9'!M22+L22</f>
        <v>0</v>
      </c>
    </row>
    <row r="23" spans="1:18" ht="13.5" thickBot="1">
      <c r="A23" s="1021"/>
      <c r="B23" s="180" t="s">
        <v>2</v>
      </c>
      <c r="C23" s="112">
        <f>SUM(C16:C22)</f>
        <v>17481</v>
      </c>
      <c r="D23" s="123">
        <f>SUM(D16:D22)</f>
        <v>356</v>
      </c>
      <c r="E23" s="124">
        <f>SUM(E18:E22)</f>
        <v>0</v>
      </c>
      <c r="F23" s="128">
        <f>SUM(F15:F22)</f>
        <v>31</v>
      </c>
      <c r="G23" s="171"/>
      <c r="H23" s="178" t="s">
        <v>237</v>
      </c>
      <c r="I23" s="181"/>
      <c r="J23" s="226">
        <f>+'9'!J23</f>
        <v>0</v>
      </c>
      <c r="K23" s="250"/>
      <c r="L23" s="250"/>
      <c r="M23" s="129">
        <f>+K23+'9'!M23+L23</f>
        <v>0</v>
      </c>
    </row>
    <row r="24" spans="1:18" ht="13.5" customHeight="1" thickBot="1">
      <c r="A24" s="1014" t="s">
        <v>486</v>
      </c>
      <c r="B24" s="182"/>
      <c r="C24" s="125"/>
      <c r="D24" s="126"/>
      <c r="E24" s="127"/>
      <c r="F24" s="247">
        <v>10</v>
      </c>
      <c r="G24" s="240" t="s">
        <v>12</v>
      </c>
      <c r="H24" s="241" t="s">
        <v>571</v>
      </c>
      <c r="I24" s="1017" t="s">
        <v>611</v>
      </c>
      <c r="J24" s="226">
        <f>+'8'!J24</f>
        <v>0</v>
      </c>
      <c r="K24" s="250"/>
      <c r="L24" s="250"/>
      <c r="M24" s="129">
        <f>+K24+'9'!M24+L24</f>
        <v>0</v>
      </c>
    </row>
    <row r="25" spans="1:18" ht="13.5" customHeight="1" thickBot="1">
      <c r="A25" s="1020"/>
      <c r="B25" s="227" t="s">
        <v>568</v>
      </c>
      <c r="C25" s="237">
        <v>13448</v>
      </c>
      <c r="D25" s="229"/>
      <c r="E25" s="236"/>
      <c r="F25" s="242">
        <v>6</v>
      </c>
      <c r="G25" s="243" t="s">
        <v>12</v>
      </c>
      <c r="H25" s="241" t="s">
        <v>587</v>
      </c>
      <c r="I25" s="1018"/>
      <c r="J25" s="226">
        <f>+'8'!J25</f>
        <v>0</v>
      </c>
      <c r="K25" s="250"/>
      <c r="L25" s="250"/>
      <c r="M25" s="129">
        <f>+K25+'9'!M25+L25</f>
        <v>0</v>
      </c>
      <c r="N25" s="161">
        <v>1680</v>
      </c>
      <c r="O25" s="161">
        <f>+N25-N25*0.24</f>
        <v>1276.8</v>
      </c>
      <c r="Q25" s="161">
        <f>+N25*P25</f>
        <v>0</v>
      </c>
      <c r="R25" s="161">
        <f>+O25*P25</f>
        <v>0</v>
      </c>
    </row>
    <row r="26" spans="1:18" ht="13.5" customHeight="1" thickBot="1">
      <c r="A26" s="1020"/>
      <c r="B26" s="227" t="s">
        <v>621</v>
      </c>
      <c r="C26" s="237">
        <v>3114</v>
      </c>
      <c r="D26" s="229"/>
      <c r="E26" s="238"/>
      <c r="F26" s="242">
        <v>10</v>
      </c>
      <c r="G26" s="243" t="s">
        <v>12</v>
      </c>
      <c r="H26" s="598" t="s">
        <v>435</v>
      </c>
      <c r="I26" s="1018"/>
      <c r="J26" s="226">
        <f>+'8'!J26</f>
        <v>0</v>
      </c>
      <c r="K26" s="250"/>
      <c r="L26" s="250"/>
      <c r="M26" s="129">
        <f>+K26+'9'!M26+L26</f>
        <v>0</v>
      </c>
      <c r="N26" s="161">
        <v>1700</v>
      </c>
      <c r="O26" s="161">
        <f>+N26-N26*0.24</f>
        <v>1292</v>
      </c>
      <c r="P26" s="161">
        <v>5</v>
      </c>
      <c r="Q26" s="161">
        <f>+N26*P26</f>
        <v>8500</v>
      </c>
      <c r="R26" s="161">
        <f>+O26*P26</f>
        <v>6460</v>
      </c>
    </row>
    <row r="27" spans="1:18" ht="13.5" customHeight="1" thickBot="1">
      <c r="A27" s="1020"/>
      <c r="B27" s="227"/>
      <c r="C27" s="228"/>
      <c r="D27" s="229"/>
      <c r="E27" s="236"/>
      <c r="F27" s="242"/>
      <c r="G27" s="243"/>
      <c r="H27" s="598" t="s">
        <v>616</v>
      </c>
      <c r="I27" s="1018"/>
      <c r="J27" s="226">
        <f>+'8'!J27</f>
        <v>0</v>
      </c>
      <c r="K27" s="250"/>
      <c r="L27" s="250"/>
      <c r="M27" s="129">
        <f>+K27+'9'!M27+L27</f>
        <v>0</v>
      </c>
      <c r="N27" s="161">
        <v>1650</v>
      </c>
      <c r="O27" s="161">
        <f>+N27-N27*0.24</f>
        <v>1254</v>
      </c>
      <c r="P27" s="161">
        <f>10+240</f>
        <v>250</v>
      </c>
      <c r="Q27" s="161">
        <f>+N27*P27</f>
        <v>412500</v>
      </c>
      <c r="R27" s="161">
        <f>+O27*P27</f>
        <v>313500</v>
      </c>
    </row>
    <row r="28" spans="1:18" ht="13.5" customHeight="1" thickBot="1">
      <c r="A28" s="1020"/>
      <c r="B28" s="227"/>
      <c r="C28" s="228"/>
      <c r="D28" s="229"/>
      <c r="E28" s="236"/>
      <c r="F28" s="242"/>
      <c r="G28" s="243"/>
      <c r="H28" s="244" t="s">
        <v>610</v>
      </c>
      <c r="I28" s="1018"/>
      <c r="J28" s="226">
        <f>+'8'!J28</f>
        <v>0</v>
      </c>
      <c r="K28" s="250"/>
      <c r="L28" s="250"/>
      <c r="M28" s="129">
        <f>+K28+'9'!M28+L28</f>
        <v>0</v>
      </c>
      <c r="P28" s="161">
        <f>SUM(P25:P27)</f>
        <v>255</v>
      </c>
      <c r="Q28" s="161">
        <f>SUM(Q25:Q27)</f>
        <v>421000</v>
      </c>
      <c r="R28" s="161">
        <f>SUM(R25:R27)</f>
        <v>319960</v>
      </c>
    </row>
    <row r="29" spans="1:18" ht="13.5" customHeight="1" thickBot="1">
      <c r="A29" s="1020"/>
      <c r="B29" s="227"/>
      <c r="C29" s="228"/>
      <c r="D29" s="229"/>
      <c r="E29" s="236"/>
      <c r="F29" s="247"/>
      <c r="G29" s="243"/>
      <c r="H29" s="244" t="s">
        <v>605</v>
      </c>
      <c r="I29" s="1018"/>
      <c r="J29" s="226">
        <f>+'8'!J29</f>
        <v>0</v>
      </c>
      <c r="K29" s="250"/>
      <c r="L29" s="250"/>
      <c r="M29" s="129">
        <f>+K29+'9'!M29+L29</f>
        <v>0</v>
      </c>
      <c r="Q29" s="161">
        <f>+Q28/P28</f>
        <v>1650.9803921568628</v>
      </c>
      <c r="R29" s="161">
        <f>+R28/P28</f>
        <v>1254.7450980392157</v>
      </c>
    </row>
    <row r="30" spans="1:18" ht="26.25" thickBot="1">
      <c r="A30" s="1020"/>
      <c r="B30" s="227"/>
      <c r="C30" s="237"/>
      <c r="D30" s="229"/>
      <c r="E30" s="236"/>
      <c r="F30" s="247"/>
      <c r="G30" s="243"/>
      <c r="H30" s="244" t="s">
        <v>604</v>
      </c>
      <c r="I30" s="1018"/>
      <c r="J30" s="226">
        <f>+'8'!J30</f>
        <v>0</v>
      </c>
      <c r="K30" s="250"/>
      <c r="L30" s="250"/>
      <c r="M30" s="129">
        <f>+K30+'9'!M30+L30</f>
        <v>0</v>
      </c>
      <c r="N30" s="167"/>
    </row>
    <row r="31" spans="1:18" ht="13.5" customHeight="1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+'8'!J31</f>
        <v>0</v>
      </c>
      <c r="K31" s="250"/>
      <c r="L31" s="250"/>
      <c r="M31" s="129">
        <f>+K31+'9'!M31+L31</f>
        <v>0</v>
      </c>
    </row>
    <row r="32" spans="1:18" ht="13.5" customHeight="1" thickBot="1">
      <c r="A32" s="1021"/>
      <c r="B32" s="177" t="s">
        <v>2</v>
      </c>
      <c r="C32" s="111">
        <f>SUM(C25:C31)</f>
        <v>16562</v>
      </c>
      <c r="D32" s="112">
        <f>SUM(D25:D31)</f>
        <v>0</v>
      </c>
      <c r="E32" s="113">
        <f>SUM(E25:E31)</f>
        <v>0</v>
      </c>
      <c r="F32" s="114">
        <f>SUM(F24:F31)</f>
        <v>26</v>
      </c>
      <c r="G32" s="183"/>
      <c r="H32" s="184"/>
      <c r="I32" s="181"/>
      <c r="J32" s="226">
        <f>+'8'!J32</f>
        <v>0</v>
      </c>
      <c r="K32" s="252"/>
      <c r="L32" s="254"/>
      <c r="M32" s="129">
        <f>+K32+'9'!M32+L32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48959</v>
      </c>
      <c r="D34" s="119">
        <f>D14+D23+D32</f>
        <v>689</v>
      </c>
      <c r="E34" s="119">
        <f>E14+E23+E32</f>
        <v>0</v>
      </c>
      <c r="F34" s="120">
        <f>F14+F23+F32</f>
        <v>102</v>
      </c>
      <c r="H34" s="190"/>
      <c r="I34" s="190"/>
      <c r="J34" s="135" t="s">
        <v>28</v>
      </c>
      <c r="K34" s="136">
        <f>SUM(K7:K32)</f>
        <v>48959</v>
      </c>
      <c r="L34" s="224">
        <f>SUM(L7:L32)</f>
        <v>0</v>
      </c>
      <c r="M34" s="132">
        <f>SUM(M7:M32)</f>
        <v>576129</v>
      </c>
      <c r="N34" s="167"/>
    </row>
    <row r="35" spans="1:14" ht="13.5" thickBot="1">
      <c r="A35" s="191"/>
      <c r="B35" s="192"/>
      <c r="C35" s="116">
        <f>C34/($C$34+$D$34+$E$34)</f>
        <v>0.9861223009990332</v>
      </c>
      <c r="D35" s="116">
        <f>D34/($C$34+$D$34+$E$34)</f>
        <v>1.3877699000966807E-2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(12*1185+10.5*255)/1440*G42*2.77*1440/1000000</f>
        <v>59.81634361375</v>
      </c>
      <c r="J37" s="355">
        <f>+I37+'9'!J37</f>
        <v>651.8298905369104</v>
      </c>
      <c r="K37" s="138" t="s">
        <v>64</v>
      </c>
      <c r="N37" s="566">
        <f>+I38-N38</f>
        <v>44.433</v>
      </c>
    </row>
    <row r="38" spans="1:14" ht="17.45" customHeight="1">
      <c r="A38" s="1012" t="s">
        <v>12</v>
      </c>
      <c r="B38" s="1013"/>
      <c r="C38" s="176">
        <f>SUMIF($G$7:$G$31,"Process",$F$7:$F$31)</f>
        <v>102</v>
      </c>
      <c r="D38" s="130">
        <f>+C38+'9'!D38</f>
        <v>532</v>
      </c>
      <c r="E38" s="155">
        <f t="shared" ref="E38:E51" si="0">D38/60</f>
        <v>8.8666666666666671</v>
      </c>
      <c r="F38" s="340">
        <v>1700</v>
      </c>
      <c r="G38" s="340">
        <f>+F38-F38*0.24</f>
        <v>1292</v>
      </c>
      <c r="H38" s="199" t="s">
        <v>65</v>
      </c>
      <c r="I38" s="553">
        <f>17.82+17.483+15.372</f>
        <v>50.674999999999997</v>
      </c>
      <c r="J38" s="356">
        <f>+I38+'9'!J38</f>
        <v>609.12699999999995</v>
      </c>
      <c r="K38" s="140" t="s">
        <v>64</v>
      </c>
      <c r="N38" s="566">
        <f>0.904+1.589+1.424+2.325</f>
        <v>6.242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+C39+'9'!D39</f>
        <v>0</v>
      </c>
      <c r="E39" s="155">
        <f t="shared" si="0"/>
        <v>0</v>
      </c>
      <c r="F39" s="340">
        <v>1680</v>
      </c>
      <c r="G39" s="340">
        <f>+F39-F39*0.24</f>
        <v>1276.8</v>
      </c>
      <c r="H39" s="199" t="s">
        <v>66</v>
      </c>
      <c r="I39" s="154"/>
      <c r="J39" s="357">
        <f>J37/G4</f>
        <v>65.182989053691045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+C40+'9'!D40</f>
        <v>0</v>
      </c>
      <c r="E40" s="155">
        <f t="shared" si="0"/>
        <v>0</v>
      </c>
      <c r="F40" s="340">
        <v>1664.5833333333333</v>
      </c>
      <c r="G40" s="340">
        <v>1265.0833333333333</v>
      </c>
      <c r="H40" s="199" t="s">
        <v>68</v>
      </c>
      <c r="I40" s="130">
        <f>+(K34+L34)/1000</f>
        <v>48.959000000000003</v>
      </c>
      <c r="J40" s="358">
        <f>+I40+'9'!J40</f>
        <v>576.12899999999991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+C41+'9'!D41</f>
        <v>132</v>
      </c>
      <c r="E41" s="155">
        <f t="shared" si="0"/>
        <v>2.2000000000000002</v>
      </c>
      <c r="F41" s="340"/>
      <c r="G41" s="340"/>
      <c r="H41" s="199" t="s">
        <v>70</v>
      </c>
      <c r="I41" s="154"/>
      <c r="J41" s="357">
        <f>J40/G4</f>
        <v>57.612899999999989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+C42+'9'!D42</f>
        <v>0</v>
      </c>
      <c r="E42" s="155">
        <f t="shared" si="0"/>
        <v>0</v>
      </c>
      <c r="F42" s="340">
        <f>+(F38*480+F39*480+F40*480)/1440</f>
        <v>1681.5277777777778</v>
      </c>
      <c r="G42" s="340">
        <f>+(G38*480+G39*480+G40*480)/1440</f>
        <v>1277.9611111111112</v>
      </c>
      <c r="H42" s="199" t="s">
        <v>71</v>
      </c>
      <c r="I42" s="257" t="s">
        <v>612</v>
      </c>
      <c r="J42" s="359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+C43+'9'!D43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+Report1!T18</f>
        <v>124.40600000000001</v>
      </c>
      <c r="J43" s="360">
        <f>+I43+'9'!J43</f>
        <v>1337.6790000000001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+C44+'9'!D44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2.4549777997039963</v>
      </c>
      <c r="J44" s="360">
        <f>J43/J38</f>
        <v>2.1960592782785859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+C45+'9'!D45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2.5410241222247185</v>
      </c>
      <c r="J45" s="360">
        <f>J43/J40</f>
        <v>2.3218393797222503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+C46+'9'!D46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+SUMIF(Listrik!AR17,"&gt;0")</f>
        <v>59107.339999996904</v>
      </c>
      <c r="J46" s="360">
        <f>+I46+'9'!J46</f>
        <v>528742.11999999953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+C47+'9'!D47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1166.4003946718678</v>
      </c>
      <c r="J47" s="360">
        <f>J46/J38</f>
        <v>868.03264343888804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+C48+'9'!D48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1207.2824199840049</v>
      </c>
      <c r="J48" s="360">
        <f>J46/J40</f>
        <v>917.74953178888688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+C49+'9'!D49</f>
        <v>878</v>
      </c>
      <c r="E49" s="155">
        <f t="shared" si="0"/>
        <v>14.633333333333333</v>
      </c>
      <c r="F49" s="197"/>
      <c r="H49" s="200" t="s">
        <v>186</v>
      </c>
      <c r="I49" s="130">
        <v>0</v>
      </c>
      <c r="J49" s="360">
        <f>+I49+'9'!J49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+C50+'9'!D50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360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+C51+'9'!D51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361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102</v>
      </c>
      <c r="D52" s="156">
        <f>SUM(D38:D51)</f>
        <v>1542</v>
      </c>
      <c r="E52" s="157">
        <f>SUM(E38:E51)</f>
        <v>25.7</v>
      </c>
      <c r="F52" s="197"/>
      <c r="H52" s="203"/>
      <c r="I52" s="204"/>
      <c r="J52" s="362"/>
      <c r="K52" s="151"/>
    </row>
    <row r="53" spans="1:11" ht="13.5" thickBot="1">
      <c r="A53" s="1006"/>
      <c r="B53" s="1007"/>
      <c r="C53" s="158">
        <f>C52/(24*60)</f>
        <v>7.0833333333333331E-2</v>
      </c>
      <c r="D53" s="158">
        <f>D52/(24*60*G4)</f>
        <v>0.10708333333333334</v>
      </c>
      <c r="E53" s="159">
        <f>E52/(G4*24)</f>
        <v>0.10708333333333334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+D34+'9'!J56</f>
        <v>19492</v>
      </c>
      <c r="K56" s="213">
        <f>J56/(J40+J56/1000)/1000</f>
        <v>3.2725508334998266E-2</v>
      </c>
    </row>
    <row r="57" spans="1:11">
      <c r="A57" s="188"/>
      <c r="I57" s="211" t="s">
        <v>90</v>
      </c>
      <c r="J57" s="212"/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6:B46"/>
    <mergeCell ref="A42:B42"/>
    <mergeCell ref="A43:B43"/>
    <mergeCell ref="A44:B44"/>
    <mergeCell ref="A45:B45"/>
    <mergeCell ref="A53:B53"/>
    <mergeCell ref="A49:B49"/>
    <mergeCell ref="A47:B47"/>
    <mergeCell ref="A48:B48"/>
    <mergeCell ref="A50:B50"/>
    <mergeCell ref="A52:B52"/>
    <mergeCell ref="A51:B51"/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D10" zoomScale="80" zoomScaleNormal="75" zoomScaleSheetLayoutView="80" workbookViewId="0">
      <selection activeCell="L38" sqref="L38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5703125" style="161" bestFit="1" customWidth="1"/>
    <col min="12" max="12" width="10.5703125" style="161" bestFit="1" customWidth="1"/>
    <col min="13" max="13" width="12.140625" style="16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9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198+234+211</f>
        <v>643</v>
      </c>
    </row>
    <row r="7" spans="1:18" ht="13.5" customHeight="1" thickBot="1">
      <c r="A7" s="1014" t="s">
        <v>466</v>
      </c>
      <c r="B7" s="227" t="s">
        <v>568</v>
      </c>
      <c r="C7" s="228">
        <v>17197</v>
      </c>
      <c r="D7" s="229"/>
      <c r="E7" s="230"/>
      <c r="F7" s="239"/>
      <c r="G7" s="240" t="s">
        <v>12</v>
      </c>
      <c r="H7" s="241" t="s">
        <v>280</v>
      </c>
      <c r="I7" s="1017" t="s">
        <v>596</v>
      </c>
      <c r="J7" s="226" t="str">
        <f>+'8'!J7</f>
        <v>F 13 VP OW</v>
      </c>
      <c r="K7" s="249"/>
      <c r="L7" s="253"/>
      <c r="M7" s="129">
        <f>+K7+'8'!M7+L7</f>
        <v>19690</v>
      </c>
    </row>
    <row r="8" spans="1:18" ht="13.5" thickBot="1">
      <c r="A8" s="1015"/>
      <c r="B8" s="227"/>
      <c r="C8" s="228"/>
      <c r="D8" s="229"/>
      <c r="E8" s="231"/>
      <c r="F8" s="242">
        <v>4</v>
      </c>
      <c r="G8" s="243" t="s">
        <v>12</v>
      </c>
      <c r="H8" s="241" t="s">
        <v>586</v>
      </c>
      <c r="I8" s="1018"/>
      <c r="J8" s="226" t="str">
        <f>+'8'!J8</f>
        <v>F 10,3 VP OW</v>
      </c>
      <c r="K8" s="250">
        <f>+C17+C26</f>
        <v>33271</v>
      </c>
      <c r="L8" s="250"/>
      <c r="M8" s="129">
        <f>+K8+'8'!M8+L8</f>
        <v>42899</v>
      </c>
      <c r="N8" s="161">
        <v>1680</v>
      </c>
      <c r="O8" s="161">
        <f>+N8-N8*0.2</f>
        <v>1344</v>
      </c>
      <c r="P8" s="161">
        <v>310</v>
      </c>
      <c r="Q8" s="161">
        <f>+N8*P8</f>
        <v>520800</v>
      </c>
      <c r="R8" s="161">
        <f>+O8*P8</f>
        <v>416640</v>
      </c>
    </row>
    <row r="9" spans="1:18" ht="13.5" thickBot="1">
      <c r="A9" s="1015"/>
      <c r="B9" s="227"/>
      <c r="C9" s="228"/>
      <c r="D9" s="229"/>
      <c r="E9" s="232"/>
      <c r="F9" s="239">
        <v>8</v>
      </c>
      <c r="G9" s="243" t="s">
        <v>12</v>
      </c>
      <c r="H9" s="598" t="s">
        <v>435</v>
      </c>
      <c r="I9" s="1018"/>
      <c r="J9" s="226" t="str">
        <f>+'8'!J9</f>
        <v>SN 15 VP OW</v>
      </c>
      <c r="K9" s="250"/>
      <c r="L9" s="250"/>
      <c r="M9" s="129">
        <f>+K9+'8'!M9+L9</f>
        <v>2504</v>
      </c>
      <c r="N9" s="161">
        <v>1730</v>
      </c>
      <c r="O9" s="161">
        <f>+N9-N9*0.16</f>
        <v>1453.2</v>
      </c>
      <c r="P9" s="161">
        <f>50+120</f>
        <v>170</v>
      </c>
      <c r="Q9" s="161">
        <f>+N9*P9</f>
        <v>294100</v>
      </c>
      <c r="R9" s="161">
        <f>+O9*P9</f>
        <v>247044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581</v>
      </c>
      <c r="I10" s="1018"/>
      <c r="J10" s="226" t="str">
        <f>+'8'!J10</f>
        <v>MG 15,5 VP OW</v>
      </c>
      <c r="K10" s="250"/>
      <c r="L10" s="250"/>
      <c r="M10" s="129">
        <f>+K10+'8'!M10+L10</f>
        <v>62505</v>
      </c>
      <c r="P10" s="161">
        <f>SUM(P8:P9)</f>
        <v>480</v>
      </c>
      <c r="Q10" s="161">
        <f>SUM(Q8:Q9)</f>
        <v>814900</v>
      </c>
      <c r="R10" s="161">
        <f>SUM(R8:R9)</f>
        <v>663684</v>
      </c>
    </row>
    <row r="11" spans="1:18" ht="13.5" thickBot="1">
      <c r="A11" s="1015"/>
      <c r="B11" s="227"/>
      <c r="C11" s="228"/>
      <c r="D11" s="229"/>
      <c r="E11" s="231"/>
      <c r="F11" s="239">
        <v>8</v>
      </c>
      <c r="G11" s="243" t="s">
        <v>12</v>
      </c>
      <c r="H11" s="244" t="s">
        <v>591</v>
      </c>
      <c r="I11" s="1018"/>
      <c r="J11" s="226" t="str">
        <f>+'8'!J11</f>
        <v>MG 16,5 VP OW</v>
      </c>
      <c r="K11" s="250"/>
      <c r="L11" s="250"/>
      <c r="M11" s="129">
        <f>+K11+'8'!M11+L11</f>
        <v>37635</v>
      </c>
      <c r="Q11" s="161">
        <f>+Q10/P10</f>
        <v>1697.7083333333333</v>
      </c>
      <c r="R11" s="161">
        <f>+R10/P10</f>
        <v>1382.675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+'8'!J12</f>
        <v>MG 21 VP OW</v>
      </c>
      <c r="K12" s="250"/>
      <c r="L12" s="250"/>
      <c r="M12" s="129">
        <f>+K12+'8'!M12+L12</f>
        <v>206161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+'8'!J13</f>
        <v>MG 22 VP HW</v>
      </c>
      <c r="K13" s="250"/>
      <c r="L13" s="250"/>
      <c r="M13" s="129">
        <f>+K13+'8'!M13+L13</f>
        <v>10130</v>
      </c>
    </row>
    <row r="14" spans="1:18" ht="13.5" thickBot="1">
      <c r="A14" s="1016"/>
      <c r="B14" s="177" t="s">
        <v>2</v>
      </c>
      <c r="C14" s="111">
        <f>SUM(C7:C13)</f>
        <v>17197</v>
      </c>
      <c r="D14" s="123">
        <f>SUM(D7:D13)</f>
        <v>0</v>
      </c>
      <c r="E14" s="124">
        <f>SUM(E5:E13)</f>
        <v>0</v>
      </c>
      <c r="F14" s="128">
        <f>SUM(F7:F13)</f>
        <v>20</v>
      </c>
      <c r="G14" s="171"/>
      <c r="H14" s="178"/>
      <c r="I14" s="179"/>
      <c r="J14" s="226" t="str">
        <f>+'8'!J14</f>
        <v>MG 17 VP HW/OW</v>
      </c>
      <c r="K14" s="250"/>
      <c r="L14" s="250"/>
      <c r="M14" s="129">
        <f>+K14+'8'!M14+L14</f>
        <v>7375</v>
      </c>
    </row>
    <row r="15" spans="1:18" ht="13.5" customHeight="1" thickBot="1">
      <c r="A15" s="1014" t="s">
        <v>542</v>
      </c>
      <c r="B15" s="177"/>
      <c r="C15" s="125"/>
      <c r="D15" s="126"/>
      <c r="E15" s="127"/>
      <c r="F15" s="239"/>
      <c r="G15" s="240" t="s">
        <v>12</v>
      </c>
      <c r="H15" s="241" t="s">
        <v>541</v>
      </c>
      <c r="I15" s="1017" t="s">
        <v>597</v>
      </c>
      <c r="J15" s="226" t="str">
        <f>+'8'!J15</f>
        <v>MG 14 VP HW</v>
      </c>
      <c r="K15" s="250"/>
      <c r="L15" s="250"/>
      <c r="M15" s="129">
        <f>+K15+'8'!M15+L15</f>
        <v>47118</v>
      </c>
    </row>
    <row r="16" spans="1:18" ht="13.5" thickBot="1">
      <c r="A16" s="1020"/>
      <c r="B16" s="227" t="s">
        <v>568</v>
      </c>
      <c r="C16" s="233">
        <v>1121</v>
      </c>
      <c r="D16" s="234">
        <v>392</v>
      </c>
      <c r="E16" s="235"/>
      <c r="F16" s="239">
        <v>5</v>
      </c>
      <c r="G16" s="243" t="s">
        <v>12</v>
      </c>
      <c r="H16" s="241" t="s">
        <v>598</v>
      </c>
      <c r="I16" s="1018"/>
      <c r="J16" s="226" t="str">
        <f>+'8'!J16</f>
        <v>F 12 VP OW</v>
      </c>
      <c r="K16" s="250">
        <f>+C7+C16+C25</f>
        <v>23150</v>
      </c>
      <c r="L16" s="250"/>
      <c r="M16" s="129">
        <f>+K16+'8'!M16+L16</f>
        <v>91153</v>
      </c>
    </row>
    <row r="17" spans="1:18" ht="13.5" thickBot="1">
      <c r="A17" s="1020"/>
      <c r="B17" s="227" t="s">
        <v>423</v>
      </c>
      <c r="C17" s="228">
        <f>15651+2226</f>
        <v>17877</v>
      </c>
      <c r="D17" s="229"/>
      <c r="E17" s="236"/>
      <c r="F17" s="239">
        <v>8</v>
      </c>
      <c r="G17" s="243" t="s">
        <v>12</v>
      </c>
      <c r="H17" s="598" t="s">
        <v>435</v>
      </c>
      <c r="I17" s="1018"/>
      <c r="J17" s="226">
        <f>+'8'!J17</f>
        <v>0</v>
      </c>
      <c r="K17" s="250"/>
      <c r="L17" s="250"/>
      <c r="M17" s="129">
        <f>+K17+'8'!M17+L17</f>
        <v>0</v>
      </c>
    </row>
    <row r="18" spans="1:18" ht="13.5" thickBot="1">
      <c r="A18" s="1020"/>
      <c r="B18" s="227"/>
      <c r="C18" s="228"/>
      <c r="D18" s="229"/>
      <c r="E18" s="236"/>
      <c r="F18" s="239"/>
      <c r="G18" s="243"/>
      <c r="H18" s="598" t="s">
        <v>595</v>
      </c>
      <c r="I18" s="1018"/>
      <c r="J18" s="226">
        <f>+'8'!J18</f>
        <v>0</v>
      </c>
      <c r="K18" s="250"/>
      <c r="L18" s="250"/>
      <c r="M18" s="129">
        <f>+K18+'8'!M18+L18</f>
        <v>0</v>
      </c>
    </row>
    <row r="19" spans="1:18" ht="13.5" thickBot="1">
      <c r="A19" s="1020"/>
      <c r="B19" s="227"/>
      <c r="C19" s="228"/>
      <c r="D19" s="229"/>
      <c r="E19" s="236"/>
      <c r="F19" s="246"/>
      <c r="G19" s="243"/>
      <c r="H19" s="244"/>
      <c r="I19" s="1018"/>
      <c r="J19" s="226">
        <f>+'8'!J19</f>
        <v>0</v>
      </c>
      <c r="K19" s="250"/>
      <c r="L19" s="250"/>
      <c r="M19" s="129">
        <f>+K19+'8'!M19+L19</f>
        <v>0</v>
      </c>
    </row>
    <row r="20" spans="1:18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+'8'!J20</f>
        <v>0</v>
      </c>
      <c r="K20" s="250"/>
      <c r="L20" s="250"/>
      <c r="M20" s="129">
        <f>+K20+'8'!M20+L20</f>
        <v>0</v>
      </c>
    </row>
    <row r="21" spans="1:18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+'8'!J21</f>
        <v>0</v>
      </c>
      <c r="K21" s="250"/>
      <c r="L21" s="250"/>
      <c r="M21" s="129">
        <f>+K21+'8'!M21+L21</f>
        <v>0</v>
      </c>
    </row>
    <row r="22" spans="1:18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+'8'!J22</f>
        <v>0</v>
      </c>
      <c r="K22" s="250"/>
      <c r="L22" s="250"/>
      <c r="M22" s="129">
        <f>+K22+'8'!M22+L22</f>
        <v>0</v>
      </c>
    </row>
    <row r="23" spans="1:18" ht="13.5" thickBot="1">
      <c r="A23" s="1021"/>
      <c r="B23" s="180" t="s">
        <v>2</v>
      </c>
      <c r="C23" s="112">
        <f>SUM(C16:C22)</f>
        <v>18998</v>
      </c>
      <c r="D23" s="123">
        <f>SUM(D16:D22)</f>
        <v>392</v>
      </c>
      <c r="E23" s="124">
        <f>SUM(E18:E22)</f>
        <v>0</v>
      </c>
      <c r="F23" s="128">
        <f>SUM(F15:F22)</f>
        <v>13</v>
      </c>
      <c r="G23" s="171"/>
      <c r="H23" s="178" t="s">
        <v>237</v>
      </c>
      <c r="I23" s="181"/>
      <c r="J23" s="226">
        <f>+'8'!J23</f>
        <v>0</v>
      </c>
      <c r="K23" s="250"/>
      <c r="L23" s="250"/>
      <c r="M23" s="129">
        <f>+K23+'8'!M23+L23</f>
        <v>0</v>
      </c>
    </row>
    <row r="24" spans="1:18" ht="13.5" customHeight="1" thickBot="1">
      <c r="A24" s="1014" t="s">
        <v>528</v>
      </c>
      <c r="B24" s="182"/>
      <c r="C24" s="125"/>
      <c r="D24" s="126"/>
      <c r="E24" s="127"/>
      <c r="F24" s="247">
        <v>20</v>
      </c>
      <c r="G24" s="240" t="s">
        <v>12</v>
      </c>
      <c r="H24" s="241" t="s">
        <v>540</v>
      </c>
      <c r="I24" s="1017" t="s">
        <v>607</v>
      </c>
      <c r="J24" s="226">
        <f>+'8'!J24</f>
        <v>0</v>
      </c>
      <c r="K24" s="250"/>
      <c r="L24" s="250"/>
      <c r="M24" s="129">
        <f>+K24+'8'!M24+L24</f>
        <v>0</v>
      </c>
    </row>
    <row r="25" spans="1:18" ht="13.5" thickBot="1">
      <c r="A25" s="1020"/>
      <c r="B25" s="227" t="s">
        <v>568</v>
      </c>
      <c r="C25" s="237">
        <v>4832</v>
      </c>
      <c r="D25" s="229"/>
      <c r="E25" s="236"/>
      <c r="F25" s="242">
        <v>7</v>
      </c>
      <c r="G25" s="243" t="s">
        <v>12</v>
      </c>
      <c r="H25" s="241" t="s">
        <v>587</v>
      </c>
      <c r="I25" s="1018"/>
      <c r="J25" s="226">
        <f>+'8'!J25</f>
        <v>0</v>
      </c>
      <c r="K25" s="250"/>
      <c r="L25" s="250"/>
      <c r="M25" s="129">
        <f>+K25+'8'!M25+L25</f>
        <v>0</v>
      </c>
      <c r="N25" s="161">
        <v>1730</v>
      </c>
      <c r="O25" s="161">
        <f>+N25-N25*0.16</f>
        <v>1453.2</v>
      </c>
      <c r="P25" s="161">
        <f>180+37</f>
        <v>217</v>
      </c>
      <c r="Q25" s="161">
        <f>+N25*P25</f>
        <v>375410</v>
      </c>
      <c r="R25" s="161">
        <f>+O25*P25</f>
        <v>315344.40000000002</v>
      </c>
    </row>
    <row r="26" spans="1:18" ht="13.5" thickBot="1">
      <c r="A26" s="1020"/>
      <c r="B26" s="227" t="s">
        <v>423</v>
      </c>
      <c r="C26" s="237">
        <f>2529+12865</f>
        <v>15394</v>
      </c>
      <c r="D26" s="229"/>
      <c r="E26" s="238"/>
      <c r="F26" s="239">
        <v>10</v>
      </c>
      <c r="G26" s="243" t="s">
        <v>12</v>
      </c>
      <c r="H26" s="598" t="s">
        <v>422</v>
      </c>
      <c r="I26" s="1018"/>
      <c r="J26" s="226">
        <f>+'8'!J26</f>
        <v>0</v>
      </c>
      <c r="K26" s="250"/>
      <c r="L26" s="250"/>
      <c r="M26" s="129">
        <f>+K26+'8'!M26+L26</f>
        <v>0</v>
      </c>
      <c r="N26" s="161">
        <v>1700</v>
      </c>
      <c r="O26" s="161">
        <f>+N26-N26*0.24</f>
        <v>1292</v>
      </c>
      <c r="P26" s="161">
        <f>60-37+240</f>
        <v>263</v>
      </c>
      <c r="Q26" s="161">
        <f>+N26*P26</f>
        <v>447100</v>
      </c>
      <c r="R26" s="161">
        <f>+O26*P26</f>
        <v>339796</v>
      </c>
    </row>
    <row r="27" spans="1:18" ht="13.5" thickBot="1">
      <c r="A27" s="1020"/>
      <c r="B27" s="227"/>
      <c r="C27" s="228"/>
      <c r="D27" s="229"/>
      <c r="E27" s="236"/>
      <c r="F27" s="242"/>
      <c r="G27" s="243"/>
      <c r="H27" s="598" t="s">
        <v>595</v>
      </c>
      <c r="I27" s="1018"/>
      <c r="J27" s="226">
        <f>+'8'!J27</f>
        <v>0</v>
      </c>
      <c r="K27" s="250"/>
      <c r="L27" s="250"/>
      <c r="M27" s="129">
        <f>+K27+'8'!M27+L27</f>
        <v>0</v>
      </c>
      <c r="P27" s="161">
        <f>SUM(P25:P26)</f>
        <v>480</v>
      </c>
      <c r="Q27" s="161">
        <f>SUM(Q25:Q26)</f>
        <v>822510</v>
      </c>
      <c r="R27" s="161">
        <f>SUM(R25:R26)</f>
        <v>655140.4</v>
      </c>
    </row>
    <row r="28" spans="1:18" ht="13.5" thickBot="1">
      <c r="A28" s="1020"/>
      <c r="B28" s="227"/>
      <c r="C28" s="228"/>
      <c r="D28" s="229"/>
      <c r="E28" s="236"/>
      <c r="F28" s="242"/>
      <c r="G28" s="243"/>
      <c r="H28" s="244" t="s">
        <v>592</v>
      </c>
      <c r="I28" s="1018"/>
      <c r="J28" s="226">
        <f>+'8'!J28</f>
        <v>0</v>
      </c>
      <c r="K28" s="250"/>
      <c r="L28" s="250"/>
      <c r="M28" s="129">
        <f>+K28+'8'!M28+L28</f>
        <v>0</v>
      </c>
      <c r="Q28" s="161">
        <f>+Q27/P27</f>
        <v>1713.5625</v>
      </c>
      <c r="R28" s="161">
        <f>+R27/P27</f>
        <v>1364.8758333333333</v>
      </c>
    </row>
    <row r="29" spans="1:18" ht="13.5" thickBot="1">
      <c r="A29" s="1020"/>
      <c r="B29" s="227"/>
      <c r="C29" s="228"/>
      <c r="D29" s="229"/>
      <c r="E29" s="236"/>
      <c r="F29" s="247"/>
      <c r="G29" s="243"/>
      <c r="H29" s="244" t="s">
        <v>593</v>
      </c>
      <c r="I29" s="1018"/>
      <c r="J29" s="226">
        <f>+'8'!J29</f>
        <v>0</v>
      </c>
      <c r="K29" s="250"/>
      <c r="L29" s="250"/>
      <c r="M29" s="129">
        <f>+K29+'8'!M29+L29</f>
        <v>0</v>
      </c>
    </row>
    <row r="30" spans="1:18" ht="13.5" thickBot="1">
      <c r="A30" s="1020"/>
      <c r="B30" s="227"/>
      <c r="C30" s="237"/>
      <c r="D30" s="229"/>
      <c r="E30" s="236"/>
      <c r="F30" s="247"/>
      <c r="G30" s="243"/>
      <c r="H30" s="503" t="s">
        <v>594</v>
      </c>
      <c r="I30" s="1018"/>
      <c r="J30" s="226">
        <f>+'8'!J30</f>
        <v>0</v>
      </c>
      <c r="K30" s="250"/>
      <c r="L30" s="250"/>
      <c r="M30" s="129">
        <f>+K30+'8'!M30+L30</f>
        <v>0</v>
      </c>
      <c r="N30" s="167"/>
    </row>
    <row r="31" spans="1:18" ht="13.5" thickBot="1">
      <c r="A31" s="1020"/>
      <c r="B31" s="227"/>
      <c r="C31" s="237"/>
      <c r="D31" s="229"/>
      <c r="E31" s="236"/>
      <c r="F31" s="247"/>
      <c r="G31" s="248"/>
      <c r="H31" s="466" t="s">
        <v>606</v>
      </c>
      <c r="I31" s="1019"/>
      <c r="J31" s="226">
        <f>+'8'!J31</f>
        <v>0</v>
      </c>
      <c r="K31" s="250"/>
      <c r="L31" s="250"/>
      <c r="M31" s="129">
        <f>+K31+'8'!M31+L31</f>
        <v>0</v>
      </c>
    </row>
    <row r="32" spans="1:18" ht="13.5" thickBot="1">
      <c r="A32" s="1021"/>
      <c r="B32" s="177" t="s">
        <v>2</v>
      </c>
      <c r="C32" s="111">
        <f>SUM(C25:C31)</f>
        <v>20226</v>
      </c>
      <c r="D32" s="112">
        <f>SUM(D25:D31)</f>
        <v>0</v>
      </c>
      <c r="E32" s="113">
        <f>SUM(E25:E31)</f>
        <v>0</v>
      </c>
      <c r="F32" s="114">
        <f>SUM(F24:F31)</f>
        <v>37</v>
      </c>
      <c r="G32" s="183"/>
      <c r="H32" s="184"/>
      <c r="I32" s="181"/>
      <c r="J32" s="226">
        <f>+'8'!J32</f>
        <v>0</v>
      </c>
      <c r="K32" s="252"/>
      <c r="L32" s="254"/>
      <c r="M32" s="129">
        <f>+K32+'8'!M32+L32</f>
        <v>0</v>
      </c>
    </row>
    <row r="33" spans="1:18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8" ht="13.5" thickBot="1">
      <c r="A34" s="1022" t="s">
        <v>58</v>
      </c>
      <c r="B34" s="1023"/>
      <c r="C34" s="119">
        <f>C14+C23+C32</f>
        <v>56421</v>
      </c>
      <c r="D34" s="119">
        <f>D14+D23+D32</f>
        <v>392</v>
      </c>
      <c r="E34" s="119">
        <f>E14+E23+E32</f>
        <v>0</v>
      </c>
      <c r="F34" s="120">
        <f>F14+F23+F32</f>
        <v>70</v>
      </c>
      <c r="H34" s="190"/>
      <c r="I34" s="190"/>
      <c r="J34" s="135" t="s">
        <v>28</v>
      </c>
      <c r="K34" s="136">
        <f>SUM(K7:K32)</f>
        <v>56421</v>
      </c>
      <c r="L34" s="224">
        <f>SUM(L7:L32)</f>
        <v>0</v>
      </c>
      <c r="M34" s="132">
        <f>SUM(M7:M32)</f>
        <v>527170</v>
      </c>
      <c r="N34" s="167"/>
    </row>
    <row r="35" spans="1:18" ht="13.5" thickBot="1">
      <c r="A35" s="191"/>
      <c r="B35" s="192"/>
      <c r="C35" s="116">
        <f>C34/($C$34+$D$34+$E$34)</f>
        <v>0.99310017073557111</v>
      </c>
      <c r="D35" s="116">
        <f>D34/($C$34+$D$34+$E$34)</f>
        <v>6.8998292644289159E-3</v>
      </c>
      <c r="E35" s="121">
        <f>E34/($C$34+$D$34+$E$34)</f>
        <v>0</v>
      </c>
      <c r="K35" s="167"/>
      <c r="N35" s="161">
        <v>1680</v>
      </c>
      <c r="O35" s="161">
        <f>+N35-N35*0.2</f>
        <v>1344</v>
      </c>
      <c r="P35" s="161">
        <v>310</v>
      </c>
      <c r="Q35" s="161">
        <f>+N35*P35</f>
        <v>520800</v>
      </c>
      <c r="R35" s="161">
        <f>+O35*P35</f>
        <v>416640</v>
      </c>
    </row>
    <row r="36" spans="1:18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  <c r="N36" s="161">
        <v>1700</v>
      </c>
      <c r="O36" s="161">
        <f>+N36-N36*0.24</f>
        <v>1292</v>
      </c>
      <c r="P36" s="161">
        <f>60-37+240</f>
        <v>263</v>
      </c>
      <c r="Q36" s="161">
        <f>+N36*P36</f>
        <v>447100</v>
      </c>
      <c r="R36" s="161">
        <f>+O36*P36</f>
        <v>339796</v>
      </c>
    </row>
    <row r="37" spans="1:18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(12*310+10.3*1130)/1440*G42*2.77*1440/1000000</f>
        <v>59.572849925397222</v>
      </c>
      <c r="J37" s="137">
        <f>+I37+'8'!J37</f>
        <v>592.01354692316045</v>
      </c>
      <c r="K37" s="138" t="s">
        <v>64</v>
      </c>
      <c r="L37" s="161">
        <f>19.455-2.72-1.534</f>
        <v>15.200999999999999</v>
      </c>
      <c r="P37" s="161">
        <f>SUM(P35:P36)</f>
        <v>573</v>
      </c>
      <c r="Q37" s="161">
        <f>SUM(Q35:Q36)</f>
        <v>967900</v>
      </c>
      <c r="R37" s="161">
        <f>SUM(R35:R36)</f>
        <v>756436</v>
      </c>
    </row>
    <row r="38" spans="1:18" ht="17.45" customHeight="1">
      <c r="A38" s="1012" t="s">
        <v>12</v>
      </c>
      <c r="B38" s="1013"/>
      <c r="C38" s="176">
        <f>SUMIF($G$7:$G$31,"Process",$F$7:$F$31)</f>
        <v>70</v>
      </c>
      <c r="D38" s="130">
        <f>+C38+'8'!D38</f>
        <v>430</v>
      </c>
      <c r="E38" s="155">
        <f t="shared" ref="E38:E51" si="0">D38/60</f>
        <v>7.166666666666667</v>
      </c>
      <c r="F38" s="340">
        <v>1697.7083333333333</v>
      </c>
      <c r="G38" s="340">
        <v>1382.675</v>
      </c>
      <c r="H38" s="199" t="s">
        <v>65</v>
      </c>
      <c r="I38" s="553">
        <f>19.455+20.023+18.928</f>
        <v>58.405999999999992</v>
      </c>
      <c r="J38" s="139">
        <f>+I38+'8'!J38</f>
        <v>558.452</v>
      </c>
      <c r="K38" s="140" t="s">
        <v>64</v>
      </c>
      <c r="L38" s="566">
        <f>+I38-L37</f>
        <v>43.204999999999991</v>
      </c>
      <c r="N38" s="566"/>
      <c r="Q38" s="161">
        <f>+Q37/P37</f>
        <v>1689.1797556719023</v>
      </c>
      <c r="R38" s="161">
        <f>+R37/P37</f>
        <v>1320.1326352530541</v>
      </c>
    </row>
    <row r="39" spans="1:18" ht="17.45" customHeight="1">
      <c r="A39" s="1008" t="s">
        <v>13</v>
      </c>
      <c r="B39" s="1009"/>
      <c r="C39" s="176">
        <f>SUMIF($G$7:$G$31,"Cleaning",$F$7:$F$31)</f>
        <v>0</v>
      </c>
      <c r="D39" s="130">
        <f>+C39+'8'!D39</f>
        <v>0</v>
      </c>
      <c r="E39" s="155">
        <f t="shared" si="0"/>
        <v>0</v>
      </c>
      <c r="F39" s="340">
        <v>1730</v>
      </c>
      <c r="G39" s="340">
        <f>+F39-F39*0.16</f>
        <v>1453.2</v>
      </c>
      <c r="H39" s="199" t="s">
        <v>66</v>
      </c>
      <c r="I39" s="154"/>
      <c r="J39" s="141">
        <f>J37/G4</f>
        <v>65.779282991462267</v>
      </c>
      <c r="K39" s="142" t="s">
        <v>64</v>
      </c>
    </row>
    <row r="40" spans="1:18" ht="17.45" customHeight="1">
      <c r="A40" s="1008" t="s">
        <v>67</v>
      </c>
      <c r="B40" s="1009"/>
      <c r="C40" s="176">
        <f>SUMIF($G$7:$G$31,"Mechanical",$F$7:$F$31)</f>
        <v>0</v>
      </c>
      <c r="D40" s="130">
        <f>+C40+'8'!D40</f>
        <v>0</v>
      </c>
      <c r="E40" s="155">
        <f t="shared" si="0"/>
        <v>0</v>
      </c>
      <c r="F40" s="340">
        <v>1713.5625</v>
      </c>
      <c r="G40" s="340">
        <v>1364.8758333333333</v>
      </c>
      <c r="H40" s="199" t="s">
        <v>68</v>
      </c>
      <c r="I40" s="130">
        <f>(K34+L34)/1000</f>
        <v>56.420999999999999</v>
      </c>
      <c r="J40" s="143">
        <f>+I40+'8'!J40</f>
        <v>527.16999999999996</v>
      </c>
      <c r="K40" s="142" t="s">
        <v>64</v>
      </c>
    </row>
    <row r="41" spans="1:18" ht="17.45" customHeight="1">
      <c r="A41" s="1008" t="s">
        <v>69</v>
      </c>
      <c r="B41" s="1009"/>
      <c r="C41" s="176">
        <f>SUMIF($G$7:$G$31,"Electrical",$F$7:$F$31)</f>
        <v>0</v>
      </c>
      <c r="D41" s="130">
        <f>+C41+'8'!D41</f>
        <v>132</v>
      </c>
      <c r="E41" s="155">
        <f t="shared" si="0"/>
        <v>2.2000000000000002</v>
      </c>
      <c r="F41" s="340"/>
      <c r="G41" s="340"/>
      <c r="H41" s="199" t="s">
        <v>70</v>
      </c>
      <c r="I41" s="154"/>
      <c r="J41" s="141">
        <f>J40/G4</f>
        <v>58.574444444444438</v>
      </c>
      <c r="K41" s="142" t="s">
        <v>64</v>
      </c>
    </row>
    <row r="42" spans="1:18" ht="17.45" customHeight="1">
      <c r="A42" s="1008" t="s">
        <v>16</v>
      </c>
      <c r="B42" s="1009"/>
      <c r="C42" s="176">
        <f>SUMIF($G$7:$G$31,"Instrument",$F$7:$F$31)</f>
        <v>0</v>
      </c>
      <c r="D42" s="130">
        <f>+C42+'8'!D42</f>
        <v>0</v>
      </c>
      <c r="E42" s="155">
        <f t="shared" si="0"/>
        <v>0</v>
      </c>
      <c r="F42" s="340">
        <f>+(F38*480+F39*480+F40*480)/1440</f>
        <v>1713.7569444444443</v>
      </c>
      <c r="G42" s="340">
        <f>+(G38*480+G39*480+G40*480)/1440</f>
        <v>1400.2502777777777</v>
      </c>
      <c r="H42" s="199" t="s">
        <v>71</v>
      </c>
      <c r="I42" s="257" t="s">
        <v>608</v>
      </c>
      <c r="J42" s="144"/>
      <c r="K42" s="142" t="s">
        <v>72</v>
      </c>
    </row>
    <row r="43" spans="1:18" ht="17.45" customHeight="1">
      <c r="A43" s="1008" t="s">
        <v>239</v>
      </c>
      <c r="B43" s="1009"/>
      <c r="C43" s="176">
        <f>SUMIF($G$7:$G$31,"Change GRade",$F$7:$F$31)</f>
        <v>0</v>
      </c>
      <c r="D43" s="130">
        <f>+C43+'8'!D43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+Report1!T17</f>
        <v>133.48600000000002</v>
      </c>
      <c r="J43" s="145">
        <f>+I43+'8'!J43</f>
        <v>1213.2730000000001</v>
      </c>
      <c r="K43" s="142" t="s">
        <v>64</v>
      </c>
      <c r="L43" s="201"/>
    </row>
    <row r="44" spans="1:18" ht="17.45" customHeight="1">
      <c r="A44" s="1008" t="s">
        <v>17</v>
      </c>
      <c r="B44" s="1009"/>
      <c r="C44" s="176">
        <f>SUMIF($G$7:$G$31,"PLN",$F$7:$F$31)</f>
        <v>0</v>
      </c>
      <c r="D44" s="130">
        <f>+C44+'8'!D44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2.2854843680443797</v>
      </c>
      <c r="J44" s="146">
        <f>J43/J38</f>
        <v>2.1725645176308799</v>
      </c>
      <c r="K44" s="142" t="s">
        <v>64</v>
      </c>
    </row>
    <row r="45" spans="1:18" ht="17.45" customHeight="1">
      <c r="A45" s="1008" t="s">
        <v>18</v>
      </c>
      <c r="B45" s="1009"/>
      <c r="C45" s="176">
        <f>SUMIF($G$7:$G$31,"Boiler",$F$7:$F$31)</f>
        <v>0</v>
      </c>
      <c r="D45" s="130">
        <f>+C45+'8'!D45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2.3658921323620641</v>
      </c>
      <c r="J45" s="146">
        <f>J43/J40</f>
        <v>2.3014833924540476</v>
      </c>
      <c r="K45" s="142" t="s">
        <v>64</v>
      </c>
    </row>
    <row r="46" spans="1:18" ht="17.45" customHeight="1">
      <c r="A46" s="1008" t="s">
        <v>77</v>
      </c>
      <c r="B46" s="1009"/>
      <c r="C46" s="176">
        <f>SUMIF($G$7:$G$31,"Gas",$F$7:$F$31)</f>
        <v>0</v>
      </c>
      <c r="D46" s="130">
        <f>+C46+'8'!D46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+SUMIF(Listrik!AR16,"&gt;0")</f>
        <v>59679.860000002096</v>
      </c>
      <c r="J46" s="147">
        <f>+I46+'8'!J46</f>
        <v>469634.78000000265</v>
      </c>
      <c r="K46" s="142" t="s">
        <v>79</v>
      </c>
    </row>
    <row r="47" spans="1:18" ht="17.45" customHeight="1">
      <c r="A47" s="1008" t="s">
        <v>80</v>
      </c>
      <c r="B47" s="1009"/>
      <c r="C47" s="176">
        <f>SUMIF($G$7:$G$31,"Gas",$F$7:$F$31)</f>
        <v>0</v>
      </c>
      <c r="D47" s="130">
        <f>+C47+'8'!D47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1021.8104304352653</v>
      </c>
      <c r="J47" s="147">
        <f>J46/J38</f>
        <v>840.95818440976598</v>
      </c>
      <c r="K47" s="142" t="s">
        <v>24</v>
      </c>
    </row>
    <row r="48" spans="1:18" ht="17.45" customHeight="1">
      <c r="A48" s="1008" t="s">
        <v>14</v>
      </c>
      <c r="B48" s="1009"/>
      <c r="C48" s="176">
        <f>SUMIF($G$7:$G$31,"Start Up",$F$7:$F$31)</f>
        <v>0</v>
      </c>
      <c r="D48" s="130">
        <f>+C48+'8'!D48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1057.7596994027417</v>
      </c>
      <c r="J48" s="147">
        <f>J46/J40</f>
        <v>890.86021586964864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+C49+'8'!D49</f>
        <v>878</v>
      </c>
      <c r="E49" s="155">
        <f t="shared" si="0"/>
        <v>14.633333333333333</v>
      </c>
      <c r="F49" s="197"/>
      <c r="H49" s="200" t="s">
        <v>186</v>
      </c>
      <c r="I49" s="130">
        <v>0</v>
      </c>
      <c r="J49" s="147">
        <f>+I49+'8'!J49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+C50+'8'!D50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+C51+'8'!D51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70</v>
      </c>
      <c r="D52" s="156">
        <f>SUM(D38:D51)</f>
        <v>1440</v>
      </c>
      <c r="E52" s="157">
        <f>SUM(E38:E51)</f>
        <v>24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4.8611111111111112E-2</v>
      </c>
      <c r="D53" s="158">
        <f>D52/(24*60*G4)</f>
        <v>0.1111111111111111</v>
      </c>
      <c r="E53" s="159">
        <f>E52/(G4*24)</f>
        <v>0.1111111111111111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+D34+'8'!J56</f>
        <v>18803</v>
      </c>
      <c r="K56" s="213">
        <f>J56/(J40+J56/1000)/1000</f>
        <v>3.4439431986563442E-2</v>
      </c>
    </row>
    <row r="57" spans="1:11">
      <c r="A57" s="188"/>
      <c r="I57" s="211" t="s">
        <v>90</v>
      </c>
      <c r="J57" s="212">
        <f>+E34+'8'!J57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8:B48"/>
    <mergeCell ref="A53:B53"/>
    <mergeCell ref="A52:B52"/>
    <mergeCell ref="A49:B49"/>
    <mergeCell ref="A51:B51"/>
    <mergeCell ref="A50:B50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</mergeCells>
  <phoneticPr fontId="31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13.7109375" style="161" bestFit="1" customWidth="1"/>
    <col min="13" max="13" width="15" style="161" bestFit="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8</v>
      </c>
      <c r="H4" s="166" t="str">
        <f>+'1'!H4</f>
        <v>.10.25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175+224+234</f>
        <v>633</v>
      </c>
    </row>
    <row r="7" spans="1:15" ht="13.5" customHeight="1" thickBot="1">
      <c r="A7" s="1014" t="s">
        <v>466</v>
      </c>
      <c r="B7" s="227" t="s">
        <v>568</v>
      </c>
      <c r="C7" s="228">
        <v>19949</v>
      </c>
      <c r="D7" s="229"/>
      <c r="E7" s="230"/>
      <c r="F7" s="239">
        <v>5</v>
      </c>
      <c r="G7" s="240" t="s">
        <v>12</v>
      </c>
      <c r="H7" s="241" t="s">
        <v>541</v>
      </c>
      <c r="I7" s="1017" t="s">
        <v>583</v>
      </c>
      <c r="J7" s="226" t="str">
        <f>+'7'!J7</f>
        <v>F 13 VP OW</v>
      </c>
      <c r="K7" s="249"/>
      <c r="L7" s="253"/>
      <c r="M7" s="129">
        <f>+K7+'7'!M7+L7</f>
        <v>19690</v>
      </c>
    </row>
    <row r="8" spans="1:15" ht="13.5" thickBot="1">
      <c r="A8" s="1015"/>
      <c r="B8" s="227"/>
      <c r="C8" s="228"/>
      <c r="D8" s="229"/>
      <c r="E8" s="231"/>
      <c r="F8" s="242">
        <v>5</v>
      </c>
      <c r="G8" s="243" t="s">
        <v>12</v>
      </c>
      <c r="H8" s="241" t="s">
        <v>587</v>
      </c>
      <c r="I8" s="1018"/>
      <c r="J8" s="226" t="str">
        <f>+'7'!J8</f>
        <v>F 10,3 VP OW</v>
      </c>
      <c r="K8" s="250"/>
      <c r="L8" s="250"/>
      <c r="M8" s="129">
        <f>+K8+'7'!M8+L8</f>
        <v>9628</v>
      </c>
      <c r="N8" s="161">
        <v>1660</v>
      </c>
      <c r="O8" s="161">
        <f>+N8-N8*0.2</f>
        <v>1328</v>
      </c>
    </row>
    <row r="9" spans="1:15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435</v>
      </c>
      <c r="I9" s="1018"/>
      <c r="J9" s="226" t="str">
        <f>+'7'!J9</f>
        <v>SN 15 VP OW</v>
      </c>
      <c r="K9" s="250"/>
      <c r="L9" s="250"/>
      <c r="M9" s="129">
        <f>+K9+'7'!M9+L9</f>
        <v>2504</v>
      </c>
      <c r="N9" s="161">
        <v>1700</v>
      </c>
      <c r="O9" s="161">
        <f>+N9-N9*0.2</f>
        <v>1360</v>
      </c>
    </row>
    <row r="10" spans="1:15" ht="13.5" thickBot="1">
      <c r="A10" s="1015"/>
      <c r="B10" s="227"/>
      <c r="C10" s="228"/>
      <c r="D10" s="229"/>
      <c r="E10" s="231"/>
      <c r="F10" s="239"/>
      <c r="G10" s="243"/>
      <c r="H10" s="598" t="s">
        <v>578</v>
      </c>
      <c r="I10" s="1018"/>
      <c r="J10" s="226" t="str">
        <f>+'7'!J10</f>
        <v>MG 15,5 VP OW</v>
      </c>
      <c r="K10" s="250"/>
      <c r="L10" s="250"/>
      <c r="M10" s="129">
        <f>+K10+'7'!M10+L10</f>
        <v>62505</v>
      </c>
      <c r="N10" s="161">
        <v>1680</v>
      </c>
      <c r="O10" s="161">
        <f>+N10-N10*0.2</f>
        <v>1344</v>
      </c>
    </row>
    <row r="11" spans="1:15" ht="13.5" thickBot="1">
      <c r="A11" s="1015"/>
      <c r="B11" s="227"/>
      <c r="C11" s="228"/>
      <c r="D11" s="229"/>
      <c r="E11" s="231"/>
      <c r="F11" s="239"/>
      <c r="G11" s="243"/>
      <c r="H11" s="244"/>
      <c r="I11" s="1018"/>
      <c r="J11" s="226" t="str">
        <f>+'7'!J11</f>
        <v>MG 16,5 VP OW</v>
      </c>
      <c r="K11" s="250"/>
      <c r="L11" s="250"/>
      <c r="M11" s="129">
        <f>+K11+'7'!M11+L11</f>
        <v>37635</v>
      </c>
    </row>
    <row r="12" spans="1:15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+'7'!J12</f>
        <v>MG 21 VP OW</v>
      </c>
      <c r="K12" s="250"/>
      <c r="L12" s="250"/>
      <c r="M12" s="129">
        <f>+K12+'7'!M12+L12</f>
        <v>206161</v>
      </c>
    </row>
    <row r="13" spans="1:15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+'7'!J13</f>
        <v>MG 22 VP HW</v>
      </c>
      <c r="K13" s="250"/>
      <c r="L13" s="250"/>
      <c r="M13" s="129">
        <f>+K13+'7'!M13+L13</f>
        <v>10130</v>
      </c>
    </row>
    <row r="14" spans="1:15" ht="13.5" thickBot="1">
      <c r="A14" s="1016"/>
      <c r="B14" s="177" t="s">
        <v>2</v>
      </c>
      <c r="C14" s="111">
        <f>SUM(C7:C13)</f>
        <v>19949</v>
      </c>
      <c r="D14" s="123">
        <f>SUM(D7:D13)</f>
        <v>0</v>
      </c>
      <c r="E14" s="124">
        <f>SUM(E5:E13)</f>
        <v>0</v>
      </c>
      <c r="F14" s="128">
        <f>SUM(F7:F13)</f>
        <v>20</v>
      </c>
      <c r="G14" s="171"/>
      <c r="H14" s="178"/>
      <c r="I14" s="179"/>
      <c r="J14" s="226" t="str">
        <f>+'7'!J14</f>
        <v>MG 17 VP HW/OW</v>
      </c>
      <c r="K14" s="250"/>
      <c r="L14" s="250"/>
      <c r="M14" s="129">
        <f>+K14+'7'!M14+L14</f>
        <v>7375</v>
      </c>
    </row>
    <row r="15" spans="1:15" ht="13.5" customHeight="1" thickBot="1">
      <c r="A15" s="1014" t="s">
        <v>542</v>
      </c>
      <c r="B15" s="177"/>
      <c r="C15" s="125"/>
      <c r="D15" s="126"/>
      <c r="E15" s="127"/>
      <c r="F15" s="239">
        <v>10</v>
      </c>
      <c r="G15" s="240" t="s">
        <v>12</v>
      </c>
      <c r="H15" s="241" t="s">
        <v>571</v>
      </c>
      <c r="I15" s="1017" t="s">
        <v>584</v>
      </c>
      <c r="J15" s="226" t="str">
        <f>+'7'!J15</f>
        <v>MG 14 VP HW</v>
      </c>
      <c r="K15" s="250"/>
      <c r="L15" s="250"/>
      <c r="M15" s="129">
        <f>+K15+'7'!M15+L15</f>
        <v>47118</v>
      </c>
    </row>
    <row r="16" spans="1:15" ht="13.5" thickBot="1">
      <c r="A16" s="1020"/>
      <c r="B16" s="227" t="s">
        <v>568</v>
      </c>
      <c r="C16" s="233">
        <v>21516</v>
      </c>
      <c r="D16" s="234"/>
      <c r="E16" s="235"/>
      <c r="F16" s="239">
        <v>3</v>
      </c>
      <c r="G16" s="243" t="s">
        <v>12</v>
      </c>
      <c r="H16" s="241" t="s">
        <v>586</v>
      </c>
      <c r="I16" s="1018"/>
      <c r="J16" s="226" t="str">
        <f>+'7'!J16</f>
        <v>F 12 VP OW</v>
      </c>
      <c r="K16" s="250">
        <f>+C34</f>
        <v>61230</v>
      </c>
      <c r="L16" s="250"/>
      <c r="M16" s="129">
        <f>+K16+'7'!M16+L16</f>
        <v>68003</v>
      </c>
    </row>
    <row r="17" spans="1:14" ht="13.5" thickBot="1">
      <c r="A17" s="1020"/>
      <c r="B17" s="227"/>
      <c r="C17" s="228"/>
      <c r="D17" s="229"/>
      <c r="E17" s="236"/>
      <c r="F17" s="239">
        <v>10</v>
      </c>
      <c r="G17" s="243" t="s">
        <v>12</v>
      </c>
      <c r="H17" s="598" t="s">
        <v>435</v>
      </c>
      <c r="I17" s="1018"/>
      <c r="J17" s="226">
        <f>+'7'!J17</f>
        <v>0</v>
      </c>
      <c r="K17" s="250"/>
      <c r="L17" s="250"/>
      <c r="M17" s="129">
        <f>+K17+'7'!M17+L17</f>
        <v>0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579</v>
      </c>
      <c r="I18" s="1018"/>
      <c r="J18" s="226">
        <f>+'7'!J18</f>
        <v>0</v>
      </c>
      <c r="K18" s="250"/>
      <c r="L18" s="250"/>
      <c r="M18" s="129">
        <f>+K18+'7'!M18+L18</f>
        <v>0</v>
      </c>
    </row>
    <row r="19" spans="1:14" ht="13.5" thickBot="1">
      <c r="A19" s="1020"/>
      <c r="B19" s="227"/>
      <c r="C19" s="228"/>
      <c r="D19" s="229"/>
      <c r="E19" s="236"/>
      <c r="F19" s="246"/>
      <c r="G19" s="243"/>
      <c r="H19" s="244" t="s">
        <v>580</v>
      </c>
      <c r="I19" s="1018"/>
      <c r="J19" s="226">
        <f>+'7'!J19</f>
        <v>0</v>
      </c>
      <c r="K19" s="250"/>
      <c r="L19" s="250"/>
      <c r="M19" s="129">
        <f>+K19+'7'!M19+L19</f>
        <v>0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+'7'!J20</f>
        <v>0</v>
      </c>
      <c r="K20" s="250"/>
      <c r="L20" s="250"/>
      <c r="M20" s="129">
        <f>+K20+'7'!M20+L20</f>
        <v>0</v>
      </c>
    </row>
    <row r="21" spans="1:1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+'7'!J21</f>
        <v>0</v>
      </c>
      <c r="K21" s="250"/>
      <c r="L21" s="250"/>
      <c r="M21" s="129">
        <f>+K21+'7'!M21+L21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+'7'!J22</f>
        <v>0</v>
      </c>
      <c r="K22" s="250"/>
      <c r="L22" s="250"/>
      <c r="M22" s="129">
        <f>+K22+'7'!M22+L22</f>
        <v>0</v>
      </c>
    </row>
    <row r="23" spans="1:14" ht="13.5" thickBot="1">
      <c r="A23" s="1021"/>
      <c r="B23" s="180" t="s">
        <v>2</v>
      </c>
      <c r="C23" s="112">
        <f>SUM(C16:C22)</f>
        <v>21516</v>
      </c>
      <c r="D23" s="123">
        <f>SUM(D16:D22)</f>
        <v>0</v>
      </c>
      <c r="E23" s="124">
        <f>SUM(E18:E22)</f>
        <v>0</v>
      </c>
      <c r="F23" s="128">
        <f>SUM(F15:F22)</f>
        <v>23</v>
      </c>
      <c r="G23" s="171"/>
      <c r="H23" s="178" t="s">
        <v>237</v>
      </c>
      <c r="I23" s="181"/>
      <c r="J23" s="226">
        <f>+'7'!J23</f>
        <v>0</v>
      </c>
      <c r="K23" s="250"/>
      <c r="L23" s="250"/>
      <c r="M23" s="129">
        <f>+K23+'7'!M23+L23</f>
        <v>0</v>
      </c>
    </row>
    <row r="24" spans="1:14" ht="13.5" customHeight="1" thickBot="1">
      <c r="A24" s="1014" t="s">
        <v>528</v>
      </c>
      <c r="B24" s="182"/>
      <c r="C24" s="125"/>
      <c r="D24" s="126"/>
      <c r="E24" s="127"/>
      <c r="F24" s="247">
        <v>5</v>
      </c>
      <c r="G24" s="240" t="s">
        <v>12</v>
      </c>
      <c r="H24" s="241" t="s">
        <v>541</v>
      </c>
      <c r="I24" s="1017" t="s">
        <v>585</v>
      </c>
      <c r="J24" s="226">
        <f>+'7'!J24</f>
        <v>0</v>
      </c>
      <c r="K24" s="250"/>
      <c r="L24" s="250"/>
      <c r="M24" s="129">
        <f>+K24+'7'!M24+L24</f>
        <v>0</v>
      </c>
    </row>
    <row r="25" spans="1:14" ht="13.5" thickBot="1">
      <c r="A25" s="1020"/>
      <c r="B25" s="227" t="s">
        <v>568</v>
      </c>
      <c r="C25" s="237">
        <v>19765</v>
      </c>
      <c r="D25" s="229">
        <v>387</v>
      </c>
      <c r="E25" s="236"/>
      <c r="F25" s="242">
        <v>4</v>
      </c>
      <c r="G25" s="243" t="s">
        <v>12</v>
      </c>
      <c r="H25" s="241" t="s">
        <v>586</v>
      </c>
      <c r="I25" s="1018"/>
      <c r="J25" s="226">
        <f>+'7'!J25</f>
        <v>0</v>
      </c>
      <c r="K25" s="250"/>
      <c r="L25" s="250"/>
      <c r="M25" s="129">
        <f>+K25+'7'!M25+L25</f>
        <v>0</v>
      </c>
    </row>
    <row r="26" spans="1:14" ht="13.5" thickBot="1">
      <c r="A26" s="1020"/>
      <c r="B26" s="227"/>
      <c r="C26" s="237"/>
      <c r="D26" s="229"/>
      <c r="E26" s="238"/>
      <c r="F26" s="242">
        <v>10</v>
      </c>
      <c r="G26" s="243" t="s">
        <v>12</v>
      </c>
      <c r="H26" s="598" t="s">
        <v>482</v>
      </c>
      <c r="I26" s="1018"/>
      <c r="J26" s="226">
        <f>+'7'!J26</f>
        <v>0</v>
      </c>
      <c r="K26" s="250"/>
      <c r="L26" s="250"/>
      <c r="M26" s="129">
        <f>+K26+'7'!M26+L26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581</v>
      </c>
      <c r="I27" s="1018"/>
      <c r="J27" s="226">
        <f>+'7'!J27</f>
        <v>0</v>
      </c>
      <c r="K27" s="250"/>
      <c r="L27" s="250"/>
      <c r="M27" s="129">
        <f>+K27+'7'!M27+L27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 t="s">
        <v>582</v>
      </c>
      <c r="I28" s="1018"/>
      <c r="J28" s="226">
        <f>+'7'!J28</f>
        <v>0</v>
      </c>
      <c r="K28" s="250"/>
      <c r="L28" s="250"/>
      <c r="M28" s="129">
        <f>+K28+'7'!M28+L28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+'7'!J29</f>
        <v>0</v>
      </c>
      <c r="K29" s="250"/>
      <c r="L29" s="250"/>
      <c r="M29" s="129">
        <f>+K29+'7'!M29+L29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+'7'!J30</f>
        <v>0</v>
      </c>
      <c r="K30" s="250"/>
      <c r="L30" s="250"/>
      <c r="M30" s="129">
        <f>+K30+'7'!M30+L30</f>
        <v>0</v>
      </c>
      <c r="N30" s="167"/>
    </row>
    <row r="31" spans="1:14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+'7'!J31</f>
        <v>0</v>
      </c>
      <c r="K31" s="250"/>
      <c r="L31" s="250"/>
      <c r="M31" s="129">
        <f>+K31+'7'!M31+L31</f>
        <v>0</v>
      </c>
    </row>
    <row r="32" spans="1:14" ht="13.5" thickBot="1">
      <c r="A32" s="1021"/>
      <c r="B32" s="177" t="s">
        <v>2</v>
      </c>
      <c r="C32" s="111">
        <f>SUM(C25:C31)</f>
        <v>19765</v>
      </c>
      <c r="D32" s="112">
        <f>SUM(D25:D31)</f>
        <v>387</v>
      </c>
      <c r="E32" s="113">
        <f>SUM(E25:E31)</f>
        <v>0</v>
      </c>
      <c r="F32" s="114">
        <f>SUM(F24:F31)</f>
        <v>19</v>
      </c>
      <c r="G32" s="183"/>
      <c r="H32" s="184"/>
      <c r="I32" s="181"/>
      <c r="J32" s="226">
        <f>+'7'!J32</f>
        <v>0</v>
      </c>
      <c r="K32" s="252"/>
      <c r="L32" s="254"/>
      <c r="M32" s="129">
        <f>+K32+'7'!M32+L32</f>
        <v>0</v>
      </c>
    </row>
    <row r="33" spans="1:14" ht="13.5" thickBot="1">
      <c r="A33" s="185"/>
      <c r="B33" s="186"/>
      <c r="C33" s="115">
        <f>C32/($C$32+$D$32+$E$32)</f>
        <v>0.98079595077411674</v>
      </c>
      <c r="D33" s="116">
        <f>D32/($C$32+$D$32+$E$32)</f>
        <v>1.9204049225883289E-2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61230</v>
      </c>
      <c r="D34" s="119">
        <f>D14+D23+D32</f>
        <v>387</v>
      </c>
      <c r="E34" s="119">
        <f>E14+E23+E32</f>
        <v>0</v>
      </c>
      <c r="F34" s="120">
        <f>F14+F23+F32</f>
        <v>62</v>
      </c>
      <c r="H34" s="190"/>
      <c r="I34" s="190"/>
      <c r="J34" s="135" t="s">
        <v>28</v>
      </c>
      <c r="K34" s="136">
        <f>SUM(K7:K32)</f>
        <v>61230</v>
      </c>
      <c r="L34" s="224">
        <f>SUM(L7:L32)</f>
        <v>0</v>
      </c>
      <c r="M34" s="132">
        <f>SUM(M7:M32)</f>
        <v>470749</v>
      </c>
      <c r="N34" s="167"/>
    </row>
    <row r="35" spans="1:14" ht="13.5" thickBot="1">
      <c r="A35" s="191"/>
      <c r="B35" s="192"/>
      <c r="C35" s="116">
        <f>C34/($C$34+$D$34+$E$34)</f>
        <v>0.99371926578703929</v>
      </c>
      <c r="D35" s="116">
        <f>D34/($C$34+$D$34+$E$34)</f>
        <v>6.2807342129607086E-3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(12*1440)/1440*G42*2.77*1440/1000000</f>
        <v>64.331366399999993</v>
      </c>
      <c r="J37" s="137">
        <f>+I37+'7'!J37</f>
        <v>532.44069699776321</v>
      </c>
      <c r="K37" s="138" t="s">
        <v>64</v>
      </c>
      <c r="N37" s="566"/>
    </row>
    <row r="38" spans="1:14" ht="17.45" customHeight="1">
      <c r="A38" s="1012" t="s">
        <v>12</v>
      </c>
      <c r="B38" s="1013"/>
      <c r="C38" s="176">
        <f>SUMIF($G$7:$G$31,"Process",$F$7:$F$31)</f>
        <v>62</v>
      </c>
      <c r="D38" s="130">
        <f>+C38+'7'!D38</f>
        <v>360</v>
      </c>
      <c r="E38" s="155">
        <f t="shared" ref="E38:E51" si="0">D38/60</f>
        <v>6</v>
      </c>
      <c r="F38" s="340">
        <v>1660</v>
      </c>
      <c r="G38" s="340">
        <f>+F38-F38*0.2</f>
        <v>1328</v>
      </c>
      <c r="H38" s="199" t="s">
        <v>65</v>
      </c>
      <c r="I38" s="553">
        <f>20.894+19.711+18.35</f>
        <v>58.954999999999998</v>
      </c>
      <c r="J38" s="139">
        <f>+I38+'7'!J38</f>
        <v>500.04599999999999</v>
      </c>
      <c r="K38" s="140" t="s">
        <v>64</v>
      </c>
      <c r="N38" s="566"/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+C39+'7'!D39</f>
        <v>0</v>
      </c>
      <c r="E39" s="155">
        <f t="shared" si="0"/>
        <v>0</v>
      </c>
      <c r="F39" s="340">
        <v>1700</v>
      </c>
      <c r="G39" s="340">
        <f>+F39-F39*0.2</f>
        <v>1360</v>
      </c>
      <c r="H39" s="199" t="s">
        <v>66</v>
      </c>
      <c r="I39" s="154"/>
      <c r="J39" s="141">
        <f>J37/G4</f>
        <v>66.555087124720401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+C40+'7'!D40</f>
        <v>0</v>
      </c>
      <c r="E40" s="155">
        <f t="shared" si="0"/>
        <v>0</v>
      </c>
      <c r="F40" s="340">
        <v>1680</v>
      </c>
      <c r="G40" s="340">
        <f>+F40-F40*0.2</f>
        <v>1344</v>
      </c>
      <c r="H40" s="199" t="s">
        <v>68</v>
      </c>
      <c r="I40" s="130">
        <f>(K34+L34)/1000</f>
        <v>61.23</v>
      </c>
      <c r="J40" s="143">
        <f>+I40+'7'!J40</f>
        <v>470.74899999999997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+C41+'7'!D41</f>
        <v>132</v>
      </c>
      <c r="E41" s="155">
        <f t="shared" si="0"/>
        <v>2.2000000000000002</v>
      </c>
      <c r="F41" s="340"/>
      <c r="G41" s="340"/>
      <c r="H41" s="199" t="s">
        <v>70</v>
      </c>
      <c r="I41" s="154"/>
      <c r="J41" s="141">
        <f>J40/G4</f>
        <v>58.843624999999996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+C42+'7'!D42</f>
        <v>0</v>
      </c>
      <c r="E42" s="155">
        <f t="shared" si="0"/>
        <v>0</v>
      </c>
      <c r="F42" s="340">
        <f>+(F38*480+F39*480+F40*480)/1440</f>
        <v>1680</v>
      </c>
      <c r="G42" s="340">
        <f>+(G38*480+G39*480+G40*480)/1440</f>
        <v>1344</v>
      </c>
      <c r="H42" s="199" t="s">
        <v>71</v>
      </c>
      <c r="I42" s="257" t="s">
        <v>585</v>
      </c>
      <c r="J42" s="144"/>
      <c r="K42" s="142" t="s">
        <v>72</v>
      </c>
    </row>
    <row r="43" spans="1:14" ht="17.45" customHeight="1">
      <c r="A43" s="1008" t="s">
        <v>204</v>
      </c>
      <c r="B43" s="1009"/>
      <c r="C43" s="176">
        <f>SUMIF($G$7:$G$31,"Change Grade",$F$7:$F$31)</f>
        <v>0</v>
      </c>
      <c r="D43" s="130">
        <f>+C43+'7'!D43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+Report1!T16</f>
        <v>134.23599999999999</v>
      </c>
      <c r="J43" s="145">
        <f>+I43+'7'!J43</f>
        <v>1079.787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+C44+'7'!D44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2.2769230769230768</v>
      </c>
      <c r="J44" s="146">
        <f>J43/J38</f>
        <v>2.159375337468953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+C45+'7'!D45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2.1923240241711577</v>
      </c>
      <c r="J45" s="146">
        <f>J43/J40</f>
        <v>2.2937637679527731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+C46+'7'!D46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+SUMIF(Listrik!AR15,"&gt;0")</f>
        <v>57774.260000002636</v>
      </c>
      <c r="J46" s="147">
        <f>+I46+'7'!J46</f>
        <v>409954.92000000057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+C47+'7'!D47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979.97218217288844</v>
      </c>
      <c r="J47" s="147">
        <f>J46/J38</f>
        <v>819.83441523379963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+C48+'7'!D48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943.56132614735645</v>
      </c>
      <c r="J48" s="147">
        <f>J46/J40</f>
        <v>870.85669858034873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+C49+'7'!D49</f>
        <v>878</v>
      </c>
      <c r="E49" s="155">
        <f t="shared" si="0"/>
        <v>14.633333333333333</v>
      </c>
      <c r="F49" s="197"/>
      <c r="H49" s="200" t="s">
        <v>186</v>
      </c>
      <c r="I49" s="130">
        <v>0</v>
      </c>
      <c r="J49" s="147">
        <f>+I49+'7'!J49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+C50+'7'!D50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+C51+'7'!D51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62</v>
      </c>
      <c r="D52" s="156">
        <f>SUM(D38:D51)</f>
        <v>1370</v>
      </c>
      <c r="E52" s="157">
        <f>SUM(E38:E51)</f>
        <v>22.833333333333332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4.3055555555555555E-2</v>
      </c>
      <c r="D53" s="158">
        <f>D52/(24*60*G4)</f>
        <v>0.1189236111111111</v>
      </c>
      <c r="E53" s="159">
        <f>E52/(G4*24)</f>
        <v>0.1189236111111111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+D34+'7'!J56</f>
        <v>18411</v>
      </c>
      <c r="K56" s="213">
        <f>J56/(J40+J56/1000)/1000</f>
        <v>3.7637991659170832E-2</v>
      </c>
    </row>
    <row r="57" spans="1:11">
      <c r="A57" s="188"/>
      <c r="I57" s="211" t="s">
        <v>90</v>
      </c>
      <c r="J57" s="212">
        <f>+E34+'7'!J57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</mergeCells>
  <phoneticPr fontId="31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C27" sqref="C27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7109375" style="161" bestFit="1" customWidth="1"/>
    <col min="5" max="5" width="13.85546875" style="161" bestFit="1" customWidth="1"/>
    <col min="6" max="6" width="12.7109375" style="122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3.28515625" style="161" bestFit="1" customWidth="1"/>
    <col min="12" max="12" width="12" style="161" bestFit="1" customWidth="1"/>
    <col min="13" max="13" width="15.5703125" style="161" bestFit="1" customWidth="1"/>
    <col min="14" max="16384" width="9.140625" style="161"/>
  </cols>
  <sheetData>
    <row r="1" spans="1:15" ht="15.75">
      <c r="A1" s="160"/>
    </row>
    <row r="2" spans="1:15" ht="15.75">
      <c r="A2" s="160" t="s">
        <v>149</v>
      </c>
    </row>
    <row r="3" spans="1:15" ht="15">
      <c r="A3" s="162"/>
    </row>
    <row r="4" spans="1:15" ht="20.25">
      <c r="A4" s="163" t="s">
        <v>3</v>
      </c>
      <c r="B4" s="164"/>
      <c r="F4" s="165" t="s">
        <v>30</v>
      </c>
      <c r="G4" s="166">
        <v>7</v>
      </c>
      <c r="H4" s="166" t="str">
        <f>+'1'!H4</f>
        <v>.10.25</v>
      </c>
    </row>
    <row r="5" spans="1:15" ht="13.5" thickBot="1">
      <c r="C5" s="167"/>
      <c r="D5" s="167"/>
    </row>
    <row r="6" spans="1:15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175+220+210</f>
        <v>605</v>
      </c>
    </row>
    <row r="7" spans="1:15" ht="13.5" customHeight="1" thickBot="1">
      <c r="A7" s="1014" t="s">
        <v>486</v>
      </c>
      <c r="B7" s="227" t="s">
        <v>558</v>
      </c>
      <c r="C7" s="228">
        <v>18665</v>
      </c>
      <c r="D7" s="229"/>
      <c r="E7" s="230"/>
      <c r="F7" s="239">
        <v>5</v>
      </c>
      <c r="G7" s="240" t="s">
        <v>12</v>
      </c>
      <c r="H7" s="241" t="s">
        <v>541</v>
      </c>
      <c r="I7" s="1017" t="s">
        <v>538</v>
      </c>
      <c r="J7" s="226" t="str">
        <f>+'6'!J7</f>
        <v>F 13 VP OW</v>
      </c>
      <c r="K7" s="249"/>
      <c r="L7" s="253"/>
      <c r="M7" s="129">
        <f>+K7+'6'!M7+L7</f>
        <v>19690</v>
      </c>
    </row>
    <row r="8" spans="1:15" ht="13.5" thickBot="1">
      <c r="A8" s="1015"/>
      <c r="B8" s="227"/>
      <c r="C8" s="228"/>
      <c r="D8" s="229"/>
      <c r="E8" s="231"/>
      <c r="F8" s="242"/>
      <c r="G8" s="243" t="s">
        <v>12</v>
      </c>
      <c r="H8" s="241" t="s">
        <v>458</v>
      </c>
      <c r="I8" s="1018"/>
      <c r="J8" s="226" t="str">
        <f>+'6'!J8</f>
        <v>F 10,3 VP OW</v>
      </c>
      <c r="K8" s="250"/>
      <c r="L8" s="250"/>
      <c r="M8" s="129">
        <f>+K8+'6'!M8+L8</f>
        <v>9628</v>
      </c>
      <c r="N8" s="161">
        <v>1150</v>
      </c>
      <c r="O8" s="161">
        <f>+N8-N8*0.0035</f>
        <v>1145.9749999999999</v>
      </c>
    </row>
    <row r="9" spans="1:15" ht="13.5" thickBot="1">
      <c r="A9" s="1015"/>
      <c r="B9" s="227"/>
      <c r="C9" s="228"/>
      <c r="D9" s="229"/>
      <c r="E9" s="232"/>
      <c r="F9" s="239">
        <v>10</v>
      </c>
      <c r="G9" s="243" t="s">
        <v>12</v>
      </c>
      <c r="H9" s="598" t="s">
        <v>482</v>
      </c>
      <c r="I9" s="1018"/>
      <c r="J9" s="226" t="str">
        <f>+'6'!J9</f>
        <v>SN 15 VP OW</v>
      </c>
      <c r="K9" s="250"/>
      <c r="L9" s="250"/>
      <c r="M9" s="129">
        <f>+K9+'6'!M9+L9</f>
        <v>2504</v>
      </c>
    </row>
    <row r="10" spans="1:15" ht="13.5" thickBot="1">
      <c r="A10" s="1015"/>
      <c r="B10" s="227"/>
      <c r="C10" s="228"/>
      <c r="D10" s="229"/>
      <c r="E10" s="231"/>
      <c r="F10" s="239"/>
      <c r="G10" s="243"/>
      <c r="H10" s="598" t="s">
        <v>560</v>
      </c>
      <c r="I10" s="1018"/>
      <c r="J10" s="226" t="str">
        <f>+'6'!J10</f>
        <v>MG 15,5 VP OW</v>
      </c>
      <c r="K10" s="250"/>
      <c r="L10" s="250"/>
      <c r="M10" s="129">
        <f>+K10+'6'!M10+L10</f>
        <v>62505</v>
      </c>
    </row>
    <row r="11" spans="1:15" ht="13.5" thickBot="1">
      <c r="A11" s="1015"/>
      <c r="B11" s="227"/>
      <c r="C11" s="228"/>
      <c r="D11" s="229"/>
      <c r="E11" s="231"/>
      <c r="F11" s="239"/>
      <c r="G11" s="243"/>
      <c r="H11" s="244"/>
      <c r="I11" s="1018"/>
      <c r="J11" s="226" t="str">
        <f>+'6'!J11</f>
        <v>MG 16,5 VP OW</v>
      </c>
      <c r="K11" s="250"/>
      <c r="L11" s="250"/>
      <c r="M11" s="129">
        <f>+K11+'6'!M11+L11</f>
        <v>37635</v>
      </c>
    </row>
    <row r="12" spans="1:15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+'6'!J12</f>
        <v>MG 21 VP OW</v>
      </c>
      <c r="K12" s="250"/>
      <c r="L12" s="250"/>
      <c r="M12" s="129">
        <f>+K12+'6'!M12+L12</f>
        <v>206161</v>
      </c>
    </row>
    <row r="13" spans="1:15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tr">
        <f>+'6'!J13</f>
        <v>MG 22 VP HW</v>
      </c>
      <c r="K13" s="250"/>
      <c r="L13" s="250"/>
      <c r="M13" s="129">
        <f>+K13+'6'!M13+L13</f>
        <v>10130</v>
      </c>
    </row>
    <row r="14" spans="1:15" ht="13.5" thickBot="1">
      <c r="A14" s="1016"/>
      <c r="B14" s="177" t="s">
        <v>2</v>
      </c>
      <c r="C14" s="111">
        <f>SUM(C7:C13)</f>
        <v>18665</v>
      </c>
      <c r="D14" s="123">
        <f>SUM(D7:D13)</f>
        <v>0</v>
      </c>
      <c r="E14" s="124">
        <f>SUM(E5:E13)</f>
        <v>0</v>
      </c>
      <c r="F14" s="128">
        <f>SUM(F7:F13)</f>
        <v>15</v>
      </c>
      <c r="G14" s="171"/>
      <c r="H14" s="178"/>
      <c r="I14" s="179"/>
      <c r="J14" s="226" t="s">
        <v>569</v>
      </c>
      <c r="K14" s="250">
        <f>+C26</f>
        <v>7375</v>
      </c>
      <c r="L14" s="250"/>
      <c r="M14" s="129">
        <f>+K14+'6'!M14+L14</f>
        <v>7375</v>
      </c>
    </row>
    <row r="15" spans="1:15" ht="13.5" customHeight="1" thickBot="1">
      <c r="A15" s="1014" t="s">
        <v>542</v>
      </c>
      <c r="B15" s="177"/>
      <c r="C15" s="125"/>
      <c r="D15" s="126"/>
      <c r="E15" s="127"/>
      <c r="F15" s="239">
        <v>5</v>
      </c>
      <c r="G15" s="240" t="s">
        <v>12</v>
      </c>
      <c r="H15" s="241" t="s">
        <v>541</v>
      </c>
      <c r="I15" s="1017" t="s">
        <v>565</v>
      </c>
      <c r="J15" s="226" t="str">
        <f>+'6'!J15</f>
        <v>MG 14 VP HW</v>
      </c>
      <c r="K15" s="250">
        <f>+C7+C16+C25</f>
        <v>43146</v>
      </c>
      <c r="L15" s="250"/>
      <c r="M15" s="129">
        <f>+K15+'6'!M15+L15</f>
        <v>47118</v>
      </c>
    </row>
    <row r="16" spans="1:15" ht="13.5" thickBot="1">
      <c r="A16" s="1020"/>
      <c r="B16" s="227" t="s">
        <v>558</v>
      </c>
      <c r="C16" s="233">
        <v>19659</v>
      </c>
      <c r="D16" s="234"/>
      <c r="E16" s="235"/>
      <c r="F16" s="239"/>
      <c r="G16" s="243" t="s">
        <v>12</v>
      </c>
      <c r="H16" s="241" t="s">
        <v>458</v>
      </c>
      <c r="I16" s="1018"/>
      <c r="J16" s="226" t="s">
        <v>568</v>
      </c>
      <c r="K16" s="240">
        <f>+C27</f>
        <v>6773</v>
      </c>
      <c r="L16" s="240"/>
      <c r="M16" s="129">
        <f>+K16+'6'!M16+L16</f>
        <v>6773</v>
      </c>
    </row>
    <row r="17" spans="1:18" ht="13.5" thickBot="1">
      <c r="A17" s="1020"/>
      <c r="B17" s="227"/>
      <c r="C17" s="228"/>
      <c r="D17" s="229"/>
      <c r="E17" s="236"/>
      <c r="F17" s="239">
        <v>7</v>
      </c>
      <c r="G17" s="243" t="s">
        <v>12</v>
      </c>
      <c r="H17" s="598" t="s">
        <v>482</v>
      </c>
      <c r="I17" s="1018"/>
      <c r="J17" s="226">
        <f>+'6'!J17</f>
        <v>0</v>
      </c>
      <c r="K17" s="240"/>
      <c r="L17" s="240"/>
      <c r="M17" s="129">
        <f>+K17+'6'!M17+L17</f>
        <v>0</v>
      </c>
      <c r="N17" s="161">
        <v>1150</v>
      </c>
      <c r="O17" s="161">
        <f>+N17-N17*0.0035</f>
        <v>1145.9749999999999</v>
      </c>
      <c r="P17" s="161">
        <f>360+40</f>
        <v>400</v>
      </c>
      <c r="Q17" s="161">
        <f>+N17*P17</f>
        <v>460000</v>
      </c>
      <c r="R17" s="161">
        <f>+O17*P17</f>
        <v>458389.99999999994</v>
      </c>
    </row>
    <row r="18" spans="1:18" ht="13.5" thickBot="1">
      <c r="A18" s="1020"/>
      <c r="B18" s="227"/>
      <c r="C18" s="228"/>
      <c r="D18" s="229"/>
      <c r="E18" s="236"/>
      <c r="F18" s="239"/>
      <c r="G18" s="243"/>
      <c r="H18" s="598" t="s">
        <v>560</v>
      </c>
      <c r="I18" s="1018"/>
      <c r="J18" s="226">
        <f>+'6'!J18</f>
        <v>0</v>
      </c>
      <c r="K18" s="250"/>
      <c r="L18" s="250"/>
      <c r="M18" s="129">
        <f>+K18+'6'!M18+L18</f>
        <v>0</v>
      </c>
      <c r="N18" s="161">
        <v>1220</v>
      </c>
      <c r="O18" s="161">
        <f>+N18-N18*0.0035</f>
        <v>1215.73</v>
      </c>
      <c r="P18" s="161">
        <f>20+60</f>
        <v>80</v>
      </c>
      <c r="Q18" s="161">
        <f>+N18*P18</f>
        <v>97600</v>
      </c>
      <c r="R18" s="161">
        <f>+O18*P18</f>
        <v>97258.4</v>
      </c>
    </row>
    <row r="19" spans="1:18" ht="13.5" thickBot="1">
      <c r="A19" s="1020"/>
      <c r="B19" s="227"/>
      <c r="C19" s="228"/>
      <c r="D19" s="229"/>
      <c r="E19" s="236"/>
      <c r="F19" s="246">
        <v>10</v>
      </c>
      <c r="G19" s="243" t="s">
        <v>12</v>
      </c>
      <c r="H19" s="244" t="s">
        <v>564</v>
      </c>
      <c r="I19" s="1018"/>
      <c r="J19" s="226">
        <f>+'6'!J19</f>
        <v>0</v>
      </c>
      <c r="K19" s="250"/>
      <c r="L19" s="250"/>
      <c r="M19" s="129">
        <f>+K19+'6'!M19+L19</f>
        <v>0</v>
      </c>
      <c r="P19" s="161">
        <f>SUM(P17:P18)</f>
        <v>480</v>
      </c>
      <c r="Q19" s="161">
        <f>SUM(Q17:Q18)</f>
        <v>557600</v>
      </c>
      <c r="R19" s="161">
        <f>SUM(R17:R18)</f>
        <v>555648.39999999991</v>
      </c>
    </row>
    <row r="20" spans="1:18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+'6'!J20</f>
        <v>0</v>
      </c>
      <c r="K20" s="251"/>
      <c r="L20" s="251"/>
      <c r="M20" s="129">
        <f>+K20+'6'!M20+L20</f>
        <v>0</v>
      </c>
      <c r="Q20" s="161">
        <f>+Q19/P19</f>
        <v>1161.6666666666667</v>
      </c>
      <c r="R20" s="161">
        <f>+R19/P19</f>
        <v>1157.6008333333332</v>
      </c>
    </row>
    <row r="21" spans="1:18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+'6'!J21</f>
        <v>0</v>
      </c>
      <c r="K21" s="250"/>
      <c r="L21" s="250"/>
      <c r="M21" s="129">
        <f>+K21+'6'!M21+L21</f>
        <v>0</v>
      </c>
    </row>
    <row r="22" spans="1:18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+'6'!J22</f>
        <v>0</v>
      </c>
      <c r="K22" s="250"/>
      <c r="L22" s="250"/>
      <c r="M22" s="129">
        <f>+K22+'6'!M22+L22</f>
        <v>0</v>
      </c>
    </row>
    <row r="23" spans="1:18" ht="13.5" thickBot="1">
      <c r="A23" s="1021"/>
      <c r="B23" s="180" t="s">
        <v>2</v>
      </c>
      <c r="C23" s="112">
        <f>SUM(C16:C22)</f>
        <v>19659</v>
      </c>
      <c r="D23" s="123">
        <f>SUM(D16:D22)</f>
        <v>0</v>
      </c>
      <c r="E23" s="124">
        <f>SUM(E18:E22)</f>
        <v>0</v>
      </c>
      <c r="F23" s="128">
        <f>SUM(F15:F22)</f>
        <v>22</v>
      </c>
      <c r="G23" s="171"/>
      <c r="H23" s="178" t="s">
        <v>237</v>
      </c>
      <c r="I23" s="181"/>
      <c r="J23" s="226">
        <f>+'6'!J23</f>
        <v>0</v>
      </c>
      <c r="K23" s="250"/>
      <c r="L23" s="250"/>
      <c r="M23" s="129">
        <f>+K23+'6'!M23+L23</f>
        <v>0</v>
      </c>
    </row>
    <row r="24" spans="1:18" ht="13.5" customHeight="1" thickBot="1">
      <c r="A24" s="1014" t="s">
        <v>528</v>
      </c>
      <c r="B24" s="182"/>
      <c r="C24" s="125"/>
      <c r="D24" s="126"/>
      <c r="E24" s="127"/>
      <c r="F24" s="247">
        <v>10</v>
      </c>
      <c r="G24" s="240" t="s">
        <v>12</v>
      </c>
      <c r="H24" s="241" t="s">
        <v>571</v>
      </c>
      <c r="I24" s="1017" t="s">
        <v>566</v>
      </c>
      <c r="J24" s="226">
        <f>+'6'!J24</f>
        <v>0</v>
      </c>
      <c r="K24" s="250"/>
      <c r="L24" s="250"/>
      <c r="M24" s="129">
        <f>+K24+'6'!M24+L24</f>
        <v>0</v>
      </c>
    </row>
    <row r="25" spans="1:18" ht="13.5" thickBot="1">
      <c r="A25" s="1020"/>
      <c r="B25" s="227" t="s">
        <v>558</v>
      </c>
      <c r="C25" s="237">
        <f>1504+3318</f>
        <v>4822</v>
      </c>
      <c r="D25" s="229"/>
      <c r="E25" s="236"/>
      <c r="F25" s="242">
        <v>10</v>
      </c>
      <c r="G25" s="243" t="s">
        <v>12</v>
      </c>
      <c r="H25" s="241" t="s">
        <v>570</v>
      </c>
      <c r="I25" s="1018"/>
      <c r="J25" s="226">
        <f>+'6'!J25</f>
        <v>0</v>
      </c>
      <c r="K25" s="250"/>
      <c r="L25" s="250"/>
      <c r="M25" s="129">
        <f>+K25+'6'!M25+L25</f>
        <v>0</v>
      </c>
    </row>
    <row r="26" spans="1:18" ht="13.5" thickBot="1">
      <c r="A26" s="1020"/>
      <c r="B26" s="227" t="s">
        <v>567</v>
      </c>
      <c r="C26" s="237">
        <f>544+6831</f>
        <v>7375</v>
      </c>
      <c r="D26" s="229">
        <v>340</v>
      </c>
      <c r="E26" s="238"/>
      <c r="F26" s="242">
        <v>13</v>
      </c>
      <c r="G26" s="243" t="s">
        <v>12</v>
      </c>
      <c r="H26" s="598" t="s">
        <v>422</v>
      </c>
      <c r="I26" s="1018"/>
      <c r="J26" s="226">
        <f>+'6'!J26</f>
        <v>0</v>
      </c>
      <c r="K26" s="250"/>
      <c r="L26" s="250"/>
      <c r="M26" s="129">
        <f>+K26+'6'!M26+L26</f>
        <v>0</v>
      </c>
      <c r="N26" s="161">
        <v>1220</v>
      </c>
      <c r="O26" s="161">
        <f>+N26-N26*0.0035</f>
        <v>1215.73</v>
      </c>
      <c r="P26" s="161">
        <f>60+7</f>
        <v>67</v>
      </c>
      <c r="Q26" s="161">
        <f>+N26*P26</f>
        <v>81740</v>
      </c>
      <c r="R26" s="161">
        <f>+O26*P26</f>
        <v>81453.91</v>
      </c>
    </row>
    <row r="27" spans="1:18" ht="13.5" thickBot="1">
      <c r="A27" s="1020"/>
      <c r="B27" s="227" t="s">
        <v>568</v>
      </c>
      <c r="C27" s="228">
        <v>6773</v>
      </c>
      <c r="D27" s="229"/>
      <c r="E27" s="236"/>
      <c r="F27" s="242"/>
      <c r="G27" s="243"/>
      <c r="H27" s="598" t="s">
        <v>562</v>
      </c>
      <c r="I27" s="1018"/>
      <c r="J27" s="226">
        <f>+'6'!J27</f>
        <v>0</v>
      </c>
      <c r="K27" s="250"/>
      <c r="L27" s="250"/>
      <c r="M27" s="129">
        <f>+K27+'6'!M27+L27</f>
        <v>0</v>
      </c>
      <c r="N27" s="161">
        <v>1660</v>
      </c>
      <c r="O27" s="161">
        <f>+N27-N27*0.2</f>
        <v>1328</v>
      </c>
      <c r="P27" s="161">
        <f>53+20</f>
        <v>73</v>
      </c>
      <c r="Q27" s="161">
        <f>+N27*P27</f>
        <v>121180</v>
      </c>
      <c r="R27" s="161">
        <f>+O27*P27</f>
        <v>96944</v>
      </c>
    </row>
    <row r="28" spans="1:18" ht="13.5" thickBot="1">
      <c r="A28" s="1020"/>
      <c r="B28" s="227"/>
      <c r="C28" s="228"/>
      <c r="D28" s="229"/>
      <c r="E28" s="236"/>
      <c r="F28" s="242"/>
      <c r="G28" s="243"/>
      <c r="H28" s="244" t="s">
        <v>563</v>
      </c>
      <c r="I28" s="1018"/>
      <c r="J28" s="226">
        <f>+'6'!J28</f>
        <v>0</v>
      </c>
      <c r="K28" s="250"/>
      <c r="L28" s="250"/>
      <c r="M28" s="129">
        <f>+K28+'6'!M28+L28</f>
        <v>0</v>
      </c>
      <c r="N28" s="161">
        <v>1660</v>
      </c>
      <c r="O28" s="161">
        <f>+N28-N28*0.2</f>
        <v>1328</v>
      </c>
      <c r="P28" s="161">
        <f>40+300</f>
        <v>340</v>
      </c>
      <c r="Q28" s="161">
        <f>+N28*P28</f>
        <v>564400</v>
      </c>
      <c r="R28" s="161">
        <f>+O28*P28</f>
        <v>451520</v>
      </c>
    </row>
    <row r="29" spans="1:18" ht="13.5" thickBot="1">
      <c r="A29" s="1020"/>
      <c r="B29" s="227"/>
      <c r="C29" s="228"/>
      <c r="D29" s="229"/>
      <c r="E29" s="236"/>
      <c r="F29" s="247"/>
      <c r="G29" s="243"/>
      <c r="H29" s="244" t="s">
        <v>561</v>
      </c>
      <c r="I29" s="1018"/>
      <c r="J29" s="226">
        <f>+'6'!J29</f>
        <v>0</v>
      </c>
      <c r="K29" s="250"/>
      <c r="L29" s="250"/>
      <c r="M29" s="129">
        <f>+K29+'6'!M29+L29</f>
        <v>0</v>
      </c>
      <c r="P29" s="161">
        <f>SUM(P26:P28)</f>
        <v>480</v>
      </c>
      <c r="Q29" s="161">
        <f>SUM(Q26:Q28)</f>
        <v>767320</v>
      </c>
      <c r="R29" s="161">
        <f>SUM(R26:R28)</f>
        <v>629917.91</v>
      </c>
    </row>
    <row r="30" spans="1:18" ht="13.5" thickBot="1">
      <c r="A30" s="1020"/>
      <c r="B30" s="227"/>
      <c r="C30" s="237"/>
      <c r="D30" s="229"/>
      <c r="E30" s="236"/>
      <c r="F30" s="247"/>
      <c r="G30" s="243"/>
      <c r="H30" s="244" t="s">
        <v>519</v>
      </c>
      <c r="I30" s="1018"/>
      <c r="J30" s="226">
        <f>+'6'!J30</f>
        <v>0</v>
      </c>
      <c r="K30" s="250"/>
      <c r="L30" s="250"/>
      <c r="M30" s="129">
        <f>+K30+'6'!M30+L30</f>
        <v>0</v>
      </c>
      <c r="Q30" s="161">
        <f>+Q29/P29</f>
        <v>1598.5833333333333</v>
      </c>
      <c r="R30" s="161">
        <f>+R29/P29</f>
        <v>1312.3289791666668</v>
      </c>
    </row>
    <row r="31" spans="1:18" ht="13.5" thickBot="1">
      <c r="A31" s="1020"/>
      <c r="B31" s="227"/>
      <c r="C31" s="237"/>
      <c r="D31" s="229"/>
      <c r="E31" s="236"/>
      <c r="F31" s="247"/>
      <c r="G31" s="248"/>
      <c r="H31" s="245"/>
      <c r="I31" s="1019"/>
      <c r="J31" s="226">
        <f>+'6'!J31</f>
        <v>0</v>
      </c>
      <c r="K31" s="250"/>
      <c r="L31" s="250"/>
      <c r="M31" s="129">
        <f>+K31+'6'!M31+L31</f>
        <v>0</v>
      </c>
      <c r="N31" s="167"/>
    </row>
    <row r="32" spans="1:18" ht="13.5" thickBot="1">
      <c r="A32" s="1021"/>
      <c r="B32" s="177" t="s">
        <v>2</v>
      </c>
      <c r="C32" s="111">
        <f>SUM(C25:C31)</f>
        <v>18970</v>
      </c>
      <c r="D32" s="112">
        <f>SUM(D25:D31)</f>
        <v>340</v>
      </c>
      <c r="E32" s="113">
        <f>SUM(E25:E31)</f>
        <v>0</v>
      </c>
      <c r="F32" s="114">
        <f>SUM(F24:F31)</f>
        <v>33</v>
      </c>
      <c r="G32" s="183"/>
      <c r="H32" s="184"/>
      <c r="I32" s="181"/>
      <c r="J32" s="226">
        <f>+'6'!J32</f>
        <v>0</v>
      </c>
      <c r="K32" s="252"/>
      <c r="L32" s="254"/>
      <c r="M32" s="129">
        <f>+K32+'6'!M32+L32</f>
        <v>0</v>
      </c>
    </row>
    <row r="33" spans="1:14" ht="13.5" thickBot="1">
      <c r="A33" s="185"/>
      <c r="B33" s="186"/>
      <c r="C33" s="115">
        <f>C32/($C$32+$D$32+$E$32)</f>
        <v>0.98239254272397725</v>
      </c>
      <c r="D33" s="116">
        <f>D32/($C$32+$D$32+$E$32)</f>
        <v>1.7607457276022784E-2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57294</v>
      </c>
      <c r="D34" s="119">
        <f>D14+D23+D32</f>
        <v>340</v>
      </c>
      <c r="E34" s="119">
        <f>E14+E23+E32</f>
        <v>0</v>
      </c>
      <c r="F34" s="120">
        <f>F14+F23+F32</f>
        <v>70</v>
      </c>
      <c r="H34" s="190"/>
      <c r="I34" s="190"/>
      <c r="J34" s="135" t="s">
        <v>28</v>
      </c>
      <c r="K34" s="136">
        <f>SUM(K7:K32)</f>
        <v>57294</v>
      </c>
      <c r="L34" s="224">
        <f>SUM(L7:L32)</f>
        <v>0</v>
      </c>
      <c r="M34" s="132">
        <f>SUM(M7:M32)</f>
        <v>409519</v>
      </c>
    </row>
    <row r="35" spans="1:14" ht="13.5" thickBot="1">
      <c r="A35" s="191"/>
      <c r="B35" s="192"/>
      <c r="C35" s="116">
        <f>C34/($C$34+$D$34+$E$34)</f>
        <v>0.99410070444529275</v>
      </c>
      <c r="D35" s="116">
        <f>D34/($C$34+$D$34+$E$34)</f>
        <v>5.8992955547072911E-3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(14*880+17*147+10.3*73+12*340)/1440*G42*2.77*1440/1000000</f>
        <v>65.608173782492955</v>
      </c>
      <c r="J37" s="137">
        <f>+I37+'6'!J37</f>
        <v>468.10933059776318</v>
      </c>
      <c r="K37" s="138" t="s">
        <v>64</v>
      </c>
      <c r="N37" s="161">
        <f>21.694+19.733-1.158</f>
        <v>40.268999999999998</v>
      </c>
    </row>
    <row r="38" spans="1:14" ht="17.45" customHeight="1">
      <c r="A38" s="1012" t="s">
        <v>12</v>
      </c>
      <c r="B38" s="1013"/>
      <c r="C38" s="176">
        <f>SUMIF($G$7:$G$31,"Process",$F$7:$F$31)</f>
        <v>70</v>
      </c>
      <c r="D38" s="130">
        <f>+C38+'6'!D38</f>
        <v>298</v>
      </c>
      <c r="E38" s="155">
        <f t="shared" ref="E38:E51" si="0">D38/60</f>
        <v>4.9666666666666668</v>
      </c>
      <c r="F38" s="340">
        <v>1150</v>
      </c>
      <c r="G38" s="340">
        <v>1145.9749999999999</v>
      </c>
      <c r="H38" s="199" t="s">
        <v>65</v>
      </c>
      <c r="I38" s="553">
        <f>21.694+19.733+20.881</f>
        <v>62.308</v>
      </c>
      <c r="J38" s="139">
        <f>+I38+'6'!J38</f>
        <v>441.09100000000001</v>
      </c>
      <c r="K38" s="140" t="s">
        <v>64</v>
      </c>
      <c r="N38" s="161">
        <f>1.158+3.295+3.251</f>
        <v>7.7039999999999988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+C39+'6'!D39</f>
        <v>0</v>
      </c>
      <c r="E39" s="155">
        <f t="shared" si="0"/>
        <v>0</v>
      </c>
      <c r="F39" s="340">
        <v>1161.6666666666667</v>
      </c>
      <c r="G39" s="340">
        <v>1157.6008333333332</v>
      </c>
      <c r="H39" s="199" t="s">
        <v>66</v>
      </c>
      <c r="I39" s="154"/>
      <c r="J39" s="141">
        <f>J37/G4</f>
        <v>66.872761513966168</v>
      </c>
      <c r="K39" s="142" t="s">
        <v>64</v>
      </c>
      <c r="N39" s="161">
        <f>0.931+0.958</f>
        <v>1.889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+C40+'6'!D40</f>
        <v>0</v>
      </c>
      <c r="E40" s="155">
        <f t="shared" si="0"/>
        <v>0</v>
      </c>
      <c r="F40" s="340">
        <v>1598.5833333333333</v>
      </c>
      <c r="G40" s="340">
        <v>1312.3289791666668</v>
      </c>
      <c r="H40" s="199" t="s">
        <v>68</v>
      </c>
      <c r="I40" s="130">
        <f>(K34+L34)/1000</f>
        <v>57.293999999999997</v>
      </c>
      <c r="J40" s="143">
        <f>+I40+'6'!J40</f>
        <v>409.51899999999995</v>
      </c>
      <c r="K40" s="142" t="s">
        <v>64</v>
      </c>
      <c r="N40" s="161">
        <f>1.158+20.881-N38-N39</f>
        <v>12.446000000000003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+C41+'6'!D41</f>
        <v>132</v>
      </c>
      <c r="E41" s="155">
        <f t="shared" si="0"/>
        <v>2.2000000000000002</v>
      </c>
      <c r="F41" s="340"/>
      <c r="G41" s="340"/>
      <c r="H41" s="199" t="s">
        <v>70</v>
      </c>
      <c r="I41" s="154"/>
      <c r="J41" s="141">
        <f>J40/G4</f>
        <v>58.502714285714276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+C42+'6'!D42</f>
        <v>0</v>
      </c>
      <c r="E42" s="155">
        <f t="shared" si="0"/>
        <v>0</v>
      </c>
      <c r="F42" s="340">
        <f>+(F38*480+F39*480+F40*480)/1440</f>
        <v>1303.4166666666667</v>
      </c>
      <c r="G42" s="340">
        <f>+(G38*480+G39*480+G40*480)/1440</f>
        <v>1205.3016041666667</v>
      </c>
      <c r="H42" s="199" t="s">
        <v>71</v>
      </c>
      <c r="I42" s="257" t="s">
        <v>573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+C43+'6'!D43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+Report1!T15</f>
        <v>140.36999999999998</v>
      </c>
      <c r="J43" s="145">
        <f>+I43+'6'!J43</f>
        <v>945.55100000000004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+C44+'6'!D44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2.2528407267124604</v>
      </c>
      <c r="J44" s="146">
        <f>J43/J38</f>
        <v>2.1436642325506527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+C45+'6'!D45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2.4499947638496176</v>
      </c>
      <c r="J45" s="146">
        <f>J43/J40</f>
        <v>2.3089307211631209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+C46+'6'!D46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+SUMIF(Listrik!AR14,"&gt;0")</f>
        <v>58033.299999999304</v>
      </c>
      <c r="J46" s="147">
        <f>+I46+'6'!J46</f>
        <v>352180.65999999794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+C47+'6'!D47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931.39404249854442</v>
      </c>
      <c r="J47" s="147">
        <f>J46/J38</f>
        <v>798.43084533576507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+C48+'6'!D48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1012.9036199252855</v>
      </c>
      <c r="J48" s="147">
        <f>J46/J40</f>
        <v>859.98613006966218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+C49+'6'!D49</f>
        <v>878</v>
      </c>
      <c r="E49" s="155">
        <f t="shared" si="0"/>
        <v>14.633333333333333</v>
      </c>
      <c r="F49" s="197"/>
      <c r="H49" s="200" t="s">
        <v>186</v>
      </c>
      <c r="I49" s="130">
        <v>0</v>
      </c>
      <c r="J49" s="147">
        <f>+I49+'6'!J49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+C50+'6'!D50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+C51+'6'!D51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70</v>
      </c>
      <c r="D52" s="156">
        <f>SUM(D38:D51)</f>
        <v>1308</v>
      </c>
      <c r="E52" s="157">
        <f>SUM(E38:E51)</f>
        <v>21.8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4.8611111111111112E-2</v>
      </c>
      <c r="D53" s="158">
        <f>D52/(24*60*G4)</f>
        <v>0.12976190476190477</v>
      </c>
      <c r="E53" s="159">
        <f>E52/(G4*24)</f>
        <v>0.12976190476190477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+D34+'6'!J56</f>
        <v>18024</v>
      </c>
      <c r="K56" s="213">
        <f>J56/(J40+J56/1000)/1000</f>
        <v>4.2157163139146241E-2</v>
      </c>
    </row>
    <row r="57" spans="1:11">
      <c r="A57" s="188"/>
      <c r="I57" s="211" t="s">
        <v>90</v>
      </c>
      <c r="J57" s="212">
        <f>+E34+'6'!J57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2.85546875" style="161" bestFit="1" customWidth="1"/>
    <col min="12" max="12" width="8.28515625" style="161" customWidth="1"/>
    <col min="13" max="13" width="14.570312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6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170+185+230</f>
        <v>585</v>
      </c>
    </row>
    <row r="7" spans="1:18" ht="13.5" customHeight="1" thickBot="1">
      <c r="A7" s="1014" t="s">
        <v>486</v>
      </c>
      <c r="B7" s="227" t="s">
        <v>512</v>
      </c>
      <c r="C7" s="228">
        <v>22390</v>
      </c>
      <c r="D7" s="229">
        <v>1975</v>
      </c>
      <c r="E7" s="230"/>
      <c r="F7" s="239">
        <v>20</v>
      </c>
      <c r="G7" s="240" t="s">
        <v>12</v>
      </c>
      <c r="H7" s="241" t="s">
        <v>540</v>
      </c>
      <c r="I7" s="1017" t="s">
        <v>532</v>
      </c>
      <c r="J7" s="226" t="str">
        <f>+'5'!J7</f>
        <v>F 13 VP OW</v>
      </c>
      <c r="K7" s="249"/>
      <c r="L7" s="253"/>
      <c r="M7" s="129">
        <f>+K7+'5'!M7+L7</f>
        <v>19690</v>
      </c>
    </row>
    <row r="8" spans="1:18" ht="13.5" thickBot="1">
      <c r="A8" s="1015"/>
      <c r="B8" s="227"/>
      <c r="C8" s="228"/>
      <c r="D8" s="229"/>
      <c r="E8" s="231"/>
      <c r="F8" s="242"/>
      <c r="G8" s="243" t="s">
        <v>12</v>
      </c>
      <c r="H8" s="241" t="s">
        <v>458</v>
      </c>
      <c r="I8" s="1018"/>
      <c r="J8" s="226" t="str">
        <f>+'5'!J8</f>
        <v>F 10,3 VP OW</v>
      </c>
      <c r="K8" s="250"/>
      <c r="L8" s="250"/>
      <c r="M8" s="129">
        <f>+K8+'5'!M8+L8</f>
        <v>9628</v>
      </c>
      <c r="N8" s="161">
        <v>900</v>
      </c>
      <c r="O8" s="161">
        <f>+N8-N8*0.0035</f>
        <v>896.85</v>
      </c>
      <c r="P8" s="161">
        <f>480+45</f>
        <v>525</v>
      </c>
    </row>
    <row r="9" spans="1:18" ht="13.5" thickBot="1">
      <c r="A9" s="1015"/>
      <c r="B9" s="227"/>
      <c r="C9" s="228"/>
      <c r="D9" s="229"/>
      <c r="E9" s="232"/>
      <c r="F9" s="239">
        <v>12</v>
      </c>
      <c r="G9" s="243" t="s">
        <v>12</v>
      </c>
      <c r="H9" s="598" t="s">
        <v>422</v>
      </c>
      <c r="I9" s="1018"/>
      <c r="J9" s="226" t="str">
        <f>+'5'!J9</f>
        <v>SN 15 VP OW</v>
      </c>
      <c r="K9" s="250"/>
      <c r="L9" s="250"/>
      <c r="M9" s="129">
        <f>+K9+'5'!M9+L9</f>
        <v>2504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521</v>
      </c>
      <c r="I10" s="1018"/>
      <c r="J10" s="226" t="str">
        <f>+'5'!J10</f>
        <v>MG 15,5 VP OW</v>
      </c>
      <c r="K10" s="250"/>
      <c r="L10" s="250"/>
      <c r="M10" s="129">
        <f>+K10+'5'!M10+L10</f>
        <v>62505</v>
      </c>
    </row>
    <row r="11" spans="1:18" ht="13.5" thickBot="1">
      <c r="A11" s="1015"/>
      <c r="B11" s="227"/>
      <c r="C11" s="228"/>
      <c r="D11" s="229"/>
      <c r="E11" s="231"/>
      <c r="F11" s="239"/>
      <c r="G11" s="243"/>
      <c r="H11" s="244" t="s">
        <v>519</v>
      </c>
      <c r="I11" s="1018"/>
      <c r="J11" s="226" t="str">
        <f>+'5'!J11</f>
        <v>MG 16,5 VP OW</v>
      </c>
      <c r="K11" s="250">
        <f>+C18+C25</f>
        <v>21566</v>
      </c>
      <c r="L11" s="250"/>
      <c r="M11" s="129">
        <f>+K11+'5'!M11+L11</f>
        <v>37635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+'5'!J12</f>
        <v>MG 21 VP OW</v>
      </c>
      <c r="K12" s="250">
        <f>+C7+C16</f>
        <v>27527</v>
      </c>
      <c r="L12" s="250"/>
      <c r="M12" s="129">
        <f>+K12+'5'!M12+L12</f>
        <v>206161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 t="s">
        <v>556</v>
      </c>
      <c r="K13" s="250">
        <f>+C17</f>
        <v>10130</v>
      </c>
      <c r="L13" s="250"/>
      <c r="M13" s="129">
        <f>+K13+'5'!M13+L13</f>
        <v>10130</v>
      </c>
    </row>
    <row r="14" spans="1:18" ht="13.5" thickBot="1">
      <c r="A14" s="1016"/>
      <c r="B14" s="177" t="s">
        <v>2</v>
      </c>
      <c r="C14" s="111">
        <f>SUM(C7:C13)</f>
        <v>22390</v>
      </c>
      <c r="D14" s="123">
        <f>SUM(D7:D13)</f>
        <v>1975</v>
      </c>
      <c r="E14" s="124">
        <f>SUM(E5:E13)</f>
        <v>0</v>
      </c>
      <c r="F14" s="128">
        <f>SUM(F7:F13)</f>
        <v>32</v>
      </c>
      <c r="G14" s="171"/>
      <c r="H14" s="178"/>
      <c r="I14" s="179"/>
      <c r="J14" s="226" t="s">
        <v>557</v>
      </c>
      <c r="K14" s="250"/>
      <c r="L14" s="250"/>
      <c r="M14" s="129">
        <f>+K14+'5'!M14+L14</f>
        <v>0</v>
      </c>
    </row>
    <row r="15" spans="1:18" ht="13.5" customHeight="1" thickBot="1">
      <c r="A15" s="1014" t="s">
        <v>542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 t="s">
        <v>537</v>
      </c>
      <c r="J15" s="226" t="s">
        <v>558</v>
      </c>
      <c r="K15" s="250">
        <f>+C26</f>
        <v>3972</v>
      </c>
      <c r="L15" s="250"/>
      <c r="M15" s="129">
        <f>+K15+'5'!M15+L15</f>
        <v>3972</v>
      </c>
    </row>
    <row r="16" spans="1:18" ht="13.5" thickBot="1">
      <c r="A16" s="1020"/>
      <c r="B16" s="227" t="s">
        <v>512</v>
      </c>
      <c r="C16" s="233">
        <f>3605+351+1181</f>
        <v>5137</v>
      </c>
      <c r="D16" s="234"/>
      <c r="E16" s="235"/>
      <c r="F16" s="239"/>
      <c r="G16" s="243" t="s">
        <v>12</v>
      </c>
      <c r="H16" s="241" t="s">
        <v>458</v>
      </c>
      <c r="I16" s="1018"/>
      <c r="J16" s="226">
        <f>+'5'!J16</f>
        <v>0</v>
      </c>
      <c r="K16" s="250"/>
      <c r="L16" s="240"/>
      <c r="M16" s="129">
        <f>+K16+'5'!M16+L16</f>
        <v>0</v>
      </c>
      <c r="N16" s="161">
        <v>900</v>
      </c>
      <c r="O16" s="161">
        <f>+N16-N16*0.0035</f>
        <v>896.85</v>
      </c>
      <c r="P16" s="161">
        <v>45</v>
      </c>
      <c r="Q16" s="161">
        <f>+N16*P16</f>
        <v>40500</v>
      </c>
      <c r="R16" s="161">
        <f>+O16*P16</f>
        <v>40358.25</v>
      </c>
    </row>
    <row r="17" spans="1:18" ht="13.5" thickBot="1">
      <c r="A17" s="1020"/>
      <c r="B17" s="227" t="s">
        <v>556</v>
      </c>
      <c r="C17" s="228">
        <f>4005+6125</f>
        <v>10130</v>
      </c>
      <c r="D17" s="229">
        <v>1056</v>
      </c>
      <c r="E17" s="236"/>
      <c r="F17" s="239">
        <v>9</v>
      </c>
      <c r="G17" s="243" t="s">
        <v>12</v>
      </c>
      <c r="H17" s="598" t="s">
        <v>435</v>
      </c>
      <c r="I17" s="1018"/>
      <c r="J17" s="226">
        <f>+'5'!J17</f>
        <v>0</v>
      </c>
      <c r="K17" s="240"/>
      <c r="L17" s="240"/>
      <c r="M17" s="129">
        <f>+K17+'5'!M17+L17</f>
        <v>0</v>
      </c>
      <c r="N17" s="161">
        <v>920</v>
      </c>
      <c r="O17" s="161">
        <f>+N17-N17*0.0035</f>
        <v>916.78</v>
      </c>
      <c r="P17" s="161">
        <f>15+180+20</f>
        <v>215</v>
      </c>
      <c r="Q17" s="161">
        <f>+N17*P17</f>
        <v>197800</v>
      </c>
      <c r="R17" s="161">
        <f>+O17*P17</f>
        <v>197107.69999999998</v>
      </c>
    </row>
    <row r="18" spans="1:18" ht="13.5" thickBot="1">
      <c r="A18" s="1020"/>
      <c r="B18" s="227" t="s">
        <v>559</v>
      </c>
      <c r="C18" s="228">
        <f>753+1669</f>
        <v>2422</v>
      </c>
      <c r="D18" s="229"/>
      <c r="E18" s="236"/>
      <c r="F18" s="239"/>
      <c r="G18" s="243"/>
      <c r="H18" s="598" t="s">
        <v>521</v>
      </c>
      <c r="I18" s="1018"/>
      <c r="J18" s="226">
        <f>+'5'!J18</f>
        <v>0</v>
      </c>
      <c r="K18" s="250"/>
      <c r="L18" s="250"/>
      <c r="M18" s="129">
        <f>+K18+'5'!M18+L18</f>
        <v>0</v>
      </c>
      <c r="N18" s="161">
        <v>1150</v>
      </c>
      <c r="O18" s="161">
        <f>+N18-N18*0.0035</f>
        <v>1145.9749999999999</v>
      </c>
      <c r="P18" s="161">
        <f>40+180</f>
        <v>220</v>
      </c>
      <c r="Q18" s="161">
        <f>+N18*P18</f>
        <v>253000</v>
      </c>
      <c r="R18" s="161">
        <f>+O18*P18</f>
        <v>252114.49999999997</v>
      </c>
    </row>
    <row r="19" spans="1:18" ht="13.5" thickBot="1">
      <c r="A19" s="1020"/>
      <c r="B19" s="227"/>
      <c r="C19" s="228"/>
      <c r="D19" s="229"/>
      <c r="E19" s="236"/>
      <c r="F19" s="246"/>
      <c r="G19" s="243"/>
      <c r="H19" s="244" t="s">
        <v>519</v>
      </c>
      <c r="I19" s="1018"/>
      <c r="J19" s="226">
        <f>+'5'!J19</f>
        <v>0</v>
      </c>
      <c r="K19" s="250"/>
      <c r="L19" s="250"/>
      <c r="M19" s="129">
        <f>+K19+'5'!M19+L19</f>
        <v>0</v>
      </c>
      <c r="P19" s="161">
        <f>SUM(P16:P18)</f>
        <v>480</v>
      </c>
      <c r="Q19" s="161">
        <f>SUM(Q16:Q18)</f>
        <v>491300</v>
      </c>
      <c r="R19" s="161">
        <f>SUM(R16:R18)</f>
        <v>489580.44999999995</v>
      </c>
    </row>
    <row r="20" spans="1:18" ht="13.5" thickBot="1">
      <c r="A20" s="1020"/>
      <c r="B20" s="227"/>
      <c r="C20" s="228"/>
      <c r="D20" s="229"/>
      <c r="E20" s="236"/>
      <c r="F20" s="239">
        <v>15</v>
      </c>
      <c r="G20" s="243" t="s">
        <v>12</v>
      </c>
      <c r="H20" s="244" t="s">
        <v>543</v>
      </c>
      <c r="I20" s="1018"/>
      <c r="J20" s="226">
        <f>+'5'!J20</f>
        <v>0</v>
      </c>
      <c r="K20" s="251"/>
      <c r="L20" s="251"/>
      <c r="M20" s="129">
        <f>+K20+'5'!M20+L20</f>
        <v>0</v>
      </c>
      <c r="Q20" s="161">
        <f>+Q19/P19</f>
        <v>1023.5416666666666</v>
      </c>
      <c r="R20" s="161">
        <f>+R19/P19</f>
        <v>1019.9592708333332</v>
      </c>
    </row>
    <row r="21" spans="1:18" ht="13.5" thickBot="1">
      <c r="A21" s="1020"/>
      <c r="B21" s="227"/>
      <c r="C21" s="228"/>
      <c r="D21" s="229"/>
      <c r="E21" s="236"/>
      <c r="F21" s="242"/>
      <c r="G21" s="243"/>
      <c r="H21" s="503" t="s">
        <v>544</v>
      </c>
      <c r="I21" s="1018"/>
      <c r="J21" s="226">
        <f>+'5'!J21</f>
        <v>0</v>
      </c>
      <c r="K21" s="250"/>
      <c r="L21" s="250"/>
      <c r="M21" s="129">
        <f>+K21+'5'!M21+L21</f>
        <v>0</v>
      </c>
    </row>
    <row r="22" spans="1:18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+'5'!J22</f>
        <v>0</v>
      </c>
      <c r="K22" s="250"/>
      <c r="L22" s="250"/>
      <c r="M22" s="129">
        <f>+K22+'5'!M22+L22</f>
        <v>0</v>
      </c>
    </row>
    <row r="23" spans="1:18" ht="13.5" thickBot="1">
      <c r="A23" s="1021"/>
      <c r="B23" s="180" t="s">
        <v>2</v>
      </c>
      <c r="C23" s="112">
        <f>SUM(C16:C22)</f>
        <v>17689</v>
      </c>
      <c r="D23" s="123">
        <f>SUM(D16:D22)</f>
        <v>1056</v>
      </c>
      <c r="E23" s="124">
        <f>SUM(E18:E22)</f>
        <v>0</v>
      </c>
      <c r="F23" s="128">
        <f>SUM(F15:F22)</f>
        <v>24</v>
      </c>
      <c r="G23" s="171"/>
      <c r="H23" s="178" t="s">
        <v>237</v>
      </c>
      <c r="I23" s="181"/>
      <c r="J23" s="226">
        <f>+'5'!J23</f>
        <v>0</v>
      </c>
      <c r="K23" s="250"/>
      <c r="L23" s="250"/>
      <c r="M23" s="129">
        <f>+K23+'5'!M23+L23</f>
        <v>0</v>
      </c>
    </row>
    <row r="24" spans="1:18" ht="13.5" customHeight="1" thickBot="1">
      <c r="A24" s="1014" t="s">
        <v>528</v>
      </c>
      <c r="B24" s="182"/>
      <c r="C24" s="125"/>
      <c r="D24" s="126"/>
      <c r="E24" s="127"/>
      <c r="F24" s="247">
        <v>5</v>
      </c>
      <c r="G24" s="240" t="s">
        <v>12</v>
      </c>
      <c r="H24" s="241" t="s">
        <v>541</v>
      </c>
      <c r="I24" s="1017" t="s">
        <v>538</v>
      </c>
      <c r="J24" s="226">
        <f>+'5'!J24</f>
        <v>0</v>
      </c>
      <c r="K24" s="250"/>
      <c r="L24" s="250"/>
      <c r="M24" s="129">
        <f>+K24+'5'!M24+L24</f>
        <v>0</v>
      </c>
    </row>
    <row r="25" spans="1:18" ht="13.5" thickBot="1">
      <c r="A25" s="1020"/>
      <c r="B25" s="227" t="s">
        <v>559</v>
      </c>
      <c r="C25" s="237">
        <f>5954+13190</f>
        <v>19144</v>
      </c>
      <c r="D25" s="229"/>
      <c r="E25" s="236"/>
      <c r="F25" s="242"/>
      <c r="G25" s="243" t="s">
        <v>12</v>
      </c>
      <c r="H25" s="241" t="s">
        <v>458</v>
      </c>
      <c r="I25" s="1018"/>
      <c r="J25" s="226">
        <f>+'5'!J25</f>
        <v>0</v>
      </c>
      <c r="K25" s="250"/>
      <c r="L25" s="250"/>
      <c r="M25" s="129">
        <f>+K25+'5'!M25+L25</f>
        <v>0</v>
      </c>
    </row>
    <row r="26" spans="1:18" ht="13.5" thickBot="1">
      <c r="A26" s="1020"/>
      <c r="B26" s="227" t="s">
        <v>558</v>
      </c>
      <c r="C26" s="237">
        <f>1234+2738</f>
        <v>3972</v>
      </c>
      <c r="D26" s="229"/>
      <c r="E26" s="238"/>
      <c r="F26" s="242">
        <v>10</v>
      </c>
      <c r="G26" s="243" t="s">
        <v>12</v>
      </c>
      <c r="H26" s="598" t="s">
        <v>504</v>
      </c>
      <c r="I26" s="1018"/>
      <c r="J26" s="226">
        <f>+'5'!J26</f>
        <v>0</v>
      </c>
      <c r="K26" s="250"/>
      <c r="L26" s="250"/>
      <c r="M26" s="129">
        <f>+K26+'5'!M26+L26</f>
        <v>0</v>
      </c>
      <c r="N26" s="161">
        <v>1150</v>
      </c>
      <c r="O26" s="161">
        <f>+N26-N26*0.0035</f>
        <v>1145.9749999999999</v>
      </c>
      <c r="P26" s="161">
        <f>240+3</f>
        <v>243</v>
      </c>
      <c r="Q26" s="161">
        <f>+N26*P26</f>
        <v>279450</v>
      </c>
      <c r="R26" s="161">
        <f>+O26*P26</f>
        <v>278471.92499999999</v>
      </c>
    </row>
    <row r="27" spans="1:18" ht="13.5" thickBot="1">
      <c r="A27" s="1020"/>
      <c r="B27" s="227"/>
      <c r="C27" s="228"/>
      <c r="D27" s="229"/>
      <c r="E27" s="236"/>
      <c r="F27" s="242"/>
      <c r="G27" s="243"/>
      <c r="H27" s="598" t="s">
        <v>545</v>
      </c>
      <c r="I27" s="1018"/>
      <c r="J27" s="226">
        <f>+'5'!J27</f>
        <v>0</v>
      </c>
      <c r="K27" s="250"/>
      <c r="L27" s="250"/>
      <c r="M27" s="129">
        <f>+K27+'5'!M27+L27</f>
        <v>0</v>
      </c>
      <c r="N27" s="161">
        <v>1150</v>
      </c>
      <c r="O27" s="161">
        <f>+N27-N27*0.0035</f>
        <v>1145.9749999999999</v>
      </c>
      <c r="P27" s="161">
        <f>57+180</f>
        <v>237</v>
      </c>
      <c r="Q27" s="161">
        <f>+N27*P27</f>
        <v>272550</v>
      </c>
      <c r="R27" s="161">
        <f>+O27*P27</f>
        <v>271596.07499999995</v>
      </c>
    </row>
    <row r="28" spans="1:18" ht="13.5" thickBot="1">
      <c r="A28" s="1020"/>
      <c r="B28" s="227"/>
      <c r="C28" s="228"/>
      <c r="D28" s="229"/>
      <c r="E28" s="236"/>
      <c r="F28" s="242"/>
      <c r="G28" s="243"/>
      <c r="H28" s="244" t="s">
        <v>546</v>
      </c>
      <c r="I28" s="1018"/>
      <c r="J28" s="226">
        <f>+'5'!J28</f>
        <v>0</v>
      </c>
      <c r="K28" s="250"/>
      <c r="L28" s="250"/>
      <c r="M28" s="129">
        <f>+K28+'5'!M28+L28</f>
        <v>0</v>
      </c>
      <c r="P28" s="161">
        <f>SUM(P26:P27)</f>
        <v>480</v>
      </c>
      <c r="Q28" s="161">
        <f>SUM(Q26:Q27)</f>
        <v>552000</v>
      </c>
      <c r="R28" s="161">
        <f>SUM(R26:R27)</f>
        <v>550068</v>
      </c>
    </row>
    <row r="29" spans="1:18" ht="13.5" thickBot="1">
      <c r="A29" s="1020"/>
      <c r="B29" s="227"/>
      <c r="C29" s="228"/>
      <c r="D29" s="229"/>
      <c r="E29" s="236"/>
      <c r="F29" s="247"/>
      <c r="G29" s="243"/>
      <c r="H29" s="244" t="s">
        <v>519</v>
      </c>
      <c r="I29" s="1018"/>
      <c r="J29" s="226">
        <f>+'5'!J29</f>
        <v>0</v>
      </c>
      <c r="K29" s="250"/>
      <c r="L29" s="250"/>
      <c r="M29" s="129">
        <f>+K29+'5'!M29+L29</f>
        <v>0</v>
      </c>
      <c r="Q29" s="161">
        <f>+Q28/P28</f>
        <v>1150</v>
      </c>
      <c r="R29" s="161">
        <f>+R28/P28</f>
        <v>1145.9749999999999</v>
      </c>
    </row>
    <row r="30" spans="1:18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+'5'!J30</f>
        <v>0</v>
      </c>
      <c r="K30" s="250"/>
      <c r="L30" s="250"/>
      <c r="M30" s="129">
        <f>+K30+'5'!M30+L30</f>
        <v>0</v>
      </c>
    </row>
    <row r="31" spans="1:18" ht="13.5" thickBot="1">
      <c r="A31" s="1020"/>
      <c r="B31" s="227"/>
      <c r="C31" s="237"/>
      <c r="D31" s="229"/>
      <c r="E31" s="236"/>
      <c r="F31" s="247"/>
      <c r="G31" s="248"/>
      <c r="H31" s="466"/>
      <c r="I31" s="1019"/>
      <c r="J31" s="226">
        <f>+'5'!J31</f>
        <v>0</v>
      </c>
      <c r="K31" s="250"/>
      <c r="L31" s="250"/>
      <c r="M31" s="129">
        <f>+K31+'5'!M31+L31</f>
        <v>0</v>
      </c>
      <c r="N31" s="167"/>
    </row>
    <row r="32" spans="1:18" ht="13.5" thickBot="1">
      <c r="A32" s="1021"/>
      <c r="B32" s="177" t="s">
        <v>2</v>
      </c>
      <c r="C32" s="111">
        <f>SUM(C25:C31)</f>
        <v>23116</v>
      </c>
      <c r="D32" s="112">
        <f>SUM(D25:D31)</f>
        <v>0</v>
      </c>
      <c r="E32" s="113">
        <f>SUM(E25:E31)</f>
        <v>0</v>
      </c>
      <c r="F32" s="114">
        <f>SUM(F24:F31)</f>
        <v>15</v>
      </c>
      <c r="G32" s="183"/>
      <c r="H32" s="184"/>
      <c r="I32" s="181"/>
      <c r="J32" s="226">
        <f>+'5'!J32</f>
        <v>0</v>
      </c>
      <c r="K32" s="252"/>
      <c r="L32" s="254"/>
      <c r="M32" s="129">
        <f>+K32+'5'!M32+L32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63195</v>
      </c>
      <c r="D34" s="119">
        <f>D14+D23+D32</f>
        <v>3031</v>
      </c>
      <c r="E34" s="119">
        <f>E14+E23+E32</f>
        <v>0</v>
      </c>
      <c r="F34" s="120">
        <f>F14+F23+F32</f>
        <v>71</v>
      </c>
      <c r="H34" s="190"/>
      <c r="I34" s="190"/>
      <c r="J34" s="135" t="s">
        <v>28</v>
      </c>
      <c r="K34" s="136">
        <f>SUM(K7:K32)</f>
        <v>63195</v>
      </c>
      <c r="L34" s="224">
        <f>SUM(L7:L32)</f>
        <v>0</v>
      </c>
      <c r="M34" s="132">
        <f>SUM(M7:M32)</f>
        <v>352225</v>
      </c>
    </row>
    <row r="35" spans="1:14" ht="13.5" thickBot="1">
      <c r="A35" s="191"/>
      <c r="B35" s="192"/>
      <c r="C35" s="116">
        <f>C34/($C$34+$D$34+$E$34)</f>
        <v>0.95423247667079392</v>
      </c>
      <c r="D35" s="116">
        <f>D34/($C$34+$D$34+$E$34)</f>
        <v>4.5767523329206049E-2</v>
      </c>
      <c r="E35" s="121">
        <f>E34/($C$34+$D$34+$E$34)</f>
        <v>0</v>
      </c>
      <c r="K35" s="167"/>
      <c r="N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(21*525+22*215+16.5*463+14*237)/1440*G42*2.77*1440/1000000</f>
        <v>75.542170263980026</v>
      </c>
      <c r="J37" s="137">
        <f>+I37+'5'!J37</f>
        <v>402.50115681527024</v>
      </c>
      <c r="K37" s="138" t="s">
        <v>64</v>
      </c>
      <c r="N37" s="161">
        <f>25.451+2.504</f>
        <v>27.955000000000002</v>
      </c>
    </row>
    <row r="38" spans="1:14" ht="17.45" customHeight="1">
      <c r="A38" s="1012" t="s">
        <v>12</v>
      </c>
      <c r="B38" s="1013"/>
      <c r="C38" s="176">
        <f>SUMIF($G$7:$G$31,"Process",$F$7:$F$31)</f>
        <v>71</v>
      </c>
      <c r="D38" s="130">
        <f>+C38+'5'!D38</f>
        <v>228</v>
      </c>
      <c r="E38" s="155">
        <f t="shared" ref="E38:E51" si="0">D38/60</f>
        <v>3.8</v>
      </c>
      <c r="F38" s="340">
        <v>900</v>
      </c>
      <c r="G38" s="340">
        <f>+F38-F38*0.0035</f>
        <v>896.85</v>
      </c>
      <c r="H38" s="199" t="s">
        <v>65</v>
      </c>
      <c r="I38" s="553">
        <f>25.451+22.312+21.625</f>
        <v>69.388000000000005</v>
      </c>
      <c r="J38" s="139">
        <f>+I38+'5'!J38</f>
        <v>378.78300000000002</v>
      </c>
      <c r="K38" s="140" t="s">
        <v>64</v>
      </c>
      <c r="N38" s="161">
        <f>22.312-2.504-2.467-3.09-3.172</f>
        <v>11.079000000000001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+C39+'5'!D39</f>
        <v>0</v>
      </c>
      <c r="E39" s="155">
        <f t="shared" si="0"/>
        <v>0</v>
      </c>
      <c r="F39" s="340">
        <v>1023.5416666666666</v>
      </c>
      <c r="G39" s="340">
        <v>1019.9592708333332</v>
      </c>
      <c r="H39" s="199" t="s">
        <v>66</v>
      </c>
      <c r="I39" s="154"/>
      <c r="J39" s="141">
        <f>J37/G4</f>
        <v>67.083526135878373</v>
      </c>
      <c r="K39" s="142" t="s">
        <v>64</v>
      </c>
      <c r="N39" s="566">
        <f>2.467+3.09+3.172+21.625-N40</f>
        <v>21.457999999999998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+C40+'5'!D40</f>
        <v>0</v>
      </c>
      <c r="E40" s="155">
        <f t="shared" si="0"/>
        <v>0</v>
      </c>
      <c r="F40" s="340">
        <v>1150</v>
      </c>
      <c r="G40" s="340">
        <v>1145.9749999999999</v>
      </c>
      <c r="H40" s="199" t="s">
        <v>68</v>
      </c>
      <c r="I40" s="130">
        <f>(K34+L34)/1000</f>
        <v>63.195</v>
      </c>
      <c r="J40" s="143">
        <f>+I40+'5'!J40</f>
        <v>352.22499999999997</v>
      </c>
      <c r="K40" s="142" t="s">
        <v>64</v>
      </c>
      <c r="N40" s="161">
        <f>2.766+3.065+3.065</f>
        <v>8.895999999999999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+C41+'5'!D41</f>
        <v>132</v>
      </c>
      <c r="E41" s="155">
        <f t="shared" si="0"/>
        <v>2.2000000000000002</v>
      </c>
      <c r="F41" s="340"/>
      <c r="G41" s="340"/>
      <c r="H41" s="199" t="s">
        <v>70</v>
      </c>
      <c r="I41" s="154"/>
      <c r="J41" s="141">
        <f>J40/G4</f>
        <v>58.704166666666659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+C42+'5'!D42</f>
        <v>0</v>
      </c>
      <c r="E42" s="155">
        <f t="shared" si="0"/>
        <v>0</v>
      </c>
      <c r="F42" s="340">
        <f>+(F38*480+F39*480+F40*480)/1440</f>
        <v>1024.5138888888889</v>
      </c>
      <c r="G42" s="340">
        <f>+(G38*480+G39*480+G40*480)/1440</f>
        <v>1020.9280902777778</v>
      </c>
      <c r="H42" s="199" t="s">
        <v>71</v>
      </c>
      <c r="I42" s="257" t="s">
        <v>539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+C43+'5'!D43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+Report1!T14</f>
        <v>144.67599999999999</v>
      </c>
      <c r="J43" s="145">
        <f>+I43+'5'!J43</f>
        <v>805.18100000000004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+C44+'5'!D44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2.0850291116619584</v>
      </c>
      <c r="J44" s="146">
        <f>J43/J38</f>
        <v>2.1257052190832217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+C45+'5'!D45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2.2893583353113378</v>
      </c>
      <c r="J45" s="146">
        <f>J43/J40</f>
        <v>2.2859848108453407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+C46+'5'!D46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+SUMIF(Listrik!AR13,"&gt;0")</f>
        <v>53234.739999998979</v>
      </c>
      <c r="J46" s="147">
        <f>+I46+'5'!J46</f>
        <v>294147.35999999865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+C47+'5'!D47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767.20383928055253</v>
      </c>
      <c r="J47" s="147">
        <f>J46/J38</f>
        <v>776.55903248033474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+C48+'5'!D48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842.38848010125764</v>
      </c>
      <c r="J48" s="147">
        <f>J46/J40</f>
        <v>835.11210163957321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+C49+'5'!D49</f>
        <v>878</v>
      </c>
      <c r="E49" s="155">
        <f t="shared" si="0"/>
        <v>14.633333333333333</v>
      </c>
      <c r="F49" s="197"/>
      <c r="H49" s="200" t="s">
        <v>186</v>
      </c>
      <c r="I49" s="130">
        <v>0</v>
      </c>
      <c r="J49" s="147">
        <f>+I49+'5'!J49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+C50+'5'!D50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+C51+'5'!D51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71</v>
      </c>
      <c r="D52" s="156">
        <f>SUM(D38:D51)</f>
        <v>1238</v>
      </c>
      <c r="E52" s="157">
        <f>SUM(E38:E51)</f>
        <v>20.633333333333333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4.9305555555555554E-2</v>
      </c>
      <c r="D53" s="158">
        <f>D52/(24*60*G4)</f>
        <v>0.14328703703703705</v>
      </c>
      <c r="E53" s="159">
        <f>E52/(G4*24)</f>
        <v>0.14328703703703705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+D34+'5'!J56</f>
        <v>17684</v>
      </c>
      <c r="K56" s="213">
        <f>J56/(J40+J56/1000)/1000</f>
        <v>4.7806352373151235E-2</v>
      </c>
    </row>
    <row r="57" spans="1:11">
      <c r="A57" s="188"/>
      <c r="I57" s="211" t="s">
        <v>90</v>
      </c>
      <c r="J57" s="212">
        <f>+E34+'5'!J57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view="pageBreakPreview" topLeftCell="A10" zoomScale="80" zoomScaleNormal="75" zoomScaleSheetLayoutView="80" workbookViewId="0">
      <selection activeCell="D28" sqref="D28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customWidth="1"/>
    <col min="12" max="12" width="8.28515625" style="161" customWidth="1"/>
    <col min="13" max="13" width="15.570312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5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177+176+192</f>
        <v>545</v>
      </c>
    </row>
    <row r="7" spans="1:18" ht="13.5" customHeight="1" thickBot="1">
      <c r="A7" s="1014" t="s">
        <v>486</v>
      </c>
      <c r="B7" s="227" t="s">
        <v>512</v>
      </c>
      <c r="C7" s="228">
        <v>25702</v>
      </c>
      <c r="D7" s="229"/>
      <c r="E7" s="230"/>
      <c r="F7" s="239"/>
      <c r="G7" s="240" t="s">
        <v>12</v>
      </c>
      <c r="H7" s="241" t="s">
        <v>280</v>
      </c>
      <c r="I7" s="1017" t="s">
        <v>524</v>
      </c>
      <c r="J7" s="226" t="str">
        <f>+'4'!J7</f>
        <v>F 13 VP OW</v>
      </c>
      <c r="K7" s="249"/>
      <c r="L7" s="253"/>
      <c r="M7" s="129">
        <f>+K7+'4'!M7+L7</f>
        <v>19690</v>
      </c>
    </row>
    <row r="8" spans="1:18" ht="13.5" thickBot="1">
      <c r="A8" s="1015"/>
      <c r="B8" s="227"/>
      <c r="C8" s="228"/>
      <c r="D8" s="229"/>
      <c r="E8" s="231"/>
      <c r="F8" s="242"/>
      <c r="G8" s="243" t="s">
        <v>12</v>
      </c>
      <c r="H8" s="241" t="s">
        <v>458</v>
      </c>
      <c r="I8" s="1018"/>
      <c r="J8" s="226" t="str">
        <f>+'4'!J8</f>
        <v>F 10,3 VP OW</v>
      </c>
      <c r="K8" s="250"/>
      <c r="L8" s="250"/>
      <c r="M8" s="129">
        <f>+K8+'4'!M8+L8</f>
        <v>9628</v>
      </c>
      <c r="N8" s="161">
        <v>920</v>
      </c>
      <c r="O8" s="161">
        <f>+N8-N8*0.0035</f>
        <v>916.78</v>
      </c>
      <c r="P8" s="161">
        <v>480</v>
      </c>
    </row>
    <row r="9" spans="1:18" ht="13.5" thickBot="1">
      <c r="A9" s="1015"/>
      <c r="B9" s="227"/>
      <c r="C9" s="228"/>
      <c r="D9" s="229"/>
      <c r="E9" s="232"/>
      <c r="F9" s="239">
        <v>2</v>
      </c>
      <c r="G9" s="243" t="s">
        <v>12</v>
      </c>
      <c r="H9" s="598" t="s">
        <v>482</v>
      </c>
      <c r="I9" s="1018"/>
      <c r="J9" s="226" t="str">
        <f>+'4'!J9</f>
        <v>SN 15 VP OW</v>
      </c>
      <c r="K9" s="250"/>
      <c r="L9" s="250"/>
      <c r="M9" s="129">
        <f>+K9+'4'!M9+L9</f>
        <v>2504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515</v>
      </c>
      <c r="I10" s="1018"/>
      <c r="J10" s="226" t="str">
        <f>+'4'!J10</f>
        <v>MG 15,5 VP OW</v>
      </c>
      <c r="K10" s="250"/>
      <c r="L10" s="250"/>
      <c r="M10" s="129">
        <f>+K10+'4'!M10+L10</f>
        <v>62505</v>
      </c>
    </row>
    <row r="11" spans="1:18" ht="13.5" thickBot="1">
      <c r="A11" s="1015"/>
      <c r="B11" s="227"/>
      <c r="C11" s="228"/>
      <c r="D11" s="229"/>
      <c r="E11" s="231"/>
      <c r="F11" s="239"/>
      <c r="G11" s="243"/>
      <c r="H11" s="244" t="s">
        <v>520</v>
      </c>
      <c r="I11" s="1018"/>
      <c r="J11" s="226" t="str">
        <f>+'4'!J11</f>
        <v>MG 16,5 VP OW</v>
      </c>
      <c r="K11" s="250"/>
      <c r="L11" s="250"/>
      <c r="M11" s="129">
        <f>+K11+'4'!M11+L11</f>
        <v>16069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tr">
        <f>+'4'!J12</f>
        <v>MG 21 VP OW</v>
      </c>
      <c r="K12" s="250">
        <f>+C34</f>
        <v>70711</v>
      </c>
      <c r="L12" s="250"/>
      <c r="M12" s="129">
        <f>+K12+'4'!M12+L12</f>
        <v>178634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>
        <f>+'4'!J13</f>
        <v>0</v>
      </c>
      <c r="K13" s="250"/>
      <c r="L13" s="250"/>
      <c r="M13" s="129">
        <f>+K13+'4'!M13+L13</f>
        <v>0</v>
      </c>
    </row>
    <row r="14" spans="1:18" ht="13.5" thickBot="1">
      <c r="A14" s="1016"/>
      <c r="B14" s="177" t="s">
        <v>2</v>
      </c>
      <c r="C14" s="111">
        <f>SUM(C7:C13)</f>
        <v>25702</v>
      </c>
      <c r="D14" s="123">
        <f>SUM(D7:D13)</f>
        <v>0</v>
      </c>
      <c r="E14" s="124">
        <f>SUM(E5:E13)</f>
        <v>0</v>
      </c>
      <c r="F14" s="128">
        <f>SUM(F7:F13)</f>
        <v>2</v>
      </c>
      <c r="G14" s="171"/>
      <c r="H14" s="178"/>
      <c r="I14" s="179"/>
      <c r="J14" s="226">
        <f>+'4'!J14</f>
        <v>0</v>
      </c>
      <c r="K14" s="250"/>
      <c r="L14" s="250"/>
      <c r="M14" s="129">
        <f>+K14+'4'!M14+L14</f>
        <v>0</v>
      </c>
    </row>
    <row r="15" spans="1:18" ht="13.5" customHeight="1" thickBot="1">
      <c r="A15" s="1014" t="s">
        <v>466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 t="s">
        <v>531</v>
      </c>
      <c r="J15" s="226">
        <f>+'4'!J15</f>
        <v>0</v>
      </c>
      <c r="K15" s="250"/>
      <c r="L15" s="250"/>
      <c r="M15" s="129">
        <f>+K15+'4'!M15+L15</f>
        <v>0</v>
      </c>
    </row>
    <row r="16" spans="1:18" ht="13.5" thickBot="1">
      <c r="A16" s="1020"/>
      <c r="B16" s="227" t="s">
        <v>512</v>
      </c>
      <c r="C16" s="233">
        <v>22596</v>
      </c>
      <c r="D16" s="234">
        <v>2412</v>
      </c>
      <c r="E16" s="235"/>
      <c r="F16" s="239"/>
      <c r="G16" s="243" t="s">
        <v>12</v>
      </c>
      <c r="H16" s="241" t="s">
        <v>458</v>
      </c>
      <c r="I16" s="1018"/>
      <c r="J16" s="226">
        <f>+'4'!J16</f>
        <v>0</v>
      </c>
      <c r="K16" s="250"/>
      <c r="L16" s="240"/>
      <c r="M16" s="129">
        <f>+K16+'4'!M16+L16</f>
        <v>0</v>
      </c>
      <c r="N16" s="161">
        <v>930</v>
      </c>
      <c r="O16" s="161">
        <f>+N16-N16*0.0035</f>
        <v>926.745</v>
      </c>
      <c r="P16" s="161">
        <v>20</v>
      </c>
      <c r="Q16" s="161">
        <f>+N16*P16</f>
        <v>18600</v>
      </c>
      <c r="R16" s="161">
        <f>+O16*P16</f>
        <v>18534.900000000001</v>
      </c>
    </row>
    <row r="17" spans="1:18" ht="13.5" thickBot="1">
      <c r="A17" s="1020"/>
      <c r="B17" s="227"/>
      <c r="C17" s="228"/>
      <c r="D17" s="229"/>
      <c r="E17" s="236"/>
      <c r="F17" s="239">
        <v>6</v>
      </c>
      <c r="G17" s="243" t="s">
        <v>12</v>
      </c>
      <c r="H17" s="598" t="s">
        <v>482</v>
      </c>
      <c r="I17" s="1018"/>
      <c r="J17" s="226">
        <f>+'4'!J17</f>
        <v>0</v>
      </c>
      <c r="K17" s="250"/>
      <c r="L17" s="240"/>
      <c r="M17" s="129">
        <f>+K17+'4'!M17+L17</f>
        <v>0</v>
      </c>
      <c r="N17" s="161">
        <v>900</v>
      </c>
      <c r="O17" s="161">
        <f>+N17-N17*0.0035</f>
        <v>896.85</v>
      </c>
      <c r="P17" s="161">
        <v>460</v>
      </c>
      <c r="Q17" s="161">
        <f>+N17*P17</f>
        <v>414000</v>
      </c>
      <c r="R17" s="161">
        <f>+O17*P17</f>
        <v>412551</v>
      </c>
    </row>
    <row r="18" spans="1:18" ht="13.5" thickBot="1">
      <c r="A18" s="1020"/>
      <c r="B18" s="227"/>
      <c r="C18" s="228"/>
      <c r="D18" s="229"/>
      <c r="E18" s="236"/>
      <c r="F18" s="239"/>
      <c r="G18" s="243"/>
      <c r="H18" s="598" t="s">
        <v>529</v>
      </c>
      <c r="I18" s="1018"/>
      <c r="J18" s="226">
        <f>+'4'!J18</f>
        <v>0</v>
      </c>
      <c r="K18" s="250"/>
      <c r="L18" s="250"/>
      <c r="M18" s="129">
        <f>+K18+'4'!M18+L18</f>
        <v>0</v>
      </c>
      <c r="P18" s="161">
        <f>SUM(P16:P17)</f>
        <v>480</v>
      </c>
      <c r="Q18" s="161">
        <f>SUM(Q16:Q17)</f>
        <v>432600</v>
      </c>
      <c r="R18" s="161">
        <f>SUM(R16:R17)</f>
        <v>431085.9</v>
      </c>
    </row>
    <row r="19" spans="1:18" ht="26.25" thickBot="1">
      <c r="A19" s="1020"/>
      <c r="B19" s="227"/>
      <c r="C19" s="228"/>
      <c r="D19" s="229"/>
      <c r="E19" s="236"/>
      <c r="F19" s="246"/>
      <c r="G19" s="243"/>
      <c r="H19" s="244" t="s">
        <v>530</v>
      </c>
      <c r="I19" s="1018"/>
      <c r="J19" s="226">
        <f>+'4'!J19</f>
        <v>0</v>
      </c>
      <c r="K19" s="250"/>
      <c r="L19" s="250"/>
      <c r="M19" s="129">
        <f>+K19+'4'!M19+L19</f>
        <v>0</v>
      </c>
      <c r="Q19" s="161">
        <f>+Q18/P18</f>
        <v>901.25</v>
      </c>
      <c r="R19" s="161">
        <f>+R18/P18</f>
        <v>898.09562500000004</v>
      </c>
    </row>
    <row r="20" spans="1:18" ht="13.5" thickBot="1">
      <c r="A20" s="1020"/>
      <c r="B20" s="227"/>
      <c r="C20" s="228"/>
      <c r="D20" s="229"/>
      <c r="E20" s="236"/>
      <c r="F20" s="239"/>
      <c r="G20" s="243"/>
      <c r="H20" s="244" t="s">
        <v>520</v>
      </c>
      <c r="I20" s="1018"/>
      <c r="J20" s="226">
        <f>+'4'!J20</f>
        <v>0</v>
      </c>
      <c r="K20" s="251"/>
      <c r="L20" s="251"/>
      <c r="M20" s="129">
        <f>+K20+'4'!M20+L20</f>
        <v>0</v>
      </c>
    </row>
    <row r="21" spans="1:18" ht="13.5" customHeight="1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+'4'!J21</f>
        <v>0</v>
      </c>
      <c r="K21" s="250"/>
      <c r="L21" s="250"/>
      <c r="M21" s="129">
        <f>+K21+'4'!M21+L21</f>
        <v>0</v>
      </c>
    </row>
    <row r="22" spans="1:18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+'4'!J22</f>
        <v>0</v>
      </c>
      <c r="K22" s="250"/>
      <c r="L22" s="250"/>
      <c r="M22" s="129">
        <f>+K22+'4'!M22+L22</f>
        <v>0</v>
      </c>
    </row>
    <row r="23" spans="1:18" ht="13.5" thickBot="1">
      <c r="A23" s="1021"/>
      <c r="B23" s="180" t="s">
        <v>2</v>
      </c>
      <c r="C23" s="112">
        <f>SUM(C16:C22)</f>
        <v>22596</v>
      </c>
      <c r="D23" s="123">
        <f>SUM(D16:D22)</f>
        <v>2412</v>
      </c>
      <c r="E23" s="124">
        <f>SUM(E18:E22)</f>
        <v>0</v>
      </c>
      <c r="F23" s="128">
        <f>SUM(F15:F22)</f>
        <v>6</v>
      </c>
      <c r="G23" s="171"/>
      <c r="H23" s="178" t="s">
        <v>237</v>
      </c>
      <c r="I23" s="181"/>
      <c r="J23" s="226">
        <f>+'4'!J23</f>
        <v>0</v>
      </c>
      <c r="K23" s="250"/>
      <c r="L23" s="250"/>
      <c r="M23" s="129">
        <f>+K23+'4'!M23+L23</f>
        <v>0</v>
      </c>
    </row>
    <row r="24" spans="1:18" ht="13.5" customHeight="1" thickBot="1">
      <c r="A24" s="1014" t="s">
        <v>528</v>
      </c>
      <c r="B24" s="182"/>
      <c r="C24" s="125"/>
      <c r="D24" s="126"/>
      <c r="E24" s="127"/>
      <c r="F24" s="239"/>
      <c r="G24" s="240" t="s">
        <v>12</v>
      </c>
      <c r="H24" s="241" t="s">
        <v>280</v>
      </c>
      <c r="I24" s="1017" t="s">
        <v>532</v>
      </c>
      <c r="J24" s="226">
        <f>+'4'!J24</f>
        <v>0</v>
      </c>
      <c r="K24" s="250"/>
      <c r="L24" s="250"/>
      <c r="M24" s="129">
        <f>+K24+'4'!M24+L24</f>
        <v>0</v>
      </c>
    </row>
    <row r="25" spans="1:18" ht="13.5" thickBot="1">
      <c r="A25" s="1020"/>
      <c r="B25" s="227" t="s">
        <v>512</v>
      </c>
      <c r="C25" s="237">
        <v>22413</v>
      </c>
      <c r="D25" s="229">
        <v>348</v>
      </c>
      <c r="E25" s="236"/>
      <c r="F25" s="239"/>
      <c r="G25" s="243" t="s">
        <v>12</v>
      </c>
      <c r="H25" s="241" t="s">
        <v>458</v>
      </c>
      <c r="I25" s="1018"/>
      <c r="J25" s="226">
        <f>+'4'!J25</f>
        <v>0</v>
      </c>
      <c r="K25" s="250"/>
      <c r="L25" s="250"/>
      <c r="M25" s="129">
        <f>+K25+'4'!M25+L25</f>
        <v>0</v>
      </c>
    </row>
    <row r="26" spans="1:18" ht="13.5" thickBot="1">
      <c r="A26" s="1020"/>
      <c r="B26" s="227"/>
      <c r="C26" s="237"/>
      <c r="D26" s="229"/>
      <c r="E26" s="238"/>
      <c r="F26" s="239">
        <v>9</v>
      </c>
      <c r="G26" s="243" t="s">
        <v>12</v>
      </c>
      <c r="H26" s="598" t="s">
        <v>482</v>
      </c>
      <c r="I26" s="1018"/>
      <c r="J26" s="226">
        <f>+'4'!J26</f>
        <v>0</v>
      </c>
      <c r="K26" s="250"/>
      <c r="L26" s="250"/>
      <c r="M26" s="129">
        <f>+K26+'4'!M26+L26</f>
        <v>0</v>
      </c>
    </row>
    <row r="27" spans="1:18" ht="13.5" thickBot="1">
      <c r="A27" s="1020"/>
      <c r="B27" s="227"/>
      <c r="C27" s="228"/>
      <c r="D27" s="229"/>
      <c r="E27" s="236"/>
      <c r="F27" s="239"/>
      <c r="G27" s="243"/>
      <c r="H27" s="598" t="s">
        <v>521</v>
      </c>
      <c r="I27" s="1018"/>
      <c r="J27" s="226">
        <f>+'4'!J27</f>
        <v>0</v>
      </c>
      <c r="K27" s="250"/>
      <c r="L27" s="250"/>
      <c r="M27" s="129">
        <f>+K27+'4'!M27+L27</f>
        <v>0</v>
      </c>
    </row>
    <row r="28" spans="1:18" ht="13.5" thickBot="1">
      <c r="A28" s="1020"/>
      <c r="B28" s="227"/>
      <c r="C28" s="228"/>
      <c r="D28" s="229"/>
      <c r="E28" s="236"/>
      <c r="F28" s="246"/>
      <c r="G28" s="243"/>
      <c r="H28" s="244" t="s">
        <v>519</v>
      </c>
      <c r="I28" s="1018"/>
      <c r="J28" s="226">
        <f>+'4'!J28</f>
        <v>0</v>
      </c>
      <c r="K28" s="250"/>
      <c r="L28" s="250"/>
      <c r="M28" s="129">
        <f>+K28+'4'!M28+L28</f>
        <v>0</v>
      </c>
    </row>
    <row r="29" spans="1:18" ht="13.5" thickBot="1">
      <c r="A29" s="1020"/>
      <c r="B29" s="227"/>
      <c r="C29" s="228"/>
      <c r="D29" s="229"/>
      <c r="E29" s="236"/>
      <c r="F29" s="239"/>
      <c r="G29" s="243"/>
      <c r="H29" s="244"/>
      <c r="I29" s="1018"/>
      <c r="J29" s="226">
        <f>+'4'!J29</f>
        <v>0</v>
      </c>
      <c r="K29" s="250"/>
      <c r="L29" s="250"/>
      <c r="M29" s="129">
        <f>+K29+'4'!M29+L29</f>
        <v>0</v>
      </c>
    </row>
    <row r="30" spans="1:18" ht="13.5" thickBot="1">
      <c r="A30" s="1020"/>
      <c r="B30" s="227"/>
      <c r="C30" s="237"/>
      <c r="D30" s="229"/>
      <c r="E30" s="236"/>
      <c r="F30" s="242"/>
      <c r="G30" s="243"/>
      <c r="H30" s="503"/>
      <c r="I30" s="1018"/>
      <c r="J30" s="226">
        <f>+'4'!J30</f>
        <v>0</v>
      </c>
      <c r="K30" s="250"/>
      <c r="L30" s="250"/>
      <c r="M30" s="129">
        <f>+K30+'4'!M30+L30</f>
        <v>0</v>
      </c>
      <c r="N30" s="167"/>
    </row>
    <row r="31" spans="1:18" ht="13.5" thickBot="1">
      <c r="A31" s="1020"/>
      <c r="B31" s="227"/>
      <c r="C31" s="237"/>
      <c r="D31" s="229"/>
      <c r="E31" s="236"/>
      <c r="F31" s="247"/>
      <c r="G31" s="243"/>
      <c r="H31" s="244"/>
      <c r="I31" s="1019"/>
      <c r="J31" s="226">
        <f>+'4'!J31</f>
        <v>0</v>
      </c>
      <c r="K31" s="250"/>
      <c r="L31" s="250"/>
      <c r="M31" s="129">
        <f>+K31+'4'!M31+L31</f>
        <v>0</v>
      </c>
    </row>
    <row r="32" spans="1:18" ht="13.5" thickBot="1">
      <c r="A32" s="1021"/>
      <c r="B32" s="177" t="s">
        <v>2</v>
      </c>
      <c r="C32" s="111">
        <f>SUM(C25:C31)</f>
        <v>22413</v>
      </c>
      <c r="D32" s="112">
        <f>SUM(D25:D31)</f>
        <v>348</v>
      </c>
      <c r="E32" s="113">
        <f>SUM(E25:E31)</f>
        <v>0</v>
      </c>
      <c r="F32" s="114">
        <f>SUM(F24:F31)</f>
        <v>9</v>
      </c>
      <c r="G32" s="183"/>
      <c r="H32" s="184"/>
      <c r="I32" s="181"/>
      <c r="J32" s="226">
        <f>+'4'!J32</f>
        <v>0</v>
      </c>
      <c r="K32" s="252"/>
      <c r="L32" s="254"/>
      <c r="M32" s="129">
        <f>+K32+'4'!M32+L32</f>
        <v>0</v>
      </c>
    </row>
    <row r="33" spans="1:14" ht="13.5" thickBot="1">
      <c r="A33" s="185"/>
      <c r="B33" s="186"/>
      <c r="C33" s="115">
        <f>C32/($C$32+$D$32+$E$32)</f>
        <v>0.98471068933702388</v>
      </c>
      <c r="D33" s="116">
        <f>D32/($C$32+$D$32+$E$32)</f>
        <v>1.5289310662976143E-2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70711</v>
      </c>
      <c r="D34" s="119">
        <f>D14+D23+D32</f>
        <v>2760</v>
      </c>
      <c r="E34" s="119">
        <f>E14+E23+E32</f>
        <v>0</v>
      </c>
      <c r="F34" s="120">
        <f>F14+F23+F32</f>
        <v>17</v>
      </c>
      <c r="H34" s="190"/>
      <c r="I34" s="190"/>
      <c r="J34" s="135" t="s">
        <v>28</v>
      </c>
      <c r="K34" s="136">
        <f>SUM(K7:K32)</f>
        <v>70711</v>
      </c>
      <c r="L34" s="224">
        <f>SUM(L7:L32)</f>
        <v>0</v>
      </c>
      <c r="M34" s="132">
        <f>SUM(M7:M32)</f>
        <v>289030</v>
      </c>
      <c r="N34" s="167"/>
    </row>
    <row r="35" spans="1:14" ht="13.5" thickBot="1">
      <c r="A35" s="191"/>
      <c r="B35" s="192"/>
      <c r="C35" s="116">
        <f>C34/($C$34+$D$34+$E$34)</f>
        <v>0.96243415769487284</v>
      </c>
      <c r="D35" s="116">
        <f>D34/($C$34+$D$34+$E$34)</f>
        <v>3.7565842305127196E-2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(21*1440)/1440*G42*2.77*1440/1000000</f>
        <v>75.715718211000009</v>
      </c>
      <c r="J37" s="137">
        <f>+I37+'4'!J37</f>
        <v>326.9589865512902</v>
      </c>
      <c r="K37" s="138" t="s">
        <v>64</v>
      </c>
    </row>
    <row r="38" spans="1:14" ht="17.45" customHeight="1">
      <c r="A38" s="1012" t="s">
        <v>12</v>
      </c>
      <c r="B38" s="1013"/>
      <c r="C38" s="176">
        <f>SUMIF($G$7:$G$31,"Process",$F$7:$F$31)</f>
        <v>17</v>
      </c>
      <c r="D38" s="130">
        <f>+C38+'4'!D38</f>
        <v>157</v>
      </c>
      <c r="E38" s="155">
        <f t="shared" ref="E38:E51" si="0">D38/60</f>
        <v>2.6166666666666667</v>
      </c>
      <c r="F38" s="340">
        <v>920</v>
      </c>
      <c r="G38" s="340">
        <v>916.78</v>
      </c>
      <c r="H38" s="199" t="s">
        <v>65</v>
      </c>
      <c r="I38" s="553">
        <f>25.17+22.645+24.647</f>
        <v>72.461999999999989</v>
      </c>
      <c r="J38" s="139">
        <f>+I38+'4'!J38</f>
        <v>309.39499999999998</v>
      </c>
      <c r="K38" s="140" t="s">
        <v>64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+C39+'4'!D39</f>
        <v>0</v>
      </c>
      <c r="E39" s="155">
        <f t="shared" si="0"/>
        <v>0</v>
      </c>
      <c r="F39" s="340">
        <v>901.25</v>
      </c>
      <c r="G39" s="340">
        <v>898.09562500000004</v>
      </c>
      <c r="H39" s="199" t="s">
        <v>66</v>
      </c>
      <c r="I39" s="154"/>
      <c r="J39" s="141">
        <f>J37/G4</f>
        <v>65.391797310258042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+C40+'4'!D40</f>
        <v>0</v>
      </c>
      <c r="E40" s="155">
        <f t="shared" si="0"/>
        <v>0</v>
      </c>
      <c r="F40" s="340">
        <v>900</v>
      </c>
      <c r="G40" s="340">
        <v>896.85</v>
      </c>
      <c r="H40" s="199" t="s">
        <v>68</v>
      </c>
      <c r="I40" s="130">
        <f>(K34+L34)/1000</f>
        <v>70.710999999999999</v>
      </c>
      <c r="J40" s="143">
        <f>+I40+'4'!J40</f>
        <v>289.02999999999997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+C41+'4'!D41</f>
        <v>132</v>
      </c>
      <c r="E41" s="155">
        <f t="shared" si="0"/>
        <v>2.2000000000000002</v>
      </c>
      <c r="F41" s="340"/>
      <c r="G41" s="340"/>
      <c r="H41" s="199" t="s">
        <v>70</v>
      </c>
      <c r="I41" s="154"/>
      <c r="J41" s="141">
        <f>J40/G4</f>
        <v>57.805999999999997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+C42+'4'!D42</f>
        <v>0</v>
      </c>
      <c r="E42" s="155">
        <f t="shared" si="0"/>
        <v>0</v>
      </c>
      <c r="F42" s="340">
        <f>+(F38*480+F39*480+F40*480)/1440</f>
        <v>907.08333333333337</v>
      </c>
      <c r="G42" s="340">
        <f>+(G38*480+G39*480+G40*480)/1440</f>
        <v>903.90854166666668</v>
      </c>
      <c r="H42" s="199" t="s">
        <v>71</v>
      </c>
      <c r="I42" s="257" t="s">
        <v>533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+C43+'4'!D43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+Report1!T13</f>
        <v>146.52500000000001</v>
      </c>
      <c r="J43" s="145">
        <f>+I43+'4'!J43</f>
        <v>660.505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+C44+'4'!D44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2.0220943391018746</v>
      </c>
      <c r="J44" s="146">
        <f>J43/J38</f>
        <v>2.1348276475056158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+C45+'4'!D45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2.0721669895772936</v>
      </c>
      <c r="J45" s="146">
        <f>J43/J40</f>
        <v>2.2852472061723699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+C46+'4'!D46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+SUMIF(Listrik!AR12,"&gt;0")</f>
        <v>49290.47999999937</v>
      </c>
      <c r="J46" s="147">
        <f>+I46+'4'!J46</f>
        <v>240912.61999999968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+C47+'4'!D47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680.22522149539589</v>
      </c>
      <c r="J47" s="147">
        <f>J46/J38</f>
        <v>778.65712115580311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+C48+'4'!D48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697.0694799960313</v>
      </c>
      <c r="J48" s="147">
        <f>J46/J40</f>
        <v>833.52115697332351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+C49+'4'!D49</f>
        <v>878</v>
      </c>
      <c r="E49" s="155">
        <f t="shared" si="0"/>
        <v>14.633333333333333</v>
      </c>
      <c r="F49" s="197"/>
      <c r="H49" s="200" t="s">
        <v>186</v>
      </c>
      <c r="I49" s="130">
        <v>0</v>
      </c>
      <c r="J49" s="147">
        <f>+I49+'4'!J49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+C50+'4'!D50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+C51+'4'!D51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17</v>
      </c>
      <c r="D52" s="156">
        <f>SUM(D38:D51)</f>
        <v>1167</v>
      </c>
      <c r="E52" s="157">
        <f>SUM(E38:E51)</f>
        <v>19.45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1.1805555555555555E-2</v>
      </c>
      <c r="D53" s="158">
        <f>D52/(24*60*G4)</f>
        <v>0.16208333333333333</v>
      </c>
      <c r="E53" s="159">
        <f>E52/(G4*24)</f>
        <v>0.16208333333333333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+D34+'4'!J56</f>
        <v>14653</v>
      </c>
      <c r="K56" s="213">
        <f>J56/(J40+J56/1000)/1000</f>
        <v>4.8250972230911841E-2</v>
      </c>
    </row>
    <row r="57" spans="1:11">
      <c r="A57" s="188"/>
      <c r="I57" s="211" t="s">
        <v>90</v>
      </c>
      <c r="J57" s="212">
        <f>+E34+'4'!J57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4027777777777778" header="0" footer="0"/>
  <pageSetup paperSize="9" scale="62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topLeftCell="A19" zoomScale="80" zoomScaleNormal="75" zoomScaleSheetLayoutView="80" workbookViewId="0">
      <selection activeCell="D34" sqref="D34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4.570312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4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193+202+220</f>
        <v>615</v>
      </c>
    </row>
    <row r="7" spans="1:18" ht="13.5" customHeight="1" thickBot="1">
      <c r="A7" s="1014" t="s">
        <v>486</v>
      </c>
      <c r="B7" s="227" t="s">
        <v>512</v>
      </c>
      <c r="C7" s="228">
        <v>13544</v>
      </c>
      <c r="D7" s="229">
        <v>7607</v>
      </c>
      <c r="E7" s="230"/>
      <c r="F7" s="239"/>
      <c r="G7" s="240" t="s">
        <v>12</v>
      </c>
      <c r="H7" s="241" t="s">
        <v>280</v>
      </c>
      <c r="I7" s="1017" t="s">
        <v>523</v>
      </c>
      <c r="J7" s="226" t="str">
        <f>+'3'!J7</f>
        <v>F 13 VP OW</v>
      </c>
      <c r="K7" s="249"/>
      <c r="L7" s="253"/>
      <c r="M7" s="129">
        <f>+K7+'3'!M7+L7</f>
        <v>19690</v>
      </c>
    </row>
    <row r="8" spans="1:18" ht="13.5" thickBot="1">
      <c r="A8" s="1015"/>
      <c r="B8" s="227"/>
      <c r="C8" s="228"/>
      <c r="D8" s="229"/>
      <c r="E8" s="231"/>
      <c r="F8" s="242"/>
      <c r="G8" s="243" t="s">
        <v>12</v>
      </c>
      <c r="H8" s="241" t="s">
        <v>458</v>
      </c>
      <c r="I8" s="1018"/>
      <c r="J8" s="226" t="str">
        <f>+'3'!J8</f>
        <v>F 10,3 VP OW</v>
      </c>
      <c r="K8" s="250"/>
      <c r="L8" s="250"/>
      <c r="M8" s="129">
        <f>+K8+'3'!M8+L8</f>
        <v>9628</v>
      </c>
      <c r="N8" s="161">
        <v>1020</v>
      </c>
      <c r="O8" s="161">
        <f>+N8-N8*0.0035</f>
        <v>1016.43</v>
      </c>
      <c r="P8" s="161">
        <f>60+30</f>
        <v>90</v>
      </c>
      <c r="Q8" s="161">
        <f>+N8*P8</f>
        <v>91800</v>
      </c>
      <c r="R8" s="161">
        <f>+O8*P8</f>
        <v>91478.7</v>
      </c>
    </row>
    <row r="9" spans="1:18" ht="13.5" thickBot="1">
      <c r="A9" s="1015"/>
      <c r="B9" s="227"/>
      <c r="C9" s="228"/>
      <c r="D9" s="229"/>
      <c r="E9" s="232"/>
      <c r="F9" s="239">
        <v>6</v>
      </c>
      <c r="G9" s="243" t="s">
        <v>12</v>
      </c>
      <c r="H9" s="598" t="s">
        <v>526</v>
      </c>
      <c r="I9" s="1018"/>
      <c r="J9" s="226" t="str">
        <f>+'3'!J9</f>
        <v>SN 15 VP OW</v>
      </c>
      <c r="K9" s="250"/>
      <c r="L9" s="250"/>
      <c r="M9" s="129">
        <f>+K9+'3'!M9+L9</f>
        <v>2504</v>
      </c>
      <c r="N9" s="161">
        <v>900</v>
      </c>
      <c r="O9" s="161">
        <f>+N9-N9*0.0035</f>
        <v>896.85</v>
      </c>
      <c r="P9" s="161">
        <f>30+360</f>
        <v>390</v>
      </c>
      <c r="Q9" s="161">
        <f>+N9*P9</f>
        <v>351000</v>
      </c>
      <c r="R9" s="161">
        <f>+O9*P9</f>
        <v>349771.5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522</v>
      </c>
      <c r="I10" s="1018"/>
      <c r="J10" s="226" t="str">
        <f>+'3'!J10</f>
        <v>MG 15,5 VP OW</v>
      </c>
      <c r="K10" s="250"/>
      <c r="L10" s="250"/>
      <c r="M10" s="129">
        <f>+K10+'3'!M10+L10</f>
        <v>62505</v>
      </c>
      <c r="P10" s="161">
        <f>SUM(P8:P9)</f>
        <v>480</v>
      </c>
      <c r="Q10" s="161">
        <f>SUM(Q8:Q9)</f>
        <v>442800</v>
      </c>
      <c r="R10" s="161">
        <f>SUM(R8:R9)</f>
        <v>441250.2</v>
      </c>
    </row>
    <row r="11" spans="1:18" ht="13.5" thickBot="1">
      <c r="A11" s="1015"/>
      <c r="B11" s="227"/>
      <c r="C11" s="228"/>
      <c r="D11" s="229"/>
      <c r="E11" s="231"/>
      <c r="F11" s="239"/>
      <c r="G11" s="243"/>
      <c r="H11" s="244" t="s">
        <v>513</v>
      </c>
      <c r="I11" s="1018"/>
      <c r="J11" s="226" t="str">
        <f>+'3'!J11</f>
        <v>MG 16,5 VP OW</v>
      </c>
      <c r="K11" s="250"/>
      <c r="L11" s="250"/>
      <c r="M11" s="129">
        <f>+K11+'3'!M11+L11</f>
        <v>16069</v>
      </c>
      <c r="Q11" s="161">
        <f>+Q10/P10</f>
        <v>922.5</v>
      </c>
      <c r="R11" s="161">
        <f>+R10/P10</f>
        <v>919.27125000000001</v>
      </c>
    </row>
    <row r="12" spans="1:18" ht="26.25" thickBot="1">
      <c r="A12" s="1015"/>
      <c r="B12" s="227"/>
      <c r="C12" s="228"/>
      <c r="D12" s="229"/>
      <c r="E12" s="231"/>
      <c r="F12" s="239"/>
      <c r="G12" s="243"/>
      <c r="H12" s="244" t="s">
        <v>514</v>
      </c>
      <c r="I12" s="1018"/>
      <c r="J12" s="226" t="str">
        <f>+'3'!J12</f>
        <v>MG 21 VP OW</v>
      </c>
      <c r="K12" s="250">
        <f>+C34</f>
        <v>60373</v>
      </c>
      <c r="L12" s="250"/>
      <c r="M12" s="129">
        <f>+K12+'3'!M12+L12</f>
        <v>107923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>
        <f>+'3'!J13</f>
        <v>0</v>
      </c>
      <c r="K13" s="250"/>
      <c r="L13" s="250"/>
      <c r="M13" s="129">
        <f>+K13+'3'!M13+L13</f>
        <v>0</v>
      </c>
    </row>
    <row r="14" spans="1:18" ht="13.5" thickBot="1">
      <c r="A14" s="1016"/>
      <c r="B14" s="177" t="s">
        <v>2</v>
      </c>
      <c r="C14" s="111">
        <f>SUM(C7:C13)</f>
        <v>13544</v>
      </c>
      <c r="D14" s="123">
        <f>SUM(D7:D13)</f>
        <v>7607</v>
      </c>
      <c r="E14" s="124">
        <f>SUM(E5:E13)</f>
        <v>0</v>
      </c>
      <c r="F14" s="128">
        <f>SUM(F7:F13)</f>
        <v>6</v>
      </c>
      <c r="G14" s="171"/>
      <c r="H14" s="178"/>
      <c r="I14" s="179"/>
      <c r="J14" s="226">
        <f>+'3'!J14</f>
        <v>0</v>
      </c>
      <c r="K14" s="250"/>
      <c r="L14" s="250"/>
      <c r="M14" s="129">
        <f>+K14+'3'!M14+L14</f>
        <v>0</v>
      </c>
    </row>
    <row r="15" spans="1:18" ht="13.5" customHeight="1" thickBot="1">
      <c r="A15" s="1014" t="s">
        <v>466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 t="s">
        <v>524</v>
      </c>
      <c r="J15" s="226">
        <f>+'3'!J15</f>
        <v>0</v>
      </c>
      <c r="K15" s="250"/>
      <c r="L15" s="250"/>
      <c r="M15" s="129">
        <f>+K15+'3'!M15+L15</f>
        <v>0</v>
      </c>
      <c r="N15" s="161">
        <v>920</v>
      </c>
      <c r="O15" s="161">
        <f>+N15-N15*0.0035</f>
        <v>916.78</v>
      </c>
      <c r="P15" s="161">
        <v>480</v>
      </c>
    </row>
    <row r="16" spans="1:18" ht="13.5" thickBot="1">
      <c r="A16" s="1020"/>
      <c r="B16" s="227" t="s">
        <v>512</v>
      </c>
      <c r="C16" s="233">
        <v>24825</v>
      </c>
      <c r="D16" s="234">
        <v>2656</v>
      </c>
      <c r="E16" s="235"/>
      <c r="F16" s="239"/>
      <c r="G16" s="243" t="s">
        <v>12</v>
      </c>
      <c r="H16" s="241" t="s">
        <v>458</v>
      </c>
      <c r="I16" s="1018"/>
      <c r="J16" s="226">
        <f>+'3'!J16</f>
        <v>0</v>
      </c>
      <c r="K16" s="240"/>
      <c r="L16" s="240"/>
      <c r="M16" s="129">
        <f>+K16+'3'!M16+L16</f>
        <v>0</v>
      </c>
    </row>
    <row r="17" spans="1:14" ht="13.5" thickBot="1">
      <c r="A17" s="1020"/>
      <c r="B17" s="227"/>
      <c r="C17" s="228"/>
      <c r="D17" s="229"/>
      <c r="E17" s="236"/>
      <c r="F17" s="239">
        <v>3</v>
      </c>
      <c r="G17" s="243" t="s">
        <v>12</v>
      </c>
      <c r="H17" s="598" t="s">
        <v>482</v>
      </c>
      <c r="I17" s="1018"/>
      <c r="J17" s="226">
        <f>+'3'!J17</f>
        <v>0</v>
      </c>
      <c r="K17" s="240"/>
      <c r="L17" s="240"/>
      <c r="M17" s="129">
        <f>+K17+'3'!M17+L17</f>
        <v>0</v>
      </c>
    </row>
    <row r="18" spans="1:14" ht="13.5" thickBot="1">
      <c r="A18" s="1020"/>
      <c r="B18" s="227"/>
      <c r="C18" s="228"/>
      <c r="D18" s="229"/>
      <c r="E18" s="236"/>
      <c r="F18" s="239"/>
      <c r="G18" s="243"/>
      <c r="H18" s="598" t="s">
        <v>515</v>
      </c>
      <c r="I18" s="1018"/>
      <c r="J18" s="226">
        <f>+'3'!J18</f>
        <v>0</v>
      </c>
      <c r="K18" s="250"/>
      <c r="L18" s="250"/>
      <c r="M18" s="129">
        <f>+K18+'3'!M18+L18</f>
        <v>0</v>
      </c>
    </row>
    <row r="19" spans="1:14" ht="26.25" thickBot="1">
      <c r="A19" s="1020"/>
      <c r="B19" s="227"/>
      <c r="C19" s="228"/>
      <c r="D19" s="229"/>
      <c r="E19" s="236"/>
      <c r="F19" s="246"/>
      <c r="G19" s="243"/>
      <c r="H19" s="244" t="s">
        <v>516</v>
      </c>
      <c r="I19" s="1018"/>
      <c r="J19" s="226">
        <f>+'3'!J19</f>
        <v>0</v>
      </c>
      <c r="K19" s="250"/>
      <c r="L19" s="250"/>
      <c r="M19" s="129">
        <f>+K19+'3'!M19+L19</f>
        <v>0</v>
      </c>
    </row>
    <row r="20" spans="1:14" ht="13.5" thickBot="1">
      <c r="A20" s="1020"/>
      <c r="B20" s="227"/>
      <c r="C20" s="228"/>
      <c r="D20" s="229"/>
      <c r="E20" s="236"/>
      <c r="F20" s="239"/>
      <c r="G20" s="243"/>
      <c r="H20" s="244" t="s">
        <v>517</v>
      </c>
      <c r="I20" s="1018"/>
      <c r="J20" s="226">
        <f>+'3'!J20</f>
        <v>0</v>
      </c>
      <c r="K20" s="251"/>
      <c r="L20" s="251"/>
      <c r="M20" s="129">
        <f>+K20+'3'!M20+L20</f>
        <v>0</v>
      </c>
    </row>
    <row r="21" spans="1:14" ht="13.5" thickBot="1">
      <c r="A21" s="1020"/>
      <c r="B21" s="227"/>
      <c r="C21" s="228"/>
      <c r="D21" s="229"/>
      <c r="E21" s="236" t="s">
        <v>527</v>
      </c>
      <c r="F21" s="242">
        <v>6</v>
      </c>
      <c r="G21" s="243" t="s">
        <v>69</v>
      </c>
      <c r="H21" s="503" t="s">
        <v>518</v>
      </c>
      <c r="I21" s="1018"/>
      <c r="J21" s="226">
        <f>+'3'!J21</f>
        <v>0</v>
      </c>
      <c r="K21" s="250"/>
      <c r="L21" s="250"/>
      <c r="M21" s="129">
        <f>+K21+'3'!M21+L21</f>
        <v>0</v>
      </c>
    </row>
    <row r="22" spans="1:1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+'3'!J22</f>
        <v>0</v>
      </c>
      <c r="K22" s="250"/>
      <c r="L22" s="250"/>
      <c r="M22" s="129">
        <f>+K22+'3'!M22+L22</f>
        <v>0</v>
      </c>
    </row>
    <row r="23" spans="1:14" ht="13.5" thickBot="1">
      <c r="A23" s="1021"/>
      <c r="B23" s="180" t="s">
        <v>2</v>
      </c>
      <c r="C23" s="112">
        <f>SUM(C16:C22)</f>
        <v>24825</v>
      </c>
      <c r="D23" s="123">
        <f>SUM(D16:D22)</f>
        <v>2656</v>
      </c>
      <c r="E23" s="124">
        <f>SUM(E18:E22)</f>
        <v>0</v>
      </c>
      <c r="F23" s="128">
        <f>SUM(F15:F22)</f>
        <v>9</v>
      </c>
      <c r="G23" s="171"/>
      <c r="H23" s="178" t="s">
        <v>237</v>
      </c>
      <c r="I23" s="181"/>
      <c r="J23" s="226">
        <f>+'3'!J23</f>
        <v>0</v>
      </c>
      <c r="K23" s="250"/>
      <c r="L23" s="250"/>
      <c r="M23" s="129">
        <f>+K23+'3'!M23+L23</f>
        <v>0</v>
      </c>
    </row>
    <row r="24" spans="1:14" ht="13.5" customHeight="1" thickBot="1">
      <c r="A24" s="1014" t="s">
        <v>528</v>
      </c>
      <c r="B24" s="182"/>
      <c r="C24" s="125"/>
      <c r="D24" s="126"/>
      <c r="E24" s="127"/>
      <c r="F24" s="247"/>
      <c r="G24" s="240" t="s">
        <v>12</v>
      </c>
      <c r="H24" s="241" t="s">
        <v>280</v>
      </c>
      <c r="I24" s="1017" t="s">
        <v>524</v>
      </c>
      <c r="J24" s="226">
        <f>+'3'!J24</f>
        <v>0</v>
      </c>
      <c r="K24" s="250"/>
      <c r="L24" s="250"/>
      <c r="M24" s="129">
        <f>+K24+'3'!M24+L24</f>
        <v>0</v>
      </c>
    </row>
    <row r="25" spans="1:14" ht="13.5" thickBot="1">
      <c r="A25" s="1020"/>
      <c r="B25" s="227" t="s">
        <v>512</v>
      </c>
      <c r="C25" s="237">
        <v>22004</v>
      </c>
      <c r="D25" s="229"/>
      <c r="E25" s="236"/>
      <c r="F25" s="242"/>
      <c r="G25" s="243" t="s">
        <v>12</v>
      </c>
      <c r="H25" s="241" t="s">
        <v>458</v>
      </c>
      <c r="I25" s="1018"/>
      <c r="J25" s="226">
        <f>+'3'!J25</f>
        <v>0</v>
      </c>
      <c r="K25" s="250"/>
      <c r="L25" s="250"/>
      <c r="M25" s="129">
        <f>+K25+'3'!M25+L25</f>
        <v>0</v>
      </c>
    </row>
    <row r="26" spans="1:14" ht="13.5" thickBot="1">
      <c r="A26" s="1020"/>
      <c r="B26" s="227"/>
      <c r="C26" s="237"/>
      <c r="D26" s="229"/>
      <c r="E26" s="238"/>
      <c r="F26" s="242">
        <v>10</v>
      </c>
      <c r="G26" s="243" t="s">
        <v>12</v>
      </c>
      <c r="H26" s="598" t="s">
        <v>504</v>
      </c>
      <c r="I26" s="1018"/>
      <c r="J26" s="226">
        <f>+'3'!J26</f>
        <v>0</v>
      </c>
      <c r="K26" s="250"/>
      <c r="L26" s="250"/>
      <c r="M26" s="129">
        <f>+K26+'3'!M26+L26</f>
        <v>0</v>
      </c>
    </row>
    <row r="27" spans="1:14" ht="13.5" thickBot="1">
      <c r="A27" s="1020"/>
      <c r="B27" s="227"/>
      <c r="C27" s="228"/>
      <c r="D27" s="229"/>
      <c r="E27" s="236"/>
      <c r="F27" s="242"/>
      <c r="G27" s="243"/>
      <c r="H27" s="598" t="s">
        <v>515</v>
      </c>
      <c r="I27" s="1018"/>
      <c r="J27" s="226">
        <f>+'3'!J27</f>
        <v>0</v>
      </c>
      <c r="K27" s="250"/>
      <c r="L27" s="250"/>
      <c r="M27" s="129">
        <f>+K27+'3'!M27+L27</f>
        <v>0</v>
      </c>
    </row>
    <row r="28" spans="1:14" ht="13.5" thickBot="1">
      <c r="A28" s="1020"/>
      <c r="B28" s="227"/>
      <c r="C28" s="228"/>
      <c r="D28" s="229"/>
      <c r="E28" s="236"/>
      <c r="F28" s="242"/>
      <c r="G28" s="243"/>
      <c r="H28" s="244" t="s">
        <v>519</v>
      </c>
      <c r="I28" s="1018"/>
      <c r="J28" s="226">
        <f>+'3'!J28</f>
        <v>0</v>
      </c>
      <c r="K28" s="250"/>
      <c r="L28" s="250"/>
      <c r="M28" s="129">
        <f>+K28+'3'!M28+L28</f>
        <v>0</v>
      </c>
    </row>
    <row r="29" spans="1:14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+'3'!J29</f>
        <v>0</v>
      </c>
      <c r="K29" s="250"/>
      <c r="L29" s="250"/>
      <c r="M29" s="129">
        <f>+K29+'3'!M29+L29</f>
        <v>0</v>
      </c>
    </row>
    <row r="30" spans="1:14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+'3'!J30</f>
        <v>0</v>
      </c>
      <c r="K30" s="250"/>
      <c r="L30" s="250"/>
      <c r="M30" s="129">
        <f>+K30+'3'!M30+L30</f>
        <v>0</v>
      </c>
      <c r="N30" s="167"/>
    </row>
    <row r="31" spans="1:14" ht="13.5" thickBot="1">
      <c r="A31" s="1020"/>
      <c r="B31" s="227"/>
      <c r="C31" s="237"/>
      <c r="D31" s="229"/>
      <c r="E31" s="236"/>
      <c r="F31" s="247"/>
      <c r="G31" s="248"/>
      <c r="H31" s="466"/>
      <c r="I31" s="1019"/>
      <c r="J31" s="226">
        <f>+'3'!J31</f>
        <v>0</v>
      </c>
      <c r="K31" s="250"/>
      <c r="L31" s="250"/>
      <c r="M31" s="129">
        <f>+K31+'3'!M31+L31</f>
        <v>0</v>
      </c>
    </row>
    <row r="32" spans="1:14" ht="13.5" thickBot="1">
      <c r="A32" s="1021"/>
      <c r="B32" s="177" t="s">
        <v>2</v>
      </c>
      <c r="C32" s="111">
        <f>SUM(C25:C31)</f>
        <v>22004</v>
      </c>
      <c r="D32" s="112">
        <f>SUM(D25:D31)</f>
        <v>0</v>
      </c>
      <c r="E32" s="113">
        <f>SUM(E25:E31)</f>
        <v>0</v>
      </c>
      <c r="F32" s="114">
        <f>SUM(F24:F31)</f>
        <v>10</v>
      </c>
      <c r="G32" s="183"/>
      <c r="H32" s="184"/>
      <c r="I32" s="181"/>
      <c r="J32" s="226">
        <f>+'3'!J32</f>
        <v>0</v>
      </c>
      <c r="K32" s="252"/>
      <c r="L32" s="254"/>
      <c r="M32" s="129">
        <f>+K32+'3'!M32+L32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60373</v>
      </c>
      <c r="D34" s="119">
        <f>D14+D23+D32</f>
        <v>10263</v>
      </c>
      <c r="E34" s="119">
        <f>E14+E23+E32</f>
        <v>0</v>
      </c>
      <c r="F34" s="120">
        <f>F14+F23+F32</f>
        <v>25</v>
      </c>
      <c r="H34" s="190"/>
      <c r="I34" s="190"/>
      <c r="J34" s="135" t="s">
        <v>28</v>
      </c>
      <c r="K34" s="136">
        <f>SUM(K7:K32)</f>
        <v>60373</v>
      </c>
      <c r="L34" s="224">
        <f>SUM(L7:L32)</f>
        <v>0</v>
      </c>
      <c r="M34" s="132">
        <f>SUM(M7:M32)</f>
        <v>218319</v>
      </c>
      <c r="N34" s="167"/>
    </row>
    <row r="35" spans="1:14" ht="13.5" thickBot="1">
      <c r="A35" s="191"/>
      <c r="B35" s="192"/>
      <c r="C35" s="116">
        <f>C34/($C$34+$D$34+$E$34)</f>
        <v>0.85470581573135507</v>
      </c>
      <c r="D35" s="116">
        <f>D34/($C$34+$D$34+$E$34)</f>
        <v>0.14529418426864488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(21*1440)/1440*G42*2.77*1440/1000000</f>
        <v>76.863453030000002</v>
      </c>
      <c r="J37" s="137">
        <f>+I37+'3'!J37</f>
        <v>251.24326834029017</v>
      </c>
      <c r="K37" s="138" t="s">
        <v>64</v>
      </c>
    </row>
    <row r="38" spans="1:14" ht="17.45" customHeight="1">
      <c r="A38" s="1012" t="s">
        <v>12</v>
      </c>
      <c r="B38" s="1013"/>
      <c r="C38" s="176">
        <f>SUMIF($G$7:$G$31,"Process",$F$7:$F$31)</f>
        <v>19</v>
      </c>
      <c r="D38" s="130">
        <f>+C38+'3'!D38</f>
        <v>140</v>
      </c>
      <c r="E38" s="155">
        <f t="shared" ref="E38:E51" si="0">D38/60</f>
        <v>2.3333333333333335</v>
      </c>
      <c r="F38" s="340">
        <v>922.5</v>
      </c>
      <c r="G38" s="340">
        <v>919.27125000000001</v>
      </c>
      <c r="H38" s="199" t="s">
        <v>65</v>
      </c>
      <c r="I38" s="553">
        <f>22.291+26.206+22.593</f>
        <v>71.09</v>
      </c>
      <c r="J38" s="139">
        <f>+I38+'3'!J38</f>
        <v>236.93300000000002</v>
      </c>
      <c r="K38" s="140" t="s">
        <v>64</v>
      </c>
      <c r="N38" s="566"/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+C39+'3'!D39</f>
        <v>0</v>
      </c>
      <c r="E39" s="155">
        <f t="shared" si="0"/>
        <v>0</v>
      </c>
      <c r="F39" s="340">
        <v>920</v>
      </c>
      <c r="G39" s="340">
        <f>+F39-F39*0.0035</f>
        <v>916.78</v>
      </c>
      <c r="H39" s="199" t="s">
        <v>66</v>
      </c>
      <c r="I39" s="154"/>
      <c r="J39" s="141">
        <f>J37/G4</f>
        <v>62.810817085072543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+C40+'3'!D40</f>
        <v>0</v>
      </c>
      <c r="E40" s="155">
        <f t="shared" si="0"/>
        <v>0</v>
      </c>
      <c r="F40" s="340">
        <v>920</v>
      </c>
      <c r="G40" s="340">
        <f>+F40-F40*0.0035</f>
        <v>916.78</v>
      </c>
      <c r="H40" s="199" t="s">
        <v>68</v>
      </c>
      <c r="I40" s="130">
        <f>(K34+L34)/1000</f>
        <v>60.372999999999998</v>
      </c>
      <c r="J40" s="143">
        <f>+I40+'3'!J40</f>
        <v>218.31899999999999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6</v>
      </c>
      <c r="D41" s="130">
        <f>+C41+'3'!D41</f>
        <v>132</v>
      </c>
      <c r="E41" s="155">
        <f t="shared" si="0"/>
        <v>2.2000000000000002</v>
      </c>
      <c r="F41" s="340"/>
      <c r="G41" s="340"/>
      <c r="H41" s="199" t="s">
        <v>70</v>
      </c>
      <c r="I41" s="154"/>
      <c r="J41" s="141">
        <f>J40/G4</f>
        <v>54.579749999999997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+C42+'3'!D42</f>
        <v>0</v>
      </c>
      <c r="E42" s="155">
        <f t="shared" si="0"/>
        <v>0</v>
      </c>
      <c r="F42" s="340">
        <f>+(F38*480+F39*480+F40*480)/1440</f>
        <v>920.83333333333337</v>
      </c>
      <c r="G42" s="340">
        <f>+(G38*480+G39*480+G40*480)/1440</f>
        <v>917.61041666666665</v>
      </c>
      <c r="H42" s="199" t="s">
        <v>71</v>
      </c>
      <c r="I42" s="257" t="s">
        <v>525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+C43+'3'!D43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+Report1!T12</f>
        <v>146.392</v>
      </c>
      <c r="J43" s="145">
        <f>+I43+'3'!J43</f>
        <v>513.98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+C44+'3'!D44</f>
        <v>0</v>
      </c>
      <c r="E44" s="155">
        <f t="shared" si="0"/>
        <v>0</v>
      </c>
      <c r="F44" s="340"/>
      <c r="G44" s="341"/>
      <c r="H44" s="200" t="s">
        <v>75</v>
      </c>
      <c r="I44" s="130">
        <f>+Report1!T12</f>
        <v>146.392</v>
      </c>
      <c r="J44" s="146">
        <f>J43/J38</f>
        <v>2.1693052466309042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+C45+'3'!D45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2.4247925397114605</v>
      </c>
      <c r="J45" s="146">
        <f>J43/J40</f>
        <v>2.3542614247958267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+C46+'3'!D46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+SUMIF(Listrik!AR11,"&gt;0")</f>
        <v>48566.440000000766</v>
      </c>
      <c r="J46" s="147">
        <f>+I46+'3'!J46</f>
        <v>191622.14000000031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+C47+'3'!D47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683.16837811226287</v>
      </c>
      <c r="J47" s="147">
        <f>J46/J38</f>
        <v>808.76087332705993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+C48+'3'!D48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804.43973299323818</v>
      </c>
      <c r="J48" s="147">
        <f>J46/J40</f>
        <v>877.71627755715406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+C49+'3'!D49</f>
        <v>878</v>
      </c>
      <c r="E49" s="155">
        <f t="shared" si="0"/>
        <v>14.633333333333333</v>
      </c>
      <c r="F49" s="197"/>
      <c r="H49" s="200" t="s">
        <v>186</v>
      </c>
      <c r="I49" s="130">
        <v>0</v>
      </c>
      <c r="J49" s="147">
        <f>+I49+'3'!J49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+C50+'3'!D50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+C51+'3'!D51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25</v>
      </c>
      <c r="D52" s="156">
        <f>SUM(D38:D51)</f>
        <v>1150</v>
      </c>
      <c r="E52" s="157">
        <f>SUM(E38:E51)</f>
        <v>19.166666666666664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1.7361111111111112E-2</v>
      </c>
      <c r="D53" s="158">
        <f>D52/(24*60*G4)</f>
        <v>0.19965277777777779</v>
      </c>
      <c r="E53" s="159">
        <f>E52/(G4*24)</f>
        <v>0.19965277777777776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+D34+'3'!J56</f>
        <v>11893</v>
      </c>
      <c r="K56" s="213">
        <f>J56/(J40+J56/1000)/1000</f>
        <v>5.1661077615415357E-2</v>
      </c>
    </row>
    <row r="57" spans="1:11">
      <c r="A57" s="188"/>
      <c r="I57" s="211" t="s">
        <v>90</v>
      </c>
      <c r="J57" s="212">
        <f>+E34+'3'!J57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1"/>
  <sheetViews>
    <sheetView view="pageBreakPreview" zoomScale="80" zoomScaleNormal="75" zoomScaleSheetLayoutView="80" workbookViewId="0">
      <selection activeCell="H22" sqref="H2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710937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3.7109375" style="161" bestFit="1" customWidth="1"/>
    <col min="12" max="12" width="8.28515625" style="161" customWidth="1"/>
    <col min="13" max="13" width="14.5703125" style="161" bestFit="1" customWidth="1"/>
    <col min="14" max="16384" width="9.140625" style="161"/>
  </cols>
  <sheetData>
    <row r="1" spans="1:24" ht="15.75">
      <c r="A1" s="160"/>
    </row>
    <row r="2" spans="1:24" ht="15.75">
      <c r="A2" s="160" t="s">
        <v>149</v>
      </c>
    </row>
    <row r="3" spans="1:24" ht="15">
      <c r="A3" s="162"/>
    </row>
    <row r="4" spans="1:24" ht="20.25">
      <c r="A4" s="163" t="s">
        <v>3</v>
      </c>
      <c r="B4" s="164"/>
      <c r="F4" s="165" t="s">
        <v>30</v>
      </c>
      <c r="G4" s="166">
        <v>3</v>
      </c>
      <c r="H4" s="166" t="str">
        <f>+'1'!H4</f>
        <v>.10.25</v>
      </c>
    </row>
    <row r="5" spans="1:24" ht="13.5" thickBot="1">
      <c r="C5" s="167"/>
      <c r="D5" s="167"/>
    </row>
    <row r="6" spans="1:24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240+256+184</f>
        <v>680</v>
      </c>
    </row>
    <row r="7" spans="1:24" ht="13.5" customHeight="1" thickBot="1">
      <c r="A7" s="1014" t="s">
        <v>486</v>
      </c>
      <c r="B7" s="227" t="s">
        <v>487</v>
      </c>
      <c r="C7" s="228">
        <f>3681+11582+5931</f>
        <v>21194</v>
      </c>
      <c r="D7" s="229"/>
      <c r="E7" s="230"/>
      <c r="F7" s="239"/>
      <c r="G7" s="240" t="s">
        <v>12</v>
      </c>
      <c r="H7" s="241" t="s">
        <v>280</v>
      </c>
      <c r="I7" s="1017" t="s">
        <v>501</v>
      </c>
      <c r="J7" s="226" t="str">
        <f>+'2'!J7</f>
        <v>F 13 VP OW</v>
      </c>
      <c r="K7" s="249"/>
      <c r="L7" s="253"/>
      <c r="M7" s="129">
        <f>+K7+'2'!M7+L7</f>
        <v>19690</v>
      </c>
    </row>
    <row r="8" spans="1:24" ht="13.5" thickBot="1">
      <c r="A8" s="1015"/>
      <c r="B8" s="227" t="s">
        <v>488</v>
      </c>
      <c r="C8" s="228">
        <f>683+1082</f>
        <v>1765</v>
      </c>
      <c r="D8" s="229"/>
      <c r="E8" s="231"/>
      <c r="F8" s="242"/>
      <c r="G8" s="243" t="s">
        <v>12</v>
      </c>
      <c r="H8" s="241" t="s">
        <v>458</v>
      </c>
      <c r="I8" s="1018"/>
      <c r="J8" s="226" t="str">
        <f>+'2'!J8</f>
        <v>F 10,3 VP OW</v>
      </c>
      <c r="K8" s="250"/>
      <c r="L8" s="250"/>
      <c r="M8" s="129">
        <f>+K8+'2'!M8+L8</f>
        <v>9628</v>
      </c>
      <c r="N8" s="161">
        <v>1270</v>
      </c>
      <c r="O8" s="161">
        <f>+N8-N8*0.0035</f>
        <v>1265.5550000000001</v>
      </c>
      <c r="P8" s="161">
        <f>480-45</f>
        <v>435</v>
      </c>
      <c r="Q8" s="161">
        <f>+N8*P8</f>
        <v>552450</v>
      </c>
      <c r="R8" s="161">
        <f>+O8*P8</f>
        <v>550516.42500000005</v>
      </c>
    </row>
    <row r="9" spans="1:24" ht="13.5" thickBot="1">
      <c r="A9" s="1015"/>
      <c r="B9" s="227"/>
      <c r="C9" s="228"/>
      <c r="D9" s="229"/>
      <c r="E9" s="232"/>
      <c r="F9" s="239">
        <v>5</v>
      </c>
      <c r="G9" s="243" t="s">
        <v>12</v>
      </c>
      <c r="H9" s="598" t="s">
        <v>435</v>
      </c>
      <c r="I9" s="1018"/>
      <c r="J9" s="226" t="str">
        <f>+'2'!J9</f>
        <v>SN 15 VP OW</v>
      </c>
      <c r="K9" s="250"/>
      <c r="L9" s="250"/>
      <c r="M9" s="129">
        <f>+K9+'2'!M9+L9</f>
        <v>2504</v>
      </c>
      <c r="N9" s="161">
        <v>1010</v>
      </c>
      <c r="O9" s="161">
        <f>+N9-N9*0.0035</f>
        <v>1006.465</v>
      </c>
      <c r="P9" s="161">
        <v>45</v>
      </c>
      <c r="Q9" s="161">
        <f>+N9*P9</f>
        <v>45450</v>
      </c>
      <c r="R9" s="161">
        <f>+O9*P9</f>
        <v>45290.925000000003</v>
      </c>
    </row>
    <row r="10" spans="1:24" ht="13.5" thickBot="1">
      <c r="A10" s="1015"/>
      <c r="B10" s="227"/>
      <c r="C10" s="228"/>
      <c r="D10" s="229"/>
      <c r="E10" s="231"/>
      <c r="F10" s="239"/>
      <c r="G10" s="243"/>
      <c r="H10" s="598" t="s">
        <v>497</v>
      </c>
      <c r="I10" s="1018"/>
      <c r="J10" s="226" t="str">
        <f>+'2'!J10</f>
        <v>MG 15,5 VP OW</v>
      </c>
      <c r="K10" s="250">
        <f>+C7</f>
        <v>21194</v>
      </c>
      <c r="L10" s="250"/>
      <c r="M10" s="129">
        <f>+K10+'2'!M10+L10</f>
        <v>62505</v>
      </c>
      <c r="P10" s="161">
        <f>SUM(P8:P9)</f>
        <v>480</v>
      </c>
      <c r="Q10" s="161">
        <f>SUM(Q8:Q9)</f>
        <v>597900</v>
      </c>
      <c r="R10" s="161">
        <f>SUM(R8:R9)</f>
        <v>595807.35000000009</v>
      </c>
    </row>
    <row r="11" spans="1:24" ht="13.5" customHeight="1" thickBot="1">
      <c r="A11" s="1015"/>
      <c r="B11" s="227"/>
      <c r="C11" s="228"/>
      <c r="D11" s="229"/>
      <c r="E11" s="231"/>
      <c r="F11" s="239">
        <v>10</v>
      </c>
      <c r="G11" s="243" t="s">
        <v>12</v>
      </c>
      <c r="H11" s="244" t="s">
        <v>498</v>
      </c>
      <c r="I11" s="1018"/>
      <c r="J11" s="226" t="str">
        <f>+'2'!J11</f>
        <v>MG 16,5 VP OW</v>
      </c>
      <c r="K11" s="250">
        <f>+C8+C16</f>
        <v>16069</v>
      </c>
      <c r="L11" s="250"/>
      <c r="M11" s="129">
        <f>+K11+'2'!M11+L11</f>
        <v>16069</v>
      </c>
      <c r="Q11" s="161">
        <f>+Q10/P10</f>
        <v>1245.625</v>
      </c>
      <c r="R11" s="161">
        <f>+R10/P10</f>
        <v>1241.2653125000002</v>
      </c>
    </row>
    <row r="12" spans="1:24" ht="13.5" thickBot="1">
      <c r="A12" s="1015"/>
      <c r="B12" s="227"/>
      <c r="C12" s="228"/>
      <c r="D12" s="229"/>
      <c r="E12" s="231"/>
      <c r="F12" s="239"/>
      <c r="G12" s="243"/>
      <c r="H12" s="244"/>
      <c r="I12" s="1018"/>
      <c r="J12" s="226" t="s">
        <v>512</v>
      </c>
      <c r="K12" s="250">
        <f>+C17+C25</f>
        <v>47550</v>
      </c>
      <c r="L12" s="250"/>
      <c r="M12" s="129">
        <f>+K12+'2'!M12+L12</f>
        <v>47550</v>
      </c>
    </row>
    <row r="13" spans="1:24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>
        <f>+'2'!J13</f>
        <v>0</v>
      </c>
      <c r="K13" s="250"/>
      <c r="L13" s="250"/>
      <c r="M13" s="129">
        <f>+K13+'2'!M13+L13</f>
        <v>0</v>
      </c>
    </row>
    <row r="14" spans="1:24" ht="13.5" thickBot="1">
      <c r="A14" s="1016"/>
      <c r="B14" s="177" t="s">
        <v>2</v>
      </c>
      <c r="C14" s="111">
        <f>SUM(C7:C13)</f>
        <v>22959</v>
      </c>
      <c r="D14" s="123">
        <f>SUM(D7:D13)</f>
        <v>0</v>
      </c>
      <c r="E14" s="124">
        <f>SUM(E5:E13)</f>
        <v>0</v>
      </c>
      <c r="F14" s="128">
        <f>SUM(F7:F13)</f>
        <v>15</v>
      </c>
      <c r="G14" s="171"/>
      <c r="H14" s="178"/>
      <c r="I14" s="179"/>
      <c r="J14" s="226">
        <f>+'2'!J14</f>
        <v>0</v>
      </c>
      <c r="K14" s="250"/>
      <c r="L14" s="250"/>
      <c r="M14" s="129">
        <f>+K14+'2'!M14+L14</f>
        <v>0</v>
      </c>
      <c r="T14" s="161">
        <v>1450</v>
      </c>
      <c r="U14" s="161">
        <f>+T14-T14*0.21</f>
        <v>1145.5</v>
      </c>
      <c r="V14" s="161">
        <f>480-55</f>
        <v>425</v>
      </c>
      <c r="W14" s="161">
        <f>+T14*V14</f>
        <v>616250</v>
      </c>
      <c r="X14" s="161">
        <f>+U14*V14</f>
        <v>486837.5</v>
      </c>
    </row>
    <row r="15" spans="1:24" ht="13.5" customHeight="1" thickBot="1">
      <c r="A15" s="1014" t="s">
        <v>466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 t="s">
        <v>502</v>
      </c>
      <c r="J15" s="226">
        <f>+'2'!J15</f>
        <v>0</v>
      </c>
      <c r="K15" s="250"/>
      <c r="L15" s="250"/>
      <c r="M15" s="129">
        <f>+K15+'2'!M15+L15</f>
        <v>0</v>
      </c>
      <c r="T15" s="161">
        <v>1650</v>
      </c>
      <c r="U15" s="161">
        <f>+T15-T15*0.2</f>
        <v>1320</v>
      </c>
      <c r="V15" s="161">
        <v>470</v>
      </c>
      <c r="W15" s="161">
        <f>+T15*V15</f>
        <v>775500</v>
      </c>
      <c r="X15" s="161">
        <f>+U15*V15</f>
        <v>620400</v>
      </c>
    </row>
    <row r="16" spans="1:24" ht="13.5" thickBot="1">
      <c r="A16" s="1020"/>
      <c r="B16" s="227" t="s">
        <v>488</v>
      </c>
      <c r="C16" s="233">
        <v>14304</v>
      </c>
      <c r="D16" s="234">
        <v>80</v>
      </c>
      <c r="E16" s="235"/>
      <c r="F16" s="239"/>
      <c r="G16" s="243" t="s">
        <v>12</v>
      </c>
      <c r="H16" s="241" t="s">
        <v>458</v>
      </c>
      <c r="I16" s="1018"/>
      <c r="J16" s="226">
        <f>+'2'!J16</f>
        <v>0</v>
      </c>
      <c r="K16" s="240"/>
      <c r="L16" s="240"/>
      <c r="M16" s="129">
        <f>+K16+'2'!M16+L16</f>
        <v>0</v>
      </c>
      <c r="T16" s="161">
        <v>1700</v>
      </c>
      <c r="U16" s="161">
        <f>+T16-T16*0.2</f>
        <v>1360</v>
      </c>
      <c r="V16" s="161">
        <v>480</v>
      </c>
      <c r="W16" s="161">
        <f>+T16*V16</f>
        <v>816000</v>
      </c>
      <c r="X16" s="161">
        <f>+U16*V16</f>
        <v>652800</v>
      </c>
    </row>
    <row r="17" spans="1:24" ht="13.5" thickBot="1">
      <c r="A17" s="1020"/>
      <c r="B17" s="227" t="s">
        <v>512</v>
      </c>
      <c r="C17" s="228">
        <v>14555</v>
      </c>
      <c r="D17" s="229"/>
      <c r="E17" s="236"/>
      <c r="F17" s="239">
        <v>1</v>
      </c>
      <c r="G17" s="243" t="s">
        <v>12</v>
      </c>
      <c r="H17" s="598" t="s">
        <v>504</v>
      </c>
      <c r="I17" s="1018"/>
      <c r="J17" s="226">
        <f>+'2'!J17</f>
        <v>0</v>
      </c>
      <c r="K17" s="240"/>
      <c r="L17" s="240"/>
      <c r="M17" s="129">
        <f>+K17+'2'!M17+L17</f>
        <v>0</v>
      </c>
      <c r="V17" s="161">
        <f>SUM(V14:V16)</f>
        <v>1375</v>
      </c>
      <c r="W17" s="161">
        <f>SUM(W14:W16)</f>
        <v>2207750</v>
      </c>
      <c r="X17" s="161">
        <f>SUM(X14:X16)</f>
        <v>1760037.5</v>
      </c>
    </row>
    <row r="18" spans="1:24" ht="13.5" thickBot="1">
      <c r="A18" s="1020"/>
      <c r="B18" s="227"/>
      <c r="C18" s="228"/>
      <c r="D18" s="229"/>
      <c r="E18" s="236"/>
      <c r="F18" s="239"/>
      <c r="G18" s="243"/>
      <c r="H18" s="598" t="s">
        <v>499</v>
      </c>
      <c r="I18" s="1018"/>
      <c r="J18" s="226">
        <f>+'2'!J18</f>
        <v>0</v>
      </c>
      <c r="K18" s="250"/>
      <c r="L18" s="250"/>
      <c r="M18" s="129">
        <f>+K18+'2'!M18+L18</f>
        <v>0</v>
      </c>
      <c r="W18" s="161">
        <f>+W17/V17</f>
        <v>1605.6363636363637</v>
      </c>
      <c r="X18" s="161">
        <f>+X17/V17</f>
        <v>1280.0272727272727</v>
      </c>
    </row>
    <row r="19" spans="1:24" ht="13.5" thickBot="1">
      <c r="A19" s="1020"/>
      <c r="B19" s="227"/>
      <c r="C19" s="228"/>
      <c r="D19" s="229"/>
      <c r="E19" s="236"/>
      <c r="F19" s="246"/>
      <c r="G19" s="243"/>
      <c r="H19" s="244"/>
      <c r="I19" s="1018"/>
      <c r="J19" s="226">
        <f>+'2'!J19</f>
        <v>0</v>
      </c>
      <c r="K19" s="250"/>
      <c r="L19" s="250"/>
      <c r="M19" s="129">
        <f>+K19+'2'!M19+L19</f>
        <v>0</v>
      </c>
    </row>
    <row r="20" spans="1:24" ht="13.5" thickBot="1">
      <c r="A20" s="1020"/>
      <c r="B20" s="227"/>
      <c r="C20" s="228"/>
      <c r="D20" s="229"/>
      <c r="E20" s="236"/>
      <c r="F20" s="239"/>
      <c r="G20" s="243"/>
      <c r="H20" s="244"/>
      <c r="I20" s="1018"/>
      <c r="J20" s="226">
        <f>+'2'!J20</f>
        <v>0</v>
      </c>
      <c r="K20" s="251"/>
      <c r="L20" s="251"/>
      <c r="M20" s="129">
        <f>+K20+'2'!M20+L20</f>
        <v>0</v>
      </c>
    </row>
    <row r="21" spans="1:24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+'2'!J21</f>
        <v>0</v>
      </c>
      <c r="K21" s="250"/>
      <c r="L21" s="250"/>
      <c r="M21" s="129">
        <f>+K21+'2'!M21+L21</f>
        <v>0</v>
      </c>
      <c r="T21" s="161">
        <v>1400</v>
      </c>
      <c r="U21" s="161">
        <f>+T21-T21*0.175</f>
        <v>1155</v>
      </c>
      <c r="V21" s="161">
        <v>55</v>
      </c>
      <c r="W21" s="161">
        <f>+T21*V21</f>
        <v>77000</v>
      </c>
      <c r="X21" s="161">
        <f>+U21*V21</f>
        <v>63525</v>
      </c>
    </row>
    <row r="22" spans="1:24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+'2'!J22</f>
        <v>0</v>
      </c>
      <c r="K22" s="250"/>
      <c r="L22" s="250"/>
      <c r="M22" s="129">
        <f>+K22+'2'!M22+L22</f>
        <v>0</v>
      </c>
      <c r="T22" s="161">
        <v>1400</v>
      </c>
      <c r="U22" s="161">
        <f>+T22-T22*0.17</f>
        <v>1162</v>
      </c>
      <c r="V22" s="161">
        <v>10</v>
      </c>
      <c r="W22" s="161">
        <f>+T22*V22</f>
        <v>14000</v>
      </c>
      <c r="X22" s="161">
        <f>+U22*V22</f>
        <v>11620</v>
      </c>
    </row>
    <row r="23" spans="1:24" ht="13.5" thickBot="1">
      <c r="A23" s="1021"/>
      <c r="B23" s="180" t="s">
        <v>2</v>
      </c>
      <c r="C23" s="112">
        <f>SUM(C16:C22)</f>
        <v>28859</v>
      </c>
      <c r="D23" s="123">
        <f>SUM(D16:D22)</f>
        <v>80</v>
      </c>
      <c r="E23" s="124">
        <f>SUM(E18:E22)</f>
        <v>0</v>
      </c>
      <c r="F23" s="128">
        <f>SUM(F15:F22)</f>
        <v>1</v>
      </c>
      <c r="G23" s="171"/>
      <c r="H23" s="178" t="s">
        <v>237</v>
      </c>
      <c r="I23" s="181"/>
      <c r="J23" s="226">
        <f>+'2'!J23</f>
        <v>0</v>
      </c>
      <c r="K23" s="250"/>
      <c r="L23" s="250"/>
      <c r="M23" s="129">
        <f>+K23+'2'!M23+L23</f>
        <v>0</v>
      </c>
      <c r="V23" s="161">
        <f>+V21+V22</f>
        <v>65</v>
      </c>
      <c r="W23" s="161">
        <f>+W21+W22</f>
        <v>91000</v>
      </c>
      <c r="X23" s="161">
        <f>+X21+X22</f>
        <v>75145</v>
      </c>
    </row>
    <row r="24" spans="1:24" ht="13.5" customHeight="1" thickBot="1">
      <c r="A24" s="1014" t="s">
        <v>467</v>
      </c>
      <c r="B24" s="182"/>
      <c r="C24" s="125"/>
      <c r="D24" s="126"/>
      <c r="E24" s="127"/>
      <c r="F24" s="247"/>
      <c r="G24" s="240" t="s">
        <v>12</v>
      </c>
      <c r="H24" s="241" t="s">
        <v>280</v>
      </c>
      <c r="I24" s="1017" t="s">
        <v>502</v>
      </c>
      <c r="J24" s="226">
        <f>+'2'!J24</f>
        <v>0</v>
      </c>
      <c r="K24" s="250"/>
      <c r="L24" s="250"/>
      <c r="M24" s="129">
        <f>+K24+'2'!M24+L24</f>
        <v>0</v>
      </c>
      <c r="W24" s="161">
        <f>+W23/V23</f>
        <v>1400</v>
      </c>
      <c r="X24" s="161">
        <f>+X23/V23</f>
        <v>1156.0769230769231</v>
      </c>
    </row>
    <row r="25" spans="1:24" ht="13.5" thickBot="1">
      <c r="A25" s="1020"/>
      <c r="B25" s="227" t="s">
        <v>512</v>
      </c>
      <c r="C25" s="237">
        <v>32995</v>
      </c>
      <c r="D25" s="229"/>
      <c r="E25" s="236"/>
      <c r="F25" s="242"/>
      <c r="G25" s="243" t="s">
        <v>12</v>
      </c>
      <c r="H25" s="241" t="s">
        <v>458</v>
      </c>
      <c r="I25" s="1018"/>
      <c r="J25" s="226">
        <f>+'2'!J25</f>
        <v>0</v>
      </c>
      <c r="K25" s="250"/>
      <c r="L25" s="250"/>
      <c r="M25" s="129">
        <f>+K25+'2'!M25+L25</f>
        <v>0</v>
      </c>
    </row>
    <row r="26" spans="1:24" ht="13.5" thickBot="1">
      <c r="A26" s="1020"/>
      <c r="B26" s="227"/>
      <c r="C26" s="237"/>
      <c r="D26" s="229"/>
      <c r="E26" s="238"/>
      <c r="F26" s="242">
        <v>8</v>
      </c>
      <c r="G26" s="243" t="s">
        <v>12</v>
      </c>
      <c r="H26" s="598" t="s">
        <v>482</v>
      </c>
      <c r="I26" s="1018"/>
      <c r="J26" s="226">
        <f>+'2'!J26</f>
        <v>0</v>
      </c>
      <c r="K26" s="250"/>
      <c r="L26" s="250"/>
      <c r="M26" s="129">
        <f>+K26+'2'!M26+L26</f>
        <v>0</v>
      </c>
    </row>
    <row r="27" spans="1:24" ht="13.5" thickBot="1">
      <c r="A27" s="1020"/>
      <c r="B27" s="227"/>
      <c r="C27" s="228"/>
      <c r="D27" s="229"/>
      <c r="E27" s="236"/>
      <c r="F27" s="242"/>
      <c r="G27" s="243"/>
      <c r="H27" s="598" t="s">
        <v>499</v>
      </c>
      <c r="I27" s="1018"/>
      <c r="J27" s="226">
        <f>+'2'!J27</f>
        <v>0</v>
      </c>
      <c r="K27" s="250"/>
      <c r="L27" s="250"/>
      <c r="M27" s="129">
        <f>+K27+'2'!M27+L27</f>
        <v>0</v>
      </c>
    </row>
    <row r="28" spans="1:24" ht="13.5" thickBot="1">
      <c r="A28" s="1020"/>
      <c r="B28" s="227"/>
      <c r="C28" s="228"/>
      <c r="D28" s="229"/>
      <c r="E28" s="236"/>
      <c r="F28" s="242">
        <v>6</v>
      </c>
      <c r="G28" s="243" t="s">
        <v>69</v>
      </c>
      <c r="H28" s="244" t="s">
        <v>500</v>
      </c>
      <c r="I28" s="1018"/>
      <c r="J28" s="226">
        <f>+'2'!J28</f>
        <v>0</v>
      </c>
      <c r="K28" s="250"/>
      <c r="L28" s="250"/>
      <c r="M28" s="129">
        <f>+K28+'2'!M28+L28</f>
        <v>0</v>
      </c>
    </row>
    <row r="29" spans="1:24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+'2'!J29</f>
        <v>0</v>
      </c>
      <c r="K29" s="250"/>
      <c r="L29" s="250"/>
      <c r="M29" s="129">
        <f>+K29+'2'!M29+L29</f>
        <v>0</v>
      </c>
    </row>
    <row r="30" spans="1:24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+'2'!J30</f>
        <v>0</v>
      </c>
      <c r="K30" s="250"/>
      <c r="L30" s="250"/>
      <c r="M30" s="129">
        <f>+K30+'2'!M30+L30</f>
        <v>0</v>
      </c>
      <c r="N30" s="167"/>
    </row>
    <row r="31" spans="1:24" ht="13.5" thickBot="1">
      <c r="A31" s="1020"/>
      <c r="B31" s="227"/>
      <c r="C31" s="237"/>
      <c r="D31" s="229"/>
      <c r="E31" s="236"/>
      <c r="F31" s="247"/>
      <c r="G31" s="248"/>
      <c r="H31" s="466"/>
      <c r="I31" s="1019"/>
      <c r="J31" s="226">
        <f>+'2'!J31</f>
        <v>0</v>
      </c>
      <c r="K31" s="250"/>
      <c r="L31" s="250"/>
      <c r="M31" s="129">
        <f>+K31+'2'!M31+L31</f>
        <v>0</v>
      </c>
    </row>
    <row r="32" spans="1:24" ht="13.5" thickBot="1">
      <c r="A32" s="1021"/>
      <c r="B32" s="177" t="s">
        <v>2</v>
      </c>
      <c r="C32" s="111">
        <f>SUM(C25:C31)</f>
        <v>32995</v>
      </c>
      <c r="D32" s="112">
        <f>SUM(D25:D31)</f>
        <v>0</v>
      </c>
      <c r="E32" s="113">
        <f>SUM(E25:E31)</f>
        <v>0</v>
      </c>
      <c r="F32" s="114">
        <f>SUM(F24:F31)</f>
        <v>14</v>
      </c>
      <c r="G32" s="183"/>
      <c r="H32" s="184"/>
      <c r="I32" s="181"/>
      <c r="J32" s="226">
        <f>+'2'!J32</f>
        <v>0</v>
      </c>
      <c r="K32" s="252"/>
      <c r="L32" s="254"/>
      <c r="M32" s="129">
        <f>+K32+'2'!M32+L32</f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84813</v>
      </c>
      <c r="D34" s="119">
        <f>D14+D23+D32</f>
        <v>80</v>
      </c>
      <c r="E34" s="119">
        <f>E14+E23+E32</f>
        <v>0</v>
      </c>
      <c r="F34" s="120">
        <f>F14+F23+F32</f>
        <v>30</v>
      </c>
      <c r="H34" s="190"/>
      <c r="I34" s="190"/>
      <c r="J34" s="135" t="s">
        <v>28</v>
      </c>
      <c r="K34" s="136">
        <f>SUM(K7:K32)</f>
        <v>84813</v>
      </c>
      <c r="L34" s="224">
        <f>SUM(L7:L32)</f>
        <v>0</v>
      </c>
      <c r="M34" s="132">
        <f>SUM(M7:M32)</f>
        <v>157946</v>
      </c>
      <c r="N34" s="167"/>
    </row>
    <row r="35" spans="1:14" ht="13.5" thickBot="1">
      <c r="A35" s="191"/>
      <c r="B35" s="192"/>
      <c r="C35" s="116">
        <f>C34/($C$34+$D$34+$E$34)</f>
        <v>0.9990576372610227</v>
      </c>
      <c r="D35" s="116">
        <f>D34/($C$34+$D$34+$E$34)</f>
        <v>9.4236273897730087E-4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  <c r="N36" s="566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0"/>
      <c r="H37" s="198" t="s">
        <v>63</v>
      </c>
      <c r="I37" s="255">
        <f>(16.5*435+21*1005)/1440*G42*2.77*1440/1000000</f>
        <v>84.980625874804687</v>
      </c>
      <c r="J37" s="137">
        <f>+I37+'2'!J37</f>
        <v>174.37981531029016</v>
      </c>
      <c r="K37" s="138" t="s">
        <v>64</v>
      </c>
      <c r="L37" s="161">
        <f>26.369-1.607</f>
        <v>24.762</v>
      </c>
      <c r="N37" s="566"/>
    </row>
    <row r="38" spans="1:14" ht="17.45" customHeight="1">
      <c r="A38" s="1012" t="s">
        <v>12</v>
      </c>
      <c r="B38" s="1013"/>
      <c r="C38" s="176">
        <f>SUMIF($G$7:$G$31,"Process",$F$7:$F$31)</f>
        <v>24</v>
      </c>
      <c r="D38" s="130">
        <f>+C38+'2'!D38</f>
        <v>121</v>
      </c>
      <c r="E38" s="155">
        <f t="shared" ref="E38:E51" si="0">D38/60</f>
        <v>2.0166666666666666</v>
      </c>
      <c r="F38" s="340">
        <v>1245.625</v>
      </c>
      <c r="G38" s="340">
        <v>1241.2653125000002</v>
      </c>
      <c r="H38" s="199" t="s">
        <v>65</v>
      </c>
      <c r="I38" s="553">
        <f>26.369+24.958+27.478</f>
        <v>78.805000000000007</v>
      </c>
      <c r="J38" s="139">
        <f>+I38+'2'!J38</f>
        <v>165.84300000000002</v>
      </c>
      <c r="K38" s="140" t="s">
        <v>64</v>
      </c>
      <c r="L38" s="566">
        <f>+I38-L37</f>
        <v>54.043000000000006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+C39+'2'!D39</f>
        <v>0</v>
      </c>
      <c r="E39" s="155">
        <f t="shared" si="0"/>
        <v>0</v>
      </c>
      <c r="F39" s="340">
        <v>1010</v>
      </c>
      <c r="G39" s="340">
        <f>+F39-F39*0.0035</f>
        <v>1006.465</v>
      </c>
      <c r="H39" s="199" t="s">
        <v>66</v>
      </c>
      <c r="I39" s="154"/>
      <c r="J39" s="141">
        <f>J37/G4</f>
        <v>58.126605103430052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+C40+'2'!D40</f>
        <v>0</v>
      </c>
      <c r="E40" s="155">
        <f t="shared" si="0"/>
        <v>0</v>
      </c>
      <c r="F40" s="340">
        <v>1010</v>
      </c>
      <c r="G40" s="340">
        <f>+F40-F40*0.0035</f>
        <v>1006.465</v>
      </c>
      <c r="H40" s="199" t="s">
        <v>68</v>
      </c>
      <c r="I40" s="130">
        <f>(K34+L34)/1000</f>
        <v>84.813000000000002</v>
      </c>
      <c r="J40" s="143">
        <f>+I40+'2'!J40</f>
        <v>157.946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6</v>
      </c>
      <c r="D41" s="130">
        <f>+C41+'2'!D41</f>
        <v>126</v>
      </c>
      <c r="E41" s="155">
        <f t="shared" si="0"/>
        <v>2.1</v>
      </c>
      <c r="F41" s="340"/>
      <c r="G41" s="340"/>
      <c r="H41" s="199" t="s">
        <v>70</v>
      </c>
      <c r="I41" s="154"/>
      <c r="J41" s="141">
        <f>J40/G4</f>
        <v>52.648666666666664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+C42+'2'!D42</f>
        <v>0</v>
      </c>
      <c r="E42" s="155">
        <f t="shared" si="0"/>
        <v>0</v>
      </c>
      <c r="F42" s="340">
        <f>+(F38*480+F39*480+F40*480)/1440</f>
        <v>1088.5416666666667</v>
      </c>
      <c r="G42" s="340">
        <f>+(G38*480+G39*480+G40*480)/1440</f>
        <v>1084.7317708333333</v>
      </c>
      <c r="H42" s="199" t="s">
        <v>71</v>
      </c>
      <c r="I42" s="257" t="s">
        <v>503</v>
      </c>
      <c r="J42" s="144"/>
      <c r="K42" s="142" t="s">
        <v>72</v>
      </c>
    </row>
    <row r="43" spans="1:14" ht="17.45" customHeight="1">
      <c r="A43" s="1008" t="s">
        <v>204</v>
      </c>
      <c r="B43" s="1009"/>
      <c r="C43" s="176">
        <f>SUMIF($G$7:$G$31,"Change Grade",$F$7:$F$31)</f>
        <v>0</v>
      </c>
      <c r="D43" s="130">
        <f>+C43+'2'!D43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+Report1!T11</f>
        <v>160.93899999999999</v>
      </c>
      <c r="J43" s="145">
        <f>+I43+'2'!J43</f>
        <v>367.58800000000002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+C44+'2'!D44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2.0422435124674827</v>
      </c>
      <c r="J44" s="146">
        <f>J43/J38</f>
        <v>2.2164818533191029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+C45+'2'!D45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1.8975746642613749</v>
      </c>
      <c r="J45" s="146">
        <f>J43/J40</f>
        <v>2.3273017360363673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+C46+'2'!D46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+SUMIF(Listrik!AR10,"&gt;0")</f>
        <v>55282.219999999958</v>
      </c>
      <c r="J46" s="147">
        <f>+I46+'2'!J46</f>
        <v>143055.69999999955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+C47+'2'!D47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701.50650339445406</v>
      </c>
      <c r="J47" s="147">
        <f>J46/J38</f>
        <v>862.59715514070251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+C48+'2'!D48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651.81304752809069</v>
      </c>
      <c r="J48" s="147">
        <f>J46/J40</f>
        <v>905.72537449507774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+C49+'2'!D49</f>
        <v>878</v>
      </c>
      <c r="E49" s="155">
        <f t="shared" si="0"/>
        <v>14.633333333333333</v>
      </c>
      <c r="F49" s="197"/>
      <c r="H49" s="200" t="s">
        <v>186</v>
      </c>
      <c r="I49" s="130">
        <v>0</v>
      </c>
      <c r="J49" s="147">
        <f>+I49+'2'!J49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+C50+'2'!D50</f>
        <v>0</v>
      </c>
      <c r="E50" s="155">
        <f t="shared" si="0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+C51+'2'!D51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30</v>
      </c>
      <c r="D52" s="156">
        <f>SUM(D38:D51)</f>
        <v>1125</v>
      </c>
      <c r="E52" s="157">
        <f>SUM(E38:E51)</f>
        <v>18.75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2.0833333333333332E-2</v>
      </c>
      <c r="D53" s="158">
        <f>D52/(24*60*G4)</f>
        <v>0.26041666666666669</v>
      </c>
      <c r="E53" s="159">
        <f>E52/(G4*24)</f>
        <v>0.26041666666666669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+D34+'2'!J56</f>
        <v>1630</v>
      </c>
      <c r="K56" s="213">
        <f>J56/(J40+J56/1000)/1000</f>
        <v>1.0214568606808042E-2</v>
      </c>
    </row>
    <row r="57" spans="1:11">
      <c r="A57" s="188"/>
      <c r="I57" s="211" t="s">
        <v>90</v>
      </c>
      <c r="J57" s="212">
        <f>+E34+'2'!J57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3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5703125" style="161" bestFit="1" customWidth="1"/>
    <col min="5" max="5" width="13.85546875" style="161" bestFit="1" customWidth="1"/>
    <col min="6" max="6" width="14" style="122" bestFit="1" customWidth="1"/>
    <col min="7" max="7" width="15.140625" style="16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4.42578125" style="161" bestFit="1" customWidth="1"/>
    <col min="14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2</v>
      </c>
      <c r="H4" s="166" t="str">
        <f>+'1'!H4</f>
        <v>.10.25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260+222+301</f>
        <v>783</v>
      </c>
    </row>
    <row r="7" spans="1:18" ht="13.5" customHeight="1" thickBot="1">
      <c r="A7" s="1014" t="s">
        <v>486</v>
      </c>
      <c r="B7" s="227" t="s">
        <v>423</v>
      </c>
      <c r="C7" s="228">
        <v>8915</v>
      </c>
      <c r="D7" s="229"/>
      <c r="E7" s="230"/>
      <c r="F7" s="239">
        <v>30</v>
      </c>
      <c r="G7" s="240" t="s">
        <v>12</v>
      </c>
      <c r="H7" s="241" t="s">
        <v>483</v>
      </c>
      <c r="I7" s="1017" t="s">
        <v>478</v>
      </c>
      <c r="J7" s="226" t="str">
        <f>+'1'!J7</f>
        <v>F 13 VP OW</v>
      </c>
      <c r="K7" s="249">
        <f>+C8</f>
        <v>4253</v>
      </c>
      <c r="L7" s="253"/>
      <c r="M7" s="129">
        <f>+K7+'1'!M7+L7</f>
        <v>19690</v>
      </c>
    </row>
    <row r="8" spans="1:18" ht="13.5" thickBot="1">
      <c r="A8" s="1015"/>
      <c r="B8" s="227" t="s">
        <v>460</v>
      </c>
      <c r="C8" s="228">
        <f>2016+2237</f>
        <v>4253</v>
      </c>
      <c r="D8" s="229"/>
      <c r="E8" s="231"/>
      <c r="F8" s="242">
        <v>1</v>
      </c>
      <c r="G8" s="243" t="s">
        <v>12</v>
      </c>
      <c r="H8" s="241" t="s">
        <v>481</v>
      </c>
      <c r="I8" s="1018"/>
      <c r="J8" s="226" t="str">
        <f>+'1'!J8</f>
        <v>F 10,3 VP OW</v>
      </c>
      <c r="K8" s="250">
        <f>+C7+C17</f>
        <v>9628</v>
      </c>
      <c r="L8" s="250"/>
      <c r="M8" s="129">
        <f>+K8+'1'!M8+L8</f>
        <v>9628</v>
      </c>
      <c r="N8" s="161">
        <v>1660</v>
      </c>
      <c r="O8" s="161">
        <f>+N8-N8*0.16</f>
        <v>1394.4</v>
      </c>
      <c r="P8" s="161">
        <f>240+30</f>
        <v>270</v>
      </c>
      <c r="Q8" s="161">
        <f>+N8*P8</f>
        <v>448200</v>
      </c>
      <c r="R8" s="161">
        <f>+O8*P8</f>
        <v>376488</v>
      </c>
    </row>
    <row r="9" spans="1:18" ht="13.5" thickBot="1">
      <c r="A9" s="1015"/>
      <c r="B9" s="227" t="s">
        <v>487</v>
      </c>
      <c r="C9" s="228">
        <f>352+566</f>
        <v>918</v>
      </c>
      <c r="D9" s="229"/>
      <c r="E9" s="232"/>
      <c r="F9" s="239">
        <v>10</v>
      </c>
      <c r="G9" s="243" t="s">
        <v>12</v>
      </c>
      <c r="H9" s="598" t="s">
        <v>482</v>
      </c>
      <c r="I9" s="1018"/>
      <c r="J9" s="226" t="str">
        <f>+'1'!J9</f>
        <v>SN 15 VP OW</v>
      </c>
      <c r="K9" s="250"/>
      <c r="L9" s="250"/>
      <c r="M9" s="129">
        <f>+K9+'1'!M9+L9</f>
        <v>2504</v>
      </c>
      <c r="N9" s="161">
        <v>1270</v>
      </c>
      <c r="O9" s="161">
        <f>+N9-N9*0.0035</f>
        <v>1265.5550000000001</v>
      </c>
      <c r="P9" s="161">
        <f>30+180</f>
        <v>210</v>
      </c>
      <c r="Q9" s="161">
        <f>+N9*P9</f>
        <v>266700</v>
      </c>
      <c r="R9" s="161">
        <f>+O9*P9</f>
        <v>265766.55</v>
      </c>
    </row>
    <row r="10" spans="1:18" ht="13.5" thickBot="1">
      <c r="A10" s="1015"/>
      <c r="B10" s="227"/>
      <c r="C10" s="228"/>
      <c r="D10" s="229"/>
      <c r="E10" s="231"/>
      <c r="F10" s="239"/>
      <c r="G10" s="243"/>
      <c r="H10" s="598" t="s">
        <v>474</v>
      </c>
      <c r="I10" s="1018"/>
      <c r="J10" s="226" t="s">
        <v>487</v>
      </c>
      <c r="K10" s="250">
        <f>+C9+C16+C25</f>
        <v>41311</v>
      </c>
      <c r="L10" s="250"/>
      <c r="M10" s="129">
        <f>+K10+'1'!M10+L10</f>
        <v>41311</v>
      </c>
      <c r="P10" s="161">
        <f>SUM(P8:P9)</f>
        <v>480</v>
      </c>
      <c r="Q10" s="161">
        <f>SUM(Q8:Q9)</f>
        <v>714900</v>
      </c>
      <c r="R10" s="161">
        <f>SUM(R8:R9)</f>
        <v>642254.55000000005</v>
      </c>
    </row>
    <row r="11" spans="1:18" ht="13.5" thickBot="1">
      <c r="A11" s="1015"/>
      <c r="B11" s="227"/>
      <c r="C11" s="228"/>
      <c r="D11" s="229"/>
      <c r="E11" s="231"/>
      <c r="F11" s="239">
        <v>8</v>
      </c>
      <c r="G11" s="243" t="s">
        <v>12</v>
      </c>
      <c r="H11" s="598" t="s">
        <v>475</v>
      </c>
      <c r="I11" s="1018"/>
      <c r="J11" s="226" t="s">
        <v>488</v>
      </c>
      <c r="K11" s="250"/>
      <c r="L11" s="250"/>
      <c r="M11" s="129">
        <f>+K11+'1'!M11+L11</f>
        <v>0</v>
      </c>
      <c r="Q11" s="161">
        <f>+Q10/P10</f>
        <v>1489.375</v>
      </c>
      <c r="R11" s="161">
        <f>+R10/P10</f>
        <v>1338.0303125</v>
      </c>
    </row>
    <row r="12" spans="1:18" ht="13.5" thickBot="1">
      <c r="A12" s="1015"/>
      <c r="B12" s="227"/>
      <c r="C12" s="228"/>
      <c r="D12" s="229"/>
      <c r="E12" s="231"/>
      <c r="F12" s="239"/>
      <c r="G12" s="243"/>
      <c r="H12" s="598"/>
      <c r="I12" s="1018"/>
      <c r="J12" s="226">
        <f>+'1'!J12</f>
        <v>0</v>
      </c>
      <c r="K12" s="250"/>
      <c r="L12" s="250"/>
      <c r="M12" s="129">
        <f>+K12+'1'!M12+L12</f>
        <v>0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244"/>
      <c r="I13" s="1019"/>
      <c r="J13" s="226">
        <f>+'1'!J13</f>
        <v>0</v>
      </c>
      <c r="K13" s="250"/>
      <c r="L13" s="250"/>
      <c r="M13" s="129">
        <f>+K13+'1'!M13+L13</f>
        <v>0</v>
      </c>
    </row>
    <row r="14" spans="1:18" ht="13.5" thickBot="1">
      <c r="A14" s="1016"/>
      <c r="B14" s="177" t="s">
        <v>2</v>
      </c>
      <c r="C14" s="111">
        <f>SUM(C7:C13)</f>
        <v>14086</v>
      </c>
      <c r="D14" s="123">
        <f>SUM(D7:D13)</f>
        <v>0</v>
      </c>
      <c r="E14" s="124">
        <f>SUM(E5:E13)</f>
        <v>0</v>
      </c>
      <c r="F14" s="128">
        <f>SUM(F7:F13)</f>
        <v>49</v>
      </c>
      <c r="G14" s="171"/>
      <c r="H14" s="178"/>
      <c r="I14" s="179"/>
      <c r="J14" s="226">
        <f>+'1'!J14</f>
        <v>0</v>
      </c>
      <c r="K14" s="250"/>
      <c r="L14" s="250"/>
      <c r="M14" s="129">
        <f>+K14+'1'!M14+L14</f>
        <v>0</v>
      </c>
    </row>
    <row r="15" spans="1:18" ht="13.5" customHeight="1" thickBot="1">
      <c r="A15" s="1014" t="s">
        <v>466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 t="s">
        <v>479</v>
      </c>
      <c r="J15" s="226">
        <f>+'1'!J15</f>
        <v>0</v>
      </c>
      <c r="K15" s="250"/>
      <c r="L15" s="250"/>
      <c r="M15" s="129">
        <f>+K15+'1'!M15+L15</f>
        <v>0</v>
      </c>
    </row>
    <row r="16" spans="1:18" ht="13.5" thickBot="1">
      <c r="A16" s="1020"/>
      <c r="B16" s="227" t="s">
        <v>487</v>
      </c>
      <c r="C16" s="233">
        <f>8409+13507</f>
        <v>21916</v>
      </c>
      <c r="D16" s="234"/>
      <c r="E16" s="235"/>
      <c r="F16" s="239"/>
      <c r="G16" s="243" t="s">
        <v>12</v>
      </c>
      <c r="H16" s="241" t="s">
        <v>458</v>
      </c>
      <c r="I16" s="1018"/>
      <c r="J16" s="226">
        <f>+'1'!J16</f>
        <v>0</v>
      </c>
      <c r="K16" s="240"/>
      <c r="L16" s="240"/>
      <c r="M16" s="129">
        <f>+K16+'1'!M16+L16</f>
        <v>0</v>
      </c>
    </row>
    <row r="17" spans="1:16" ht="13.5" thickBot="1">
      <c r="A17" s="1020"/>
      <c r="B17" s="227" t="s">
        <v>423</v>
      </c>
      <c r="C17" s="228">
        <v>713</v>
      </c>
      <c r="D17" s="229"/>
      <c r="E17" s="236"/>
      <c r="F17" s="239">
        <v>5</v>
      </c>
      <c r="G17" s="243" t="s">
        <v>12</v>
      </c>
      <c r="H17" s="598" t="s">
        <v>435</v>
      </c>
      <c r="I17" s="1018"/>
      <c r="J17" s="226">
        <f>+'1'!J17</f>
        <v>0</v>
      </c>
      <c r="K17" s="240"/>
      <c r="L17" s="240"/>
      <c r="M17" s="129">
        <f>+K17+'1'!M17+L17</f>
        <v>0</v>
      </c>
    </row>
    <row r="18" spans="1:16" ht="13.5" thickBot="1">
      <c r="A18" s="1020"/>
      <c r="B18" s="227"/>
      <c r="C18" s="228"/>
      <c r="D18" s="229"/>
      <c r="E18" s="236"/>
      <c r="F18" s="239"/>
      <c r="G18" s="243"/>
      <c r="H18" s="598" t="s">
        <v>476</v>
      </c>
      <c r="I18" s="1018"/>
      <c r="J18" s="226">
        <f>+'1'!J18</f>
        <v>0</v>
      </c>
      <c r="K18" s="250"/>
      <c r="L18" s="250"/>
      <c r="M18" s="129">
        <f>+K18+'1'!M18+L18</f>
        <v>0</v>
      </c>
    </row>
    <row r="19" spans="1:16" ht="13.5" thickBot="1">
      <c r="A19" s="1020"/>
      <c r="B19" s="227"/>
      <c r="C19" s="228"/>
      <c r="D19" s="229"/>
      <c r="E19" s="236"/>
      <c r="F19" s="246"/>
      <c r="G19" s="243"/>
      <c r="H19" s="598"/>
      <c r="I19" s="1018"/>
      <c r="J19" s="226">
        <f>+'1'!J19</f>
        <v>0</v>
      </c>
      <c r="K19" s="250"/>
      <c r="L19" s="250"/>
      <c r="M19" s="129">
        <f>+K19+'1'!M19+L19</f>
        <v>0</v>
      </c>
    </row>
    <row r="20" spans="1:16" ht="13.5" thickBot="1">
      <c r="A20" s="1020"/>
      <c r="B20" s="227"/>
      <c r="C20" s="228"/>
      <c r="D20" s="229"/>
      <c r="E20" s="236"/>
      <c r="F20" s="239"/>
      <c r="G20" s="243"/>
      <c r="H20" s="598"/>
      <c r="I20" s="1018"/>
      <c r="J20" s="226">
        <f>+'1'!J20</f>
        <v>0</v>
      </c>
      <c r="K20" s="251"/>
      <c r="L20" s="251"/>
      <c r="M20" s="129">
        <f>+K20+'1'!M20+L20</f>
        <v>0</v>
      </c>
      <c r="N20" s="161">
        <v>1660</v>
      </c>
      <c r="O20" s="161">
        <f>+N20-N20*0.16</f>
        <v>1394.4</v>
      </c>
      <c r="P20" s="161">
        <f>240+30</f>
        <v>270</v>
      </c>
    </row>
    <row r="21" spans="1:16" ht="13.5" thickBot="1">
      <c r="A21" s="1020"/>
      <c r="B21" s="227"/>
      <c r="C21" s="228"/>
      <c r="D21" s="229"/>
      <c r="E21" s="236"/>
      <c r="F21" s="242"/>
      <c r="G21" s="243"/>
      <c r="H21" s="503"/>
      <c r="I21" s="1018"/>
      <c r="J21" s="226">
        <f>+'1'!J21</f>
        <v>0</v>
      </c>
      <c r="K21" s="250"/>
      <c r="L21" s="250"/>
      <c r="M21" s="129">
        <f>+K21+'1'!M21+L21</f>
        <v>0</v>
      </c>
      <c r="N21" s="161">
        <v>1270</v>
      </c>
      <c r="O21" s="161">
        <f>+N21-N21*0.0035</f>
        <v>1265.5550000000001</v>
      </c>
      <c r="P21" s="161">
        <f>210+480+330</f>
        <v>1020</v>
      </c>
    </row>
    <row r="22" spans="1:16" ht="13.5" thickBot="1">
      <c r="A22" s="1020"/>
      <c r="B22" s="227"/>
      <c r="C22" s="228"/>
      <c r="D22" s="229"/>
      <c r="E22" s="236"/>
      <c r="F22" s="247"/>
      <c r="G22" s="243"/>
      <c r="H22" s="244"/>
      <c r="I22" s="1019"/>
      <c r="J22" s="226">
        <f>+'1'!J22</f>
        <v>0</v>
      </c>
      <c r="K22" s="250"/>
      <c r="L22" s="250"/>
      <c r="M22" s="129">
        <f>+K22+'1'!M22+L22</f>
        <v>0</v>
      </c>
      <c r="N22" s="161">
        <v>1270</v>
      </c>
      <c r="O22" s="161">
        <f>+N22-N22*0.0035</f>
        <v>1265.5550000000001</v>
      </c>
      <c r="P22" s="161">
        <f>30+120</f>
        <v>150</v>
      </c>
    </row>
    <row r="23" spans="1:16" ht="13.5" thickBot="1">
      <c r="A23" s="1021"/>
      <c r="B23" s="180" t="s">
        <v>2</v>
      </c>
      <c r="C23" s="112">
        <f>SUM(C16:C22)</f>
        <v>22629</v>
      </c>
      <c r="D23" s="123">
        <f>SUM(D16:D22)</f>
        <v>0</v>
      </c>
      <c r="E23" s="124">
        <f>SUM(E18:E22)</f>
        <v>0</v>
      </c>
      <c r="F23" s="128">
        <f>SUM(F15:F22)</f>
        <v>5</v>
      </c>
      <c r="G23" s="171"/>
      <c r="H23" s="178" t="s">
        <v>237</v>
      </c>
      <c r="I23" s="181"/>
      <c r="J23" s="226">
        <f>+'1'!J23</f>
        <v>0</v>
      </c>
      <c r="K23" s="250"/>
      <c r="L23" s="250"/>
      <c r="M23" s="129">
        <f>+K23+'1'!M23+L23</f>
        <v>0</v>
      </c>
      <c r="P23" s="161">
        <f>SUM(P20:P22)</f>
        <v>1440</v>
      </c>
    </row>
    <row r="24" spans="1:16" ht="13.5" customHeight="1" thickBot="1">
      <c r="A24" s="1014" t="s">
        <v>467</v>
      </c>
      <c r="B24" s="182"/>
      <c r="C24" s="125"/>
      <c r="D24" s="126"/>
      <c r="E24" s="127"/>
      <c r="F24" s="247"/>
      <c r="G24" s="240" t="s">
        <v>12</v>
      </c>
      <c r="H24" s="241" t="s">
        <v>280</v>
      </c>
      <c r="I24" s="1017" t="s">
        <v>479</v>
      </c>
      <c r="J24" s="226">
        <f>+'1'!J24</f>
        <v>0</v>
      </c>
      <c r="K24" s="250"/>
      <c r="L24" s="250"/>
      <c r="M24" s="129">
        <f>+K24+'1'!M24+L24</f>
        <v>0</v>
      </c>
    </row>
    <row r="25" spans="1:16" ht="13.5" thickBot="1">
      <c r="A25" s="1020"/>
      <c r="B25" s="227" t="s">
        <v>487</v>
      </c>
      <c r="C25" s="237">
        <f>7326+11151</f>
        <v>18477</v>
      </c>
      <c r="D25" s="229">
        <v>1550</v>
      </c>
      <c r="E25" s="236"/>
      <c r="F25" s="242"/>
      <c r="G25" s="243" t="s">
        <v>12</v>
      </c>
      <c r="H25" s="241" t="s">
        <v>458</v>
      </c>
      <c r="I25" s="1018"/>
      <c r="J25" s="226">
        <f>+'1'!J25</f>
        <v>0</v>
      </c>
      <c r="K25" s="250"/>
      <c r="L25" s="250"/>
      <c r="M25" s="129">
        <f>+K25+'1'!M25+L25</f>
        <v>0</v>
      </c>
    </row>
    <row r="26" spans="1:16" ht="13.5" thickBot="1">
      <c r="A26" s="1020"/>
      <c r="B26" s="227" t="s">
        <v>488</v>
      </c>
      <c r="C26" s="237"/>
      <c r="D26" s="229"/>
      <c r="E26" s="238"/>
      <c r="F26" s="242">
        <v>8</v>
      </c>
      <c r="G26" s="243" t="s">
        <v>12</v>
      </c>
      <c r="H26" s="598" t="s">
        <v>435</v>
      </c>
      <c r="I26" s="1018"/>
      <c r="J26" s="226">
        <f>+'1'!J26</f>
        <v>0</v>
      </c>
      <c r="K26" s="250"/>
      <c r="L26" s="250"/>
      <c r="M26" s="129">
        <f>+K26+'1'!M26+L26</f>
        <v>0</v>
      </c>
    </row>
    <row r="27" spans="1:16" ht="13.5" thickBot="1">
      <c r="A27" s="1020"/>
      <c r="B27" s="227"/>
      <c r="C27" s="228"/>
      <c r="D27" s="229"/>
      <c r="E27" s="236"/>
      <c r="F27" s="242"/>
      <c r="G27" s="243"/>
      <c r="H27" s="598" t="s">
        <v>476</v>
      </c>
      <c r="I27" s="1018"/>
      <c r="J27" s="226">
        <f>+'1'!J27</f>
        <v>0</v>
      </c>
      <c r="K27" s="250"/>
      <c r="L27" s="250"/>
      <c r="M27" s="129">
        <f>+K27+'1'!M27+L27</f>
        <v>0</v>
      </c>
    </row>
    <row r="28" spans="1:16" ht="13.5" thickBot="1">
      <c r="A28" s="1020"/>
      <c r="B28" s="227"/>
      <c r="C28" s="228"/>
      <c r="D28" s="229"/>
      <c r="E28" s="236"/>
      <c r="F28" s="242">
        <v>6</v>
      </c>
      <c r="G28" s="243" t="s">
        <v>12</v>
      </c>
      <c r="H28" s="598" t="s">
        <v>477</v>
      </c>
      <c r="I28" s="1018"/>
      <c r="J28" s="226">
        <f>+'1'!J28</f>
        <v>0</v>
      </c>
      <c r="K28" s="250"/>
      <c r="L28" s="250"/>
      <c r="M28" s="129">
        <f>+K28+'1'!M28+L28</f>
        <v>0</v>
      </c>
    </row>
    <row r="29" spans="1:16" ht="13.5" thickBot="1">
      <c r="A29" s="1020"/>
      <c r="B29" s="227"/>
      <c r="C29" s="228"/>
      <c r="D29" s="229"/>
      <c r="E29" s="236"/>
      <c r="F29" s="247"/>
      <c r="G29" s="243"/>
      <c r="H29" s="244"/>
      <c r="I29" s="1018"/>
      <c r="J29" s="226">
        <f>+'1'!J29</f>
        <v>0</v>
      </c>
      <c r="K29" s="250"/>
      <c r="L29" s="250"/>
      <c r="M29" s="129">
        <f>+K29+'1'!M29+L29</f>
        <v>0</v>
      </c>
    </row>
    <row r="30" spans="1:16" ht="13.5" thickBot="1">
      <c r="A30" s="1020"/>
      <c r="B30" s="227"/>
      <c r="C30" s="237"/>
      <c r="D30" s="229"/>
      <c r="E30" s="236"/>
      <c r="F30" s="247"/>
      <c r="G30" s="243"/>
      <c r="H30" s="244"/>
      <c r="I30" s="1018"/>
      <c r="J30" s="226">
        <f>+'1'!J30</f>
        <v>0</v>
      </c>
      <c r="K30" s="250"/>
      <c r="L30" s="250"/>
      <c r="M30" s="129">
        <f>+K30+'1'!M30+L30</f>
        <v>0</v>
      </c>
      <c r="N30" s="167"/>
    </row>
    <row r="31" spans="1:16" ht="13.5" thickBot="1">
      <c r="A31" s="1020"/>
      <c r="B31" s="227"/>
      <c r="C31" s="237"/>
      <c r="D31" s="229"/>
      <c r="E31" s="236"/>
      <c r="F31" s="247"/>
      <c r="G31" s="248"/>
      <c r="H31" s="466"/>
      <c r="I31" s="1019"/>
      <c r="J31" s="226">
        <f>+'1'!J31</f>
        <v>0</v>
      </c>
      <c r="K31" s="250"/>
      <c r="L31" s="250"/>
      <c r="M31" s="129">
        <f>+K31+'1'!M31+L31</f>
        <v>0</v>
      </c>
    </row>
    <row r="32" spans="1:16" ht="13.5" thickBot="1">
      <c r="A32" s="1021"/>
      <c r="B32" s="177" t="s">
        <v>2</v>
      </c>
      <c r="C32" s="111">
        <f>SUM(C25:C31)</f>
        <v>18477</v>
      </c>
      <c r="D32" s="112">
        <f>SUM(D25:D31)</f>
        <v>1550</v>
      </c>
      <c r="E32" s="113">
        <f>SUM(E25:E31)</f>
        <v>0</v>
      </c>
      <c r="F32" s="114">
        <f>SUM(F24:F31)</f>
        <v>14</v>
      </c>
      <c r="G32" s="183"/>
      <c r="H32" s="184"/>
      <c r="I32" s="181"/>
      <c r="J32" s="226">
        <f>+'1'!J32</f>
        <v>0</v>
      </c>
      <c r="K32" s="252"/>
      <c r="L32" s="254"/>
      <c r="M32" s="129">
        <f>+K32+'1'!M32+L32</f>
        <v>0</v>
      </c>
    </row>
    <row r="33" spans="1:14" ht="13.5" thickBot="1">
      <c r="A33" s="185"/>
      <c r="B33" s="186"/>
      <c r="C33" s="115">
        <f>C32/($C$32+$D$32+$E$32)</f>
        <v>0.92260448394667194</v>
      </c>
      <c r="D33" s="116">
        <f>D32/($C$32+$D$32+$E$32)</f>
        <v>7.7395516053328006E-2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55192</v>
      </c>
      <c r="D34" s="119">
        <f>D14+D23+D32</f>
        <v>1550</v>
      </c>
      <c r="E34" s="119">
        <f>E14+E23+E32</f>
        <v>0</v>
      </c>
      <c r="F34" s="120">
        <f>F14+F23+F32</f>
        <v>68</v>
      </c>
      <c r="H34" s="190"/>
      <c r="I34" s="190"/>
      <c r="J34" s="135" t="s">
        <v>28</v>
      </c>
      <c r="K34" s="136">
        <f>SUM(K7:K32)</f>
        <v>55192</v>
      </c>
      <c r="L34" s="224">
        <f>SUM(L7:L32)</f>
        <v>0</v>
      </c>
      <c r="M34" s="132">
        <f>SUM(M7:M32)</f>
        <v>73133</v>
      </c>
      <c r="N34" s="167"/>
    </row>
    <row r="35" spans="1:14" ht="13.5" thickBot="1">
      <c r="A35" s="191"/>
      <c r="B35" s="192"/>
      <c r="C35" s="116">
        <f>C34/($C$34+$D$34+$E$34)</f>
        <v>0.97268337386768178</v>
      </c>
      <c r="D35" s="116">
        <f>D34/($C$34+$D$34+$E$34)</f>
        <v>2.7316626132318212E-2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340"/>
      <c r="G37" s="342"/>
      <c r="H37" s="198" t="s">
        <v>63</v>
      </c>
      <c r="I37" s="255">
        <f>(10.3*510+16.5*862)/1372*G42*2.77*1372/1000000</f>
        <v>69.578131177237495</v>
      </c>
      <c r="J37" s="137">
        <f>+I37+'1'!J37</f>
        <v>89.399189435485454</v>
      </c>
      <c r="K37" s="138" t="s">
        <v>64</v>
      </c>
      <c r="L37" s="161">
        <f>2.761+2.461+2.89+1.726+0.33</f>
        <v>10.168000000000001</v>
      </c>
    </row>
    <row r="38" spans="1:14" ht="17.45" customHeight="1">
      <c r="A38" s="1012" t="s">
        <v>12</v>
      </c>
      <c r="B38" s="1013"/>
      <c r="C38" s="176">
        <f>SUMIF($G$7:$G$31,"Process",$F$7:$F$31)</f>
        <v>68</v>
      </c>
      <c r="D38" s="130">
        <f>+C38+'1'!D38</f>
        <v>97</v>
      </c>
      <c r="E38" s="155">
        <f t="shared" ref="E38:E51" si="0">D38/60</f>
        <v>1.6166666666666667</v>
      </c>
      <c r="F38" s="340">
        <v>1489.375</v>
      </c>
      <c r="G38" s="340">
        <v>1338.0303125</v>
      </c>
      <c r="H38" s="199" t="s">
        <v>65</v>
      </c>
      <c r="I38" s="553">
        <f>18.877+26.331+24.883</f>
        <v>70.090999999999994</v>
      </c>
      <c r="J38" s="139">
        <f>+I38+'1'!J38</f>
        <v>87.037999999999997</v>
      </c>
      <c r="K38" s="140" t="s">
        <v>64</v>
      </c>
      <c r="L38" s="566">
        <f>+I38-L37-L39</f>
        <v>52.513999999999996</v>
      </c>
      <c r="N38" s="566"/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+C39+'1'!D39</f>
        <v>0</v>
      </c>
      <c r="E39" s="155">
        <f t="shared" si="0"/>
        <v>0</v>
      </c>
      <c r="F39" s="340">
        <v>1270</v>
      </c>
      <c r="G39" s="340">
        <f>+F39-F39*0.0035</f>
        <v>1265.5550000000001</v>
      </c>
      <c r="H39" s="199" t="s">
        <v>66</v>
      </c>
      <c r="I39" s="154"/>
      <c r="J39" s="141">
        <f>J37/G4</f>
        <v>44.699594717742727</v>
      </c>
      <c r="K39" s="142" t="s">
        <v>64</v>
      </c>
      <c r="L39" s="161">
        <f>3.684+3.725</f>
        <v>7.4090000000000007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>+C40+'1'!D40</f>
        <v>0</v>
      </c>
      <c r="E40" s="155">
        <f t="shared" si="0"/>
        <v>0</v>
      </c>
      <c r="F40" s="340">
        <v>1270</v>
      </c>
      <c r="G40" s="340">
        <f>+F40-F40*0.0035</f>
        <v>1265.5550000000001</v>
      </c>
      <c r="H40" s="199" t="s">
        <v>68</v>
      </c>
      <c r="I40" s="130">
        <f>(K34+L34)/1000</f>
        <v>55.192</v>
      </c>
      <c r="J40" s="143">
        <f>+I40+'1'!J40</f>
        <v>73.132999999999996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0</v>
      </c>
      <c r="D41" s="130">
        <f>+C41+'1'!D41</f>
        <v>120</v>
      </c>
      <c r="E41" s="155">
        <f t="shared" si="0"/>
        <v>2</v>
      </c>
      <c r="F41" s="340"/>
      <c r="G41" s="340"/>
      <c r="H41" s="199" t="s">
        <v>70</v>
      </c>
      <c r="I41" s="154"/>
      <c r="J41" s="141">
        <f>J40/G4</f>
        <v>36.566499999999998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>+C42+'1'!D42</f>
        <v>0</v>
      </c>
      <c r="E42" s="155">
        <f t="shared" si="0"/>
        <v>0</v>
      </c>
      <c r="F42" s="340">
        <f>+(F38*480+F39*480+F40*480)/1440</f>
        <v>1343.125</v>
      </c>
      <c r="G42" s="340">
        <f>+(G38*480+G39*480+G40*480)/1440</f>
        <v>1289.7134375000001</v>
      </c>
      <c r="H42" s="199" t="s">
        <v>71</v>
      </c>
      <c r="I42" s="257" t="s">
        <v>480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>+C43+'1'!D43</f>
        <v>0</v>
      </c>
      <c r="E43" s="155">
        <f t="shared" si="0"/>
        <v>0</v>
      </c>
      <c r="F43" s="340"/>
      <c r="G43" s="341"/>
      <c r="H43" s="200" t="s">
        <v>74</v>
      </c>
      <c r="I43" s="130">
        <f>+Report1!T10</f>
        <v>154.03500000000003</v>
      </c>
      <c r="J43" s="145">
        <f>+I43+'1'!J43</f>
        <v>206.64900000000003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+C44+'1'!D44</f>
        <v>0</v>
      </c>
      <c r="E44" s="155">
        <f t="shared" si="0"/>
        <v>0</v>
      </c>
      <c r="F44" s="340"/>
      <c r="G44" s="341"/>
      <c r="H44" s="200" t="s">
        <v>75</v>
      </c>
      <c r="I44" s="130">
        <f>I43/I38</f>
        <v>2.1976430640167788</v>
      </c>
      <c r="J44" s="146">
        <f>J43/J38</f>
        <v>2.374238838208599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>+C45+'1'!D45</f>
        <v>0</v>
      </c>
      <c r="E45" s="155">
        <f t="shared" si="0"/>
        <v>0</v>
      </c>
      <c r="F45" s="340"/>
      <c r="G45" s="343"/>
      <c r="H45" s="200" t="s">
        <v>76</v>
      </c>
      <c r="I45" s="130">
        <f>I43/I40</f>
        <v>2.7908936077692426</v>
      </c>
      <c r="J45" s="146">
        <f>J43/J40</f>
        <v>2.8256600987242426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>+C46+'1'!D46</f>
        <v>0</v>
      </c>
      <c r="E46" s="155">
        <f t="shared" si="0"/>
        <v>0</v>
      </c>
      <c r="F46" s="340"/>
      <c r="G46" s="341"/>
      <c r="H46" s="200" t="s">
        <v>78</v>
      </c>
      <c r="I46" s="152">
        <f>+SUMIF(Listrik!AR9,"&gt;0")</f>
        <v>57964.179999999753</v>
      </c>
      <c r="J46" s="147">
        <f>+I46+'1'!J46</f>
        <v>87773.479999999603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>+C47+'1'!D47</f>
        <v>0</v>
      </c>
      <c r="E47" s="155">
        <f t="shared" si="0"/>
        <v>0</v>
      </c>
      <c r="F47" s="340"/>
      <c r="G47" s="341"/>
      <c r="H47" s="200" t="s">
        <v>81</v>
      </c>
      <c r="I47" s="130">
        <f>I46/I38</f>
        <v>826.98463426117132</v>
      </c>
      <c r="J47" s="147">
        <f>J46/J38</f>
        <v>1008.4501022541833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>+C48+'1'!D48</f>
        <v>0</v>
      </c>
      <c r="E48" s="155">
        <f t="shared" si="0"/>
        <v>0</v>
      </c>
      <c r="F48" s="340"/>
      <c r="G48" s="341"/>
      <c r="H48" s="200" t="s">
        <v>82</v>
      </c>
      <c r="I48" s="130">
        <f>I46/I40</f>
        <v>1050.2279315842832</v>
      </c>
      <c r="J48" s="147">
        <f>J46/J40</f>
        <v>1200.1897912023246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0</v>
      </c>
      <c r="D49" s="130">
        <f>+C49+'1'!D49</f>
        <v>878</v>
      </c>
      <c r="E49" s="155">
        <f t="shared" si="0"/>
        <v>14.633333333333333</v>
      </c>
      <c r="F49" s="197"/>
      <c r="H49" s="200" t="s">
        <v>186</v>
      </c>
      <c r="I49" s="130">
        <v>0</v>
      </c>
      <c r="J49" s="147">
        <f>+I49+'1'!J49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>+C50+'1'!D50</f>
        <v>0</v>
      </c>
      <c r="E50" s="155">
        <f t="shared" si="0"/>
        <v>0</v>
      </c>
      <c r="F50" s="197"/>
      <c r="H50" s="200" t="s">
        <v>85</v>
      </c>
      <c r="I50" s="152"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>+C51+'1'!D51</f>
        <v>0</v>
      </c>
      <c r="E51" s="155">
        <f t="shared" si="0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68</v>
      </c>
      <c r="D52" s="156">
        <f>SUM(D38:D51)</f>
        <v>1095</v>
      </c>
      <c r="E52" s="157">
        <f>SUM(E38:E51)</f>
        <v>18.25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4.7222222222222221E-2</v>
      </c>
      <c r="D53" s="158">
        <f>D52/(24*60*G4)</f>
        <v>0.38020833333333331</v>
      </c>
      <c r="E53" s="159">
        <f>E52/(G4*24)</f>
        <v>0.38020833333333331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+D34+'1'!J56</f>
        <v>1550</v>
      </c>
      <c r="K56" s="213">
        <f>J56/(J40+J56/1000)/1000</f>
        <v>2.0754388548933494E-2</v>
      </c>
    </row>
    <row r="57" spans="1:11">
      <c r="A57" s="188"/>
      <c r="I57" s="211" t="s">
        <v>90</v>
      </c>
      <c r="J57" s="212">
        <f>+E34+'1'!J57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41:B41"/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31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G19" sqref="G19"/>
    </sheetView>
  </sheetViews>
  <sheetFormatPr defaultColWidth="9.140625" defaultRowHeight="12.75"/>
  <cols>
    <col min="1" max="1" width="8" style="161" customWidth="1"/>
    <col min="2" max="2" width="7" style="161" bestFit="1" customWidth="1"/>
    <col min="3" max="3" width="14.85546875" style="161" bestFit="1" customWidth="1"/>
    <col min="4" max="4" width="12.7109375" style="161" bestFit="1" customWidth="1"/>
    <col min="5" max="5" width="13.85546875" style="161" bestFit="1" customWidth="1"/>
    <col min="6" max="6" width="12.140625" style="122" bestFit="1" customWidth="1"/>
    <col min="7" max="7" width="11.42578125" style="161" bestFit="1" customWidth="1"/>
    <col min="8" max="8" width="64.85546875" style="161" customWidth="1"/>
    <col min="9" max="9" width="14.7109375" style="161" bestFit="1" customWidth="1"/>
    <col min="10" max="10" width="14.7109375" style="161" customWidth="1"/>
    <col min="11" max="11" width="14" style="161" bestFit="1" customWidth="1"/>
    <col min="12" max="12" width="8.28515625" style="161" customWidth="1"/>
    <col min="13" max="13" width="14.42578125" style="161" bestFit="1" customWidth="1"/>
    <col min="14" max="14" width="9.140625" style="161" bestFit="1"/>
    <col min="15" max="16384" width="9.140625" style="161"/>
  </cols>
  <sheetData>
    <row r="1" spans="1:18" ht="15.75">
      <c r="A1" s="160"/>
    </row>
    <row r="2" spans="1:18" ht="15.75">
      <c r="A2" s="160" t="s">
        <v>149</v>
      </c>
    </row>
    <row r="3" spans="1:18" ht="15">
      <c r="A3" s="162"/>
    </row>
    <row r="4" spans="1:18" ht="20.25">
      <c r="A4" s="163" t="s">
        <v>3</v>
      </c>
      <c r="B4" s="164"/>
      <c r="F4" s="165" t="s">
        <v>30</v>
      </c>
      <c r="G4" s="166">
        <v>1</v>
      </c>
      <c r="H4" s="166" t="s">
        <v>436</v>
      </c>
    </row>
    <row r="5" spans="1:18" ht="13.5" thickBot="1">
      <c r="C5" s="167"/>
      <c r="D5" s="167"/>
    </row>
    <row r="6" spans="1:18" ht="26.25" thickBot="1">
      <c r="A6" s="168" t="s">
        <v>48</v>
      </c>
      <c r="B6" s="169" t="s">
        <v>9</v>
      </c>
      <c r="C6" s="169" t="s">
        <v>49</v>
      </c>
      <c r="D6" s="169" t="s">
        <v>50</v>
      </c>
      <c r="E6" s="170" t="s">
        <v>51</v>
      </c>
      <c r="F6" s="114" t="s">
        <v>52</v>
      </c>
      <c r="G6" s="169" t="s">
        <v>53</v>
      </c>
      <c r="H6" s="171" t="s">
        <v>54</v>
      </c>
      <c r="I6" s="172" t="s">
        <v>55</v>
      </c>
      <c r="J6" s="173" t="s">
        <v>9</v>
      </c>
      <c r="K6" s="174" t="s">
        <v>56</v>
      </c>
      <c r="L6" s="222" t="s">
        <v>143</v>
      </c>
      <c r="M6" s="175" t="s">
        <v>57</v>
      </c>
      <c r="N6" s="161">
        <f>19+44+258</f>
        <v>321</v>
      </c>
    </row>
    <row r="7" spans="1:18" ht="13.5" customHeight="1" thickBot="1">
      <c r="A7" s="1014" t="s">
        <v>465</v>
      </c>
      <c r="B7" s="227" t="s">
        <v>460</v>
      </c>
      <c r="C7" s="228">
        <v>1671</v>
      </c>
      <c r="D7" s="229"/>
      <c r="E7" s="230"/>
      <c r="F7" s="239"/>
      <c r="G7" s="240" t="s">
        <v>12</v>
      </c>
      <c r="H7" s="241" t="s">
        <v>280</v>
      </c>
      <c r="I7" s="1017" t="s">
        <v>450</v>
      </c>
      <c r="J7" s="261" t="s">
        <v>460</v>
      </c>
      <c r="K7" s="249">
        <f>+C7+C16+C25</f>
        <v>15437</v>
      </c>
      <c r="L7" s="253"/>
      <c r="M7" s="129">
        <f>+K7+L7</f>
        <v>15437</v>
      </c>
    </row>
    <row r="8" spans="1:18" ht="13.5" thickBot="1">
      <c r="A8" s="1015"/>
      <c r="B8" s="227"/>
      <c r="C8" s="228"/>
      <c r="D8" s="229"/>
      <c r="E8" s="231"/>
      <c r="F8" s="242"/>
      <c r="G8" s="243" t="s">
        <v>12</v>
      </c>
      <c r="H8" s="241" t="s">
        <v>458</v>
      </c>
      <c r="I8" s="1018"/>
      <c r="J8" s="262" t="s">
        <v>423</v>
      </c>
      <c r="K8" s="250"/>
      <c r="L8" s="250"/>
      <c r="M8" s="129">
        <f t="shared" ref="M8:M32" si="0">+K8+L8</f>
        <v>0</v>
      </c>
      <c r="N8" s="161">
        <v>1700</v>
      </c>
      <c r="O8" s="161">
        <f>+N8-N8*0.24</f>
        <v>1292</v>
      </c>
      <c r="P8" s="161">
        <v>52</v>
      </c>
      <c r="Q8" s="161">
        <f>+N8*P8</f>
        <v>88400</v>
      </c>
      <c r="R8" s="161">
        <f>+O8*P8</f>
        <v>67184</v>
      </c>
    </row>
    <row r="9" spans="1:18" ht="13.5" thickBot="1">
      <c r="A9" s="1015"/>
      <c r="B9" s="227"/>
      <c r="C9" s="228"/>
      <c r="D9" s="229"/>
      <c r="E9" s="232"/>
      <c r="F9" s="239"/>
      <c r="G9" s="243" t="s">
        <v>12</v>
      </c>
      <c r="H9" s="598" t="s">
        <v>459</v>
      </c>
      <c r="I9" s="1018"/>
      <c r="J9" s="262" t="s">
        <v>468</v>
      </c>
      <c r="K9" s="250">
        <f>+C17</f>
        <v>2504</v>
      </c>
      <c r="L9" s="250"/>
      <c r="M9" s="129">
        <f t="shared" si="0"/>
        <v>2504</v>
      </c>
      <c r="N9" s="161">
        <v>1600</v>
      </c>
      <c r="O9" s="161">
        <f>+N9-N9*0.24</f>
        <v>1216</v>
      </c>
      <c r="P9" s="161">
        <v>30</v>
      </c>
      <c r="Q9" s="161">
        <f>+N9*P9</f>
        <v>48000</v>
      </c>
      <c r="R9" s="161">
        <f>+O9*P9</f>
        <v>36480</v>
      </c>
    </row>
    <row r="10" spans="1:18" ht="64.5" thickBot="1">
      <c r="A10" s="1015"/>
      <c r="B10" s="227"/>
      <c r="C10" s="228"/>
      <c r="D10" s="229"/>
      <c r="E10" s="231" t="s">
        <v>441</v>
      </c>
      <c r="F10" s="239">
        <f>480-52</f>
        <v>428</v>
      </c>
      <c r="G10" s="243" t="s">
        <v>20</v>
      </c>
      <c r="H10" s="598" t="s">
        <v>449</v>
      </c>
      <c r="I10" s="1018"/>
      <c r="J10" s="261"/>
      <c r="K10" s="250"/>
      <c r="L10" s="250"/>
      <c r="M10" s="129">
        <f t="shared" si="0"/>
        <v>0</v>
      </c>
      <c r="N10" s="161">
        <v>1650</v>
      </c>
      <c r="O10" s="161">
        <f>+N10-N10*0.24</f>
        <v>1254</v>
      </c>
      <c r="P10" s="161">
        <v>322</v>
      </c>
      <c r="Q10" s="161">
        <f>+N10*P10</f>
        <v>531300</v>
      </c>
      <c r="R10" s="161">
        <f>+O10*P10</f>
        <v>403788</v>
      </c>
    </row>
    <row r="11" spans="1:18" ht="39" thickBot="1">
      <c r="A11" s="1015"/>
      <c r="B11" s="227"/>
      <c r="C11" s="228"/>
      <c r="D11" s="229"/>
      <c r="E11" s="231"/>
      <c r="F11" s="239"/>
      <c r="G11" s="243"/>
      <c r="H11" s="598" t="s">
        <v>438</v>
      </c>
      <c r="I11" s="1018"/>
      <c r="J11" s="261"/>
      <c r="K11" s="250"/>
      <c r="L11" s="250"/>
      <c r="M11" s="129">
        <f t="shared" si="0"/>
        <v>0</v>
      </c>
      <c r="P11" s="161">
        <f>SUM(P8:P10)</f>
        <v>404</v>
      </c>
      <c r="Q11" s="161">
        <f>SUM(Q8:Q10)</f>
        <v>667700</v>
      </c>
      <c r="R11" s="161">
        <f>SUM(R8:R10)</f>
        <v>507452</v>
      </c>
    </row>
    <row r="12" spans="1:18" ht="26.25" thickBot="1">
      <c r="A12" s="1015"/>
      <c r="B12" s="227"/>
      <c r="C12" s="228"/>
      <c r="D12" s="229"/>
      <c r="E12" s="231"/>
      <c r="F12" s="239"/>
      <c r="G12" s="243"/>
      <c r="H12" s="598" t="s">
        <v>439</v>
      </c>
      <c r="I12" s="1018"/>
      <c r="J12" s="261"/>
      <c r="K12" s="250"/>
      <c r="L12" s="250"/>
      <c r="M12" s="129">
        <f t="shared" si="0"/>
        <v>0</v>
      </c>
      <c r="Q12" s="161">
        <f>+Q11/P11</f>
        <v>1652.7227722772277</v>
      </c>
      <c r="R12" s="161">
        <f>+R11/P11</f>
        <v>1256.0693069306931</v>
      </c>
    </row>
    <row r="13" spans="1:18" ht="13.5" thickBot="1">
      <c r="A13" s="1015"/>
      <c r="B13" s="227"/>
      <c r="C13" s="228"/>
      <c r="D13" s="228"/>
      <c r="E13" s="231"/>
      <c r="F13" s="239"/>
      <c r="G13" s="243"/>
      <c r="H13" s="598" t="s">
        <v>440</v>
      </c>
      <c r="I13" s="1019"/>
      <c r="J13" s="261"/>
      <c r="K13" s="250"/>
      <c r="L13" s="250"/>
      <c r="M13" s="129">
        <f t="shared" si="0"/>
        <v>0</v>
      </c>
    </row>
    <row r="14" spans="1:18" ht="13.5" thickBot="1">
      <c r="A14" s="1016"/>
      <c r="B14" s="177" t="s">
        <v>2</v>
      </c>
      <c r="C14" s="111">
        <f>SUM(C7:C13)</f>
        <v>1671</v>
      </c>
      <c r="D14" s="123">
        <f>SUM(D7:D13)</f>
        <v>0</v>
      </c>
      <c r="E14" s="124">
        <f>SUM(E5:E13)</f>
        <v>0</v>
      </c>
      <c r="F14" s="128">
        <f>SUM(F7:F13)</f>
        <v>428</v>
      </c>
      <c r="G14" s="171"/>
      <c r="H14" s="178"/>
      <c r="I14" s="179"/>
      <c r="J14" s="261"/>
      <c r="K14" s="250"/>
      <c r="L14" s="250"/>
      <c r="M14" s="129">
        <f t="shared" si="0"/>
        <v>0</v>
      </c>
    </row>
    <row r="15" spans="1:18" ht="13.5" customHeight="1" thickBot="1">
      <c r="A15" s="1014" t="s">
        <v>466</v>
      </c>
      <c r="B15" s="177"/>
      <c r="C15" s="125"/>
      <c r="D15" s="126"/>
      <c r="E15" s="127"/>
      <c r="F15" s="239"/>
      <c r="G15" s="240" t="s">
        <v>12</v>
      </c>
      <c r="H15" s="241" t="s">
        <v>280</v>
      </c>
      <c r="I15" s="1017" t="s">
        <v>451</v>
      </c>
      <c r="J15" s="261"/>
      <c r="K15" s="250"/>
      <c r="L15" s="250"/>
      <c r="M15" s="129">
        <f t="shared" si="0"/>
        <v>0</v>
      </c>
    </row>
    <row r="16" spans="1:18" ht="13.5" thickBot="1">
      <c r="A16" s="1020"/>
      <c r="B16" s="227" t="s">
        <v>460</v>
      </c>
      <c r="C16" s="233">
        <f>2894+3213</f>
        <v>6107</v>
      </c>
      <c r="D16" s="234"/>
      <c r="E16" s="235"/>
      <c r="F16" s="239"/>
      <c r="G16" s="243" t="s">
        <v>12</v>
      </c>
      <c r="H16" s="241" t="s">
        <v>458</v>
      </c>
      <c r="I16" s="1018"/>
      <c r="J16" s="261"/>
      <c r="K16" s="240"/>
      <c r="L16" s="240"/>
      <c r="M16" s="129">
        <f t="shared" si="0"/>
        <v>0</v>
      </c>
    </row>
    <row r="17" spans="1:18" ht="13.5" thickBot="1">
      <c r="A17" s="1020"/>
      <c r="B17" s="227" t="s">
        <v>468</v>
      </c>
      <c r="C17" s="228">
        <f>8611-C16</f>
        <v>2504</v>
      </c>
      <c r="D17" s="229"/>
      <c r="E17" s="236"/>
      <c r="F17" s="239">
        <v>5</v>
      </c>
      <c r="G17" s="243" t="s">
        <v>12</v>
      </c>
      <c r="H17" s="598" t="s">
        <v>457</v>
      </c>
      <c r="I17" s="1018"/>
      <c r="J17" s="261"/>
      <c r="K17" s="240"/>
      <c r="L17" s="240"/>
      <c r="M17" s="129">
        <f t="shared" si="0"/>
        <v>0</v>
      </c>
    </row>
    <row r="18" spans="1:18" ht="13.5" thickBot="1">
      <c r="A18" s="1020"/>
      <c r="B18" s="227"/>
      <c r="C18" s="228"/>
      <c r="D18" s="229"/>
      <c r="E18" s="236"/>
      <c r="F18" s="239"/>
      <c r="G18" s="243"/>
      <c r="H18" s="598" t="s">
        <v>442</v>
      </c>
      <c r="I18" s="1018"/>
      <c r="J18" s="261"/>
      <c r="K18" s="250"/>
      <c r="L18" s="250"/>
      <c r="M18" s="129">
        <f t="shared" si="0"/>
        <v>0</v>
      </c>
    </row>
    <row r="19" spans="1:18" ht="13.5" thickBot="1">
      <c r="A19" s="1020"/>
      <c r="B19" s="227"/>
      <c r="C19" s="228"/>
      <c r="D19" s="229"/>
      <c r="E19" s="236"/>
      <c r="F19" s="246">
        <v>450</v>
      </c>
      <c r="G19" s="243" t="s">
        <v>20</v>
      </c>
      <c r="H19" s="598" t="s">
        <v>443</v>
      </c>
      <c r="I19" s="1018"/>
      <c r="J19" s="261"/>
      <c r="K19" s="250"/>
      <c r="L19" s="250"/>
      <c r="M19" s="129">
        <f t="shared" si="0"/>
        <v>0</v>
      </c>
    </row>
    <row r="20" spans="1:18" ht="13.5" thickBot="1">
      <c r="A20" s="1020"/>
      <c r="B20" s="227"/>
      <c r="C20" s="228"/>
      <c r="D20" s="229"/>
      <c r="E20" s="236"/>
      <c r="F20" s="239"/>
      <c r="G20" s="243"/>
      <c r="H20" s="598" t="s">
        <v>453</v>
      </c>
      <c r="I20" s="1018"/>
      <c r="J20" s="261"/>
      <c r="K20" s="251"/>
      <c r="L20" s="251"/>
      <c r="M20" s="129">
        <f t="shared" si="0"/>
        <v>0</v>
      </c>
    </row>
    <row r="21" spans="1:18" ht="13.5" thickBot="1">
      <c r="A21" s="1020"/>
      <c r="B21" s="227"/>
      <c r="C21" s="228"/>
      <c r="D21" s="229"/>
      <c r="E21" s="236"/>
      <c r="F21" s="242"/>
      <c r="G21" s="243"/>
      <c r="H21" s="598" t="s">
        <v>444</v>
      </c>
      <c r="I21" s="1018"/>
      <c r="J21" s="261"/>
      <c r="K21" s="250"/>
      <c r="L21" s="250"/>
      <c r="M21" s="129">
        <f t="shared" si="0"/>
        <v>0</v>
      </c>
    </row>
    <row r="22" spans="1:18" ht="13.5" thickBot="1">
      <c r="A22" s="1020"/>
      <c r="B22" s="227"/>
      <c r="C22" s="228"/>
      <c r="D22" s="229"/>
      <c r="E22" s="236"/>
      <c r="F22" s="247"/>
      <c r="G22" s="243"/>
      <c r="H22" s="598"/>
      <c r="I22" s="1019"/>
      <c r="J22" s="261"/>
      <c r="K22" s="250"/>
      <c r="L22" s="250"/>
      <c r="M22" s="129">
        <f t="shared" si="0"/>
        <v>0</v>
      </c>
    </row>
    <row r="23" spans="1:18" ht="13.5" thickBot="1">
      <c r="A23" s="1021"/>
      <c r="B23" s="180" t="s">
        <v>2</v>
      </c>
      <c r="C23" s="112">
        <f>SUM(C16:C22)</f>
        <v>8611</v>
      </c>
      <c r="D23" s="123">
        <f>SUM(D16:D22)</f>
        <v>0</v>
      </c>
      <c r="E23" s="124">
        <f>SUM(E18:E22)</f>
        <v>0</v>
      </c>
      <c r="F23" s="128">
        <f>SUM(F15:F22)</f>
        <v>455</v>
      </c>
      <c r="G23" s="171"/>
      <c r="H23" s="178"/>
      <c r="I23" s="181"/>
      <c r="J23" s="261"/>
      <c r="K23" s="250"/>
      <c r="L23" s="250"/>
      <c r="M23" s="129">
        <f t="shared" si="0"/>
        <v>0</v>
      </c>
    </row>
    <row r="24" spans="1:18" ht="13.5" customHeight="1" thickBot="1">
      <c r="A24" s="1014" t="s">
        <v>467</v>
      </c>
      <c r="B24" s="182"/>
      <c r="C24" s="125"/>
      <c r="D24" s="126"/>
      <c r="E24" s="127"/>
      <c r="F24" s="247"/>
      <c r="G24" s="240" t="s">
        <v>12</v>
      </c>
      <c r="H24" s="241" t="s">
        <v>280</v>
      </c>
      <c r="I24" s="1017" t="s">
        <v>454</v>
      </c>
      <c r="J24" s="261"/>
      <c r="K24" s="250"/>
      <c r="L24" s="250"/>
      <c r="M24" s="129">
        <f t="shared" si="0"/>
        <v>0</v>
      </c>
    </row>
    <row r="25" spans="1:18" ht="13.5" thickBot="1">
      <c r="A25" s="1020"/>
      <c r="B25" s="227" t="s">
        <v>460</v>
      </c>
      <c r="C25" s="237">
        <v>7659</v>
      </c>
      <c r="D25" s="229"/>
      <c r="E25" s="236"/>
      <c r="F25" s="242">
        <v>6</v>
      </c>
      <c r="G25" s="243" t="s">
        <v>12</v>
      </c>
      <c r="H25" s="241" t="s">
        <v>456</v>
      </c>
      <c r="I25" s="1018"/>
      <c r="J25" s="261"/>
      <c r="K25" s="250"/>
      <c r="L25" s="250"/>
      <c r="M25" s="129">
        <f t="shared" si="0"/>
        <v>0</v>
      </c>
      <c r="N25" s="161">
        <v>1650</v>
      </c>
      <c r="O25" s="161">
        <f>+N25-N25*0.24</f>
        <v>1254</v>
      </c>
      <c r="P25" s="161">
        <v>322</v>
      </c>
      <c r="Q25" s="161">
        <f>+N25*P25</f>
        <v>531300</v>
      </c>
      <c r="R25" s="161">
        <f>+O25*P25</f>
        <v>403788</v>
      </c>
    </row>
    <row r="26" spans="1:18" ht="13.5" thickBot="1">
      <c r="A26" s="1020"/>
      <c r="B26" s="227"/>
      <c r="C26" s="237"/>
      <c r="D26" s="229"/>
      <c r="E26" s="238"/>
      <c r="F26" s="242">
        <v>8</v>
      </c>
      <c r="G26" s="243" t="s">
        <v>12</v>
      </c>
      <c r="H26" s="598" t="s">
        <v>435</v>
      </c>
      <c r="I26" s="1018"/>
      <c r="J26" s="261"/>
      <c r="K26" s="250"/>
      <c r="L26" s="250"/>
      <c r="M26" s="129">
        <f t="shared" si="0"/>
        <v>0</v>
      </c>
      <c r="N26" s="161">
        <v>1660</v>
      </c>
      <c r="O26" s="161">
        <f>+N26-N26*0.16</f>
        <v>1394.4</v>
      </c>
      <c r="P26" s="161">
        <f>60-22</f>
        <v>38</v>
      </c>
      <c r="Q26" s="161">
        <f>+N26*P26</f>
        <v>63080</v>
      </c>
      <c r="R26" s="161">
        <f>+O26*P26</f>
        <v>52987.200000000004</v>
      </c>
    </row>
    <row r="27" spans="1:18" ht="13.5" thickBot="1">
      <c r="A27" s="1020"/>
      <c r="B27" s="227"/>
      <c r="C27" s="228"/>
      <c r="D27" s="229"/>
      <c r="E27" s="236"/>
      <c r="F27" s="242"/>
      <c r="G27" s="243"/>
      <c r="H27" s="598" t="s">
        <v>446</v>
      </c>
      <c r="I27" s="1018"/>
      <c r="J27" s="261"/>
      <c r="K27" s="250"/>
      <c r="L27" s="250"/>
      <c r="M27" s="129">
        <f t="shared" si="0"/>
        <v>0</v>
      </c>
      <c r="P27" s="161">
        <f>SUM(P24:P26)</f>
        <v>360</v>
      </c>
      <c r="Q27" s="161">
        <f>SUM(Q24:Q26)</f>
        <v>594380</v>
      </c>
      <c r="R27" s="161">
        <f>SUM(R24:R26)</f>
        <v>456775.2</v>
      </c>
    </row>
    <row r="28" spans="1:18" ht="13.5" thickBot="1">
      <c r="A28" s="1020"/>
      <c r="B28" s="227"/>
      <c r="C28" s="228"/>
      <c r="D28" s="229"/>
      <c r="E28" s="236"/>
      <c r="F28" s="242">
        <v>120</v>
      </c>
      <c r="G28" s="243" t="s">
        <v>69</v>
      </c>
      <c r="H28" s="598" t="s">
        <v>445</v>
      </c>
      <c r="I28" s="1018"/>
      <c r="J28" s="261"/>
      <c r="K28" s="250"/>
      <c r="L28" s="250"/>
      <c r="M28" s="129">
        <f t="shared" si="0"/>
        <v>0</v>
      </c>
      <c r="Q28" s="161">
        <f>+Q27/P27</f>
        <v>1651.0555555555557</v>
      </c>
      <c r="R28" s="161">
        <f>+R27/P27</f>
        <v>1268.82</v>
      </c>
    </row>
    <row r="29" spans="1:18" ht="13.5" thickBot="1">
      <c r="A29" s="1020"/>
      <c r="B29" s="227"/>
      <c r="C29" s="228"/>
      <c r="D29" s="229"/>
      <c r="E29" s="236"/>
      <c r="F29" s="247"/>
      <c r="G29" s="243"/>
      <c r="H29" s="598" t="s">
        <v>447</v>
      </c>
      <c r="I29" s="1018"/>
      <c r="J29" s="261"/>
      <c r="K29" s="250"/>
      <c r="L29" s="250"/>
      <c r="M29" s="129">
        <f t="shared" si="0"/>
        <v>0</v>
      </c>
    </row>
    <row r="30" spans="1:18" ht="13.5" thickBot="1">
      <c r="A30" s="1020"/>
      <c r="B30" s="227"/>
      <c r="C30" s="237"/>
      <c r="D30" s="229"/>
      <c r="E30" s="236"/>
      <c r="F30" s="247"/>
      <c r="G30" s="243"/>
      <c r="H30" s="244" t="s">
        <v>448</v>
      </c>
      <c r="I30" s="1018"/>
      <c r="J30" s="261"/>
      <c r="K30" s="250"/>
      <c r="L30" s="250"/>
      <c r="M30" s="129">
        <f t="shared" si="0"/>
        <v>0</v>
      </c>
      <c r="N30" s="167"/>
    </row>
    <row r="31" spans="1:18" ht="26.25" thickBot="1">
      <c r="A31" s="1020"/>
      <c r="B31" s="227"/>
      <c r="C31" s="237"/>
      <c r="D31" s="229"/>
      <c r="E31" s="236"/>
      <c r="F31" s="247">
        <v>10</v>
      </c>
      <c r="G31" s="248" t="s">
        <v>12</v>
      </c>
      <c r="H31" s="466" t="s">
        <v>452</v>
      </c>
      <c r="I31" s="1019"/>
      <c r="J31" s="261"/>
      <c r="K31" s="250"/>
      <c r="L31" s="250"/>
      <c r="M31" s="129">
        <f t="shared" si="0"/>
        <v>0</v>
      </c>
    </row>
    <row r="32" spans="1:18" ht="13.5" thickBot="1">
      <c r="A32" s="1021"/>
      <c r="B32" s="177" t="s">
        <v>2</v>
      </c>
      <c r="C32" s="111">
        <f>SUM(C25:C31)</f>
        <v>7659</v>
      </c>
      <c r="D32" s="112">
        <f>SUM(D25:D31)</f>
        <v>0</v>
      </c>
      <c r="E32" s="113">
        <f>SUM(E25:E31)</f>
        <v>0</v>
      </c>
      <c r="F32" s="114">
        <f>SUM(F24:F31)</f>
        <v>144</v>
      </c>
      <c r="G32" s="183"/>
      <c r="H32" s="184"/>
      <c r="I32" s="181"/>
      <c r="J32" s="263"/>
      <c r="K32" s="252"/>
      <c r="L32" s="254"/>
      <c r="M32" s="129">
        <f t="shared" si="0"/>
        <v>0</v>
      </c>
    </row>
    <row r="33" spans="1:14" ht="13.5" thickBot="1">
      <c r="A33" s="185"/>
      <c r="B33" s="186"/>
      <c r="C33" s="115">
        <f>C32/($C$32+$D$32+$E$32)</f>
        <v>1</v>
      </c>
      <c r="D33" s="116">
        <f>D32/($C$32+$D$32+$E$32)</f>
        <v>0</v>
      </c>
      <c r="E33" s="117">
        <f>E32/($C$32+$D$32+$E$32)</f>
        <v>0</v>
      </c>
      <c r="F33" s="118"/>
      <c r="G33" s="187"/>
      <c r="H33" s="188"/>
      <c r="I33" s="189"/>
      <c r="J33" s="133"/>
      <c r="K33" s="134"/>
      <c r="L33" s="225"/>
      <c r="M33" s="131"/>
    </row>
    <row r="34" spans="1:14" ht="13.5" thickBot="1">
      <c r="A34" s="1022" t="s">
        <v>58</v>
      </c>
      <c r="B34" s="1023"/>
      <c r="C34" s="119">
        <f>C14+C23+C32</f>
        <v>17941</v>
      </c>
      <c r="D34" s="119">
        <f>D14+D23+D32</f>
        <v>0</v>
      </c>
      <c r="E34" s="119">
        <f>E14+E23+E32</f>
        <v>0</v>
      </c>
      <c r="F34" s="120">
        <f>F14+F23+F32</f>
        <v>1027</v>
      </c>
      <c r="H34" s="190"/>
      <c r="I34" s="190"/>
      <c r="J34" s="135" t="s">
        <v>28</v>
      </c>
      <c r="K34" s="136">
        <f>SUM(K7:K32)</f>
        <v>17941</v>
      </c>
      <c r="L34" s="224">
        <f>SUM(L7:L32)</f>
        <v>0</v>
      </c>
      <c r="M34" s="132">
        <f>SUM(M7:M32)</f>
        <v>17941</v>
      </c>
      <c r="N34" s="167"/>
    </row>
    <row r="35" spans="1:14" ht="13.5" thickBot="1">
      <c r="A35" s="191"/>
      <c r="B35" s="192"/>
      <c r="C35" s="116">
        <f>C34/($C$34+$D$34+$E$34)</f>
        <v>1</v>
      </c>
      <c r="D35" s="116">
        <f>D34/($C$34+$D$34+$E$34)</f>
        <v>0</v>
      </c>
      <c r="E35" s="121">
        <f>E34/($C$34+$D$34+$E$34)</f>
        <v>0</v>
      </c>
      <c r="K35" s="167"/>
    </row>
    <row r="36" spans="1:14" ht="13.5" thickBot="1">
      <c r="A36" s="190"/>
      <c r="B36" s="190"/>
      <c r="C36" s="167"/>
      <c r="D36" s="167"/>
      <c r="E36" s="167"/>
      <c r="G36" s="167"/>
      <c r="H36" s="193"/>
      <c r="I36" s="174" t="s">
        <v>37</v>
      </c>
      <c r="J36" s="174" t="s">
        <v>38</v>
      </c>
      <c r="K36" s="194"/>
    </row>
    <row r="37" spans="1:14" ht="17.45" customHeight="1" thickBot="1">
      <c r="A37" s="1024" t="s">
        <v>59</v>
      </c>
      <c r="B37" s="1025"/>
      <c r="C37" s="174" t="s">
        <v>60</v>
      </c>
      <c r="D37" s="195" t="s">
        <v>61</v>
      </c>
      <c r="E37" s="196" t="s">
        <v>62</v>
      </c>
      <c r="F37" s="197"/>
      <c r="G37" s="167"/>
      <c r="H37" s="198" t="s">
        <v>63</v>
      </c>
      <c r="I37" s="255">
        <f>(13*404+10.3*38)/442*G42*2.77*442/1000000</f>
        <v>19.821058258247959</v>
      </c>
      <c r="J37" s="137">
        <f>I37</f>
        <v>19.821058258247959</v>
      </c>
      <c r="K37" s="138" t="s">
        <v>64</v>
      </c>
      <c r="N37" s="611">
        <f>+I38-N38</f>
        <v>16.536999999999999</v>
      </c>
    </row>
    <row r="38" spans="1:14" ht="17.45" customHeight="1">
      <c r="A38" s="1012" t="s">
        <v>12</v>
      </c>
      <c r="B38" s="1013"/>
      <c r="C38" s="176">
        <f>SUMIF($G$7:$G$31,"Process",$F$7:$F$31)</f>
        <v>29</v>
      </c>
      <c r="D38" s="130">
        <f>C38</f>
        <v>29</v>
      </c>
      <c r="E38" s="155">
        <f t="shared" ref="E38:E51" si="1">D38/60</f>
        <v>0.48333333333333334</v>
      </c>
      <c r="F38" s="197">
        <v>1700</v>
      </c>
      <c r="G38" s="197">
        <f>+F38-F38*0.24</f>
        <v>1292</v>
      </c>
      <c r="H38" s="199" t="s">
        <v>65</v>
      </c>
      <c r="I38" s="553">
        <f>2.558+1.25+13.139</f>
        <v>16.946999999999999</v>
      </c>
      <c r="J38" s="139">
        <f>I38</f>
        <v>16.946999999999999</v>
      </c>
      <c r="K38" s="140" t="s">
        <v>64</v>
      </c>
      <c r="N38" s="566">
        <v>0.41</v>
      </c>
    </row>
    <row r="39" spans="1:14" ht="17.45" customHeight="1">
      <c r="A39" s="1008" t="s">
        <v>13</v>
      </c>
      <c r="B39" s="1009"/>
      <c r="C39" s="176">
        <f>SUMIF($G$7:$G$31,"Cleaning",$F$7:$F$31)</f>
        <v>0</v>
      </c>
      <c r="D39" s="130">
        <f>C39</f>
        <v>0</v>
      </c>
      <c r="E39" s="155">
        <f t="shared" si="1"/>
        <v>0</v>
      </c>
      <c r="F39" s="197">
        <v>1600</v>
      </c>
      <c r="G39" s="197">
        <f>+F39-F39*0.24</f>
        <v>1216</v>
      </c>
      <c r="H39" s="199" t="s">
        <v>66</v>
      </c>
      <c r="I39" s="154"/>
      <c r="J39" s="141">
        <f>J37/G4</f>
        <v>19.821058258247959</v>
      </c>
      <c r="K39" s="142" t="s">
        <v>64</v>
      </c>
    </row>
    <row r="40" spans="1:14" ht="17.45" customHeight="1">
      <c r="A40" s="1008" t="s">
        <v>67</v>
      </c>
      <c r="B40" s="1009"/>
      <c r="C40" s="176">
        <f>SUMIF($G$7:$G$31,"Mechanical",$F$7:$F$31)</f>
        <v>0</v>
      </c>
      <c r="D40" s="130">
        <f t="shared" ref="D40:D51" si="2">C40</f>
        <v>0</v>
      </c>
      <c r="E40" s="155">
        <f t="shared" si="1"/>
        <v>0</v>
      </c>
      <c r="F40" s="197">
        <v>1651.0555555555557</v>
      </c>
      <c r="G40" s="197">
        <v>1268.82</v>
      </c>
      <c r="H40" s="199" t="s">
        <v>68</v>
      </c>
      <c r="I40" s="130">
        <f>(K34+L34)/1000</f>
        <v>17.940999999999999</v>
      </c>
      <c r="J40" s="143">
        <f>M34/1000</f>
        <v>17.940999999999999</v>
      </c>
      <c r="K40" s="142" t="s">
        <v>64</v>
      </c>
    </row>
    <row r="41" spans="1:14" ht="17.45" customHeight="1">
      <c r="A41" s="1008" t="s">
        <v>69</v>
      </c>
      <c r="B41" s="1009"/>
      <c r="C41" s="176">
        <f>SUMIF($G$7:$G$31,"Electrical",$F$7:$F$31)</f>
        <v>120</v>
      </c>
      <c r="D41" s="130">
        <f t="shared" si="2"/>
        <v>120</v>
      </c>
      <c r="E41" s="155">
        <f t="shared" si="1"/>
        <v>2</v>
      </c>
      <c r="F41" s="197"/>
      <c r="G41" s="197"/>
      <c r="H41" s="199" t="s">
        <v>70</v>
      </c>
      <c r="I41" s="154"/>
      <c r="J41" s="141">
        <f>J40/G4</f>
        <v>17.940999999999999</v>
      </c>
      <c r="K41" s="142" t="s">
        <v>64</v>
      </c>
    </row>
    <row r="42" spans="1:14" ht="17.45" customHeight="1">
      <c r="A42" s="1008" t="s">
        <v>16</v>
      </c>
      <c r="B42" s="1009"/>
      <c r="C42" s="176">
        <f>SUMIF($G$7:$G$31,"Instrument",$F$7:$F$31)</f>
        <v>0</v>
      </c>
      <c r="D42" s="130">
        <f t="shared" si="2"/>
        <v>0</v>
      </c>
      <c r="E42" s="155">
        <f t="shared" si="1"/>
        <v>0</v>
      </c>
      <c r="F42" s="197">
        <f>+(F38*52+F39*30+F40*360)/442</f>
        <v>1653.3484162895927</v>
      </c>
      <c r="G42" s="197">
        <f>+(G38*52+G39*30+G40*360)/442</f>
        <v>1267.9619909502262</v>
      </c>
      <c r="H42" s="199" t="s">
        <v>71</v>
      </c>
      <c r="I42" s="257" t="s">
        <v>455</v>
      </c>
      <c r="J42" s="144"/>
      <c r="K42" s="142" t="s">
        <v>72</v>
      </c>
    </row>
    <row r="43" spans="1:14" ht="17.45" customHeight="1">
      <c r="A43" s="1008" t="s">
        <v>73</v>
      </c>
      <c r="B43" s="1009"/>
      <c r="C43" s="176">
        <f>SUMIF($G$7:$G$31,"Water",$F$7:$F$31)</f>
        <v>0</v>
      </c>
      <c r="D43" s="130">
        <f t="shared" si="2"/>
        <v>0</v>
      </c>
      <c r="E43" s="155">
        <f t="shared" si="1"/>
        <v>0</v>
      </c>
      <c r="F43" s="197"/>
      <c r="H43" s="200" t="s">
        <v>74</v>
      </c>
      <c r="I43" s="130">
        <f>+Report1!T9</f>
        <v>52.613999999999997</v>
      </c>
      <c r="J43" s="145">
        <f>I43</f>
        <v>52.613999999999997</v>
      </c>
      <c r="K43" s="142" t="s">
        <v>64</v>
      </c>
      <c r="L43" s="201"/>
    </row>
    <row r="44" spans="1:14" ht="17.45" customHeight="1">
      <c r="A44" s="1008" t="s">
        <v>17</v>
      </c>
      <c r="B44" s="1009"/>
      <c r="C44" s="176">
        <f>SUMIF($G$7:$G$31,"PLN",$F$7:$F$31)</f>
        <v>0</v>
      </c>
      <c r="D44" s="130">
        <f>C44</f>
        <v>0</v>
      </c>
      <c r="E44" s="155">
        <f t="shared" si="1"/>
        <v>0</v>
      </c>
      <c r="F44" s="197"/>
      <c r="H44" s="200" t="s">
        <v>75</v>
      </c>
      <c r="I44" s="130">
        <f>I43/I38</f>
        <v>3.1046202867764205</v>
      </c>
      <c r="J44" s="146">
        <f>J43/J38</f>
        <v>3.1046202867764205</v>
      </c>
      <c r="K44" s="142" t="s">
        <v>64</v>
      </c>
    </row>
    <row r="45" spans="1:14" ht="17.45" customHeight="1">
      <c r="A45" s="1008" t="s">
        <v>18</v>
      </c>
      <c r="B45" s="1009"/>
      <c r="C45" s="176">
        <f>SUMIF($G$7:$G$31,"Boiler",$F$7:$F$31)</f>
        <v>0</v>
      </c>
      <c r="D45" s="130">
        <f t="shared" si="2"/>
        <v>0</v>
      </c>
      <c r="E45" s="155">
        <f t="shared" si="1"/>
        <v>0</v>
      </c>
      <c r="F45" s="197"/>
      <c r="G45" s="188"/>
      <c r="H45" s="200" t="s">
        <v>76</v>
      </c>
      <c r="I45" s="130">
        <f>I43/I40</f>
        <v>2.9326124519257566</v>
      </c>
      <c r="J45" s="146">
        <f>J43/J40</f>
        <v>2.9326124519257566</v>
      </c>
      <c r="K45" s="142" t="s">
        <v>64</v>
      </c>
    </row>
    <row r="46" spans="1:14" ht="17.45" customHeight="1">
      <c r="A46" s="1008" t="s">
        <v>77</v>
      </c>
      <c r="B46" s="1009"/>
      <c r="C46" s="176">
        <f>SUMIF($G$7:$G$31,"Gas",$F$7:$F$31)</f>
        <v>0</v>
      </c>
      <c r="D46" s="130">
        <f t="shared" si="2"/>
        <v>0</v>
      </c>
      <c r="E46" s="155">
        <f t="shared" si="1"/>
        <v>0</v>
      </c>
      <c r="F46" s="197"/>
      <c r="H46" s="200" t="s">
        <v>78</v>
      </c>
      <c r="I46" s="152">
        <f>+SUMIF(Listrik!AR8,"&gt;0")</f>
        <v>29809.29999999985</v>
      </c>
      <c r="J46" s="147">
        <f>I46</f>
        <v>29809.29999999985</v>
      </c>
      <c r="K46" s="142" t="s">
        <v>79</v>
      </c>
    </row>
    <row r="47" spans="1:14" ht="17.45" customHeight="1">
      <c r="A47" s="1008" t="s">
        <v>80</v>
      </c>
      <c r="B47" s="1009"/>
      <c r="C47" s="176">
        <f>SUMIF($G$7:$G$31,"Gas",$F$7:$F$31)</f>
        <v>0</v>
      </c>
      <c r="D47" s="130">
        <f t="shared" si="2"/>
        <v>0</v>
      </c>
      <c r="E47" s="155">
        <f t="shared" si="1"/>
        <v>0</v>
      </c>
      <c r="F47" s="197"/>
      <c r="H47" s="200" t="s">
        <v>81</v>
      </c>
      <c r="I47" s="130">
        <f>I46/I38</f>
        <v>1758.972089455352</v>
      </c>
      <c r="J47" s="147">
        <f>J46/J38</f>
        <v>1758.972089455352</v>
      </c>
      <c r="K47" s="142" t="s">
        <v>24</v>
      </c>
    </row>
    <row r="48" spans="1:14" ht="17.45" customHeight="1">
      <c r="A48" s="1008" t="s">
        <v>14</v>
      </c>
      <c r="B48" s="1009"/>
      <c r="C48" s="176">
        <f>SUMIF($G$7:$G$31,"Start Up",$F$7:$F$31)</f>
        <v>0</v>
      </c>
      <c r="D48" s="130">
        <f t="shared" si="2"/>
        <v>0</v>
      </c>
      <c r="E48" s="155">
        <f t="shared" si="1"/>
        <v>0</v>
      </c>
      <c r="F48" s="197"/>
      <c r="H48" s="200" t="s">
        <v>82</v>
      </c>
      <c r="I48" s="130">
        <f>I46/I40</f>
        <v>1661.5183100161557</v>
      </c>
      <c r="J48" s="147">
        <f>J46/J40</f>
        <v>1661.5183100161557</v>
      </c>
      <c r="K48" s="142" t="s">
        <v>24</v>
      </c>
    </row>
    <row r="49" spans="1:11" ht="17.45" customHeight="1">
      <c r="A49" s="1008" t="s">
        <v>20</v>
      </c>
      <c r="B49" s="1009"/>
      <c r="C49" s="176">
        <f>SUMIF($G$7:$G$31,"Others",$F$7:$F$31)</f>
        <v>878</v>
      </c>
      <c r="D49" s="130">
        <f t="shared" si="2"/>
        <v>878</v>
      </c>
      <c r="E49" s="155">
        <f t="shared" si="1"/>
        <v>14.633333333333333</v>
      </c>
      <c r="F49" s="197"/>
      <c r="H49" s="200" t="s">
        <v>186</v>
      </c>
      <c r="I49" s="130"/>
      <c r="J49" s="147">
        <f>I49</f>
        <v>0</v>
      </c>
      <c r="K49" s="142" t="s">
        <v>84</v>
      </c>
    </row>
    <row r="50" spans="1:11" ht="17.45" customHeight="1">
      <c r="A50" s="1008" t="s">
        <v>19</v>
      </c>
      <c r="B50" s="1009"/>
      <c r="C50" s="176">
        <f>SUMIF($G$7:$G$31,"Steam",$F$7:$F$31)</f>
        <v>0</v>
      </c>
      <c r="D50" s="130">
        <f t="shared" si="2"/>
        <v>0</v>
      </c>
      <c r="E50" s="155">
        <f t="shared" si="1"/>
        <v>0</v>
      </c>
      <c r="F50" s="197"/>
      <c r="H50" s="200" t="s">
        <v>85</v>
      </c>
      <c r="I50" s="152">
        <f>I49/I38</f>
        <v>0</v>
      </c>
      <c r="J50" s="145">
        <f>J49/J38</f>
        <v>0</v>
      </c>
      <c r="K50" s="142" t="s">
        <v>84</v>
      </c>
    </row>
    <row r="51" spans="1:11" ht="17.45" customHeight="1" thickBot="1">
      <c r="A51" s="1010" t="s">
        <v>86</v>
      </c>
      <c r="B51" s="1011"/>
      <c r="C51" s="176">
        <f>SUMIF($G$7:$G$31,"Planned shut",$F$7:$F$31)</f>
        <v>0</v>
      </c>
      <c r="D51" s="130">
        <f t="shared" si="2"/>
        <v>0</v>
      </c>
      <c r="E51" s="155">
        <f t="shared" si="1"/>
        <v>0</v>
      </c>
      <c r="F51" s="197"/>
      <c r="H51" s="202" t="s">
        <v>87</v>
      </c>
      <c r="I51" s="153">
        <f>I49/I40</f>
        <v>0</v>
      </c>
      <c r="J51" s="148">
        <f>J49/J40</f>
        <v>0</v>
      </c>
      <c r="K51" s="149" t="s">
        <v>84</v>
      </c>
    </row>
    <row r="52" spans="1:11" ht="13.5" thickBot="1">
      <c r="A52" s="1012" t="s">
        <v>28</v>
      </c>
      <c r="B52" s="1013"/>
      <c r="C52" s="156">
        <f>SUM(C38:C51)</f>
        <v>1027</v>
      </c>
      <c r="D52" s="156">
        <f>SUM(D38:D51)</f>
        <v>1027</v>
      </c>
      <c r="E52" s="157">
        <f>SUM(E38:E51)</f>
        <v>17.116666666666667</v>
      </c>
      <c r="F52" s="197"/>
      <c r="H52" s="203"/>
      <c r="I52" s="204"/>
      <c r="J52" s="150"/>
      <c r="K52" s="151"/>
    </row>
    <row r="53" spans="1:11" ht="13.5" thickBot="1">
      <c r="A53" s="1006"/>
      <c r="B53" s="1007"/>
      <c r="C53" s="158">
        <f>C52/(24*60)</f>
        <v>0.71319444444444446</v>
      </c>
      <c r="D53" s="158">
        <f>D52/(24*60*G4)</f>
        <v>0.71319444444444446</v>
      </c>
      <c r="E53" s="159">
        <f>E52/(G4*24)</f>
        <v>0.71319444444444446</v>
      </c>
      <c r="F53" s="197"/>
    </row>
    <row r="54" spans="1:11">
      <c r="E54" s="205"/>
      <c r="F54" s="197"/>
    </row>
    <row r="55" spans="1:11">
      <c r="E55" s="205"/>
    </row>
    <row r="56" spans="1:11">
      <c r="A56" s="206" t="s">
        <v>88</v>
      </c>
      <c r="B56" s="207"/>
      <c r="C56" s="208"/>
      <c r="D56" s="208"/>
      <c r="E56" s="208"/>
      <c r="F56" s="209"/>
      <c r="G56" s="208"/>
      <c r="H56" s="210"/>
      <c r="I56" s="211" t="s">
        <v>89</v>
      </c>
      <c r="J56" s="212">
        <f>D34</f>
        <v>0</v>
      </c>
      <c r="K56" s="213">
        <f>J56/(J40+J56/1000)/1000</f>
        <v>0</v>
      </c>
    </row>
    <row r="57" spans="1:11">
      <c r="A57" s="188"/>
      <c r="I57" s="211" t="s">
        <v>90</v>
      </c>
      <c r="J57" s="212">
        <f>+E34</f>
        <v>0</v>
      </c>
      <c r="K57" s="213">
        <f>J57/(J40+J57/1000)/1000</f>
        <v>0</v>
      </c>
    </row>
    <row r="58" spans="1:11">
      <c r="A58" s="214"/>
      <c r="B58" s="215"/>
      <c r="F58" s="197"/>
      <c r="H58" s="216"/>
    </row>
    <row r="59" spans="1:11">
      <c r="A59" s="217"/>
      <c r="B59" s="188"/>
      <c r="C59" s="188"/>
      <c r="D59" s="188"/>
      <c r="E59" s="188"/>
      <c r="F59" s="201"/>
      <c r="G59" s="188"/>
      <c r="H59" s="216"/>
    </row>
    <row r="60" spans="1:11">
      <c r="H60" s="216"/>
    </row>
    <row r="61" spans="1:11">
      <c r="A61" s="218"/>
      <c r="B61" s="219"/>
      <c r="C61" s="219"/>
      <c r="D61" s="219"/>
      <c r="E61" s="219"/>
      <c r="F61" s="220"/>
      <c r="G61" s="219"/>
      <c r="H61" s="221"/>
    </row>
  </sheetData>
  <mergeCells count="24"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48:B48"/>
    <mergeCell ref="A49:B49"/>
    <mergeCell ref="A41:B41"/>
    <mergeCell ref="A38:B38"/>
    <mergeCell ref="A39:B39"/>
    <mergeCell ref="A7:A14"/>
    <mergeCell ref="I7:I13"/>
    <mergeCell ref="A15:A23"/>
    <mergeCell ref="I15:I22"/>
    <mergeCell ref="A34:B34"/>
    <mergeCell ref="A37:B37"/>
    <mergeCell ref="A24:A32"/>
    <mergeCell ref="I24:I31"/>
    <mergeCell ref="A40:B40"/>
  </mergeCells>
  <phoneticPr fontId="31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36</vt:i4>
      </vt:variant>
    </vt:vector>
  </HeadingPairs>
  <TitlesOfParts>
    <vt:vector size="79" baseType="lpstr">
      <vt:lpstr>eff all</vt:lpstr>
      <vt:lpstr>Report1</vt:lpstr>
      <vt:lpstr>GRAFIK</vt:lpstr>
      <vt:lpstr>Listrik</vt:lpstr>
      <vt:lpstr>Trim Rwd</vt:lpstr>
      <vt:lpstr>Efficiency1</vt:lpstr>
      <vt:lpstr>Efficiency2</vt:lpstr>
      <vt:lpstr>BB</vt:lpstr>
      <vt:lpstr>Chem</vt:lpstr>
      <vt:lpstr>RBP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'eff all'!Print_Area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2025-11-05T04:07:22Z</cp:lastPrinted>
  <dcterms:created xsi:type="dcterms:W3CDTF">2007-07-30T03:52:39Z</dcterms:created>
  <dcterms:modified xsi:type="dcterms:W3CDTF">2025-11-11T04:52:28Z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